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103A13EE-D125-4C08-A333-0B260CCC9346}" xr6:coauthVersionLast="47" xr6:coauthVersionMax="47" xr10:uidLastSave="{00000000-0000-0000-0000-000000000000}"/>
  <bookViews>
    <workbookView xWindow="2730" yWindow="2730" windowWidth="21600" windowHeight="1150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6" i="44" l="1"/>
  <c r="E66" i="44"/>
  <c r="F66" i="44"/>
  <c r="G66" i="44"/>
  <c r="H66" i="44"/>
  <c r="I66" i="44"/>
  <c r="C66" i="44"/>
  <c r="J45" i="44"/>
  <c r="K45" i="44"/>
  <c r="L45" i="44"/>
  <c r="M45" i="44"/>
  <c r="N45" i="44"/>
  <c r="O45" i="44"/>
  <c r="P45" i="44"/>
  <c r="Q45" i="44"/>
  <c r="R45" i="44"/>
  <c r="S45" i="44"/>
  <c r="T45" i="44"/>
  <c r="U45" i="44"/>
  <c r="V45" i="44"/>
  <c r="W45" i="44"/>
  <c r="X45" i="44"/>
  <c r="Y45" i="44"/>
  <c r="Z45" i="44"/>
  <c r="AA45" i="44"/>
  <c r="AB45" i="44"/>
  <c r="AC45" i="44"/>
  <c r="AD45" i="44"/>
  <c r="AE45" i="44"/>
  <c r="AF45" i="44"/>
  <c r="AG45" i="44"/>
  <c r="J46" i="44"/>
  <c r="K46" i="44"/>
  <c r="L46" i="44"/>
  <c r="M46" i="44"/>
  <c r="N46" i="44"/>
  <c r="O46" i="44"/>
  <c r="P46" i="44"/>
  <c r="Q46" i="44"/>
  <c r="R46" i="44"/>
  <c r="S46" i="44"/>
  <c r="T46" i="44"/>
  <c r="U46" i="44"/>
  <c r="V46" i="44"/>
  <c r="W46" i="44"/>
  <c r="X46" i="44"/>
  <c r="Y46" i="44"/>
  <c r="Z46" i="44"/>
  <c r="AA46" i="44"/>
  <c r="AB46" i="44"/>
  <c r="AC46" i="44"/>
  <c r="AD46" i="44"/>
  <c r="AE46" i="44"/>
  <c r="AF46" i="44"/>
  <c r="AG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J44" i="44"/>
  <c r="K44" i="44"/>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K51" i="44"/>
  <c r="L51" i="44"/>
  <c r="M51" i="44"/>
  <c r="N51" i="44"/>
  <c r="O51" i="44"/>
  <c r="P51" i="44"/>
  <c r="Q51" i="44"/>
  <c r="R51" i="44"/>
  <c r="S51" i="44"/>
  <c r="T51" i="44"/>
  <c r="U51" i="44"/>
  <c r="V51" i="44"/>
  <c r="W51" i="44"/>
  <c r="X51" i="44"/>
  <c r="Y51" i="44"/>
  <c r="Z51" i="44"/>
  <c r="AA51" i="44"/>
  <c r="AB51" i="44"/>
  <c r="AC51" i="44"/>
  <c r="AD51" i="44"/>
  <c r="AE51" i="44"/>
  <c r="AF51" i="44"/>
  <c r="AG51" i="44"/>
  <c r="K52" i="44"/>
  <c r="L52" i="44"/>
  <c r="M52" i="44"/>
  <c r="N52" i="44"/>
  <c r="O52" i="44"/>
  <c r="P52" i="44"/>
  <c r="Q52" i="44"/>
  <c r="R52" i="44"/>
  <c r="S52" i="44"/>
  <c r="T52" i="44"/>
  <c r="U52" i="44"/>
  <c r="V52" i="44"/>
  <c r="W52" i="44"/>
  <c r="X52" i="44"/>
  <c r="Y52" i="44"/>
  <c r="Z52" i="44"/>
  <c r="AA52" i="44"/>
  <c r="AB52" i="44"/>
  <c r="AC52" i="44"/>
  <c r="AD52" i="44"/>
  <c r="AE52" i="44"/>
  <c r="AF52" i="44"/>
  <c r="AG52" i="44"/>
  <c r="J52" i="44"/>
  <c r="J51"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X14" i="56" l="1"/>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AO46" i="44"/>
  <c r="AO47" i="44" s="1"/>
  <c r="B46" i="44"/>
  <c r="B47" i="44" s="1"/>
  <c r="B48" i="44" s="1"/>
  <c r="B49" i="44" s="1"/>
  <c r="B50" i="44" s="1"/>
  <c r="D44" i="44"/>
  <c r="E44" i="44" s="1"/>
  <c r="F44" i="44" s="1"/>
  <c r="G44" i="44" s="1"/>
  <c r="H44" i="44" s="1"/>
  <c r="I44" i="44" s="1"/>
  <c r="L30" i="44"/>
  <c r="L75" i="44" l="1"/>
  <c r="M76" i="44" s="1"/>
  <c r="P75" i="44"/>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O49" i="44"/>
  <c r="AO50" i="44" s="1"/>
  <c r="AO48" i="44"/>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P76" i="44"/>
  <c r="AB76" i="44"/>
  <c r="F44" i="29" a="1"/>
  <c r="F44" i="29" s="1"/>
  <c r="L76" i="44" l="1"/>
  <c r="L37" i="44"/>
  <c r="L38" i="44" s="1"/>
  <c r="AO53" i="44"/>
  <c r="AO54" i="44" s="1"/>
  <c r="AO51" i="44"/>
  <c r="AO52"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M37" i="44" l="1"/>
  <c r="N37" i="44" s="1"/>
  <c r="N38" i="44" s="1"/>
  <c r="L31" i="44"/>
  <c r="L34" i="44" s="1"/>
  <c r="L33" i="44"/>
  <c r="L36" i="44" s="1"/>
  <c r="AO56" i="44"/>
  <c r="AO57" i="44" s="1"/>
  <c r="AO58" i="44" s="1"/>
  <c r="AO59" i="44" s="1"/>
  <c r="AO60" i="44" s="1"/>
  <c r="AO61" i="44" s="1"/>
  <c r="AO62" i="44" s="1"/>
  <c r="AO63" i="44" s="1"/>
  <c r="AO55" i="44"/>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O37" i="44" l="1"/>
  <c r="P37" i="44" s="1"/>
  <c r="M38" i="44"/>
  <c r="M32" i="44"/>
  <c r="M33" i="44"/>
  <c r="M31" i="44"/>
  <c r="O82" i="44"/>
  <c r="N32" i="44"/>
  <c r="N31" i="44"/>
  <c r="P81" i="44"/>
  <c r="O83" i="44"/>
  <c r="N33" i="44"/>
  <c r="L57" i="58"/>
  <c r="H69" i="58" s="1"/>
  <c r="O38" i="44" l="1"/>
  <c r="P83" i="44"/>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AM23" i="60" s="1" a="1"/>
  <c r="AM23" i="60" s="1"/>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J22" i="60" s="1" a="1"/>
  <c r="AJ22" i="60" s="1"/>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X67" i="56"/>
  <c r="G27" i="57"/>
  <c r="Q64" i="57"/>
  <c r="R64" i="57" s="1"/>
  <c r="G64" i="57"/>
  <c r="G31"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Q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H104" i="56"/>
  <c r="G88"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H32" i="57" l="1"/>
  <c r="H43" i="56"/>
  <c r="P43" i="56" s="1"/>
  <c r="P63" i="56"/>
  <c r="G76" i="56"/>
  <c r="P144" i="57"/>
  <c r="Q144" i="57" s="1"/>
  <c r="F89" i="56"/>
  <c r="F48" i="56"/>
  <c r="F39" i="56" s="1"/>
  <c r="G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H33" i="57" l="1"/>
  <c r="F28" i="56"/>
  <c r="G28" i="56" s="1"/>
  <c r="Y144" i="57"/>
  <c r="G144" i="57" s="1"/>
  <c r="H27" i="57"/>
  <c r="F32" i="56"/>
  <c r="G32" i="56" s="1"/>
  <c r="F30" i="56"/>
  <c r="G30" i="56" s="1"/>
  <c r="F34" i="56"/>
  <c r="G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Q110" i="56"/>
  <c r="H35" i="56"/>
  <c r="S106" i="56"/>
  <c r="R109" i="56"/>
  <c r="R107" i="56"/>
  <c r="R108" i="56"/>
  <c r="H32" i="56"/>
  <c r="H31" i="56"/>
  <c r="H29" i="56"/>
  <c r="H30" i="56"/>
  <c r="I28" i="56" l="1"/>
  <c r="J28" i="56" s="1"/>
  <c r="P28" i="56"/>
  <c r="I31" i="56"/>
  <c r="P31" i="56"/>
  <c r="I29" i="56"/>
  <c r="P29" i="56"/>
  <c r="Q30" i="56"/>
  <c r="I32" i="56"/>
  <c r="P32" i="56"/>
  <c r="X32" i="56" s="1"/>
  <c r="I35" i="56"/>
  <c r="J35" i="56" s="1"/>
  <c r="K35" i="56" s="1"/>
  <c r="P35" i="56"/>
  <c r="I30" i="56"/>
  <c r="J30" i="56" s="1"/>
  <c r="K30" i="56" s="1"/>
  <c r="P30" i="56"/>
  <c r="X30" i="56" s="1"/>
  <c r="I33" i="56"/>
  <c r="P33" i="56"/>
  <c r="X33" i="56" s="1"/>
  <c r="Q33" i="56"/>
  <c r="H34" i="56"/>
  <c r="G36" i="56"/>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29" i="56"/>
  <c r="K29" i="56" s="1"/>
  <c r="K28" i="56"/>
  <c r="J33" i="56"/>
  <c r="K33" i="56" s="1"/>
  <c r="J31" i="56"/>
  <c r="K31" i="56" s="1"/>
  <c r="J32" i="56"/>
  <c r="K32"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P36" i="56" s="1"/>
  <c r="X36" i="56" s="1"/>
  <c r="S109" i="56"/>
  <c r="S107" i="56"/>
  <c r="S108" i="56"/>
  <c r="T106" i="56"/>
  <c r="P231" i="57"/>
  <c r="R251" i="57"/>
  <c r="R249" i="57"/>
  <c r="Q229" i="57"/>
  <c r="R250" i="57"/>
  <c r="P259" i="57"/>
  <c r="Q232" i="57"/>
  <c r="Q230" i="57"/>
  <c r="Q228" i="57"/>
  <c r="R110" i="56"/>
  <c r="V138" i="57"/>
  <c r="M138" i="57" s="1"/>
  <c r="Q252" i="57"/>
  <c r="H28" i="57" l="1"/>
  <c r="Q32" i="56"/>
  <c r="I34" i="56"/>
  <c r="J34" i="56" s="1"/>
  <c r="K34" i="56" s="1"/>
  <c r="P34" i="56"/>
  <c r="X29" i="56"/>
  <c r="Q29" i="56"/>
  <c r="X31" i="56"/>
  <c r="Q31" i="56"/>
  <c r="X28" i="56"/>
  <c r="Q28" i="56"/>
  <c r="X35" i="56"/>
  <c r="Q35" i="56"/>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S33" i="56"/>
  <c r="Z33" i="56"/>
  <c r="AB33" i="56" s="1"/>
  <c r="AC33" i="56" s="1"/>
  <c r="AD33" i="56" s="1"/>
  <c r="AB25" i="57"/>
  <c r="AB54" i="57" s="1"/>
  <c r="AC70" i="56"/>
  <c r="AD70"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T30" i="56"/>
  <c r="Q231" i="57"/>
  <c r="T107" i="56"/>
  <c r="T108" i="56"/>
  <c r="U106" i="56"/>
  <c r="T109" i="56"/>
  <c r="Q259" i="57"/>
  <c r="S250" i="57"/>
  <c r="S251" i="57"/>
  <c r="S249" i="57"/>
  <c r="R230" i="57"/>
  <c r="R232" i="57"/>
  <c r="R228" i="57"/>
  <c r="R229" i="57"/>
  <c r="R252" i="57"/>
  <c r="T33" i="56"/>
  <c r="N63" i="56" l="1"/>
  <c r="I28" i="57"/>
  <c r="V31" i="57"/>
  <c r="M31" i="57" s="1"/>
  <c r="R35" i="56"/>
  <c r="Y35" i="56"/>
  <c r="R28" i="56"/>
  <c r="Y28" i="56"/>
  <c r="R31" i="56"/>
  <c r="Y31" i="56"/>
  <c r="Y29" i="56"/>
  <c r="R29" i="56"/>
  <c r="X34" i="56"/>
  <c r="Q34" i="56"/>
  <c r="R32" i="56"/>
  <c r="Y32" i="56"/>
  <c r="I36" i="56"/>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AA30" i="56"/>
  <c r="V134" i="57"/>
  <c r="M134" i="57" s="1"/>
  <c r="L134" i="57"/>
  <c r="AB107" i="57"/>
  <c r="J107" i="57" s="1"/>
  <c r="AA33"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30" i="56"/>
  <c r="V30" i="56"/>
  <c r="L30" i="56"/>
  <c r="U109" i="56"/>
  <c r="U108" i="56"/>
  <c r="V106" i="56"/>
  <c r="U107" i="56"/>
  <c r="T110" i="56"/>
  <c r="T251" i="57"/>
  <c r="T249" i="57"/>
  <c r="R259" i="57"/>
  <c r="S229" i="57"/>
  <c r="T250" i="57"/>
  <c r="S232" i="57"/>
  <c r="S228" i="57"/>
  <c r="S230" i="57"/>
  <c r="V33" i="56"/>
  <c r="U33" i="56"/>
  <c r="L33" i="56"/>
  <c r="J28" i="57" l="1"/>
  <c r="T32" i="56"/>
  <c r="Z32" i="56"/>
  <c r="AB32" i="56" s="1"/>
  <c r="AC32" i="56" s="1"/>
  <c r="AD32" i="56" s="1"/>
  <c r="S32" i="56"/>
  <c r="AA32" i="56" s="1"/>
  <c r="R34" i="56"/>
  <c r="Y34" i="56"/>
  <c r="Y36" i="56" s="1"/>
  <c r="Z29" i="56"/>
  <c r="AB29" i="56" s="1"/>
  <c r="AC29" i="56" s="1"/>
  <c r="AD29" i="56" s="1"/>
  <c r="S29" i="56"/>
  <c r="AA29" i="56" s="1"/>
  <c r="T29" i="56"/>
  <c r="Z31" i="56"/>
  <c r="AB31" i="56" s="1"/>
  <c r="AC31" i="56" s="1"/>
  <c r="AD31" i="56" s="1"/>
  <c r="T31" i="56"/>
  <c r="S31" i="56"/>
  <c r="AA31" i="56" s="1"/>
  <c r="T28" i="56"/>
  <c r="S28" i="56"/>
  <c r="Z28" i="56"/>
  <c r="Q36" i="56"/>
  <c r="S35" i="56"/>
  <c r="AA35" i="56" s="1"/>
  <c r="T35" i="56"/>
  <c r="Z35" i="56"/>
  <c r="AB35" i="56" s="1"/>
  <c r="AC35" i="56" s="1"/>
  <c r="AD35" i="56" s="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N33" i="56"/>
  <c r="U250" i="57"/>
  <c r="U249" i="57"/>
  <c r="U251" i="57"/>
  <c r="T232" i="57"/>
  <c r="T228" i="57"/>
  <c r="T230" i="57"/>
  <c r="T229" i="57"/>
  <c r="S259" i="57"/>
  <c r="M30" i="56"/>
  <c r="T252" i="57"/>
  <c r="M33" i="56"/>
  <c r="V108" i="56"/>
  <c r="W106" i="56"/>
  <c r="V109" i="56"/>
  <c r="V107" i="56"/>
  <c r="N30" i="56"/>
  <c r="S231" i="57"/>
  <c r="V29" i="56" l="1"/>
  <c r="N29" i="56" s="1"/>
  <c r="L29" i="56"/>
  <c r="U29" i="56"/>
  <c r="M29" i="56" s="1"/>
  <c r="AB28" i="56"/>
  <c r="L28" i="56" s="1"/>
  <c r="Z34" i="56"/>
  <c r="AB34" i="56" s="1"/>
  <c r="AC34" i="56" s="1"/>
  <c r="AD34" i="56" s="1"/>
  <c r="T34" i="56"/>
  <c r="S34" i="56"/>
  <c r="AA34" i="56" s="1"/>
  <c r="S36" i="56"/>
  <c r="AA28" i="56"/>
  <c r="AA36" i="56" s="1"/>
  <c r="V31" i="56"/>
  <c r="N31" i="56" s="1"/>
  <c r="L31" i="56"/>
  <c r="U31" i="56"/>
  <c r="M31" i="56" s="1"/>
  <c r="V35" i="56"/>
  <c r="N35" i="56" s="1"/>
  <c r="U35" i="56"/>
  <c r="M35" i="56" s="1"/>
  <c r="L35" i="56"/>
  <c r="V28" i="56"/>
  <c r="U28" i="56"/>
  <c r="T36" i="56"/>
  <c r="R36" i="56"/>
  <c r="L32" i="56"/>
  <c r="V32" i="56"/>
  <c r="N32" i="56" s="1"/>
  <c r="U32" i="56"/>
  <c r="M32" i="56" s="1"/>
  <c r="AF77" i="58"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C28" i="56" l="1"/>
  <c r="M28" i="56" s="1"/>
  <c r="AB36" i="56"/>
  <c r="U34" i="56"/>
  <c r="M34" i="56" s="1"/>
  <c r="V34" i="56"/>
  <c r="N34" i="56" s="1"/>
  <c r="L34" i="56"/>
  <c r="L36" i="56" s="1"/>
  <c r="U36" i="56"/>
  <c r="V36" i="56"/>
  <c r="Z36" i="56"/>
  <c r="AG88" i="58"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M36" i="56" l="1"/>
  <c r="AD28" i="56"/>
  <c r="AC36" i="56"/>
  <c r="AI8" i="58"/>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D36" i="56" l="1"/>
  <c r="N28" i="56"/>
  <c r="N36" i="56" s="1"/>
  <c r="AI88" i="58"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B15" i="44" l="1"/>
  <c r="B16" i="44" s="1"/>
  <c r="B17" i="44" s="1"/>
  <c r="B18" i="44" s="1"/>
  <c r="B13" i="44"/>
  <c r="B14" i="44" s="1"/>
  <c r="AO11" i="44"/>
  <c r="AO12" i="44" s="1"/>
  <c r="AO10" i="44"/>
  <c r="B19"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L53" i="52" s="1"/>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G22" i="35"/>
  <c r="H22" i="35"/>
  <c r="F22" i="35"/>
  <c r="B23" i="35"/>
  <c r="G23" i="35"/>
  <c r="I22" i="35"/>
  <c r="H23" i="35"/>
  <c r="F23" i="35"/>
  <c r="C22" i="35"/>
  <c r="B24" i="35"/>
  <c r="I24" i="35"/>
  <c r="C24" i="35"/>
  <c r="F24" i="35"/>
  <c r="E24" i="35"/>
  <c r="E9" i="47"/>
  <c r="E8" i="47"/>
  <c r="E7" i="47"/>
  <c r="E6" i="47"/>
  <c r="AO15" i="44" l="1"/>
  <c r="AO16" i="44" s="1"/>
  <c r="AO13" i="44"/>
  <c r="AO14" i="44" s="1"/>
  <c r="B20" i="44"/>
  <c r="B21" i="44" s="1"/>
  <c r="B22" i="44" s="1"/>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AO17" i="44" l="1"/>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X13" i="57"/>
  <c r="J239" i="55"/>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F33" i="57" s="1"/>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F28" i="57" l="1"/>
  <c r="N12" i="55"/>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G33" i="57" s="1"/>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G28" i="57" l="1"/>
  <c r="P12" i="55"/>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H86" i="56"/>
  <c r="H102" i="56"/>
  <c r="M127" i="47"/>
  <c r="G21" i="57"/>
  <c r="M135" i="47"/>
  <c r="P42" i="55"/>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I33" i="57" s="1"/>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R28" i="44"/>
  <c r="R29" i="44" s="1"/>
  <c r="O5" i="47"/>
  <c r="S22" i="35"/>
  <c r="S24" i="35"/>
  <c r="O9" i="47"/>
  <c r="S23" i="35"/>
  <c r="O8" i="47"/>
  <c r="P6" i="47"/>
  <c r="T25" i="35"/>
  <c r="S26" i="35"/>
  <c r="O7" i="47"/>
  <c r="Z23" i="58" l="1"/>
  <c r="Z31" i="58" s="1"/>
  <c r="Z34" i="58" s="1"/>
  <c r="Z35" i="58" s="1"/>
  <c r="Y24" i="58"/>
  <c r="X36" i="58"/>
  <c r="X41" i="58" s="1"/>
  <c r="X169" i="58"/>
  <c r="Z60" i="57"/>
  <c r="H59" i="57"/>
  <c r="H60" i="57" s="1"/>
  <c r="Y169" i="58"/>
  <c r="Y168" i="58"/>
  <c r="Y36" i="58"/>
  <c r="S28" i="44"/>
  <c r="S29" i="44" s="1"/>
  <c r="P9" i="47"/>
  <c r="T24" i="35"/>
  <c r="T26" i="35"/>
  <c r="P7" i="47"/>
  <c r="T23" i="35"/>
  <c r="P8" i="47"/>
  <c r="T22" i="35"/>
  <c r="P5" i="47"/>
  <c r="U25" i="35"/>
  <c r="Q6" i="47"/>
  <c r="AA23" i="58" l="1"/>
  <c r="AA31" i="58" s="1"/>
  <c r="AA34" i="58" s="1"/>
  <c r="AA35" i="58" s="1"/>
  <c r="AA36" i="58" s="1"/>
  <c r="Z24" i="58"/>
  <c r="Y41" i="58"/>
  <c r="Z168" i="58"/>
  <c r="Z169" i="58"/>
  <c r="Z36" i="58"/>
  <c r="Z41" i="58" s="1"/>
  <c r="AB23" i="58"/>
  <c r="T28" i="44"/>
  <c r="T29" i="44" s="1"/>
  <c r="U23" i="35"/>
  <c r="Q8" i="47"/>
  <c r="Q9" i="47"/>
  <c r="U24" i="35"/>
  <c r="V25" i="35"/>
  <c r="R6" i="47"/>
  <c r="U22" i="35"/>
  <c r="Q5" i="47"/>
  <c r="U26" i="35"/>
  <c r="Q7" i="47"/>
  <c r="AA24" i="58" l="1"/>
  <c r="AB24" i="58" s="1"/>
  <c r="AA41"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J33" i="57" s="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R21" i="29"/>
  <c r="R22" i="29"/>
  <c r="R23" i="29"/>
  <c r="Z7" i="56"/>
  <c r="AD7" i="56"/>
  <c r="AC7" i="56"/>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L99" i="56" l="1"/>
  <c r="L97" i="56"/>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R59" i="56"/>
  <c r="R57" i="56"/>
  <c r="R56" i="56"/>
  <c r="R51" i="56"/>
  <c r="R53" i="56"/>
  <c r="R55" i="56"/>
  <c r="R52" i="56"/>
  <c r="R54" i="56"/>
  <c r="R58" i="56"/>
  <c r="S42" i="55"/>
  <c r="O134" i="47"/>
  <c r="M51" i="56"/>
  <c r="M57" i="56"/>
  <c r="M52" i="56"/>
  <c r="M55" i="56"/>
  <c r="M58" i="56"/>
  <c r="M53" i="56"/>
  <c r="M56" i="56"/>
  <c r="M99" i="56" s="1"/>
  <c r="M54" i="56"/>
  <c r="M59" i="56"/>
  <c r="N60" i="56"/>
  <c r="N55" i="56" s="1"/>
  <c r="Q127" i="47"/>
  <c r="L102" i="56"/>
  <c r="L86" i="56"/>
  <c r="AR78" i="56" s="1"/>
  <c r="R57" i="57"/>
  <c r="J102" i="56"/>
  <c r="U121" i="56" s="1" a="1"/>
  <c r="U121" i="56" s="1"/>
  <c r="J86" i="56"/>
  <c r="AQ78" i="56" s="1"/>
  <c r="L88" i="56"/>
  <c r="M104" i="56"/>
  <c r="L92" i="56"/>
  <c r="M43" i="56"/>
  <c r="O136" i="47"/>
  <c r="T43" i="55"/>
  <c r="P135" i="47"/>
  <c r="AJ25" i="35"/>
  <c r="AF6" i="47"/>
  <c r="AE8" i="47"/>
  <c r="AI23" i="35"/>
  <c r="AE5" i="47"/>
  <c r="AI22" i="35"/>
  <c r="AI24" i="35"/>
  <c r="AE9" i="47"/>
  <c r="AE7" i="47"/>
  <c r="AI26" i="35"/>
  <c r="M97" i="56" l="1"/>
  <c r="M94" i="56"/>
  <c r="M98" i="56"/>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N48" i="56"/>
  <c r="N51" i="56"/>
  <c r="N59" i="56"/>
  <c r="N52" i="56"/>
  <c r="N53" i="56"/>
  <c r="N56" i="56"/>
  <c r="N99" i="56" s="1"/>
  <c r="N58" i="56"/>
  <c r="N54" i="56"/>
  <c r="N97" i="56" s="1"/>
  <c r="N57" i="56"/>
  <c r="T42" i="55"/>
  <c r="P134" i="47"/>
  <c r="P136" i="47"/>
  <c r="M92" i="56"/>
  <c r="N43" i="56"/>
  <c r="N92" i="56" s="1"/>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AB60" i="56"/>
  <c r="U43" i="55"/>
  <c r="Q135" i="47"/>
  <c r="AB43" i="56"/>
  <c r="AB76" i="56" s="1"/>
  <c r="AB92" i="56" s="1"/>
  <c r="AF7" i="47"/>
  <c r="AJ26" i="35"/>
  <c r="AJ24" i="35"/>
  <c r="AF9" i="47"/>
  <c r="AK25" i="35"/>
  <c r="AG6" i="47"/>
  <c r="AJ22" i="35"/>
  <c r="AF5" i="47"/>
  <c r="AF8" i="47"/>
  <c r="AJ23" i="35"/>
  <c r="N100" i="56" l="1"/>
  <c r="N95" i="56"/>
  <c r="N96" i="56"/>
  <c r="N94" i="56"/>
  <c r="N101" i="56"/>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AC43" i="56"/>
  <c r="U42" i="55"/>
  <c r="Q134" i="47"/>
  <c r="N88" i="56"/>
  <c r="Q136" i="47"/>
  <c r="V43" i="55"/>
  <c r="R135" i="47"/>
  <c r="S127" i="47"/>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AS80" i="56"/>
  <c r="AS81" i="56"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AT80" i="56"/>
  <c r="AT81" i="56" s="1"/>
  <c r="U136" i="47"/>
  <c r="Y42" i="55"/>
  <c r="U134"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43" i="55"/>
  <c r="X135" i="47"/>
  <c r="W136"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C43" i="55"/>
  <c r="Y135" i="47"/>
  <c r="X136" i="47"/>
  <c r="AD33" i="55"/>
  <c r="Z127"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K28" i="57" s="1"/>
  <c r="AC101" i="57" l="1"/>
  <c r="K101" i="57" s="1"/>
  <c r="AC56" i="57"/>
  <c r="K56" i="57" s="1"/>
  <c r="AC86" i="57"/>
  <c r="K86" i="57" s="1"/>
  <c r="AD27" i="57"/>
  <c r="L27" i="57" s="1"/>
  <c r="L28" i="57" s="1"/>
  <c r="AC109" i="57"/>
  <c r="K109" i="57" s="1"/>
  <c r="AD101" i="57" l="1"/>
  <c r="L101" i="57" s="1"/>
  <c r="AD109" i="57"/>
  <c r="L109" i="57" s="1"/>
  <c r="AE27" i="57"/>
  <c r="M27" i="57" s="1"/>
  <c r="M28"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K33"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L33"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M33"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G255" i="57"/>
  <c r="G254" i="57"/>
  <c r="G253" i="57"/>
  <c r="I255" i="57"/>
  <c r="I254" i="57"/>
  <c r="I61" i="57" l="1"/>
  <c r="L59" i="57"/>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H176" i="57"/>
  <c r="H175" i="57"/>
  <c r="H179" i="57"/>
  <c r="H178" i="57"/>
  <c r="H177" i="57"/>
  <c r="H173" i="57"/>
  <c r="R102" i="47"/>
  <c r="AQ177" i="57" l="1"/>
  <c r="AQ166" i="57" s="1"/>
  <c r="AM179" i="57"/>
  <c r="AM168" i="57" s="1"/>
  <c r="AJ178" i="57"/>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S178" i="57" s="1"/>
  <c r="AS167"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D102" i="47"/>
  <c r="S101" i="47"/>
  <c r="AO167" i="57" l="1"/>
  <c r="AR178" i="57"/>
  <c r="AR167" i="57" s="1"/>
  <c r="AD167" i="57" s="1" a="1"/>
  <c r="AD167" i="57" s="1"/>
  <c r="L167" i="57" s="1"/>
  <c r="AK167" i="57"/>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R233" i="58" l="1"/>
  <c r="AS234" i="58"/>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AB53" i="29" a="1"/>
  <c r="AB53" i="29" s="1"/>
  <c r="Y84" i="47" s="1"/>
  <c r="N53" i="29" l="1" a="1"/>
  <c r="N53" i="29" s="1"/>
  <c r="K84" i="47" s="1"/>
  <c r="AK85" i="47"/>
  <c r="AO55" i="29" a="1"/>
  <c r="AO55" i="29" s="1"/>
  <c r="AP55" i="29" s="1" a="1"/>
  <c r="AP55" i="29" s="1"/>
  <c r="AM86" i="47"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L85" i="47"/>
  <c r="AP54" i="29" a="1"/>
  <c r="AP54" i="29" s="1"/>
  <c r="AM85" i="47" s="1"/>
  <c r="AL86" i="47" l="1"/>
  <c r="V54" i="29"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G46" i="56" l="1"/>
  <c r="L177" i="56" s="1" a="1"/>
  <c r="L177" i="56" s="1"/>
  <c r="M177" i="56" s="1" a="1"/>
  <c r="M177" i="56" s="1"/>
  <c r="G40" i="56"/>
  <c r="G47" i="56"/>
  <c r="G87" i="56" s="1"/>
  <c r="G89" i="56" s="1"/>
  <c r="H39" i="56"/>
  <c r="H40" i="56" l="1"/>
  <c r="P39" i="56"/>
  <c r="N177" i="56" a="1"/>
  <c r="N177" i="56" s="1"/>
  <c r="G103" i="56"/>
  <c r="P122" i="56" s="1" a="1"/>
  <c r="P122" i="56" s="1"/>
  <c r="M148" i="56" s="1"/>
  <c r="J98" i="47" s="1"/>
  <c r="H46" i="56"/>
  <c r="N122" i="56" l="1" a="1"/>
  <c r="N122" i="56" s="1"/>
  <c r="O122" i="56" s="1" a="1"/>
  <c r="O122" i="56" s="1"/>
  <c r="L148" i="56" s="1"/>
  <c r="H47" i="56"/>
  <c r="P40" i="56"/>
  <c r="N187" i="56"/>
  <c r="O177" i="56" a="1"/>
  <c r="O177" i="56" s="1"/>
  <c r="P177" i="56" a="1"/>
  <c r="P177" i="56" s="1"/>
  <c r="Q39" i="56"/>
  <c r="X39" i="56"/>
  <c r="X46" i="56" s="1"/>
  <c r="X77" i="56" s="1"/>
  <c r="P46" i="56"/>
  <c r="P77" i="56" s="1"/>
  <c r="K148" i="56" l="1"/>
  <c r="L187" i="56" s="1"/>
  <c r="P47" i="56"/>
  <c r="P87" i="56" s="1"/>
  <c r="P89" i="56" s="1"/>
  <c r="P73" i="56" s="1"/>
  <c r="X40" i="56"/>
  <c r="X47" i="56" s="1"/>
  <c r="X87" i="56" s="1"/>
  <c r="X89" i="56" s="1"/>
  <c r="H87" i="56"/>
  <c r="H89" i="56" s="1"/>
  <c r="H103" i="56"/>
  <c r="Y39" i="56"/>
  <c r="Y46" i="56" s="1"/>
  <c r="Y77" i="56" s="1"/>
  <c r="Q40" i="56"/>
  <c r="Y40" i="56" s="1"/>
  <c r="Y47" i="56" s="1"/>
  <c r="Y87" i="56" s="1"/>
  <c r="R39" i="56"/>
  <c r="M187" i="56"/>
  <c r="I98" i="47"/>
  <c r="P93" i="56"/>
  <c r="X93" i="56" s="1"/>
  <c r="H98" i="47" l="1"/>
  <c r="R122" i="56" a="1"/>
  <c r="R122" i="56" s="1"/>
  <c r="O148" i="56" s="1"/>
  <c r="Q122" i="56" a="1"/>
  <c r="Q122" i="56" s="1"/>
  <c r="N148" i="56" s="1"/>
  <c r="Z39" i="56"/>
  <c r="R46" i="56"/>
  <c r="R77" i="56" s="1"/>
  <c r="J39" i="56"/>
  <c r="R40" i="56"/>
  <c r="S39" i="56"/>
  <c r="T39" i="56"/>
  <c r="Y89" i="56"/>
  <c r="K98" i="47" l="1"/>
  <c r="O187" i="56"/>
  <c r="P187" i="56"/>
  <c r="L98" i="47"/>
  <c r="R93" i="56"/>
  <c r="Z93" i="56" s="1"/>
  <c r="V39" i="56"/>
  <c r="U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I39" i="56" s="1"/>
  <c r="L39" i="56" l="1"/>
  <c r="Z89" i="56"/>
  <c r="S93" i="56"/>
  <c r="AA93" i="56" s="1"/>
  <c r="T89" i="56"/>
  <c r="T93" i="56"/>
  <c r="I46" i="56"/>
  <c r="I40" i="56"/>
  <c r="I47" i="56" s="1"/>
  <c r="V40" i="56"/>
  <c r="V47" i="56" s="1"/>
  <c r="V87" i="56" s="1"/>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I87" i="56"/>
  <c r="I103" i="56"/>
  <c r="Q47" i="56"/>
  <c r="Q87" i="56" s="1"/>
  <c r="R177" i="56" a="1"/>
  <c r="R177" i="56" s="1"/>
  <c r="Q46" i="56"/>
  <c r="Q77" i="56" s="1"/>
  <c r="I93" i="56"/>
  <c r="J93" i="56" s="1"/>
  <c r="Q177" i="56" a="1"/>
  <c r="Q177" i="56" s="1"/>
  <c r="K87" i="56"/>
  <c r="K103" i="56"/>
  <c r="V122" i="56" s="1" a="1"/>
  <c r="V122" i="56" s="1"/>
  <c r="S148" i="56" s="1"/>
  <c r="AD39" i="56"/>
  <c r="N39" i="56" s="1"/>
  <c r="N40" i="56" s="1"/>
  <c r="N47" i="56" s="1"/>
  <c r="AC46" i="56"/>
  <c r="AC77" i="56" s="1"/>
  <c r="AC40" i="56"/>
  <c r="AC47" i="56" s="1"/>
  <c r="AC87" i="56" s="1"/>
  <c r="AB93" i="56"/>
  <c r="AB89" i="56"/>
  <c r="S187" i="56"/>
  <c r="O98" i="47"/>
  <c r="N46" i="56" l="1"/>
  <c r="T122" i="56"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E148"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M148" i="56"/>
  <c r="AU122" i="56" a="1"/>
  <c r="AU122" i="56" s="1"/>
  <c r="AV122" i="56" s="1" a="1"/>
  <c r="AV122" i="56" s="1"/>
  <c r="AW122" i="56" s="1" a="1"/>
  <c r="AW122" i="56" s="1"/>
  <c r="AX122" i="56" s="1" a="1"/>
  <c r="AX122" i="56" s="1"/>
  <c r="X112" i="56" a="1"/>
  <c r="X112" i="56" s="1"/>
  <c r="AI122" i="56" l="1" a="1"/>
  <c r="AI122" i="56" s="1"/>
  <c r="AJ122" i="56" s="1" a="1"/>
  <c r="AJ122" i="56" s="1"/>
  <c r="AB98" i="47"/>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W148" i="56"/>
  <c r="AA122" i="56" a="1"/>
  <c r="AA122" i="56" s="1"/>
  <c r="AN187" i="56"/>
  <c r="AJ98" i="47"/>
  <c r="U138" i="56"/>
  <c r="R88" i="47" s="1"/>
  <c r="Y112" i="56" a="1"/>
  <c r="Y112" i="56" s="1"/>
  <c r="AG112" i="56" a="1"/>
  <c r="AG112" i="56" s="1"/>
  <c r="S98" i="47"/>
  <c r="W187" i="56"/>
  <c r="AF148" i="56" l="1"/>
  <c r="AG187" i="56" s="1"/>
  <c r="AM138" i="56"/>
  <c r="AJ88" i="47" s="1"/>
  <c r="AU112" i="56" a="1"/>
  <c r="AU112" i="56" s="1"/>
  <c r="AV112" i="56" s="1" a="1"/>
  <c r="AV112" i="56" s="1"/>
  <c r="AW112" i="56" s="1" a="1"/>
  <c r="AW112" i="56" s="1"/>
  <c r="AX112" i="56" s="1" a="1"/>
  <c r="AX112" i="56" s="1"/>
  <c r="X187" i="56"/>
  <c r="T98" i="47"/>
  <c r="AN138" i="56"/>
  <c r="AK88" i="47" s="1"/>
  <c r="AZ112" i="56" a="1"/>
  <c r="AZ112" i="56" s="1"/>
  <c r="AG148" i="56"/>
  <c r="AK122" i="56" a="1"/>
  <c r="AK122" i="56" s="1"/>
  <c r="AD138" i="56"/>
  <c r="AA88" i="47" s="1"/>
  <c r="AH112" i="56" a="1"/>
  <c r="AH112" i="56" s="1"/>
  <c r="X148" i="56"/>
  <c r="AB122" i="56" a="1"/>
  <c r="AB122" i="56" s="1"/>
  <c r="V138" i="56"/>
  <c r="S88" i="47" s="1"/>
  <c r="Z112" i="56" a="1"/>
  <c r="Z112" i="56" s="1"/>
  <c r="AC98" i="47" l="1"/>
  <c r="AE138" i="56"/>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<sst xmlns="http://schemas.openxmlformats.org/spreadsheetml/2006/main" count="4345" uniqueCount="722">
  <si>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</si>
  <si>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</si>
  <si>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</si>
  <si>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</si>
  <si>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</si>
  <si>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</si>
  <si>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</si>
  <si>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</si>
  <si>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</si>
  <si>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</si>
  <si>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</si>
  <si>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</si>
  <si>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</si>
  <si>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</si>
  <si>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</si>
  <si>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</si>
  <si>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</si>
  <si>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</si>
  <si>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</si>
  <si>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</si>
  <si>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</si>
  <si>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</si>
  <si>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</si>
  <si>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</si>
  <si>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</si>
  <si>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</si>
  <si>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</si>
  <si>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</si>
  <si>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</si>
  <si>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</si>
  <si>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</si>
  <si>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</si>
  <si>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</si>
  <si>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</si>
  <si>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</si>
  <si>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</si>
  <si>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</si>
  <si>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</si>
  <si>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</si>
  <si>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</si>
  <si>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</si>
  <si>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</si>
  <si>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</si>
  <si>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</si>
  <si>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</si>
  <si>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</si>
  <si>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</si>
  <si>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</si>
  <si>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</si>
  <si>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</si>
  <si>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</si>
  <si>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</si>
  <si>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</si>
  <si>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</si>
  <si>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</si>
  <si>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</si>
  <si>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</si>
  <si>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</si>
  <si>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</si>
  <si>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</si>
  <si>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</si>
  <si>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</si>
  <si>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</si>
  <si>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</si>
  <si>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</si>
  <si>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</si>
  <si>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</si>
  <si>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</si>
  <si>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</si>
  <si>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</si>
  <si>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</si>
  <si>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</si>
  <si>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</si>
  <si>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</si>
  <si>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</si>
  <si>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</si>
  <si>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</si>
  <si>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</si>
  <si>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</si>
  <si>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</si>
  <si>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</si>
  <si>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</si>
  <si>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</si>
  <si>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</si>
  <si>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</si>
  <si>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</si>
  <si>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</si>
  <si>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</si>
  <si>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</si>
  <si>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</si>
  <si>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</si>
  <si>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</si>
  <si>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</si>
  <si>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</si>
  <si>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</si>
  <si>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</si>
  <si>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</si>
  <si>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</si>
  <si>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</si>
  <si>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</si>
  <si>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</si>
  <si>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</si>
  <si>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</si>
  <si>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</si>
  <si>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</si>
  <si>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</si>
  <si>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</si>
  <si>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</si>
  <si>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</si>
  <si>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</si>
  <si>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</si>
  <si>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</si>
  <si>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</si>
  <si>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</si>
  <si>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</si>
  <si>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</si>
  <si>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</si>
  <si>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</si>
  <si>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</si>
  <si>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</si>
  <si>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</si>
  <si>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</si>
  <si>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</si>
  <si>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</si>
  <si>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</si>
  <si>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</si>
  <si>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</si>
  <si>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</si>
  <si>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</si>
  <si>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</si>
  <si>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</si>
  <si>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</si>
  <si>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</si>
  <si>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</si>
  <si>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</si>
  <si>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</si>
  <si>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</si>
  <si>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</si>
  <si>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</si>
  <si>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</si>
  <si>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</si>
  <si>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</si>
  <si>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</si>
  <si>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</si>
  <si>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</si>
  <si>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</si>
  <si>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</si>
  <si>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</si>
  <si>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</si>
  <si>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</si>
  <si>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</si>
  <si>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</si>
  <si>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</si>
  <si>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</si>
  <si>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</si>
  <si>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</si>
  <si>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</si>
  <si>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</si>
  <si>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</si>
  <si>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</si>
  <si>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</si>
  <si>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</si>
  <si>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</si>
  <si>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</si>
  <si>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</si>
  <si>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</si>
  <si>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</si>
  <si>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</si>
  <si>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</si>
  <si>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</si>
  <si>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</si>
  <si>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</si>
  <si>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</si>
  <si>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</si>
  <si>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</si>
  <si>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</si>
  <si>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</si>
  <si>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</si>
  <si>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</si>
  <si>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</si>
  <si>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</si>
  <si>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</si>
  <si>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</si>
  <si>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</si>
  <si>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</si>
  <si>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</si>
  <si>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</si>
  <si>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</si>
  <si>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</si>
  <si>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</si>
  <si>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</si>
  <si>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</si>
  <si>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</si>
  <si>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</si>
  <si>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</si>
  <si>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</si>
  <si>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</si>
  <si>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</si>
  <si>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</si>
  <si>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</si>
  <si>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</si>
  <si>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</si>
  <si>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</si>
  <si>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</si>
  <si>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</si>
  <si>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</si>
  <si>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</si>
  <si>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</si>
  <si>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</si>
  <si>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</si>
  <si>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</si>
  <si>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</si>
  <si>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</si>
  <si>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</si>
  <si>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</si>
  <si>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</si>
  <si>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</si>
  <si>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</si>
  <si>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</si>
  <si>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</si>
  <si>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</si>
  <si>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</si>
  <si>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</si>
  <si>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</si>
  <si>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</si>
  <si>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</si>
  <si>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</si>
  <si>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</si>
  <si>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</si>
  <si>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</si>
  <si>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</si>
  <si>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</si>
  <si>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</si>
  <si>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</si>
  <si>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</si>
  <si>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</si>
  <si>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</si>
  <si>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</si>
  <si>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</si>
  <si>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</si>
  <si>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</si>
  <si>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</si>
  <si>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</si>
  <si>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</si>
  <si>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</si>
  <si>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</si>
  <si>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</si>
  <si>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</si>
  <si>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</si>
  <si>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</si>
  <si>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</si>
  <si>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</si>
  <si>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</si>
  <si>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</si>
  <si>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</si>
  <si>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</si>
  <si>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</si>
  <si>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</si>
  <si>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</si>
  <si>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</si>
  <si>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</si>
  <si>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</si>
  <si>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</si>
  <si>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</si>
  <si>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</si>
  <si>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</si>
  <si>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</si>
  <si>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</si>
  <si>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</si>
  <si>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</si>
  <si>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</si>
  <si>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</si>
  <si>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</si>
  <si>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</si>
  <si>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</si>
  <si>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</si>
  <si>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</si>
  <si>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</si>
  <si>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</si>
  <si>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</si>
  <si>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</si>
  <si>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</si>
  <si>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</si>
  <si>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</si>
  <si>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</si>
  <si>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</si>
  <si>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</si>
  <si>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</si>
  <si>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</si>
  <si>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</si>
  <si>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</si>
  <si>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</si>
  <si>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</si>
  <si>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</si>
  <si>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</si>
  <si>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</si>
  <si>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</si>
  <si>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</si>
  <si>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</si>
  <si>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</si>
  <si>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</si>
  <si>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</si>
  <si>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</si>
  <si>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</si>
  <si>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</si>
  <si>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</si>
  <si>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</si>
  <si>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</si>
  <si>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</si>
  <si>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</si>
  <si>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</si>
  <si>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</si>
  <si>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</si>
  <si>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</si>
  <si>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</si>
  <si>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</si>
  <si>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</si>
  <si>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</si>
  <si>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</si>
  <si>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</si>
  <si>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</si>
  <si>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</si>
  <si>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</si>
  <si>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</si>
  <si>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</si>
  <si>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</si>
  <si>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</si>
  <si>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</si>
  <si>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</si>
  <si>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</si>
  <si>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</si>
  <si>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</si>
  <si>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</si>
  <si>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</si>
  <si>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</si>
  <si>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</si>
  <si>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</si>
  <si>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</si>
  <si>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</si>
  <si>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</si>
  <si>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</si>
  <si>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</si>
  <si>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</si>
  <si>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</si>
  <si>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</si>
  <si>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</si>
  <si>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</si>
  <si>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</si>
  <si>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</si>
  <si>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</si>
  <si>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</si>
  <si>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</si>
  <si>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</si>
  <si>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</si>
  <si>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</si>
  <si>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</si>
  <si>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</si>
  <si>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</si>
  <si>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</si>
  <si>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</si>
  <si>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</si>
  <si>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</si>
  <si>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</si>
  <si>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</si>
  <si>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</si>
  <si>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</si>
  <si>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</si>
  <si>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</si>
  <si>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</si>
  <si>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</si>
  <si>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</si>
  <si>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</si>
  <si>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</si>
  <si>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</si>
  <si>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</si>
  <si>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</si>
  <si>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</si>
  <si>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</si>
  <si>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</si>
  <si>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</si>
  <si>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</si>
  <si>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</si>
  <si>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</si>
  <si>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</si>
  <si>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</si>
  <si>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</si>
  <si>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</si>
  <si>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</si>
  <si>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</si>
  <si>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</si>
  <si>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</si>
  <si>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</si>
  <si>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</si>
  <si>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</si>
  <si>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</si>
  <si>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</si>
  <si>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</si>
  <si>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</si>
  <si>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</si>
  <si>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</si>
  <si>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</si>
  <si>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</si>
  <si>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</si>
  <si>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</si>
  <si>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</si>
  <si>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</si>
  <si>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</si>
  <si>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</si>
  <si>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</si>
  <si>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</si>
  <si>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</si>
  <si>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</si>
  <si>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</si>
  <si>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</si>
  <si>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</si>
  <si>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</si>
  <si>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</si>
  <si>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</si>
  <si>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</si>
  <si>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</si>
  <si>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</si>
  <si>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</si>
  <si>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</si>
  <si>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</si>
  <si>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</si>
  <si>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</si>
  <si>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</si>
  <si>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</si>
  <si>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</si>
  <si>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</si>
  <si>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</si>
  <si>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</si>
  <si>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</si>
  <si>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</si>
  <si>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</si>
  <si>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</si>
  <si>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</si>
  <si>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</si>
  <si>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</si>
  <si>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</si>
  <si>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</si>
  <si>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</si>
  <si>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</si>
  <si>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</si>
  <si>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</si>
  <si>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</si>
  <si>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</si>
  <si>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</si>
  <si>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</si>
  <si>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</si>
  <si>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</si>
  <si>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</si>
  <si>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</si>
  <si>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</si>
  <si>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</si>
  <si>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</si>
  <si>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</si>
  <si>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</si>
  <si>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</si>
  <si>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</si>
  <si>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</si>
  <si>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</si>
  <si>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</si>
  <si>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</si>
  <si>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</si>
  <si>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</si>
  <si>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</si>
  <si>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</si>
  <si>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</si>
  <si>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</si>
  <si>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</si>
  <si>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</si>
  <si>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</si>
  <si>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</si>
  <si>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</si>
  <si>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</si>
  <si>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</si>
  <si>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</si>
  <si>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</si>
  <si>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</si>
  <si>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</si>
  <si>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</si>
  <si>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</si>
  <si>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</si>
  <si>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</si>
  <si>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</si>
  <si>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</si>
  <si>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</si>
  <si>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</si>
  <si>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</si>
  <si>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</si>
  <si>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</si>
  <si>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</si>
  <si>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</si>
  <si>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</si>
  <si>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</si>
  <si>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</si>
  <si>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</si>
  <si>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</si>
  <si>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</si>
  <si>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</si>
  <si>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</si>
  <si>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</si>
  <si>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</si>
  <si>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</si>
  <si>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</si>
  <si>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</si>
  <si>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</si>
  <si>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</si>
  <si>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</si>
  <si>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</si>
  <si>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</si>
  <si>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</si>
  <si>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</si>
  <si>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</si>
  <si>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</si>
  <si>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</si>
  <si>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</si>
  <si>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</si>
  <si>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</si>
  <si>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</si>
  <si>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</si>
  <si>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</si>
  <si>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</si>
  <si>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</si>
  <si>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</si>
  <si>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</si>
  <si>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</si>
  <si>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</si>
  <si>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</si>
  <si>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</si>
  <si>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</si>
  <si>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</si>
  <si>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</si>
  <si>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</si>
  <si>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</si>
  <si>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</si>
  <si>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</si>
  <si>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</si>
  <si>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</si>
  <si>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</si>
  <si>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</si>
  <si>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</si>
  <si>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</si>
  <si>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</si>
  <si>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</si>
  <si>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</si>
  <si>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</si>
  <si>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</si>
  <si>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</si>
  <si>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</si>
  <si>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</si>
  <si>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</si>
  <si>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</si>
  <si>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</si>
  <si>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</si>
  <si>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</si>
  <si>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</si>
  <si>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</si>
  <si>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</si>
  <si>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</si>
  <si>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</si>
  <si>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</si>
  <si>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</si>
  <si>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</si>
  <si>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</si>
  <si>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</si>
  <si>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</si>
  <si>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</si>
  <si>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</si>
  <si>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</si>
  <si>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</si>
  <si>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</si>
  <si>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</si>
  <si>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</si>
  <si>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</si>
  <si>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</si>
  <si>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</si>
  <si>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</si>
  <si>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</si>
  <si>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</si>
  <si>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</si>
  <si>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</si>
  <si>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</si>
  <si>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</si>
  <si>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</si>
  <si>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</si>
  <si>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</si>
  <si>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</si>
  <si>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</si>
  <si>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</si>
  <si>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</si>
  <si>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</si>
  <si>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</si>
  <si>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</si>
  <si>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</si>
  <si>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</si>
  <si>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</si>
  <si>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</si>
  <si>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</si>
  <si>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</si>
  <si>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</si>
  <si>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</si>
  <si>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</si>
  <si>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</si>
  <si>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</si>
  <si>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</si>
  <si>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</si>
  <si>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</si>
  <si>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</si>
  <si>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</si>
  <si>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</si>
  <si>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</si>
  <si>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</si>
  <si>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</si>
  <si>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</si>
  <si>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</si>
  <si>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</si>
  <si>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</si>
  <si>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</si>
  <si>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</si>
  <si>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</si>
  <si>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</si>
  <si>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</si>
  <si>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</si>
  <si>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</si>
  <si>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</si>
  <si>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</si>
  <si>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</si>
  <si>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</si>
  <si>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</si>
  <si>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</si>
  <si>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</si>
  <si>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</si>
  <si>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</si>
  <si>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</si>
  <si>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</si>
  <si>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</si>
  <si>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</si>
  <si>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</si>
  <si>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</si>
  <si>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</si>
  <si>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</si>
  <si>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</si>
  <si>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</si>
  <si>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</si>
  <si>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</si>
  <si>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</si>
  <si>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</si>
  <si>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</si>
  <si>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</si>
  <si>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</si>
  <si>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</si>
  <si>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</si>
  <si>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</si>
  <si>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</si>
  <si>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</si>
  <si>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</si>
  <si>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</si>
  <si>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</si>
  <si>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</si>
  <si>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</si>
  <si>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</si>
  <si>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</si>
  <si>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</si>
  <si>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</si>
  <si>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</si>
  <si>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</si>
  <si>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</si>
  <si>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</si>
  <si>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</si>
  <si>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</si>
  <si>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</si>
  <si>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</si>
  <si>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</si>
  <si>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</si>
  <si>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</si>
  <si>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</si>
  <si>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</si>
  <si>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</si>
  <si>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</si>
  <si>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</si>
  <si>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</si>
  <si>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</si>
  <si>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</si>
  <si>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</si>
  <si>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</si>
  <si>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</si>
  <si>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</si>
  <si>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</si>
  <si>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</si>
  <si>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</si>
  <si>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</si>
  <si>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</si>
  <si>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</si>
  <si>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</si>
  <si>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</si>
  <si>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</si>
  <si>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</si>
  <si>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</si>
  <si>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</si>
  <si>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</si>
  <si>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</si>
  <si>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</si>
  <si>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</si>
  <si>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</si>
  <si>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</si>
  <si>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</si>
  <si>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</si>
  <si>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</si>
  <si>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</si>
  <si>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</si>
  <si>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</si>
  <si>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</si>
  <si>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</si>
  <si>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</si>
  <si>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</si>
  <si>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</si>
  <si>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</si>
  <si>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PG</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</si>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</sst>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14">
    <xf numFmtId="0" fontId="0" fillId="0" borderId="0" xfId="0"/>
    <xf numFmtId="2" fontId="34" fillId="0" borderId="0" xfId="0" applyNumberFormat="1" applyFont="1"/>
    <xf numFmtId="0" fontId="34" fillId="0" borderId="0" xfId="0" applyFont="1"/>
    <xf numFmtId="2" fontId="0" fillId="0" borderId="0" xfId="0" applyNumberFormat="1"/>
    <xf numFmtId="0" fontId="36" fillId="0" borderId="0" xfId="0" applyFont="1"/>
    <xf numFmtId="1" fontId="0" fillId="0" borderId="0" xfId="0" applyNumberFormat="1"/>
    <xf numFmtId="173" fontId="0" fillId="0" borderId="0" xfId="0" applyNumberFormat="1"/>
    <xf numFmtId="3" fontId="0" fillId="0" borderId="0" xfId="0" applyNumberFormat="1"/>
    <xf numFmtId="0" fontId="17" fillId="4" borderId="0" xfId="3"/>
    <xf numFmtId="0" fontId="26" fillId="0" borderId="7" xfId="2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xf numFmtId="0" fontId="26" fillId="0" borderId="7" xfId="21" applyAlignment="1">
      <alignment horizontal="left"/>
    </xf>
    <xf numFmtId="0" fontId="2" fillId="0" borderId="0" xfId="0" applyFont="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Font="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9" fontId="35" fillId="8" borderId="8" xfId="44" applyNumberFormat="1" applyFont="1"/>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2" fontId="0" fillId="10" borderId="0" xfId="0" applyNumberFormat="1" applyFill="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16" fillId="15" borderId="5" xfId="4431" applyBorder="1"/>
    <xf numFmtId="0" fontId="16" fillId="19" borderId="5" xfId="4432" applyBorder="1"/>
    <xf numFmtId="9" fontId="35" fillId="0" borderId="5" xfId="45" applyFont="1" applyBorder="1"/>
    <xf numFmtId="174" fontId="19"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168" fillId="0" borderId="0" xfId="0" applyFont="1"/>
    <xf numFmtId="174" fontId="34" fillId="0" borderId="0" xfId="0" applyNumberFormat="1" applyFont="1"/>
    <xf numFmtId="2" fontId="0" fillId="0" borderId="0" xfId="45" applyNumberFormat="1" applyFont="1"/>
    <xf numFmtId="2" fontId="145" fillId="15" borderId="5" xfId="65" applyNumberFormat="1" applyFont="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29.686576824104986</c:v>
                </c:pt>
                <c:pt idx="3">
                  <c:v>25.633657687019387</c:v>
                </c:pt>
                <c:pt idx="4" formatCode="0.000">
                  <c:v>22.235877334709592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20.893002842799945</c:v>
                </c:pt>
                <c:pt idx="3">
                  <c:v>24.348404655358244</c:v>
                </c:pt>
                <c:pt idx="4" formatCode="0.000">
                  <c:v>26.968513389056554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15.603635034496163</c:v>
                </c:pt>
                <c:pt idx="3">
                  <c:v>21.34948091481559</c:v>
                </c:pt>
                <c:pt idx="4" formatCode="0.000">
                  <c:v>25.916816488090575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29.686576824104986</c:v>
                </c:pt>
                <c:pt idx="3">
                  <c:v>25.633657687019387</c:v>
                </c:pt>
                <c:pt idx="4">
                  <c:v>22.235877334709592</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20.893002842799945</c:v>
                </c:pt>
                <c:pt idx="3">
                  <c:v>24.348404655358244</c:v>
                </c:pt>
                <c:pt idx="4">
                  <c:v>26.968513389056554</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15.603635034496163</c:v>
                </c:pt>
                <c:pt idx="3">
                  <c:v>21.34948091481559</c:v>
                </c:pt>
                <c:pt idx="4">
                  <c:v>25.916816488090575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22.110860184698861</c:v>
                </c:pt>
                <c:pt idx="8">
                  <c:v>21.890836828962861</c:v>
                </c:pt>
                <c:pt idx="9">
                  <c:v>21.771694579306505</c:v>
                </c:pt>
                <c:pt idx="10">
                  <c:v>21.626288016630955</c:v>
                </c:pt>
                <c:pt idx="11">
                  <c:v>21.454877376713775</c:v>
                </c:pt>
                <c:pt idx="12">
                  <c:v>21.360326401760137</c:v>
                </c:pt>
                <c:pt idx="13">
                  <c:v>21.254560361089069</c:v>
                </c:pt>
                <c:pt idx="14">
                  <c:v>21.275164458462811</c:v>
                </c:pt>
                <c:pt idx="15">
                  <c:v>21.148347813819839</c:v>
                </c:pt>
                <c:pt idx="16">
                  <c:v>20.94278268369753</c:v>
                </c:pt>
                <c:pt idx="17">
                  <c:v>19.254531246507057</c:v>
                </c:pt>
                <c:pt idx="18">
                  <c:v>18.083598035177801</c:v>
                </c:pt>
                <c:pt idx="19">
                  <c:v>16.570734414702745</c:v>
                </c:pt>
                <c:pt idx="20">
                  <c:v>15.686589584288257</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4.7242290147454125E-2</c:v>
                </c:pt>
                <c:pt idx="8">
                  <c:v>4.6772185993926449E-2</c:v>
                </c:pt>
                <c:pt idx="9">
                  <c:v>4.6517625444039701E-2</c:v>
                </c:pt>
                <c:pt idx="10">
                  <c:v>4.6206948294173954E-2</c:v>
                </c:pt>
                <c:pt idx="11">
                  <c:v>4.5840710566754733E-2</c:v>
                </c:pt>
                <c:pt idx="12">
                  <c:v>4.5638691986058556E-2</c:v>
                </c:pt>
                <c:pt idx="13">
                  <c:v>4.5412711181178442E-2</c:v>
                </c:pt>
                <c:pt idx="14">
                  <c:v>4.5456734106484181E-2</c:v>
                </c:pt>
                <c:pt idx="15">
                  <c:v>4.5185776365731255E-2</c:v>
                </c:pt>
                <c:pt idx="16">
                  <c:v>4.4746563805011533E-2</c:v>
                </c:pt>
                <c:pt idx="17">
                  <c:v>4.1139428507181643E-2</c:v>
                </c:pt>
                <c:pt idx="18">
                  <c:v>3.8637600624827802E-2</c:v>
                </c:pt>
                <c:pt idx="19">
                  <c:v>3.540520073106565E-2</c:v>
                </c:pt>
                <c:pt idx="20">
                  <c:v>3.3516127838292449E-2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15.395386175914362</c:v>
                </c:pt>
                <c:pt idx="8">
                  <c:v>15.242187951106247</c:v>
                </c:pt>
                <c:pt idx="9">
                  <c:v>15.159231389126985</c:v>
                </c:pt>
                <c:pt idx="10">
                  <c:v>15.057987467985848</c:v>
                </c:pt>
                <c:pt idx="11">
                  <c:v>14.938637385078998</c:v>
                </c:pt>
                <c:pt idx="12">
                  <c:v>14.872803276384854</c:v>
                </c:pt>
                <c:pt idx="13">
                  <c:v>14.799160323246587</c:v>
                </c:pt>
                <c:pt idx="14">
                  <c:v>14.813506578128811</c:v>
                </c:pt>
                <c:pt idx="15">
                  <c:v>14.725206475758153</c:v>
                </c:pt>
                <c:pt idx="16">
                  <c:v>14.582075248112604</c:v>
                </c:pt>
                <c:pt idx="17">
                  <c:v>13.406576754590573</c:v>
                </c:pt>
                <c:pt idx="18">
                  <c:v>12.591277448094459</c:v>
                </c:pt>
                <c:pt idx="19">
                  <c:v>11.53789827269615</c:v>
                </c:pt>
                <c:pt idx="20">
                  <c:v>10.922284452791986</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11.772300837062295</c:v>
                </c:pt>
                <c:pt idx="8">
                  <c:v>11.655155637225311</c:v>
                </c:pt>
                <c:pt idx="9">
                  <c:v>11.591721723137717</c:v>
                </c:pt>
                <c:pt idx="10">
                  <c:v>11.514304119968923</c:v>
                </c:pt>
                <c:pt idx="11">
                  <c:v>11.423041382883062</c:v>
                </c:pt>
                <c:pt idx="12">
                  <c:v>11.372700396042484</c:v>
                </c:pt>
                <c:pt idx="13">
                  <c:v>11.316388265319212</c:v>
                </c:pt>
                <c:pt idx="14">
                  <c:v>11.327358333002406</c:v>
                </c:pt>
                <c:pt idx="15">
                  <c:v>11.259838404812683</c:v>
                </c:pt>
                <c:pt idx="16">
                  <c:v>11.150391077427185</c:v>
                </c:pt>
                <c:pt idx="17">
                  <c:v>10.251529448291535</c:v>
                </c:pt>
                <c:pt idx="18">
                  <c:v>9.6280992466291586</c:v>
                </c:pt>
                <c:pt idx="19">
                  <c:v>8.8226178896440359</c:v>
                </c:pt>
                <c:pt idx="20">
                  <c:v>8.3518800332138454</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6.2342320059483347</c:v>
                </c:pt>
                <c:pt idx="8">
                  <c:v>6.1721956747098625</c:v>
                </c:pt>
                <c:pt idx="9">
                  <c:v>6.1386031134135663</c:v>
                </c:pt>
                <c:pt idx="10">
                  <c:v>6.0976052400004752</c:v>
                </c:pt>
                <c:pt idx="11">
                  <c:v>6.0492754288305202</c:v>
                </c:pt>
                <c:pt idx="12">
                  <c:v>6.0226164608244943</c:v>
                </c:pt>
                <c:pt idx="13">
                  <c:v>5.9927953670096867</c:v>
                </c:pt>
                <c:pt idx="14">
                  <c:v>5.9986047621317251</c:v>
                </c:pt>
                <c:pt idx="15">
                  <c:v>5.962848379145445</c:v>
                </c:pt>
                <c:pt idx="16">
                  <c:v>5.9048885936459063</c:v>
                </c:pt>
                <c:pt idx="17">
                  <c:v>5.4288803761499365</c:v>
                </c:pt>
                <c:pt idx="18">
                  <c:v>5.0987317866369706</c:v>
                </c:pt>
                <c:pt idx="19">
                  <c:v>4.6721747587956353</c:v>
                </c:pt>
                <c:pt idx="20">
                  <c:v>4.4228871257673124</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5.6586463682322501</c:v>
                </c:pt>
                <c:pt idx="8">
                  <c:v>5.6023376424539846</c:v>
                </c:pt>
                <c:pt idx="9">
                  <c:v>5.5718465691674055</c:v>
                </c:pt>
                <c:pt idx="10">
                  <c:v>5.5346338912829633</c:v>
                </c:pt>
                <c:pt idx="11">
                  <c:v>5.4907662087531381</c:v>
                </c:pt>
                <c:pt idx="12">
                  <c:v>5.4665685734479101</c:v>
                </c:pt>
                <c:pt idx="13">
                  <c:v>5.4395007607564887</c:v>
                </c:pt>
                <c:pt idx="14">
                  <c:v>5.4447737939990084</c:v>
                </c:pt>
                <c:pt idx="15">
                  <c:v>5.4123186773890746</c:v>
                </c:pt>
                <c:pt idx="16">
                  <c:v>5.3597101236157227</c:v>
                </c:pt>
                <c:pt idx="17">
                  <c:v>4.9276501411491997</c:v>
                </c:pt>
                <c:pt idx="18">
                  <c:v>4.6279830586213091</c:v>
                </c:pt>
                <c:pt idx="19">
                  <c:v>4.2408086040717716</c:v>
                </c:pt>
                <c:pt idx="20">
                  <c:v>4.0145368583403016</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7.6953541843904913</c:v>
                </c:pt>
                <c:pt idx="8">
                  <c:v>7.6187783462239436</c:v>
                </c:pt>
                <c:pt idx="9">
                  <c:v>7.5773126681918788</c:v>
                </c:pt>
                <c:pt idx="10">
                  <c:v>7.5267060888378357</c:v>
                </c:pt>
                <c:pt idx="11">
                  <c:v>7.4670491793319567</c:v>
                </c:pt>
                <c:pt idx="12">
                  <c:v>7.4341421266587551</c:v>
                </c:pt>
                <c:pt idx="13">
                  <c:v>7.3973318381016533</c:v>
                </c:pt>
                <c:pt idx="14">
                  <c:v>7.404502786025712</c:v>
                </c:pt>
                <c:pt idx="15">
                  <c:v>7.3603661496012736</c:v>
                </c:pt>
                <c:pt idx="16">
                  <c:v>7.2888222806139327</c:v>
                </c:pt>
                <c:pt idx="17">
                  <c:v>6.7012516183708843</c:v>
                </c:pt>
                <c:pt idx="18">
                  <c:v>6.2937258273263552</c:v>
                </c:pt>
                <c:pt idx="19">
                  <c:v>5.7671962714888414</c:v>
                </c:pt>
                <c:pt idx="20">
                  <c:v>5.4594828870477548</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16.911586986564281</c:v>
                </c:pt>
                <c:pt idx="8">
                  <c:v>17.875154980737658</c:v>
                </c:pt>
                <c:pt idx="9">
                  <c:v>18.595405904791132</c:v>
                </c:pt>
                <c:pt idx="10">
                  <c:v>18.998515995794246</c:v>
                </c:pt>
                <c:pt idx="11">
                  <c:v>19.390592662518571</c:v>
                </c:pt>
                <c:pt idx="12">
                  <c:v>19.718092337647878</c:v>
                </c:pt>
                <c:pt idx="13">
                  <c:v>20.108524862833804</c:v>
                </c:pt>
                <c:pt idx="14">
                  <c:v>20.432513041586802</c:v>
                </c:pt>
                <c:pt idx="15">
                  <c:v>20.68791995935371</c:v>
                </c:pt>
                <c:pt idx="16">
                  <c:v>21.051709735753779</c:v>
                </c:pt>
                <c:pt idx="17">
                  <c:v>22.917326362998942</c:v>
                </c:pt>
                <c:pt idx="18">
                  <c:v>24.533359383039542</c:v>
                </c:pt>
                <c:pt idx="19">
                  <c:v>25.8864244722572</c:v>
                </c:pt>
                <c:pt idx="20">
                  <c:v>27.173370919578357</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6.8159374739271375E-2</c:v>
                </c:pt>
                <c:pt idx="8">
                  <c:v>7.2042877337449115E-2</c:v>
                </c:pt>
                <c:pt idx="9">
                  <c:v>7.4945730433250771E-2</c:v>
                </c:pt>
                <c:pt idx="10">
                  <c:v>7.6570399470857461E-2</c:v>
                </c:pt>
                <c:pt idx="11">
                  <c:v>7.8150600103418968E-2</c:v>
                </c:pt>
                <c:pt idx="12">
                  <c:v>7.9470533773858196E-2</c:v>
                </c:pt>
                <c:pt idx="13">
                  <c:v>8.1044107963890721E-2</c:v>
                </c:pt>
                <c:pt idx="14">
                  <c:v>8.2349889124716358E-2</c:v>
                </c:pt>
                <c:pt idx="15">
                  <c:v>8.3379264773075529E-2</c:v>
                </c:pt>
                <c:pt idx="16">
                  <c:v>8.4845459738436685E-2</c:v>
                </c:pt>
                <c:pt idx="17">
                  <c:v>9.2364521250359988E-2</c:v>
                </c:pt>
                <c:pt idx="18">
                  <c:v>9.8877677011051907E-2</c:v>
                </c:pt>
                <c:pt idx="19">
                  <c:v>0.10433098370165883</c:v>
                </c:pt>
                <c:pt idx="20">
                  <c:v>0.1095178100617175</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9.9678946201959864</c:v>
                </c:pt>
                <c:pt idx="8">
                  <c:v>10.535833290466524</c:v>
                </c:pt>
                <c:pt idx="9">
                  <c:v>10.960357926549914</c:v>
                </c:pt>
                <c:pt idx="10">
                  <c:v>11.197955906600454</c:v>
                </c:pt>
                <c:pt idx="11">
                  <c:v>11.429050652472069</c:v>
                </c:pt>
                <c:pt idx="12">
                  <c:v>11.622082935748081</c:v>
                </c:pt>
                <c:pt idx="13">
                  <c:v>11.852208604642561</c:v>
                </c:pt>
                <c:pt idx="14">
                  <c:v>12.043171169336508</c:v>
                </c:pt>
                <c:pt idx="15">
                  <c:v>12.193711106457267</c:v>
                </c:pt>
                <c:pt idx="16">
                  <c:v>12.408133215863169</c:v>
                </c:pt>
                <c:pt idx="17">
                  <c:v>13.507750298330908</c:v>
                </c:pt>
                <c:pt idx="18">
                  <c:v>14.460259773598926</c:v>
                </c:pt>
                <c:pt idx="19">
                  <c:v>15.257772758885455</c:v>
                </c:pt>
                <c:pt idx="20">
                  <c:v>16.016314614178189</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9.8788005339404847</c:v>
                </c:pt>
                <c:pt idx="8">
                  <c:v>10.441662908884386</c:v>
                </c:pt>
                <c:pt idx="9">
                  <c:v>10.86239309930137</c:v>
                </c:pt>
                <c:pt idx="10">
                  <c:v>11.097867403717753</c:v>
                </c:pt>
                <c:pt idx="11">
                  <c:v>11.326896600543519</c:v>
                </c:pt>
                <c:pt idx="12">
                  <c:v>11.518203541051413</c:v>
                </c:pt>
                <c:pt idx="13">
                  <c:v>11.746272322611578</c:v>
                </c:pt>
                <c:pt idx="14">
                  <c:v>11.9355280438989</c:v>
                </c:pt>
                <c:pt idx="15">
                  <c:v>12.084722439292566</c:v>
                </c:pt>
                <c:pt idx="16">
                  <c:v>12.297228021423813</c:v>
                </c:pt>
                <c:pt idx="17">
                  <c:v>13.387016611223212</c:v>
                </c:pt>
                <c:pt idx="18">
                  <c:v>14.331012457025608</c:v>
                </c:pt>
                <c:pt idx="19">
                  <c:v>15.121397187709903</c:v>
                </c:pt>
                <c:pt idx="20">
                  <c:v>15.873159116442524</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4.1780675850090114</c:v>
                </c:pt>
                <c:pt idx="8">
                  <c:v>4.4161204777154355</c:v>
                </c:pt>
                <c:pt idx="9">
                  <c:v>4.5940610247055762</c:v>
                </c:pt>
                <c:pt idx="10">
                  <c:v>4.6936508033436315</c:v>
                </c:pt>
                <c:pt idx="11">
                  <c:v>4.7905147353554955</c:v>
                </c:pt>
                <c:pt idx="12">
                  <c:v>4.8714246924071798</c:v>
                </c:pt>
                <c:pt idx="13">
                  <c:v>4.9678824334168503</c:v>
                </c:pt>
                <c:pt idx="14">
                  <c:v>5.0479248628263091</c:v>
                </c:pt>
                <c:pt idx="15">
                  <c:v>5.1110240483111937</c:v>
                </c:pt>
                <c:pt idx="16">
                  <c:v>5.2008996036770112</c:v>
                </c:pt>
                <c:pt idx="17">
                  <c:v>5.6618068125947465</c:v>
                </c:pt>
                <c:pt idx="18">
                  <c:v>6.0610535055692152</c:v>
                </c:pt>
                <c:pt idx="19">
                  <c:v>6.3953330379489328</c:v>
                </c:pt>
                <c:pt idx="20">
                  <c:v>6.7132777251901041</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5.3981375144792771</c:v>
                </c:pt>
                <c:pt idx="8">
                  <c:v>5.7057060792290706</c:v>
                </c:pt>
                <c:pt idx="9">
                  <c:v>5.9356084258308597</c:v>
                </c:pt>
                <c:pt idx="10">
                  <c:v>6.0642801883589934</c:v>
                </c:pt>
                <c:pt idx="11">
                  <c:v>6.1894301086401624</c:v>
                </c:pt>
                <c:pt idx="12">
                  <c:v>6.2939672099600932</c:v>
                </c:pt>
                <c:pt idx="13">
                  <c:v>6.418592324253237</c:v>
                </c:pt>
                <c:pt idx="14">
                  <c:v>6.5220085644537482</c:v>
                </c:pt>
                <c:pt idx="15">
                  <c:v>6.6035338326234614</c:v>
                </c:pt>
                <c:pt idx="16">
                  <c:v>6.71965464617747</c:v>
                </c:pt>
                <c:pt idx="17">
                  <c:v>7.3151549449471469</c:v>
                </c:pt>
                <c:pt idx="18">
                  <c:v>7.8309887621429537</c:v>
                </c:pt>
                <c:pt idx="19">
                  <c:v>8.2628838541553655</c:v>
                </c:pt>
                <c:pt idx="20">
                  <c:v>8.6736740361725495</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6.8503481373107142</c:v>
                </c:pt>
                <c:pt idx="8">
                  <c:v>7.2406590063794738</c:v>
                </c:pt>
                <c:pt idx="9">
                  <c:v>7.5324098385104801</c:v>
                </c:pt>
                <c:pt idx="10">
                  <c:v>7.6956969660419308</c:v>
                </c:pt>
                <c:pt idx="11">
                  <c:v>7.8545148029316216</c:v>
                </c:pt>
                <c:pt idx="12">
                  <c:v>7.9871745462942227</c:v>
                </c:pt>
                <c:pt idx="13">
                  <c:v>8.1453263935323204</c:v>
                </c:pt>
                <c:pt idx="14">
                  <c:v>8.2765637409553943</c:v>
                </c:pt>
                <c:pt idx="15">
                  <c:v>8.3800209921743871</c:v>
                </c:pt>
                <c:pt idx="16">
                  <c:v>8.5273807059088078</c:v>
                </c:pt>
                <c:pt idx="17">
                  <c:v>9.2830828997678587</c:v>
                </c:pt>
                <c:pt idx="18">
                  <c:v>9.9376866810370448</c:v>
                </c:pt>
                <c:pt idx="19">
                  <c:v>10.485770484227499</c:v>
                </c:pt>
                <c:pt idx="20">
                  <c:v>11.007071720192474</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10.168460397990151</c:v>
                </c:pt>
                <c:pt idx="8">
                  <c:v>10.747826663102172</c:v>
                </c:pt>
                <c:pt idx="9">
                  <c:v>11.18089323477709</c:v>
                </c:pt>
                <c:pt idx="10">
                  <c:v>11.423271965977888</c:v>
                </c:pt>
                <c:pt idx="11">
                  <c:v>11.659016610269974</c:v>
                </c:pt>
                <c:pt idx="12">
                  <c:v>11.855932930397277</c:v>
                </c:pt>
                <c:pt idx="13">
                  <c:v>12.09068899874228</c:v>
                </c:pt>
                <c:pt idx="14">
                  <c:v>12.285493955112379</c:v>
                </c:pt>
                <c:pt idx="15">
                  <c:v>12.439062933041468</c:v>
                </c:pt>
                <c:pt idx="16">
                  <c:v>12.657799467788719</c:v>
                </c:pt>
                <c:pt idx="17">
                  <c:v>13.779542140847481</c:v>
                </c:pt>
                <c:pt idx="18">
                  <c:v>14.751217228418055</c:v>
                </c:pt>
                <c:pt idx="19">
                  <c:v>15.564777114107288</c:v>
                </c:pt>
                <c:pt idx="20">
                  <c:v>16.338581724775462</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17.67286582003441</c:v>
                </c:pt>
                <c:pt idx="8">
                  <c:v>17.909507637112217</c:v>
                </c:pt>
                <c:pt idx="9">
                  <c:v>18.223313886326086</c:v>
                </c:pt>
                <c:pt idx="10">
                  <c:v>18.983658176503578</c:v>
                </c:pt>
                <c:pt idx="11">
                  <c:v>19.740932852124857</c:v>
                </c:pt>
                <c:pt idx="12">
                  <c:v>20.411731086523581</c:v>
                </c:pt>
                <c:pt idx="13">
                  <c:v>20.992700848240915</c:v>
                </c:pt>
                <c:pt idx="14">
                  <c:v>21.385136813699162</c:v>
                </c:pt>
                <c:pt idx="15">
                  <c:v>22.161397811819704</c:v>
                </c:pt>
                <c:pt idx="16">
                  <c:v>22.919709962974387</c:v>
                </c:pt>
                <c:pt idx="17">
                  <c:v>27.739421289448725</c:v>
                </c:pt>
                <c:pt idx="18">
                  <c:v>31.35961007456558</c:v>
                </c:pt>
                <c:pt idx="19">
                  <c:v>35.580724556903924</c:v>
                </c:pt>
                <c:pt idx="20">
                  <c:v>38.068431859464376</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6.2776308730987438</c:v>
                </c:pt>
                <c:pt idx="8">
                  <c:v>6.3616891119764345</c:v>
                </c:pt>
                <c:pt idx="9">
                  <c:v>6.4731571567348061</c:v>
                </c:pt>
                <c:pt idx="10">
                  <c:v>6.7432412980850787</c:v>
                </c:pt>
                <c:pt idx="11">
                  <c:v>7.012235072581281</c:v>
                </c:pt>
                <c:pt idx="12">
                  <c:v>7.2505112949417674</c:v>
                </c:pt>
                <c:pt idx="13">
                  <c:v>7.4568792801702362</c:v>
                </c:pt>
                <c:pt idx="14">
                  <c:v>7.5962776187058143</c:v>
                </c:pt>
                <c:pt idx="15">
                  <c:v>7.87201558090206</c:v>
                </c:pt>
                <c:pt idx="16">
                  <c:v>8.1413778801471572</c:v>
                </c:pt>
                <c:pt idx="17">
                  <c:v>9.8534017777201051</c:v>
                </c:pt>
                <c:pt idx="18">
                  <c:v>11.139339730020541</c:v>
                </c:pt>
                <c:pt idx="19">
                  <c:v>12.638734274349167</c:v>
                </c:pt>
                <c:pt idx="20">
                  <c:v>13.522400133911285</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3.9791310220077274</c:v>
                </c:pt>
                <c:pt idx="8">
                  <c:v>4.032412069067516</c:v>
                </c:pt>
                <c:pt idx="9">
                  <c:v>4.1030670603893684</c:v>
                </c:pt>
                <c:pt idx="10">
                  <c:v>4.2742622464594122</c:v>
                </c:pt>
                <c:pt idx="11">
                  <c:v>4.4447662939993151</c:v>
                </c:pt>
                <c:pt idx="12">
                  <c:v>4.5957997534950641</c:v>
                </c:pt>
                <c:pt idx="13">
                  <c:v>4.7266078988880551</c:v>
                </c:pt>
                <c:pt idx="14">
                  <c:v>4.8149667502598703</c:v>
                </c:pt>
                <c:pt idx="15">
                  <c:v>4.9897456599313585</c:v>
                </c:pt>
                <c:pt idx="16">
                  <c:v>5.1604833000940751</c:v>
                </c:pt>
                <c:pt idx="17">
                  <c:v>6.2456645633702941</c:v>
                </c:pt>
                <c:pt idx="18">
                  <c:v>7.0607675380136499</c:v>
                </c:pt>
                <c:pt idx="19">
                  <c:v>8.011171833228623</c:v>
                </c:pt>
                <c:pt idx="20">
                  <c:v>8.5712911371432039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26.96470248405198</c:v>
                </c:pt>
                <c:pt idx="8">
                  <c:v>27.325763121175974</c:v>
                </c:pt>
                <c:pt idx="9">
                  <c:v>27.804558820405234</c:v>
                </c:pt>
                <c:pt idx="10">
                  <c:v>28.964668209502822</c:v>
                </c:pt>
                <c:pt idx="11">
                  <c:v>30.120094077314622</c:v>
                </c:pt>
                <c:pt idx="12">
                  <c:v>31.143576912615963</c:v>
                </c:pt>
                <c:pt idx="13">
                  <c:v>32.030002291298999</c:v>
                </c:pt>
                <c:pt idx="14">
                  <c:v>32.628768737011917</c:v>
                </c:pt>
                <c:pt idx="15">
                  <c:v>33.813163338173041</c:v>
                </c:pt>
                <c:pt idx="16">
                  <c:v>34.970172153503235</c:v>
                </c:pt>
                <c:pt idx="17">
                  <c:v>42.323936013921838</c:v>
                </c:pt>
                <c:pt idx="18">
                  <c:v>47.847506131005851</c:v>
                </c:pt>
                <c:pt idx="19">
                  <c:v>54.287949765130321</c:v>
                </c:pt>
                <c:pt idx="20">
                  <c:v>58.083615276543988</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4.8609022944426021</c:v>
                </c:pt>
                <c:pt idx="8">
                  <c:v>4.9259903658005921</c:v>
                </c:pt>
                <c:pt idx="9">
                  <c:v>5.012302429296537</c:v>
                </c:pt>
                <c:pt idx="10">
                  <c:v>5.2214342895350887</c:v>
                </c:pt>
                <c:pt idx="11">
                  <c:v>5.4297218556681281</c:v>
                </c:pt>
                <c:pt idx="12">
                  <c:v>5.6142241718120331</c:v>
                </c:pt>
                <c:pt idx="13">
                  <c:v>5.774019265403032</c:v>
                </c:pt>
                <c:pt idx="14">
                  <c:v>5.8819583458183482</c:v>
                </c:pt>
                <c:pt idx="15">
                  <c:v>6.095468079059966</c:v>
                </c:pt>
                <c:pt idx="16">
                  <c:v>6.3040410016967048</c:v>
                </c:pt>
                <c:pt idx="17">
                  <c:v>7.6296972978505169</c:v>
                </c:pt>
                <c:pt idx="18">
                  <c:v>8.6254262391035574</c:v>
                </c:pt>
                <c:pt idx="19">
                  <c:v>9.7864391320460893</c:v>
                </c:pt>
                <c:pt idx="20">
                  <c:v>10.470680287841509</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7.0033948166107907</c:v>
                </c:pt>
                <c:pt idx="8">
                  <c:v>7.0971711227284615</c:v>
                </c:pt>
                <c:pt idx="9">
                  <c:v>7.2215261131156518</c:v>
                </c:pt>
                <c:pt idx="10">
                  <c:v>7.5228349848568792</c:v>
                </c:pt>
                <c:pt idx="11">
                  <c:v>7.8229274312095525</c:v>
                </c:pt>
                <c:pt idx="12">
                  <c:v>8.0887510347845915</c:v>
                </c:pt>
                <c:pt idx="13">
                  <c:v>8.3189774541583148</c:v>
                </c:pt>
                <c:pt idx="14">
                  <c:v>8.4744917909008191</c:v>
                </c:pt>
                <c:pt idx="15">
                  <c:v>8.7821081280548992</c:v>
                </c:pt>
                <c:pt idx="16">
                  <c:v>9.0826117047158661</c:v>
                </c:pt>
                <c:pt idx="17">
                  <c:v>10.992564604552062</c:v>
                </c:pt>
                <c:pt idx="18">
                  <c:v>12.427171285269253</c:v>
                </c:pt>
                <c:pt idx="19">
                  <c:v>14.099912513939518</c:v>
                </c:pt>
                <c:pt idx="20">
                  <c:v>15.085739974262689</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11.339066611171626</c:v>
                </c:pt>
                <c:pt idx="8">
                  <c:v>11.490898088542551</c:v>
                </c:pt>
                <c:pt idx="9">
                  <c:v>11.692238946277364</c:v>
                </c:pt>
                <c:pt idx="10">
                  <c:v>12.18008255022602</c:v>
                </c:pt>
                <c:pt idx="11">
                  <c:v>12.665956662396828</c:v>
                </c:pt>
                <c:pt idx="12">
                  <c:v>13.096346727028047</c:v>
                </c:pt>
                <c:pt idx="13">
                  <c:v>13.469102051165768</c:v>
                </c:pt>
                <c:pt idx="14">
                  <c:v>13.720892428474356</c:v>
                </c:pt>
                <c:pt idx="15">
                  <c:v>14.218948332648377</c:v>
                </c:pt>
                <c:pt idx="16">
                  <c:v>14.7054880982735</c:v>
                </c:pt>
                <c:pt idx="17">
                  <c:v>17.797857402382462</c:v>
                </c:pt>
                <c:pt idx="18">
                  <c:v>20.120602462378429</c:v>
                </c:pt>
                <c:pt idx="19">
                  <c:v>22.828906750772699</c:v>
                </c:pt>
                <c:pt idx="20">
                  <c:v>24.425041701384579</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31.342336853405079</c:v>
                </c:pt>
                <c:pt idx="8">
                  <c:v>31.030451830683688</c:v>
                </c:pt>
                <c:pt idx="9">
                  <c:v>30.861566654303889</c:v>
                </c:pt>
                <c:pt idx="10">
                  <c:v>30.655451585509478</c:v>
                </c:pt>
                <c:pt idx="11">
                  <c:v>30.412475510781288</c:v>
                </c:pt>
                <c:pt idx="12">
                  <c:v>30.278448680433659</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16.784092096161263</c:v>
                </c:pt>
                <c:pt idx="8">
                  <c:v>17.740395840331932</c:v>
                </c:pt>
                <c:pt idx="9">
                  <c:v>18.45521685927373</c:v>
                </c:pt>
                <c:pt idx="10">
                  <c:v>18.855287940578133</c:v>
                </c:pt>
                <c:pt idx="11">
                  <c:v>19.244408777569074</c:v>
                </c:pt>
                <c:pt idx="12">
                  <c:v>19.569439462932916</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12.031607237391585</c:v>
                </c:pt>
                <c:pt idx="8">
                  <c:v>12.192711917753906</c:v>
                </c:pt>
                <c:pt idx="9">
                  <c:v>12.406349795030163</c:v>
                </c:pt>
                <c:pt idx="10">
                  <c:v>12.923988753972425</c:v>
                </c:pt>
                <c:pt idx="11">
                  <c:v>13.439537933187582</c:v>
                </c:pt>
                <c:pt idx="12">
                  <c:v>13.896214341756924</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7.7320743181562186</c:v>
                </c:pt>
                <c:pt idx="10">
                  <c:v>10.285301975992869</c:v>
                </c:pt>
                <c:pt idx="11">
                  <c:v>12.789024423783061</c:v>
                </c:pt>
                <c:pt idx="12">
                  <c:v>15.344579159607157</c:v>
                </c:pt>
                <c:pt idx="13">
                  <c:v>17.79044130272823</c:v>
                </c:pt>
                <c:pt idx="14">
                  <c:v>20.079198240202402</c:v>
                </c:pt>
                <c:pt idx="15">
                  <c:v>22.351356217654661</c:v>
                </c:pt>
                <c:pt idx="16">
                  <c:v>24.654520762277457</c:v>
                </c:pt>
                <c:pt idx="17">
                  <c:v>27.205631015423908</c:v>
                </c:pt>
                <c:pt idx="18">
                  <c:v>29.655417239847694</c:v>
                </c:pt>
                <c:pt idx="19">
                  <c:v>29.655417239847694</c:v>
                </c:pt>
                <c:pt idx="20">
                  <c:v>29.655417239847694</c:v>
                </c:pt>
                <c:pt idx="21">
                  <c:v>29.655417239847694</c:v>
                </c:pt>
                <c:pt idx="22">
                  <c:v>29.655417239847694</c:v>
                </c:pt>
                <c:pt idx="23">
                  <c:v>29.655417239847694</c:v>
                </c:pt>
                <c:pt idx="24">
                  <c:v>29.655417239847694</c:v>
                </c:pt>
                <c:pt idx="25">
                  <c:v>29.655417239847694</c:v>
                </c:pt>
                <c:pt idx="26">
                  <c:v>29.655417239847694</c:v>
                </c:pt>
                <c:pt idx="27">
                  <c:v>29.655417239847694</c:v>
                </c:pt>
                <c:pt idx="28">
                  <c:v>29.655417239847694</c:v>
                </c:pt>
                <c:pt idx="29">
                  <c:v>29.655417239847694</c:v>
                </c:pt>
                <c:pt idx="30">
                  <c:v>29.655417239847694</c:v>
                </c:pt>
                <c:pt idx="31">
                  <c:v>29.655417239847694</c:v>
                </c:pt>
                <c:pt idx="32">
                  <c:v>29.655417239847694</c:v>
                </c:pt>
                <c:pt idx="33">
                  <c:v>29.655417239847694</c:v>
                </c:pt>
                <c:pt idx="34">
                  <c:v>29.655417239847694</c:v>
                </c:pt>
                <c:pt idx="35">
                  <c:v>29.655417239847694</c:v>
                </c:pt>
                <c:pt idx="36">
                  <c:v>29.655417239847694</c:v>
                </c:pt>
                <c:pt idx="37">
                  <c:v>29.655417239847694</c:v>
                </c:pt>
                <c:pt idx="38">
                  <c:v>29.655417239847694</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2.6395581564432291</c:v>
                </c:pt>
                <c:pt idx="20">
                  <c:v>5.3043424650725086</c:v>
                </c:pt>
                <c:pt idx="21">
                  <c:v>8.2443217042704404</c:v>
                </c:pt>
                <c:pt idx="22">
                  <c:v>11.240728372140531</c:v>
                </c:pt>
                <c:pt idx="23">
                  <c:v>14.122844006101026</c:v>
                </c:pt>
                <c:pt idx="24">
                  <c:v>16.882806468765033</c:v>
                </c:pt>
                <c:pt idx="25">
                  <c:v>19.287201570884271</c:v>
                </c:pt>
                <c:pt idx="26">
                  <c:v>21.92697589115172</c:v>
                </c:pt>
                <c:pt idx="27">
                  <c:v>24.827277809156122</c:v>
                </c:pt>
                <c:pt idx="28">
                  <c:v>27.598998123149336</c:v>
                </c:pt>
                <c:pt idx="29">
                  <c:v>27.598998123149336</c:v>
                </c:pt>
                <c:pt idx="30">
                  <c:v>27.598998123149336</c:v>
                </c:pt>
                <c:pt idx="31">
                  <c:v>27.598998123149336</c:v>
                </c:pt>
                <c:pt idx="32">
                  <c:v>27.598998123149336</c:v>
                </c:pt>
                <c:pt idx="33">
                  <c:v>27.598998123149336</c:v>
                </c:pt>
                <c:pt idx="34">
                  <c:v>27.598998123149336</c:v>
                </c:pt>
                <c:pt idx="35">
                  <c:v>27.598998123149336</c:v>
                </c:pt>
                <c:pt idx="36">
                  <c:v>27.598998123149336</c:v>
                </c:pt>
                <c:pt idx="37">
                  <c:v>27.598998123149336</c:v>
                </c:pt>
                <c:pt idx="38">
                  <c:v>27.598998123149336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3.0071791001214976</c:v>
                </c:pt>
                <c:pt idx="30">
                  <c:v>5.9837785183548391</c:v>
                </c:pt>
                <c:pt idx="31">
                  <c:v>8.9311402036358842</c:v>
                </c:pt>
                <c:pt idx="32">
                  <c:v>11.850512039834634</c:v>
                </c:pt>
                <c:pt idx="33">
                  <c:v>14.743056773392148</c:v>
                </c:pt>
                <c:pt idx="34">
                  <c:v>17.191022624677096</c:v>
                </c:pt>
                <c:pt idx="35">
                  <c:v>19.624578881372635</c:v>
                </c:pt>
                <c:pt idx="36">
                  <c:v>22.044152394512629</c:v>
                </c:pt>
                <c:pt idx="37">
                  <c:v>24.450149636414984</c:v>
                </c:pt>
                <c:pt idx="38">
                  <c:v>26.891631040110191</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6.680089710495146</c:v>
                </c:pt>
                <c:pt idx="10">
                  <c:v>8.8859388919517119</c:v>
                </c:pt>
                <c:pt idx="11">
                  <c:v>11.049018277019913</c:v>
                </c:pt>
                <c:pt idx="12">
                  <c:v>13.256877926700117</c:v>
                </c:pt>
                <c:pt idx="13">
                  <c:v>15.369969170169794</c:v>
                </c:pt>
                <c:pt idx="14">
                  <c:v>17.34733010059233</c:v>
                </c:pt>
                <c:pt idx="15">
                  <c:v>19.310350436565731</c:v>
                </c:pt>
                <c:pt idx="16">
                  <c:v>21.300158752296035</c:v>
                </c:pt>
                <c:pt idx="17">
                  <c:v>23.504178611800697</c:v>
                </c:pt>
                <c:pt idx="18">
                  <c:v>25.620660047094042</c:v>
                </c:pt>
                <c:pt idx="19">
                  <c:v>27.87828972187728</c:v>
                </c:pt>
                <c:pt idx="20">
                  <c:v>30.157495473556875</c:v>
                </c:pt>
                <c:pt idx="21">
                  <c:v>32.672077074063715</c:v>
                </c:pt>
                <c:pt idx="22">
                  <c:v>35.234921387453397</c:v>
                </c:pt>
                <c:pt idx="23">
                  <c:v>37.70001190478213</c:v>
                </c:pt>
                <c:pt idx="24">
                  <c:v>40.060624093525959</c:v>
                </c:pt>
                <c:pt idx="25">
                  <c:v>42.117117419576545</c:v>
                </c:pt>
                <c:pt idx="26">
                  <c:v>44.374931980554834</c:v>
                </c:pt>
                <c:pt idx="27">
                  <c:v>46.855577333995569</c:v>
                </c:pt>
                <c:pt idx="28">
                  <c:v>49.226246082397957</c:v>
                </c:pt>
                <c:pt idx="29">
                  <c:v>61.58387311161443</c:v>
                </c:pt>
                <c:pt idx="30">
                  <c:v>71.766805459523752</c:v>
                </c:pt>
                <c:pt idx="31" formatCode="0.00">
                  <c:v>71.766805459523752</c:v>
                </c:pt>
                <c:pt idx="32" formatCode="0.00">
                  <c:v>71.766805459523752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0.63705569443769439</c:v>
                </c:pt>
                <c:pt idx="10">
                  <c:v>0.84741945346174374</c:v>
                </c:pt>
                <c:pt idx="11">
                  <c:v>1.0537044136193137</c:v>
                </c:pt>
                <c:pt idx="12">
                  <c:v>1.2642599036358886</c:v>
                </c:pt>
                <c:pt idx="13">
                  <c:v>1.4657776777765306</c:v>
                </c:pt>
                <c:pt idx="14">
                  <c:v>1.6543513489811534</c:v>
                </c:pt>
                <c:pt idx="15">
                  <c:v>1.8415574102057646</c:v>
                </c:pt>
                <c:pt idx="16">
                  <c:v>2.0313181429671681</c:v>
                </c:pt>
                <c:pt idx="17">
                  <c:v>2.2415074462553024</c:v>
                </c:pt>
                <c:pt idx="18">
                  <c:v>2.4433485305759124</c:v>
                </c:pt>
                <c:pt idx="19">
                  <c:v>2.658650405637943</c:v>
                </c:pt>
                <c:pt idx="20">
                  <c:v>2.8760099121459786</c:v>
                </c:pt>
                <c:pt idx="21">
                  <c:v>3.1158163514538715</c:v>
                </c:pt>
                <c:pt idx="22">
                  <c:v>3.3602254289602782</c:v>
                </c:pt>
                <c:pt idx="23">
                  <c:v>3.5953120848926625</c:v>
                </c:pt>
                <c:pt idx="24">
                  <c:v>3.8204350252082078</c:v>
                </c:pt>
                <c:pt idx="25">
                  <c:v>4.0165552632156896</c:v>
                </c:pt>
                <c:pt idx="26">
                  <c:v>4.2318747701971233</c:v>
                </c:pt>
                <c:pt idx="27">
                  <c:v>4.4684448338905778</c:v>
                </c:pt>
                <c:pt idx="28">
                  <c:v>4.6945268314754989</c:v>
                </c:pt>
                <c:pt idx="29">
                  <c:v>5.8730284699087338</c:v>
                </c:pt>
                <c:pt idx="30">
                  <c:v>6.8441374399151549</c:v>
                </c:pt>
                <c:pt idx="31" formatCode="0.00">
                  <c:v>6.8441374399151549</c:v>
                </c:pt>
                <c:pt idx="32" formatCode="0.00">
                  <c:v>6.8441374399151549</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0.45833099291626384</c:v>
                </c:pt>
                <c:pt idx="10">
                  <c:v>0.6096776198892685</c:v>
                </c:pt>
                <c:pt idx="11">
                  <c:v>0.75808974686376152</c:v>
                </c:pt>
                <c:pt idx="12">
                  <c:v>0.90957431508263276</c:v>
                </c:pt>
                <c:pt idx="13">
                  <c:v>1.0545566805470528</c:v>
                </c:pt>
                <c:pt idx="14">
                  <c:v>1.1902263852772925</c:v>
                </c:pt>
                <c:pt idx="15">
                  <c:v>1.3249121602733918</c:v>
                </c:pt>
                <c:pt idx="16">
                  <c:v>1.4614358988137399</c:v>
                </c:pt>
                <c:pt idx="17">
                  <c:v>1.6126570132587821</c:v>
                </c:pt>
                <c:pt idx="18">
                  <c:v>1.7578719848785174</c:v>
                </c:pt>
                <c:pt idx="19">
                  <c:v>1.9127713493069518</c:v>
                </c:pt>
                <c:pt idx="20">
                  <c:v>2.0691510807926745</c:v>
                </c:pt>
                <c:pt idx="21">
                  <c:v>2.2416803029554466</c:v>
                </c:pt>
                <c:pt idx="22">
                  <c:v>2.4175209023713826</c:v>
                </c:pt>
                <c:pt idx="23">
                  <c:v>2.5866544669492155</c:v>
                </c:pt>
                <c:pt idx="24">
                  <c:v>2.7486196164078143</c:v>
                </c:pt>
                <c:pt idx="25">
                  <c:v>2.8897187137108902</c:v>
                </c:pt>
                <c:pt idx="26">
                  <c:v>3.0446307634589882</c:v>
                </c:pt>
                <c:pt idx="27">
                  <c:v>3.2148315687160376</c:v>
                </c:pt>
                <c:pt idx="28">
                  <c:v>3.3774867138443634</c:v>
                </c:pt>
                <c:pt idx="29">
                  <c:v>4.2253620735855764</c:v>
                </c:pt>
                <c:pt idx="30">
                  <c:v>4.9240283634235427</c:v>
                </c:pt>
                <c:pt idx="31" formatCode="0.00">
                  <c:v>4.9240283634235427</c:v>
                </c:pt>
                <c:pt idx="32" formatCode="0.00">
                  <c:v>4.9240283634235427</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5.8132204956316</c:v>
                </c:pt>
                <c:pt idx="10">
                  <c:v>7.7328186189575536</c:v>
                </c:pt>
                <c:pt idx="11">
                  <c:v>9.6151971437849717</c:v>
                </c:pt>
                <c:pt idx="12">
                  <c:v>11.536544838687051</c:v>
                </c:pt>
                <c:pt idx="13">
                  <c:v>13.375422137951208</c:v>
                </c:pt>
                <c:pt idx="14">
                  <c:v>15.096182724434627</c:v>
                </c:pt>
                <c:pt idx="15">
                  <c:v>16.804463682472292</c:v>
                </c:pt>
                <c:pt idx="16">
                  <c:v>18.536056368302283</c:v>
                </c:pt>
                <c:pt idx="17">
                  <c:v>20.454062559135593</c:v>
                </c:pt>
                <c:pt idx="18">
                  <c:v>22.295890108089136</c:v>
                </c:pt>
                <c:pt idx="19">
                  <c:v>24.260549216839824</c:v>
                </c:pt>
                <c:pt idx="20">
                  <c:v>26.243984494454253</c:v>
                </c:pt>
                <c:pt idx="21">
                  <c:v>28.432251109352897</c:v>
                </c:pt>
                <c:pt idx="22">
                  <c:v>30.662517428426845</c:v>
                </c:pt>
                <c:pt idx="23">
                  <c:v>32.807715373359883</c:v>
                </c:pt>
                <c:pt idx="24">
                  <c:v>34.861993048146715</c:v>
                </c:pt>
                <c:pt idx="25">
                  <c:v>36.651617090671841</c:v>
                </c:pt>
                <c:pt idx="26">
                  <c:v>38.61643709310286</c:v>
                </c:pt>
                <c:pt idx="27">
                  <c:v>40.775171337099422</c:v>
                </c:pt>
                <c:pt idx="28">
                  <c:v>42.838200540871085</c:v>
                </c:pt>
                <c:pt idx="29">
                  <c:v>53.592189459724608</c:v>
                </c:pt>
                <c:pt idx="30">
                  <c:v>62.453691864025217</c:v>
                </c:pt>
                <c:pt idx="31" formatCode="0.00">
                  <c:v>62.453691864025217</c:v>
                </c:pt>
                <c:pt idx="32" formatCode="0.00">
                  <c:v>62.453691864025217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1.4141481157445579</c:v>
                </c:pt>
                <c:pt idx="10">
                  <c:v>1.8811175126783395</c:v>
                </c:pt>
                <c:pt idx="11">
                  <c:v>2.3390327157921846</c:v>
                </c:pt>
                <c:pt idx="12">
                  <c:v>2.8064277207602051</c:v>
                </c:pt>
                <c:pt idx="13">
                  <c:v>3.2537606354146509</c:v>
                </c:pt>
                <c:pt idx="14">
                  <c:v>3.6723599888800207</c:v>
                </c:pt>
                <c:pt idx="15">
                  <c:v>4.0879234961969404</c:v>
                </c:pt>
                <c:pt idx="16">
                  <c:v>4.50915791105247</c:v>
                </c:pt>
                <c:pt idx="17">
                  <c:v>4.9757400478889338</c:v>
                </c:pt>
                <c:pt idx="18">
                  <c:v>5.4237906525127109</c:v>
                </c:pt>
                <c:pt idx="19">
                  <c:v>5.9017217715555823</c:v>
                </c:pt>
                <c:pt idx="20">
                  <c:v>6.3842204592705034</c:v>
                </c:pt>
                <c:pt idx="21">
                  <c:v>6.9165472671958277</c:v>
                </c:pt>
                <c:pt idx="22">
                  <c:v>7.4590910972633484</c:v>
                </c:pt>
                <c:pt idx="23">
                  <c:v>7.9809408419970627</c:v>
                </c:pt>
                <c:pt idx="24">
                  <c:v>8.4806729449164244</c:v>
                </c:pt>
                <c:pt idx="25">
                  <c:v>8.9160243081633297</c:v>
                </c:pt>
                <c:pt idx="26">
                  <c:v>9.3939945668698428</c:v>
                </c:pt>
                <c:pt idx="27">
                  <c:v>9.9191372078267825</c:v>
                </c:pt>
                <c:pt idx="28">
                  <c:v>10.420998243965361</c:v>
                </c:pt>
                <c:pt idx="29">
                  <c:v>13.037058167679342</c:v>
                </c:pt>
                <c:pt idx="30">
                  <c:v>15.19274397679745</c:v>
                </c:pt>
                <c:pt idx="31" formatCode="0.00">
                  <c:v>15.19274397679745</c:v>
                </c:pt>
                <c:pt idx="32" formatCode="0.00">
                  <c:v>15.19274397679745</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0.53590287415387494</c:v>
                </c:pt>
                <c:pt idx="10">
                  <c:v>0.71286470663275703</c:v>
                </c:pt>
                <c:pt idx="11">
                  <c:v>0.88639537908163391</c:v>
                </c:pt>
                <c:pt idx="12">
                  <c:v>1.063518499169835</c:v>
                </c:pt>
                <c:pt idx="13">
                  <c:v>1.2330389277571403</c:v>
                </c:pt>
                <c:pt idx="14">
                  <c:v>1.3916705407709831</c:v>
                </c:pt>
                <c:pt idx="15">
                  <c:v>1.5491516953156386</c:v>
                </c:pt>
                <c:pt idx="16">
                  <c:v>1.7087818861706818</c:v>
                </c:pt>
                <c:pt idx="17">
                  <c:v>1.8855969633013181</c:v>
                </c:pt>
                <c:pt idx="18">
                  <c:v>2.0553893663112692</c:v>
                </c:pt>
                <c:pt idx="19">
                  <c:v>2.2365052321042955</c:v>
                </c:pt>
                <c:pt idx="20">
                  <c:v>2.4193520150141321</c:v>
                </c:pt>
                <c:pt idx="21">
                  <c:v>2.6210815673716228</c:v>
                </c:pt>
                <c:pt idx="22">
                  <c:v>2.8266829429634246</c:v>
                </c:pt>
                <c:pt idx="23">
                  <c:v>3.0244421274262354</c:v>
                </c:pt>
                <c:pt idx="24">
                  <c:v>3.2138196525099096</c:v>
                </c:pt>
                <c:pt idx="25">
                  <c:v>3.3787995752162283</c:v>
                </c:pt>
                <c:pt idx="26">
                  <c:v>3.5599302733015765</c:v>
                </c:pt>
                <c:pt idx="27">
                  <c:v>3.7589373274398969</c:v>
                </c:pt>
                <c:pt idx="28">
                  <c:v>3.9491216289979434</c:v>
                </c:pt>
                <c:pt idx="29">
                  <c:v>4.940498710697022</c:v>
                </c:pt>
                <c:pt idx="30">
                  <c:v>5.7574132955394131</c:v>
                </c:pt>
                <c:pt idx="31" formatCode="0.00">
                  <c:v>5.7574132955394131</c:v>
                </c:pt>
                <c:pt idx="32" formatCode="0.00">
                  <c:v>5.7574132955394131</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0.94407471197939985</c:v>
                </c:pt>
                <c:pt idx="10">
                  <c:v>1.2558199909959062</c:v>
                </c:pt>
                <c:pt idx="11">
                  <c:v>1.5615207578940611</c:v>
                </c:pt>
                <c:pt idx="12">
                  <c:v>1.8735501696530052</c:v>
                </c:pt>
                <c:pt idx="13">
                  <c:v>2.1721862798732912</c:v>
                </c:pt>
                <c:pt idx="14">
                  <c:v>2.4516400794135977</c:v>
                </c:pt>
                <c:pt idx="15">
                  <c:v>2.7290671707567209</c:v>
                </c:pt>
                <c:pt idx="16">
                  <c:v>3.0102801175852538</c:v>
                </c:pt>
                <c:pt idx="17">
                  <c:v>3.3217668646553777</c:v>
                </c:pt>
                <c:pt idx="18">
                  <c:v>3.6208820993347945</c:v>
                </c:pt>
                <c:pt idx="19">
                  <c:v>3.9399453420976149</c:v>
                </c:pt>
                <c:pt idx="20">
                  <c:v>4.2620578595654699</c:v>
                </c:pt>
                <c:pt idx="21">
                  <c:v>4.6174352576440398</c:v>
                </c:pt>
                <c:pt idx="22">
                  <c:v>4.9796334633373078</c:v>
                </c:pt>
                <c:pt idx="23">
                  <c:v>5.3280164523402771</c:v>
                </c:pt>
                <c:pt idx="24">
                  <c:v>5.6616338689869465</c:v>
                </c:pt>
                <c:pt idx="25">
                  <c:v>5.9522711850440171</c:v>
                </c:pt>
                <c:pt idx="26">
                  <c:v>6.2713605571537343</c:v>
                </c:pt>
                <c:pt idx="27">
                  <c:v>6.6219418590624777</c:v>
                </c:pt>
                <c:pt idx="28">
                  <c:v>6.9569805356135239</c:v>
                </c:pt>
                <c:pt idx="29">
                  <c:v>8.7034425868681673</c:v>
                </c:pt>
                <c:pt idx="30">
                  <c:v>10.14256232029846</c:v>
                </c:pt>
                <c:pt idx="31" formatCode="0.00">
                  <c:v>10.14256232029846</c:v>
                </c:pt>
                <c:pt idx="32" formatCode="0.00">
                  <c:v>10.14256232029846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9.6650928976952741</c:v>
                </c:pt>
                <c:pt idx="10">
                  <c:v>12.856627469991082</c:v>
                </c:pt>
                <c:pt idx="11">
                  <c:v>15.986280529728816</c:v>
                </c:pt>
                <c:pt idx="12">
                  <c:v>19.180723949508945</c:v>
                </c:pt>
                <c:pt idx="13">
                  <c:v>22.23805162841029</c:v>
                </c:pt>
                <c:pt idx="14">
                  <c:v>25.098997800253002</c:v>
                </c:pt>
                <c:pt idx="15">
                  <c:v>27.939195272068332</c:v>
                </c:pt>
                <c:pt idx="16">
                  <c:v>30.818150952846821</c:v>
                </c:pt>
                <c:pt idx="17">
                  <c:v>34.007038769279873</c:v>
                </c:pt>
                <c:pt idx="18">
                  <c:v>37.069271549809613</c:v>
                </c:pt>
                <c:pt idx="19">
                  <c:v>40.368719245363664</c:v>
                </c:pt>
                <c:pt idx="20">
                  <c:v>43.699699631150253</c:v>
                </c:pt>
                <c:pt idx="21">
                  <c:v>47.37467368014768</c:v>
                </c:pt>
                <c:pt idx="22">
                  <c:v>51.120182014985275</c:v>
                </c:pt>
                <c:pt idx="23">
                  <c:v>54.722826557435909</c:v>
                </c:pt>
                <c:pt idx="24">
                  <c:v>58.172779635765906</c:v>
                </c:pt>
                <c:pt idx="25">
                  <c:v>61.17827351341495</c:v>
                </c:pt>
                <c:pt idx="26">
                  <c:v>64.477991413749265</c:v>
                </c:pt>
                <c:pt idx="27">
                  <c:v>68.103368811254782</c:v>
                </c:pt>
                <c:pt idx="28">
                  <c:v>71.568019203746289</c:v>
                </c:pt>
                <c:pt idx="29">
                  <c:v>75.326993078898155</c:v>
                </c:pt>
                <c:pt idx="30">
                  <c:v>79.047742351689834</c:v>
                </c:pt>
                <c:pt idx="31">
                  <c:v>82.731944458291139</c:v>
                </c:pt>
                <c:pt idx="32">
                  <c:v>86.381159253539579</c:v>
                </c:pt>
                <c:pt idx="33">
                  <c:v>89.996840170486465</c:v>
                </c:pt>
                <c:pt idx="34">
                  <c:v>93.05679748459265</c:v>
                </c:pt>
                <c:pt idx="35">
                  <c:v>96.098742805462081</c:v>
                </c:pt>
                <c:pt idx="36">
                  <c:v>99.123209696887074</c:v>
                </c:pt>
                <c:pt idx="37">
                  <c:v>102.13070624926502</c:v>
                </c:pt>
                <c:pt idx="38">
                  <c:v>105.18255800388404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117.14202913866166</c:v>
                </c:pt>
                <c:pt idx="10">
                  <c:v>116.49065803078582</c:v>
                </c:pt>
                <c:pt idx="11">
                  <c:v>115.82859447381288</c:v>
                </c:pt>
                <c:pt idx="12">
                  <c:v>115.17772598299297</c:v>
                </c:pt>
                <c:pt idx="13">
                  <c:v>114.50316539062038</c:v>
                </c:pt>
                <c:pt idx="14">
                  <c:v>113.79467221998605</c:v>
                </c:pt>
                <c:pt idx="15">
                  <c:v>113.08259390073943</c:v>
                </c:pt>
                <c:pt idx="16">
                  <c:v>112.37721257643204</c:v>
                </c:pt>
                <c:pt idx="17">
                  <c:v>111.72538413806819</c:v>
                </c:pt>
                <c:pt idx="18">
                  <c:v>111.05167109365156</c:v>
                </c:pt>
                <c:pt idx="19">
                  <c:v>110.41894619414475</c:v>
                </c:pt>
                <c:pt idx="20">
                  <c:v>109.79166979890464</c:v>
                </c:pt>
                <c:pt idx="21">
                  <c:v>109.22383174932801</c:v>
                </c:pt>
                <c:pt idx="22">
                  <c:v>108.66818125350966</c:v>
                </c:pt>
                <c:pt idx="23">
                  <c:v>108.08784545565575</c:v>
                </c:pt>
                <c:pt idx="24">
                  <c:v>107.48112624149249</c:v>
                </c:pt>
                <c:pt idx="25">
                  <c:v>106.79760933472991</c:v>
                </c:pt>
                <c:pt idx="26">
                  <c:v>106.16493112365617</c:v>
                </c:pt>
                <c:pt idx="27">
                  <c:v>105.58852331471942</c:v>
                </c:pt>
                <c:pt idx="28">
                  <c:v>104.98434363582348</c:v>
                </c:pt>
                <c:pt idx="29">
                  <c:v>102.15447548305804</c:v>
                </c:pt>
                <c:pt idx="30">
                  <c:v>98.764234551147297</c:v>
                </c:pt>
                <c:pt idx="31" formatCode="0.00">
                  <c:v>98.764234551147297</c:v>
                </c:pt>
                <c:pt idx="32" formatCode="0.00">
                  <c:v>98.764234551147297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11.171406366523069</c:v>
                </c:pt>
                <c:pt idx="10">
                  <c:v>11.1092874891654</c:v>
                </c:pt>
                <c:pt idx="11">
                  <c:v>11.046148912091107</c:v>
                </c:pt>
                <c:pt idx="12">
                  <c:v>10.984077967481568</c:v>
                </c:pt>
                <c:pt idx="13">
                  <c:v>10.919747593903043</c:v>
                </c:pt>
                <c:pt idx="14">
                  <c:v>10.852181194590516</c:v>
                </c:pt>
                <c:pt idx="15">
                  <c:v>10.784272892782983</c:v>
                </c:pt>
                <c:pt idx="16">
                  <c:v>10.717003258859652</c:v>
                </c:pt>
                <c:pt idx="17">
                  <c:v>10.654840767568</c:v>
                </c:pt>
                <c:pt idx="18">
                  <c:v>10.590591221534469</c:v>
                </c:pt>
                <c:pt idx="19">
                  <c:v>10.530250564789988</c:v>
                </c:pt>
                <c:pt idx="20">
                  <c:v>10.470429511946008</c:v>
                </c:pt>
                <c:pt idx="21">
                  <c:v>10.416276876475731</c:v>
                </c:pt>
                <c:pt idx="22">
                  <c:v>10.363286523378816</c:v>
                </c:pt>
                <c:pt idx="23">
                  <c:v>10.307942023419775</c:v>
                </c:pt>
                <c:pt idx="24">
                  <c:v>10.250081433658501</c:v>
                </c:pt>
                <c:pt idx="25">
                  <c:v>10.184896929172968</c:v>
                </c:pt>
                <c:pt idx="26">
                  <c:v>10.124560724933385</c:v>
                </c:pt>
                <c:pt idx="27">
                  <c:v>10.069590822893806</c:v>
                </c:pt>
                <c:pt idx="28">
                  <c:v>10.011972419311668</c:v>
                </c:pt>
                <c:pt idx="29">
                  <c:v>9.7420982560358773</c:v>
                </c:pt>
                <c:pt idx="30">
                  <c:v>9.4187833927944062</c:v>
                </c:pt>
                <c:pt idx="31" formatCode="0.00">
                  <c:v>9.4187833927944062</c:v>
                </c:pt>
                <c:pt idx="32" formatCode="0.00">
                  <c:v>9.4187833927944062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8.0372906434169824</c:v>
                </c:pt>
                <c:pt idx="10">
                  <c:v>7.9925990929186934</c:v>
                </c:pt>
                <c:pt idx="11">
                  <c:v>7.9471739174207752</c:v>
                </c:pt>
                <c:pt idx="12">
                  <c:v>7.9025168522339531</c:v>
                </c:pt>
                <c:pt idx="13">
                  <c:v>7.8562342363585165</c:v>
                </c:pt>
                <c:pt idx="14">
                  <c:v>7.8076234552995363</c:v>
                </c:pt>
                <c:pt idx="15">
                  <c:v>7.7587666918070202</c:v>
                </c:pt>
                <c:pt idx="16">
                  <c:v>7.7103694192005658</c:v>
                </c:pt>
                <c:pt idx="17">
                  <c:v>7.6656464905702846</c:v>
                </c:pt>
                <c:pt idx="18">
                  <c:v>7.6194220262336785</c:v>
                </c:pt>
                <c:pt idx="19">
                  <c:v>7.5760098201104302</c:v>
                </c:pt>
                <c:pt idx="20">
                  <c:v>7.5329714440521514</c:v>
                </c:pt>
                <c:pt idx="21">
                  <c:v>7.4940112222052511</c:v>
                </c:pt>
                <c:pt idx="22">
                  <c:v>7.4558872067354098</c:v>
                </c:pt>
                <c:pt idx="23">
                  <c:v>7.4160694955993822</c:v>
                </c:pt>
                <c:pt idx="24">
                  <c:v>7.3744415786251647</c:v>
                </c:pt>
                <c:pt idx="25">
                  <c:v>7.327544456561168</c:v>
                </c:pt>
                <c:pt idx="26">
                  <c:v>7.2841354538014702</c:v>
                </c:pt>
                <c:pt idx="27">
                  <c:v>7.244587247887468</c:v>
                </c:pt>
                <c:pt idx="28">
                  <c:v>7.2031335722439884</c:v>
                </c:pt>
                <c:pt idx="29">
                  <c:v>7.0089720659634152</c:v>
                </c:pt>
                <c:pt idx="30">
                  <c:v>6.7763625412579707</c:v>
                </c:pt>
                <c:pt idx="31" formatCode="0.00">
                  <c:v>6.7763625412579707</c:v>
                </c:pt>
                <c:pt idx="32" formatCode="0.00">
                  <c:v>6.7763625412579707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101.94061370446272</c:v>
                </c:pt>
                <c:pt idx="10">
                  <c:v>101.37377043758011</c:v>
                </c:pt>
                <c:pt idx="11">
                  <c:v>100.79762227107284</c:v>
                </c:pt>
                <c:pt idx="12">
                  <c:v>100.23121639708427</c:v>
                </c:pt>
                <c:pt idx="13">
                  <c:v>99.644192924186157</c:v>
                </c:pt>
                <c:pt idx="14">
                  <c:v>99.027640273092914</c:v>
                </c:pt>
                <c:pt idx="15">
                  <c:v>98.407967714888215</c:v>
                </c:pt>
                <c:pt idx="16">
                  <c:v>97.794123088631594</c:v>
                </c:pt>
                <c:pt idx="17">
                  <c:v>97.226881838625815</c:v>
                </c:pt>
                <c:pt idx="18">
                  <c:v>96.640595928150091</c:v>
                </c:pt>
                <c:pt idx="19">
                  <c:v>96.089979167999289</c:v>
                </c:pt>
                <c:pt idx="20">
                  <c:v>95.544103864632248</c:v>
                </c:pt>
                <c:pt idx="21">
                  <c:v>95.049953646437999</c:v>
                </c:pt>
                <c:pt idx="22">
                  <c:v>94.566409414146591</c:v>
                </c:pt>
                <c:pt idx="23">
                  <c:v>94.061383269193357</c:v>
                </c:pt>
                <c:pt idx="24">
                  <c:v>93.533397460061778</c:v>
                </c:pt>
                <c:pt idx="25">
                  <c:v>92.938579925611563</c:v>
                </c:pt>
                <c:pt idx="26">
                  <c:v>92.388003795178022</c:v>
                </c:pt>
                <c:pt idx="27">
                  <c:v>91.886395907564051</c:v>
                </c:pt>
                <c:pt idx="28">
                  <c:v>91.360620080499345</c:v>
                </c:pt>
                <c:pt idx="29">
                  <c:v>88.897981364772903</c:v>
                </c:pt>
                <c:pt idx="30">
                  <c:v>85.947688939874951</c:v>
                </c:pt>
                <c:pt idx="31" formatCode="0.00">
                  <c:v>85.947688939874951</c:v>
                </c:pt>
                <c:pt idx="32" formatCode="0.00">
                  <c:v>85.947688939874951</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24.798496271789375</c:v>
                </c:pt>
                <c:pt idx="10">
                  <c:v>24.660603628909769</c:v>
                </c:pt>
                <c:pt idx="11">
                  <c:v>24.520447437575172</c:v>
                </c:pt>
                <c:pt idx="12">
                  <c:v>24.382661196704127</c:v>
                </c:pt>
                <c:pt idx="13">
                  <c:v>24.239859433254679</c:v>
                </c:pt>
                <c:pt idx="14">
                  <c:v>24.089874279507967</c:v>
                </c:pt>
                <c:pt idx="15">
                  <c:v>23.939130164224142</c:v>
                </c:pt>
                <c:pt idx="16">
                  <c:v>23.789803775824975</c:v>
                </c:pt>
                <c:pt idx="17">
                  <c:v>23.65181431792103</c:v>
                </c:pt>
                <c:pt idx="18">
                  <c:v>23.509191976963923</c:v>
                </c:pt>
                <c:pt idx="19">
                  <c:v>23.375246661376849</c:v>
                </c:pt>
                <c:pt idx="20">
                  <c:v>23.242454772222104</c:v>
                </c:pt>
                <c:pt idx="21">
                  <c:v>23.122245741706354</c:v>
                </c:pt>
                <c:pt idx="22">
                  <c:v>23.004616767287114</c:v>
                </c:pt>
                <c:pt idx="23">
                  <c:v>22.881762013743181</c:v>
                </c:pt>
                <c:pt idx="24">
                  <c:v>22.753321997114817</c:v>
                </c:pt>
                <c:pt idx="25">
                  <c:v>22.608624217942893</c:v>
                </c:pt>
                <c:pt idx="26">
                  <c:v>22.474688786109265</c:v>
                </c:pt>
                <c:pt idx="27">
                  <c:v>22.352665572015638</c:v>
                </c:pt>
                <c:pt idx="28">
                  <c:v>22.224763164786062</c:v>
                </c:pt>
                <c:pt idx="29">
                  <c:v>21.625691462238201</c:v>
                </c:pt>
                <c:pt idx="30">
                  <c:v>20.907991096889923</c:v>
                </c:pt>
                <c:pt idx="31" formatCode="0.00">
                  <c:v>20.907991096889923</c:v>
                </c:pt>
                <c:pt idx="32" formatCode="0.00">
                  <c:v>20.907991096889923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9.3975908738166591</c:v>
                </c:pt>
                <c:pt idx="10">
                  <c:v>9.3453353407355646</c:v>
                </c:pt>
                <c:pt idx="11">
                  <c:v>9.292222017646969</c:v>
                </c:pt>
                <c:pt idx="12">
                  <c:v>9.2400068064682053</c:v>
                </c:pt>
                <c:pt idx="13">
                  <c:v>9.1858909224142149</c:v>
                </c:pt>
                <c:pt idx="14">
                  <c:v>9.1290528344668633</c:v>
                </c:pt>
                <c:pt idx="15">
                  <c:v>9.0719271319022106</c:v>
                </c:pt>
                <c:pt idx="16">
                  <c:v>9.0153386884151576</c:v>
                </c:pt>
                <c:pt idx="17">
                  <c:v>8.9630464664970013</c:v>
                </c:pt>
                <c:pt idx="18">
                  <c:v>8.9089985760486758</c:v>
                </c:pt>
                <c:pt idx="19">
                  <c:v>8.858238914593576</c:v>
                </c:pt>
                <c:pt idx="20">
                  <c:v>8.8079163534204969</c:v>
                </c:pt>
                <c:pt idx="21">
                  <c:v>8.762362168370565</c:v>
                </c:pt>
                <c:pt idx="22">
                  <c:v>8.7177857164606074</c:v>
                </c:pt>
                <c:pt idx="23">
                  <c:v>8.6712289132554545</c:v>
                </c:pt>
                <c:pt idx="24">
                  <c:v>8.6225555293990013</c:v>
                </c:pt>
                <c:pt idx="25">
                  <c:v>8.5677211348411948</c:v>
                </c:pt>
                <c:pt idx="26">
                  <c:v>8.5169652189144589</c:v>
                </c:pt>
                <c:pt idx="27">
                  <c:v>8.4707235343142315</c:v>
                </c:pt>
                <c:pt idx="28">
                  <c:v>8.4222538818907005</c:v>
                </c:pt>
                <c:pt idx="29">
                  <c:v>8.195230811502757</c:v>
                </c:pt>
                <c:pt idx="30">
                  <c:v>7.9232524492016303</c:v>
                </c:pt>
                <c:pt idx="31" formatCode="0.00">
                  <c:v>7.9232524492016303</c:v>
                </c:pt>
                <c:pt idx="32" formatCode="0.00">
                  <c:v>7.9232524492016303</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9.1321505960684899</c:v>
                </c:pt>
                <c:pt idx="10">
                  <c:v>9.2467967352087772</c:v>
                </c:pt>
                <c:pt idx="11">
                  <c:v>9.3574999174564297</c:v>
                </c:pt>
                <c:pt idx="12">
                  <c:v>9.472331402102407</c:v>
                </c:pt>
                <c:pt idx="13">
                  <c:v>9.5784261666321822</c:v>
                </c:pt>
                <c:pt idx="14">
                  <c:v>9.6720079238867012</c:v>
                </c:pt>
                <c:pt idx="15">
                  <c:v>9.7642676185993658</c:v>
                </c:pt>
                <c:pt idx="16">
                  <c:v>9.858996903030512</c:v>
                </c:pt>
                <c:pt idx="17">
                  <c:v>9.9734743965795598</c:v>
                </c:pt>
                <c:pt idx="18">
                  <c:v>10.079881703635776</c:v>
                </c:pt>
                <c:pt idx="19">
                  <c:v>10.201403834903077</c:v>
                </c:pt>
                <c:pt idx="20">
                  <c:v>10.324935161375153</c:v>
                </c:pt>
                <c:pt idx="21">
                  <c:v>10.47038502424544</c:v>
                </c:pt>
                <c:pt idx="22">
                  <c:v>10.620329180112517</c:v>
                </c:pt>
                <c:pt idx="23">
                  <c:v>10.761170362383536</c:v>
                </c:pt>
                <c:pt idx="24">
                  <c:v>10.89228237295184</c:v>
                </c:pt>
                <c:pt idx="25">
                  <c:v>10.995074399143936</c:v>
                </c:pt>
                <c:pt idx="26">
                  <c:v>11.116613747278709</c:v>
                </c:pt>
                <c:pt idx="27">
                  <c:v>11.258903418182644</c:v>
                </c:pt>
                <c:pt idx="28">
                  <c:v>11.390951910000043</c:v>
                </c:pt>
                <c:pt idx="29">
                  <c:v>12.121638848310639</c:v>
                </c:pt>
                <c:pt idx="30">
                  <c:v>12.645682229853861</c:v>
                </c:pt>
                <c:pt idx="31" formatCode="0.00">
                  <c:v>12.645682229853861</c:v>
                </c:pt>
                <c:pt idx="32" formatCode="0.00">
                  <c:v>12.645682229853861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3.1556103857942746</c:v>
                </c:pt>
                <c:pt idx="10">
                  <c:v>3.1952263057855692</c:v>
                </c:pt>
                <c:pt idx="11">
                  <c:v>3.2334797388587777</c:v>
                </c:pt>
                <c:pt idx="12">
                  <c:v>3.2731597049032515</c:v>
                </c:pt>
                <c:pt idx="13">
                  <c:v>3.3098207013801049</c:v>
                </c:pt>
                <c:pt idx="14">
                  <c:v>3.3421578340200737</c:v>
                </c:pt>
                <c:pt idx="15">
                  <c:v>3.3740381285643655</c:v>
                </c:pt>
                <c:pt idx="16">
                  <c:v>3.4067717886858357</c:v>
                </c:pt>
                <c:pt idx="17">
                  <c:v>3.4463294332716128</c:v>
                </c:pt>
                <c:pt idx="18">
                  <c:v>3.4830984286729318</c:v>
                </c:pt>
                <c:pt idx="19">
                  <c:v>3.5250903445416921</c:v>
                </c:pt>
                <c:pt idx="20">
                  <c:v>3.5677765368778145</c:v>
                </c:pt>
                <c:pt idx="21">
                  <c:v>3.6180366692592747</c:v>
                </c:pt>
                <c:pt idx="22">
                  <c:v>3.6698498024928643</c:v>
                </c:pt>
                <c:pt idx="23">
                  <c:v>3.7185174074394274</c:v>
                </c:pt>
                <c:pt idx="24">
                  <c:v>3.7638231016348147</c:v>
                </c:pt>
                <c:pt idx="25">
                  <c:v>3.799342838417108</c:v>
                </c:pt>
                <c:pt idx="26">
                  <c:v>3.8413407035664049</c:v>
                </c:pt>
                <c:pt idx="27">
                  <c:v>3.8905088330855366</c:v>
                </c:pt>
                <c:pt idx="28">
                  <c:v>3.9361381279404468</c:v>
                </c:pt>
                <c:pt idx="29">
                  <c:v>4.1886266592059949</c:v>
                </c:pt>
                <c:pt idx="30">
                  <c:v>4.3697096056607405</c:v>
                </c:pt>
                <c:pt idx="31" formatCode="0.00">
                  <c:v>4.3697096056607405</c:v>
                </c:pt>
                <c:pt idx="32" formatCode="0.00">
                  <c:v>4.3697096056607405</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16.555290753957131</c:v>
                </c:pt>
                <c:pt idx="10">
                  <c:v>16.463234656253317</c:v>
                </c:pt>
                <c:pt idx="11">
                  <c:v>16.369667430519915</c:v>
                </c:pt>
                <c:pt idx="12">
                  <c:v>16.277682366001713</c:v>
                </c:pt>
                <c:pt idx="13">
                  <c:v>16.18234897609884</c:v>
                </c:pt>
                <c:pt idx="14">
                  <c:v>16.082220008525979</c:v>
                </c:pt>
                <c:pt idx="15">
                  <c:v>15.981584363903817</c:v>
                </c:pt>
                <c:pt idx="16">
                  <c:v>15.881895183153011</c:v>
                </c:pt>
                <c:pt idx="17">
                  <c:v>15.789774452462598</c:v>
                </c:pt>
                <c:pt idx="18">
                  <c:v>15.694560843674514</c:v>
                </c:pt>
                <c:pt idx="19">
                  <c:v>15.605139952166784</c:v>
                </c:pt>
                <c:pt idx="20">
                  <c:v>15.516489079523955</c:v>
                </c:pt>
                <c:pt idx="21">
                  <c:v>15.436238429257575</c:v>
                </c:pt>
                <c:pt idx="22">
                  <c:v>15.357710205156517</c:v>
                </c:pt>
                <c:pt idx="23">
                  <c:v>15.275693289972056</c:v>
                </c:pt>
                <c:pt idx="24">
                  <c:v>15.189947694899637</c:v>
                </c:pt>
                <c:pt idx="25">
                  <c:v>15.093348539072268</c:v>
                </c:pt>
                <c:pt idx="26">
                  <c:v>15.00393424588446</c:v>
                </c:pt>
                <c:pt idx="27">
                  <c:v>14.922472460221659</c:v>
                </c:pt>
                <c:pt idx="28">
                  <c:v>14.837085769165494</c:v>
                </c:pt>
                <c:pt idx="29">
                  <c:v>14.437149978323596</c:v>
                </c:pt>
                <c:pt idx="30">
                  <c:v>13.958018578889567</c:v>
                </c:pt>
                <c:pt idx="31" formatCode="0.00">
                  <c:v>13.958018578889567</c:v>
                </c:pt>
                <c:pt idx="32" formatCode="0.00">
                  <c:v>13.958018578889567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17.985521747895376</c:v>
                </c:pt>
                <c:pt idx="3">
                  <c:v>18.85956631792186</c:v>
                </c:pt>
                <c:pt idx="4">
                  <c:v>21.800113172294029</c:v>
                </c:pt>
                <c:pt idx="5">
                  <c:v>27.906968325000069</c:v>
                </c:pt>
                <c:pt idx="6">
                  <c:v>32.724183345833076</c:v>
                </c:pt>
                <c:pt idx="8">
                  <c:v>18.931145021834784</c:v>
                </c:pt>
                <c:pt idx="9">
                  <c:v>19.166790908504293</c:v>
                </c:pt>
                <c:pt idx="10">
                  <c:v>17.985521747895376</c:v>
                </c:pt>
                <c:pt idx="11">
                  <c:v>18.85956631792186</c:v>
                </c:pt>
                <c:pt idx="12">
                  <c:v>21.800113172294029</c:v>
                </c:pt>
                <c:pt idx="13">
                  <c:v>27.906968325000069</c:v>
                </c:pt>
                <c:pt idx="14">
                  <c:v>32.724183345833076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5.5806951792035084</c:v>
                </c:pt>
                <c:pt idx="3">
                  <c:v>5.8091792739244159</c:v>
                </c:pt>
                <c:pt idx="4">
                  <c:v>6.7643178881340225</c:v>
                </c:pt>
                <c:pt idx="5">
                  <c:v>8.6592029845193252</c:v>
                </c:pt>
                <c:pt idx="6">
                  <c:v>10.153927965021785</c:v>
                </c:pt>
                <c:pt idx="8">
                  <c:v>5.725786025053389</c:v>
                </c:pt>
                <c:pt idx="9">
                  <c:v>5.9036614240138503</c:v>
                </c:pt>
                <c:pt idx="10">
                  <c:v>5.5806951792035084</c:v>
                </c:pt>
                <c:pt idx="11">
                  <c:v>5.8091792739244159</c:v>
                </c:pt>
                <c:pt idx="12">
                  <c:v>6.4261019937273218</c:v>
                </c:pt>
                <c:pt idx="13">
                  <c:v>7.8149306935286909</c:v>
                </c:pt>
                <c:pt idx="14">
                  <c:v>8.7057239890105524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2.3379794987127132</c:v>
                </c:pt>
                <c:pt idx="3">
                  <c:v>2.3897549527399438</c:v>
                </c:pt>
                <c:pt idx="4">
                  <c:v>2.8338470454661451</c:v>
                </c:pt>
                <c:pt idx="5">
                  <c:v>3.6276912468613896</c:v>
                </c:pt>
                <c:pt idx="6">
                  <c:v>4.2538921498691895</c:v>
                </c:pt>
                <c:pt idx="8">
                  <c:v>2.3987639372378653</c:v>
                </c:pt>
                <c:pt idx="9">
                  <c:v>2.4286226095077832</c:v>
                </c:pt>
                <c:pt idx="10">
                  <c:v>2.3379794987127132</c:v>
                </c:pt>
                <c:pt idx="11">
                  <c:v>2.3897549527399438</c:v>
                </c:pt>
                <c:pt idx="12">
                  <c:v>2.6921546931928377</c:v>
                </c:pt>
                <c:pt idx="13">
                  <c:v>3.2739913502924041</c:v>
                </c:pt>
                <c:pt idx="14">
                  <c:v>3.6471807819940958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15.646178051353582</c:v>
                </c:pt>
                <c:pt idx="3">
                  <c:v>15.992668674066808</c:v>
                </c:pt>
                <c:pt idx="4">
                  <c:v>18.964612593086677</c:v>
                </c:pt>
                <c:pt idx="5">
                  <c:v>24.277160340790779</c:v>
                </c:pt>
                <c:pt idx="6">
                  <c:v>28.467809073926801</c:v>
                </c:pt>
                <c:pt idx="8">
                  <c:v>16.052958413816011</c:v>
                </c:pt>
                <c:pt idx="9">
                  <c:v>16.252778002896829</c:v>
                </c:pt>
                <c:pt idx="10">
                  <c:v>15.646178051353582</c:v>
                </c:pt>
                <c:pt idx="11">
                  <c:v>15.992668674066808</c:v>
                </c:pt>
                <c:pt idx="12">
                  <c:v>18.016381963432341</c:v>
                </c:pt>
                <c:pt idx="13">
                  <c:v>21.910137207563675</c:v>
                </c:pt>
                <c:pt idx="14">
                  <c:v>24.407587804757988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5.2183979979150399</c:v>
                </c:pt>
                <c:pt idx="3">
                  <c:v>5.3339614259885568</c:v>
                </c:pt>
                <c:pt idx="4">
                  <c:v>6.3251802492709217</c:v>
                </c:pt>
                <c:pt idx="5">
                  <c:v>8.0970499314038538</c:v>
                </c:pt>
                <c:pt idx="6">
                  <c:v>9.4947377812535709</c:v>
                </c:pt>
                <c:pt idx="8">
                  <c:v>5.3540695863437202</c:v>
                </c:pt>
                <c:pt idx="9">
                  <c:v>5.4207144973361112</c:v>
                </c:pt>
                <c:pt idx="10">
                  <c:v>5.2183979979150399</c:v>
                </c:pt>
                <c:pt idx="11">
                  <c:v>5.3339614259885568</c:v>
                </c:pt>
                <c:pt idx="12">
                  <c:v>6.0089212368073746</c:v>
                </c:pt>
                <c:pt idx="13">
                  <c:v>7.3075875630919773</c:v>
                </c:pt>
                <c:pt idx="14">
                  <c:v>8.1405508052022792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3.1457648842965851</c:v>
                </c:pt>
                <c:pt idx="3">
                  <c:v>3.2154290559615002</c:v>
                </c:pt>
                <c:pt idx="4">
                  <c:v>3.8129575250781271</c:v>
                </c:pt>
                <c:pt idx="5">
                  <c:v>4.8810794712827903</c:v>
                </c:pt>
                <c:pt idx="6">
                  <c:v>5.7236363937371406</c:v>
                </c:pt>
                <c:pt idx="8">
                  <c:v>3.2275506965029748</c:v>
                </c:pt>
                <c:pt idx="9">
                  <c:v>3.2677257120538581</c:v>
                </c:pt>
                <c:pt idx="10">
                  <c:v>3.1457648842965851</c:v>
                </c:pt>
                <c:pt idx="11">
                  <c:v>3.2154290559615002</c:v>
                </c:pt>
                <c:pt idx="12">
                  <c:v>3.6223096488242206</c:v>
                </c:pt>
                <c:pt idx="13">
                  <c:v>4.4051742228327182</c:v>
                </c:pt>
                <c:pt idx="14">
                  <c:v>4.9073027530803799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103.33910719763226</c:v>
                </c:pt>
                <c:pt idx="3">
                  <c:v>105.6275914195307</c:v>
                </c:pt>
                <c:pt idx="4">
                  <c:v>125.25654043346425</c:v>
                </c:pt>
                <c:pt idx="5">
                  <c:v>160.34459448670566</c:v>
                </c:pt>
                <c:pt idx="6">
                  <c:v>188.02278511190443</c:v>
                </c:pt>
                <c:pt idx="8">
                  <c:v>106.02579012712634</c:v>
                </c:pt>
                <c:pt idx="9">
                  <c:v>107.34554872046687</c:v>
                </c:pt>
                <c:pt idx="10">
                  <c:v>103.33910719763226</c:v>
                </c:pt>
                <c:pt idx="11">
                  <c:v>105.6275914195307</c:v>
                </c:pt>
                <c:pt idx="12">
                  <c:v>118.99371341179105</c:v>
                </c:pt>
                <c:pt idx="13">
                  <c:v>144.71099652425187</c:v>
                </c:pt>
                <c:pt idx="14">
                  <c:v>161.20603538531907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36.311041858033704</c:v>
                </c:pt>
                <c:pt idx="3">
                  <c:v>37.115163827211198</c:v>
                </c:pt>
                <c:pt idx="4">
                  <c:v>44.012335755656899</c:v>
                </c:pt>
                <c:pt idx="5">
                  <c:v>56.341490070949753</c:v>
                </c:pt>
                <c:pt idx="6">
                  <c:v>66.066984761204395</c:v>
                </c:pt>
                <c:pt idx="8">
                  <c:v>37.255081911772038</c:v>
                </c:pt>
                <c:pt idx="9">
                  <c:v>37.718815447166712</c:v>
                </c:pt>
                <c:pt idx="10">
                  <c:v>36.311041858033704</c:v>
                </c:pt>
                <c:pt idx="11">
                  <c:v>37.115163827211198</c:v>
                </c:pt>
                <c:pt idx="12">
                  <c:v>41.81171896787405</c:v>
                </c:pt>
                <c:pt idx="13">
                  <c:v>50.848194789032142</c:v>
                </c:pt>
                <c:pt idx="14">
                  <c:v>56.64418105963761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1.3363657045889328</c:v>
                </c:pt>
                <c:pt idx="3">
                  <c:v>1.3659600364210163</c:v>
                </c:pt>
                <c:pt idx="4">
                  <c:v>1.6197986362569801</c:v>
                </c:pt>
                <c:pt idx="5">
                  <c:v>2.0735520443238626</c:v>
                </c:pt>
                <c:pt idx="6">
                  <c:v>2.4314822192561074</c:v>
                </c:pt>
                <c:pt idx="8">
                  <c:v>1.3711094818814338</c:v>
                </c:pt>
                <c:pt idx="9">
                  <c:v>1.3881764004014847</c:v>
                </c:pt>
                <c:pt idx="10">
                  <c:v>1.3363657045889328</c:v>
                </c:pt>
                <c:pt idx="11">
                  <c:v>1.3659600364210163</c:v>
                </c:pt>
                <c:pt idx="12">
                  <c:v>1.538808704444131</c:v>
                </c:pt>
                <c:pt idx="13">
                  <c:v>1.8713807200022856</c:v>
                </c:pt>
                <c:pt idx="14">
                  <c:v>2.0846920677347049</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1.1884501202373998</c:v>
                </c:pt>
                <c:pt idx="3">
                  <c:v>1.2147688046389902</c:v>
                </c:pt>
                <c:pt idx="4">
                  <c:v>1.4405112892448337</c:v>
                </c:pt>
                <c:pt idx="5">
                  <c:v>1.8440410195600052</c:v>
                </c:pt>
                <c:pt idx="6">
                  <c:v>2.1623537074523274</c:v>
                </c:pt>
                <c:pt idx="8">
                  <c:v>1.219348283935394</c:v>
                </c:pt>
                <c:pt idx="9">
                  <c:v>1.2345261512643642</c:v>
                </c:pt>
                <c:pt idx="10">
                  <c:v>1.1884501202373998</c:v>
                </c:pt>
                <c:pt idx="11">
                  <c:v>1.2147688046389902</c:v>
                </c:pt>
                <c:pt idx="12">
                  <c:v>1.3684857247825919</c:v>
                </c:pt>
                <c:pt idx="13">
                  <c:v>1.6642470201529045</c:v>
                </c:pt>
                <c:pt idx="14">
                  <c:v>1.8539480099269388</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22.595948083295109</c:v>
                </c:pt>
                <c:pt idx="3">
                  <c:v>23.096344032803003</c:v>
                </c:pt>
                <c:pt idx="4">
                  <c:v>27.388375625453065</c:v>
                </c:pt>
                <c:pt idx="5">
                  <c:v>35.060668034701415</c:v>
                </c:pt>
                <c:pt idx="6">
                  <c:v>41.112732692183442</c:v>
                </c:pt>
                <c:pt idx="8">
                  <c:v>23.183413464382845</c:v>
                </c:pt>
                <c:pt idx="9">
                  <c:v>23.471989565592747</c:v>
                </c:pt>
                <c:pt idx="10">
                  <c:v>22.595948083295109</c:v>
                </c:pt>
                <c:pt idx="11">
                  <c:v>23.096344032803003</c:v>
                </c:pt>
                <c:pt idx="12">
                  <c:v>37.601664801829308</c:v>
                </c:pt>
                <c:pt idx="13">
                  <c:v>60.555617249359486</c:v>
                </c:pt>
                <c:pt idx="14">
                  <c:v>84.844935223134271</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25.779922585941232</c:v>
                </c:pt>
                <c:pt idx="3">
                  <c:v>26.835400816677453</c:v>
                </c:pt>
                <c:pt idx="4">
                  <c:v>31.247646736312355</c:v>
                </c:pt>
                <c:pt idx="5">
                  <c:v>40.001034894136609</c:v>
                </c:pt>
                <c:pt idx="6">
                  <c:v>46.905890480627463</c:v>
                </c:pt>
                <c:pt idx="8">
                  <c:v>26.450167179818607</c:v>
                </c:pt>
                <c:pt idx="9">
                  <c:v>27.271859436409219</c:v>
                </c:pt>
                <c:pt idx="10">
                  <c:v>25.779922585941232</c:v>
                </c:pt>
                <c:pt idx="11">
                  <c:v>26.835400816677453</c:v>
                </c:pt>
                <c:pt idx="12">
                  <c:v>31.585862630719056</c:v>
                </c:pt>
                <c:pt idx="13">
                  <c:v>40.845307185127247</c:v>
                </c:pt>
                <c:pt idx="14">
                  <c:v>48.354094456638698</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79.266714881385326</c:v>
                </c:pt>
                <c:pt idx="5">
                  <c:v>84.862097424278346</c:v>
                </c:pt>
                <c:pt idx="6">
                  <c:v>91.22747843551079</c:v>
                </c:pt>
                <c:pt idx="8">
                  <c:v>82</c:v>
                </c:pt>
                <c:pt idx="9">
                  <c:v>82</c:v>
                </c:pt>
                <c:pt idx="10">
                  <c:v>82</c:v>
                </c:pt>
                <c:pt idx="11">
                  <c:v>86.036801673044508</c:v>
                </c:pt>
                <c:pt idx="12">
                  <c:v>79.266714881385326</c:v>
                </c:pt>
                <c:pt idx="13">
                  <c:v>84.862097424278346</c:v>
                </c:pt>
                <c:pt idx="14">
                  <c:v>91.22747843551079</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168.52328531277024</c:v>
                </c:pt>
                <c:pt idx="1">
                  <c:v>204.2657835275248</c:v>
                </c:pt>
                <c:pt idx="2">
                  <c:v>261.48665861187811</c:v>
                </c:pt>
                <c:pt idx="3">
                  <c:v>306.62368119860395</c:v>
                </c:pt>
                <c:pt idx="5">
                  <c:v>194.71059781939132</c:v>
                </c:pt>
                <c:pt idx="6">
                  <c:v>236.00722446678333</c:v>
                </c:pt>
                <c:pt idx="7">
                  <c:v>302.11981404005866</c:v>
                </c:pt>
                <c:pt idx="8">
                  <c:v>354.27080691524202</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22.595948083295109</c:v>
                </c:pt>
                <c:pt idx="1">
                  <c:v>27.388375625453065</c:v>
                </c:pt>
                <c:pt idx="2">
                  <c:v>35.060668034701415</c:v>
                </c:pt>
                <c:pt idx="3">
                  <c:v>41.112732692183442</c:v>
                </c:pt>
                <c:pt idx="5">
                  <c:v>23.010393182336216</c:v>
                </c:pt>
                <c:pt idx="6">
                  <c:v>27.890721356060297</c:v>
                </c:pt>
                <c:pt idx="7">
                  <c:v>35.703735631711503</c:v>
                </c:pt>
                <c:pt idx="8">
                  <c:v>41.866804639492415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191.11923339606534</c:v>
                </c:pt>
                <c:pt idx="1">
                  <c:v>231.65415915297785</c:v>
                </c:pt>
                <c:pt idx="2">
                  <c:v>296.54732664657951</c:v>
                </c:pt>
                <c:pt idx="3">
                  <c:v>347.73641389078739</c:v>
                </c:pt>
                <c:pt idx="5">
                  <c:v>217.72099100172755</c:v>
                </c:pt>
                <c:pt idx="6">
                  <c:v>263.89794582284361</c:v>
                </c:pt>
                <c:pt idx="7">
                  <c:v>337.82354967177014</c:v>
                </c:pt>
                <c:pt idx="8">
                  <c:v>396.13761155473446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47.404902267046701</c:v>
                </c:pt>
                <c:pt idx="10">
                  <c:v>48.226155605734554</c:v>
                </c:pt>
                <c:pt idx="11">
                  <c:v>49.047408944422408</c:v>
                </c:pt>
                <c:pt idx="12">
                  <c:v>49.868662283110261</c:v>
                </c:pt>
                <c:pt idx="13">
                  <c:v>50.689915621798114</c:v>
                </c:pt>
                <c:pt idx="14">
                  <c:v>51.511168960485968</c:v>
                </c:pt>
                <c:pt idx="15">
                  <c:v>52.332422299173821</c:v>
                </c:pt>
                <c:pt idx="16">
                  <c:v>53.153675637861674</c:v>
                </c:pt>
                <c:pt idx="17">
                  <c:v>53.974928976549528</c:v>
                </c:pt>
                <c:pt idx="18">
                  <c:v>54.796182315237353</c:v>
                </c:pt>
                <c:pt idx="19">
                  <c:v>56.331185118551758</c:v>
                </c:pt>
                <c:pt idx="20">
                  <c:v>57.866187921866164</c:v>
                </c:pt>
                <c:pt idx="21">
                  <c:v>59.40119072518057</c:v>
                </c:pt>
                <c:pt idx="22">
                  <c:v>60.936193528494975</c:v>
                </c:pt>
                <c:pt idx="23">
                  <c:v>62.471196331809381</c:v>
                </c:pt>
                <c:pt idx="24">
                  <c:v>64.006199135123794</c:v>
                </c:pt>
                <c:pt idx="25">
                  <c:v>65.541201938438206</c:v>
                </c:pt>
                <c:pt idx="26">
                  <c:v>67.076204741752619</c:v>
                </c:pt>
                <c:pt idx="27">
                  <c:v>68.611207545067032</c:v>
                </c:pt>
                <c:pt idx="28">
                  <c:v>70.14621034838143</c:v>
                </c:pt>
                <c:pt idx="29">
                  <c:v>76.200421866621184</c:v>
                </c:pt>
                <c:pt idx="30">
                  <c:v>82.254633384860938</c:v>
                </c:pt>
                <c:pt idx="31">
                  <c:v>82.254633384860938</c:v>
                </c:pt>
                <c:pt idx="32">
                  <c:v>82.254633384860938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3.6376721224257773</c:v>
                </c:pt>
                <c:pt idx="10">
                  <c:v>3.7127723752912054</c:v>
                </c:pt>
                <c:pt idx="11">
                  <c:v>3.7878726281566335</c:v>
                </c:pt>
                <c:pt idx="12">
                  <c:v>3.8629728810220616</c:v>
                </c:pt>
                <c:pt idx="13">
                  <c:v>3.9380731338874897</c:v>
                </c:pt>
                <c:pt idx="14">
                  <c:v>4.0131733867529178</c:v>
                </c:pt>
                <c:pt idx="15">
                  <c:v>4.0882736396183459</c:v>
                </c:pt>
                <c:pt idx="16">
                  <c:v>4.163373892483774</c:v>
                </c:pt>
                <c:pt idx="17">
                  <c:v>4.2384741453492021</c:v>
                </c:pt>
                <c:pt idx="18">
                  <c:v>4.3135743982146284</c:v>
                </c:pt>
                <c:pt idx="19">
                  <c:v>4.4344103490747209</c:v>
                </c:pt>
                <c:pt idx="20">
                  <c:v>4.5552462999348133</c:v>
                </c:pt>
                <c:pt idx="21">
                  <c:v>4.6760822507949058</c:v>
                </c:pt>
                <c:pt idx="22">
                  <c:v>4.7969182016549983</c:v>
                </c:pt>
                <c:pt idx="23">
                  <c:v>4.9177541525150907</c:v>
                </c:pt>
                <c:pt idx="24">
                  <c:v>5.0385901033751832</c:v>
                </c:pt>
                <c:pt idx="25">
                  <c:v>5.1594260542352757</c:v>
                </c:pt>
                <c:pt idx="26">
                  <c:v>5.2802620050953681</c:v>
                </c:pt>
                <c:pt idx="27">
                  <c:v>5.4010979559554606</c:v>
                </c:pt>
                <c:pt idx="28">
                  <c:v>5.5219339068155575</c:v>
                </c:pt>
                <c:pt idx="29">
                  <c:v>5.9985235286292875</c:v>
                </c:pt>
                <c:pt idx="30">
                  <c:v>6.4751131504430157</c:v>
                </c:pt>
                <c:pt idx="31">
                  <c:v>6.4751131504430157</c:v>
                </c:pt>
                <c:pt idx="32">
                  <c:v>6.4751131504430157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0.99922679648521096</c:v>
                </c:pt>
                <c:pt idx="10">
                  <c:v>1.0198559743111413</c:v>
                </c:pt>
                <c:pt idx="11">
                  <c:v>1.0404851521370715</c:v>
                </c:pt>
                <c:pt idx="12">
                  <c:v>1.0611143299630017</c:v>
                </c:pt>
                <c:pt idx="13">
                  <c:v>1.0817435077889319</c:v>
                </c:pt>
                <c:pt idx="14">
                  <c:v>1.1023726856148621</c:v>
                </c:pt>
                <c:pt idx="15">
                  <c:v>1.1230018634407923</c:v>
                </c:pt>
                <c:pt idx="16">
                  <c:v>1.1436310412667225</c:v>
                </c:pt>
                <c:pt idx="17">
                  <c:v>1.1642602190926528</c:v>
                </c:pt>
                <c:pt idx="18">
                  <c:v>1.1848893969185836</c:v>
                </c:pt>
                <c:pt idx="19">
                  <c:v>1.2180816462512853</c:v>
                </c:pt>
                <c:pt idx="20">
                  <c:v>1.2512738955839871</c:v>
                </c:pt>
                <c:pt idx="21">
                  <c:v>1.2844661449166888</c:v>
                </c:pt>
                <c:pt idx="22">
                  <c:v>1.3176583942493905</c:v>
                </c:pt>
                <c:pt idx="23">
                  <c:v>1.3508506435820922</c:v>
                </c:pt>
                <c:pt idx="24">
                  <c:v>1.3840428929147939</c:v>
                </c:pt>
                <c:pt idx="25">
                  <c:v>1.4172351422474956</c:v>
                </c:pt>
                <c:pt idx="26">
                  <c:v>1.4504273915801973</c:v>
                </c:pt>
                <c:pt idx="27">
                  <c:v>1.483619640912899</c:v>
                </c:pt>
                <c:pt idx="28">
                  <c:v>1.5168118902456016</c:v>
                </c:pt>
                <c:pt idx="29">
                  <c:v>1.6477255913752851</c:v>
                </c:pt>
                <c:pt idx="30">
                  <c:v>1.7786392925049694</c:v>
                </c:pt>
                <c:pt idx="31">
                  <c:v>1.7786392925049694</c:v>
                </c:pt>
                <c:pt idx="32">
                  <c:v>1.7786392925049694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3.2868795117468586</c:v>
                </c:pt>
                <c:pt idx="10">
                  <c:v>3.3547376018008279</c:v>
                </c:pt>
                <c:pt idx="11">
                  <c:v>3.4225956918547973</c:v>
                </c:pt>
                <c:pt idx="12">
                  <c:v>3.4904537819087667</c:v>
                </c:pt>
                <c:pt idx="13">
                  <c:v>3.558311871962736</c:v>
                </c:pt>
                <c:pt idx="14">
                  <c:v>3.6261699620167054</c:v>
                </c:pt>
                <c:pt idx="15">
                  <c:v>3.6940280520706748</c:v>
                </c:pt>
                <c:pt idx="16">
                  <c:v>3.7618861421246441</c:v>
                </c:pt>
                <c:pt idx="17">
                  <c:v>3.8297442321786135</c:v>
                </c:pt>
                <c:pt idx="18">
                  <c:v>3.8976023222325837</c:v>
                </c:pt>
                <c:pt idx="19">
                  <c:v>4.0067856674593205</c:v>
                </c:pt>
                <c:pt idx="20">
                  <c:v>4.1159690126860573</c:v>
                </c:pt>
                <c:pt idx="21">
                  <c:v>4.2251523579127941</c:v>
                </c:pt>
                <c:pt idx="22">
                  <c:v>4.3343357031395309</c:v>
                </c:pt>
                <c:pt idx="23">
                  <c:v>4.4435190483662677</c:v>
                </c:pt>
                <c:pt idx="24">
                  <c:v>4.5527023935930044</c:v>
                </c:pt>
                <c:pt idx="25">
                  <c:v>4.6618857388197412</c:v>
                </c:pt>
                <c:pt idx="26">
                  <c:v>4.771069084046478</c:v>
                </c:pt>
                <c:pt idx="27">
                  <c:v>4.8802524292732148</c:v>
                </c:pt>
                <c:pt idx="28">
                  <c:v>4.9894357744999507</c:v>
                </c:pt>
                <c:pt idx="29">
                  <c:v>5.4200663015871786</c:v>
                </c:pt>
                <c:pt idx="30">
                  <c:v>5.8506968286744083</c:v>
                </c:pt>
                <c:pt idx="31">
                  <c:v>5.8506968286744083</c:v>
                </c:pt>
                <c:pt idx="32">
                  <c:v>5.8506968286744083</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0.58321610806251878</c:v>
                </c:pt>
                <c:pt idx="9">
                  <c:v>0.59614441087102454</c:v>
                </c:pt>
                <c:pt idx="10">
                  <c:v>0.6084518961236729</c:v>
                </c:pt>
                <c:pt idx="11">
                  <c:v>0.62075938137632125</c:v>
                </c:pt>
                <c:pt idx="12">
                  <c:v>0.6330668666289696</c:v>
                </c:pt>
                <c:pt idx="13">
                  <c:v>0.64537435188161796</c:v>
                </c:pt>
                <c:pt idx="14">
                  <c:v>0.65768183713426631</c:v>
                </c:pt>
                <c:pt idx="15">
                  <c:v>0.66998932238691467</c:v>
                </c:pt>
                <c:pt idx="16">
                  <c:v>0.68229680763956302</c:v>
                </c:pt>
                <c:pt idx="17">
                  <c:v>0.69460429289221137</c:v>
                </c:pt>
                <c:pt idx="18">
                  <c:v>0.70691177814486006</c:v>
                </c:pt>
                <c:pt idx="19">
                  <c:v>0.72671446357476444</c:v>
                </c:pt>
                <c:pt idx="20">
                  <c:v>0.74651714900466881</c:v>
                </c:pt>
                <c:pt idx="21">
                  <c:v>0.76631983443457319</c:v>
                </c:pt>
                <c:pt idx="22">
                  <c:v>0.78612251986447756</c:v>
                </c:pt>
                <c:pt idx="23">
                  <c:v>0.80592520529438194</c:v>
                </c:pt>
                <c:pt idx="24">
                  <c:v>0.82572789072428632</c:v>
                </c:pt>
                <c:pt idx="25">
                  <c:v>0.84553057615419069</c:v>
                </c:pt>
                <c:pt idx="26">
                  <c:v>0.86533326158409507</c:v>
                </c:pt>
                <c:pt idx="27">
                  <c:v>0.88513594701399945</c:v>
                </c:pt>
                <c:pt idx="28">
                  <c:v>0.9049386324439036</c:v>
                </c:pt>
                <c:pt idx="29">
                  <c:v>0.98304249385896891</c:v>
                </c:pt>
                <c:pt idx="30">
                  <c:v>1.0611463552740346</c:v>
                </c:pt>
                <c:pt idx="31">
                  <c:v>1.0611463552740346</c:v>
                </c:pt>
                <c:pt idx="32">
                  <c:v>1.0611463552740346</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0.29686140236034775</c:v>
                </c:pt>
                <c:pt idx="10">
                  <c:v>0.30299014778679939</c:v>
                </c:pt>
                <c:pt idx="11">
                  <c:v>0.30911889321325103</c:v>
                </c:pt>
                <c:pt idx="12">
                  <c:v>0.31524763863970268</c:v>
                </c:pt>
                <c:pt idx="13">
                  <c:v>0.32137638406615432</c:v>
                </c:pt>
                <c:pt idx="14">
                  <c:v>0.32750512949260596</c:v>
                </c:pt>
                <c:pt idx="15">
                  <c:v>0.3336338749190576</c:v>
                </c:pt>
                <c:pt idx="16">
                  <c:v>0.33976262034550925</c:v>
                </c:pt>
                <c:pt idx="17">
                  <c:v>0.34589136577196089</c:v>
                </c:pt>
                <c:pt idx="18">
                  <c:v>0.35202011119841253</c:v>
                </c:pt>
                <c:pt idx="19">
                  <c:v>0.36188123353726487</c:v>
                </c:pt>
                <c:pt idx="20">
                  <c:v>0.3717423558761172</c:v>
                </c:pt>
                <c:pt idx="21">
                  <c:v>0.38160347821496954</c:v>
                </c:pt>
                <c:pt idx="22">
                  <c:v>0.39146460055382187</c:v>
                </c:pt>
                <c:pt idx="23">
                  <c:v>0.40132572289267421</c:v>
                </c:pt>
                <c:pt idx="24">
                  <c:v>0.41118684523152654</c:v>
                </c:pt>
                <c:pt idx="25">
                  <c:v>0.42104796757037888</c:v>
                </c:pt>
                <c:pt idx="26">
                  <c:v>0.43090908990923121</c:v>
                </c:pt>
                <c:pt idx="27">
                  <c:v>0.44077021224808355</c:v>
                </c:pt>
                <c:pt idx="28">
                  <c:v>0.45063133458693594</c:v>
                </c:pt>
                <c:pt idx="29">
                  <c:v>0.48952463192668222</c:v>
                </c:pt>
                <c:pt idx="30">
                  <c:v>0.52841792926642828</c:v>
                </c:pt>
                <c:pt idx="31">
                  <c:v>0.52841792926642828</c:v>
                </c:pt>
                <c:pt idx="32">
                  <c:v>0.52841792926642828</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6.6369980170086968</c:v>
                </c:pt>
                <c:pt idx="10">
                  <c:v>6.7740197750368258</c:v>
                </c:pt>
                <c:pt idx="11">
                  <c:v>6.9110415330649548</c:v>
                </c:pt>
                <c:pt idx="12">
                  <c:v>7.0480632910930838</c:v>
                </c:pt>
                <c:pt idx="13">
                  <c:v>7.1850850491212128</c:v>
                </c:pt>
                <c:pt idx="14">
                  <c:v>7.3221068071493418</c:v>
                </c:pt>
                <c:pt idx="15">
                  <c:v>7.4591285651774708</c:v>
                </c:pt>
                <c:pt idx="16">
                  <c:v>7.5961503232055998</c:v>
                </c:pt>
                <c:pt idx="17">
                  <c:v>7.7331720812337288</c:v>
                </c:pt>
                <c:pt idx="18">
                  <c:v>7.8701938392618604</c:v>
                </c:pt>
                <c:pt idx="19">
                  <c:v>8.0906611984000421</c:v>
                </c:pt>
                <c:pt idx="20">
                  <c:v>8.3111285575382237</c:v>
                </c:pt>
                <c:pt idx="21">
                  <c:v>8.5315959166764053</c:v>
                </c:pt>
                <c:pt idx="22">
                  <c:v>8.7520632758145869</c:v>
                </c:pt>
                <c:pt idx="23">
                  <c:v>8.9725306349527685</c:v>
                </c:pt>
                <c:pt idx="24">
                  <c:v>9.1929979940909501</c:v>
                </c:pt>
                <c:pt idx="25">
                  <c:v>9.4134653532291317</c:v>
                </c:pt>
                <c:pt idx="26">
                  <c:v>9.6339327123673133</c:v>
                </c:pt>
                <c:pt idx="27">
                  <c:v>9.8544000715054949</c:v>
                </c:pt>
                <c:pt idx="28">
                  <c:v>10.074867430643682</c:v>
                </c:pt>
                <c:pt idx="29">
                  <c:v>10.944413741704649</c:v>
                </c:pt>
                <c:pt idx="30">
                  <c:v>11.81396005276561</c:v>
                </c:pt>
                <c:pt idx="31">
                  <c:v>11.81396005276561</c:v>
                </c:pt>
                <c:pt idx="32">
                  <c:v>11.81396005276561</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2.2177395272005445</c:v>
                </c:pt>
                <c:pt idx="10">
                  <c:v>2.2635250718227877</c:v>
                </c:pt>
                <c:pt idx="11">
                  <c:v>2.309310616445031</c:v>
                </c:pt>
                <c:pt idx="12">
                  <c:v>2.3550961610672743</c:v>
                </c:pt>
                <c:pt idx="13">
                  <c:v>2.4008817056895175</c:v>
                </c:pt>
                <c:pt idx="14">
                  <c:v>2.4466672503117608</c:v>
                </c:pt>
                <c:pt idx="15">
                  <c:v>2.4924527949340041</c:v>
                </c:pt>
                <c:pt idx="16">
                  <c:v>2.5382383395562473</c:v>
                </c:pt>
                <c:pt idx="17">
                  <c:v>2.5840238841784906</c:v>
                </c:pt>
                <c:pt idx="18">
                  <c:v>2.6298094288007321</c:v>
                </c:pt>
                <c:pt idx="19">
                  <c:v>2.7034781530590872</c:v>
                </c:pt>
                <c:pt idx="20">
                  <c:v>2.7771468773174424</c:v>
                </c:pt>
                <c:pt idx="21">
                  <c:v>2.8508156015757975</c:v>
                </c:pt>
                <c:pt idx="22">
                  <c:v>2.9244843258341526</c:v>
                </c:pt>
                <c:pt idx="23">
                  <c:v>2.9981530500925078</c:v>
                </c:pt>
                <c:pt idx="24">
                  <c:v>3.0718217743508629</c:v>
                </c:pt>
                <c:pt idx="25">
                  <c:v>3.145490498609218</c:v>
                </c:pt>
                <c:pt idx="26">
                  <c:v>3.2191592228675732</c:v>
                </c:pt>
                <c:pt idx="27">
                  <c:v>3.2928279471259283</c:v>
                </c:pt>
                <c:pt idx="28">
                  <c:v>3.3664966713842848</c:v>
                </c:pt>
                <c:pt idx="29">
                  <c:v>3.6570538208409098</c:v>
                </c:pt>
                <c:pt idx="30">
                  <c:v>3.9476109702975353</c:v>
                </c:pt>
                <c:pt idx="31">
                  <c:v>3.9476109702975353</c:v>
                </c:pt>
                <c:pt idx="32">
                  <c:v>3.9476109702975353</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0.1217515886422763</c:v>
                </c:pt>
                <c:pt idx="10">
                  <c:v>0.12426516732283784</c:v>
                </c:pt>
                <c:pt idx="11">
                  <c:v>0.12677874600339939</c:v>
                </c:pt>
                <c:pt idx="12">
                  <c:v>0.12929232468396093</c:v>
                </c:pt>
                <c:pt idx="13">
                  <c:v>0.13180590336452247</c:v>
                </c:pt>
                <c:pt idx="14">
                  <c:v>0.13431948204508401</c:v>
                </c:pt>
                <c:pt idx="15">
                  <c:v>0.13683306072564555</c:v>
                </c:pt>
                <c:pt idx="16">
                  <c:v>0.13934663940620709</c:v>
                </c:pt>
                <c:pt idx="17">
                  <c:v>0.14186021808676863</c:v>
                </c:pt>
                <c:pt idx="18">
                  <c:v>0.1443737967673302</c:v>
                </c:pt>
                <c:pt idx="19">
                  <c:v>0.14841813294914796</c:v>
                </c:pt>
                <c:pt idx="20">
                  <c:v>0.15246246913096573</c:v>
                </c:pt>
                <c:pt idx="21">
                  <c:v>0.15650680531278349</c:v>
                </c:pt>
                <c:pt idx="22">
                  <c:v>0.16055114149460126</c:v>
                </c:pt>
                <c:pt idx="23">
                  <c:v>0.16459547767641902</c:v>
                </c:pt>
                <c:pt idx="24">
                  <c:v>0.16863981385823679</c:v>
                </c:pt>
                <c:pt idx="25">
                  <c:v>0.17268415004005455</c:v>
                </c:pt>
                <c:pt idx="26">
                  <c:v>0.17672848622187232</c:v>
                </c:pt>
                <c:pt idx="27">
                  <c:v>0.18077282240369008</c:v>
                </c:pt>
                <c:pt idx="28">
                  <c:v>0.18481715858550771</c:v>
                </c:pt>
                <c:pt idx="29">
                  <c:v>0.20076844326246446</c:v>
                </c:pt>
                <c:pt idx="30">
                  <c:v>0.21671972793942126</c:v>
                </c:pt>
                <c:pt idx="31">
                  <c:v>0.21671972793942126</c:v>
                </c:pt>
                <c:pt idx="32">
                  <c:v>0.21671972793942126</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2.9300861049302369E-2</c:v>
                </c:pt>
                <c:pt idx="10">
                  <c:v>2.9905781448920456E-2</c:v>
                </c:pt>
                <c:pt idx="11">
                  <c:v>3.0510701848538543E-2</c:v>
                </c:pt>
                <c:pt idx="12">
                  <c:v>3.111562224815663E-2</c:v>
                </c:pt>
                <c:pt idx="13">
                  <c:v>3.1720542647774713E-2</c:v>
                </c:pt>
                <c:pt idx="14">
                  <c:v>3.2325463047392797E-2</c:v>
                </c:pt>
                <c:pt idx="15">
                  <c:v>3.293038344701088E-2</c:v>
                </c:pt>
                <c:pt idx="16">
                  <c:v>3.3535303846628964E-2</c:v>
                </c:pt>
                <c:pt idx="17">
                  <c:v>3.4140224246247047E-2</c:v>
                </c:pt>
                <c:pt idx="18">
                  <c:v>3.4745144645865138E-2</c:v>
                </c:pt>
                <c:pt idx="19">
                  <c:v>3.5718458701325111E-2</c:v>
                </c:pt>
                <c:pt idx="20">
                  <c:v>3.6691772756785083E-2</c:v>
                </c:pt>
                <c:pt idx="21">
                  <c:v>3.7665086812245056E-2</c:v>
                </c:pt>
                <c:pt idx="22">
                  <c:v>3.8638400867705029E-2</c:v>
                </c:pt>
                <c:pt idx="23">
                  <c:v>3.9611714923165002E-2</c:v>
                </c:pt>
                <c:pt idx="24">
                  <c:v>4.0585028978624975E-2</c:v>
                </c:pt>
                <c:pt idx="25">
                  <c:v>4.1558343034084948E-2</c:v>
                </c:pt>
                <c:pt idx="26">
                  <c:v>4.2531657089544921E-2</c:v>
                </c:pt>
                <c:pt idx="27">
                  <c:v>4.3504971145004893E-2</c:v>
                </c:pt>
                <c:pt idx="28">
                  <c:v>4.4478285200464845E-2</c:v>
                </c:pt>
                <c:pt idx="29">
                  <c:v>4.8317137580868884E-2</c:v>
                </c:pt>
                <c:pt idx="30">
                  <c:v>5.2155989961272943E-2</c:v>
                </c:pt>
                <c:pt idx="31">
                  <c:v>5.2155989961272943E-2</c:v>
                </c:pt>
                <c:pt idx="32">
                  <c:v>5.2155989961272943E-2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23.52047053906816</c:v>
                </c:pt>
                <c:pt idx="10">
                  <c:v>24.006053963178399</c:v>
                </c:pt>
                <c:pt idx="11">
                  <c:v>24.491637387288637</c:v>
                </c:pt>
                <c:pt idx="12">
                  <c:v>24.977220811398876</c:v>
                </c:pt>
                <c:pt idx="13">
                  <c:v>25.462804235509115</c:v>
                </c:pt>
                <c:pt idx="14">
                  <c:v>25.948387659619353</c:v>
                </c:pt>
                <c:pt idx="15">
                  <c:v>26.433971083729592</c:v>
                </c:pt>
                <c:pt idx="16">
                  <c:v>26.91955450783983</c:v>
                </c:pt>
                <c:pt idx="17">
                  <c:v>27.405137931950069</c:v>
                </c:pt>
                <c:pt idx="18">
                  <c:v>27.890721356060297</c:v>
                </c:pt>
                <c:pt idx="19">
                  <c:v>28.672022783625419</c:v>
                </c:pt>
                <c:pt idx="20">
                  <c:v>29.453324211190541</c:v>
                </c:pt>
                <c:pt idx="21">
                  <c:v>30.234625638755663</c:v>
                </c:pt>
                <c:pt idx="22">
                  <c:v>31.015927066320785</c:v>
                </c:pt>
                <c:pt idx="23">
                  <c:v>31.797228493885907</c:v>
                </c:pt>
                <c:pt idx="24">
                  <c:v>32.578529921451029</c:v>
                </c:pt>
                <c:pt idx="25">
                  <c:v>33.359831349016147</c:v>
                </c:pt>
                <c:pt idx="26">
                  <c:v>34.141132776581266</c:v>
                </c:pt>
                <c:pt idx="27">
                  <c:v>34.922434204146384</c:v>
                </c:pt>
                <c:pt idx="28">
                  <c:v>35.703735631711503</c:v>
                </c:pt>
                <c:pt idx="29">
                  <c:v>38.785270135601962</c:v>
                </c:pt>
                <c:pt idx="30">
                  <c:v>41.866804639492415</c:v>
                </c:pt>
                <c:pt idx="31">
                  <c:v>41.866804639492415</c:v>
                </c:pt>
                <c:pt idx="32">
                  <c:v>41.866804639492415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26.834718660482309</c:v>
                </c:pt>
                <c:pt idx="10">
                  <c:v>27.388725203444444</c:v>
                </c:pt>
                <c:pt idx="11">
                  <c:v>27.942731746406579</c:v>
                </c:pt>
                <c:pt idx="12">
                  <c:v>28.496738289368714</c:v>
                </c:pt>
                <c:pt idx="13">
                  <c:v>29.050744832330849</c:v>
                </c:pt>
                <c:pt idx="14">
                  <c:v>29.604751375292985</c:v>
                </c:pt>
                <c:pt idx="15">
                  <c:v>30.15875791825512</c:v>
                </c:pt>
                <c:pt idx="16">
                  <c:v>30.712764461217255</c:v>
                </c:pt>
                <c:pt idx="17">
                  <c:v>31.26677100417939</c:v>
                </c:pt>
                <c:pt idx="18">
                  <c:v>31.820777547141518</c:v>
                </c:pt>
                <c:pt idx="19">
                  <c:v>32.712171448590816</c:v>
                </c:pt>
                <c:pt idx="20">
                  <c:v>33.603565350040114</c:v>
                </c:pt>
                <c:pt idx="21">
                  <c:v>34.494959251489412</c:v>
                </c:pt>
                <c:pt idx="22">
                  <c:v>35.38635315293871</c:v>
                </c:pt>
                <c:pt idx="23">
                  <c:v>36.277747054388009</c:v>
                </c:pt>
                <c:pt idx="24">
                  <c:v>37.169140955837307</c:v>
                </c:pt>
                <c:pt idx="25">
                  <c:v>38.060534857286605</c:v>
                </c:pt>
                <c:pt idx="26">
                  <c:v>38.951928758735903</c:v>
                </c:pt>
                <c:pt idx="27">
                  <c:v>39.843322660185201</c:v>
                </c:pt>
                <c:pt idx="28">
                  <c:v>40.734716561634485</c:v>
                </c:pt>
                <c:pt idx="29">
                  <c:v>44.25046729107315</c:v>
                </c:pt>
                <c:pt idx="30">
                  <c:v>47.766218020511793</c:v>
                </c:pt>
                <c:pt idx="31">
                  <c:v>47.766218020511793</c:v>
                </c:pt>
                <c:pt idx="32">
                  <c:v>47.766218020511793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84.862097424278346</c:v>
                </c:pt>
                <c:pt idx="10">
                  <c:v>85.569361981081954</c:v>
                </c:pt>
                <c:pt idx="11">
                  <c:v>86.276626537885562</c:v>
                </c:pt>
                <c:pt idx="12">
                  <c:v>86.98389109468917</c:v>
                </c:pt>
                <c:pt idx="13">
                  <c:v>87.691155651492778</c:v>
                </c:pt>
                <c:pt idx="14">
                  <c:v>88.398420208296386</c:v>
                </c:pt>
                <c:pt idx="15">
                  <c:v>89.105684765099994</c:v>
                </c:pt>
                <c:pt idx="16">
                  <c:v>89.812949321903602</c:v>
                </c:pt>
                <c:pt idx="17">
                  <c:v>90.52021387870721</c:v>
                </c:pt>
                <c:pt idx="18">
                  <c:v>91.22747843551079</c:v>
                </c:pt>
                <c:pt idx="19">
                  <c:v>92.287730218036216</c:v>
                </c:pt>
                <c:pt idx="20">
                  <c:v>93.347982000561643</c:v>
                </c:pt>
                <c:pt idx="21">
                  <c:v>94.40823378308707</c:v>
                </c:pt>
                <c:pt idx="22">
                  <c:v>95.468485565612497</c:v>
                </c:pt>
                <c:pt idx="23">
                  <c:v>96.528737348137923</c:v>
                </c:pt>
                <c:pt idx="24">
                  <c:v>97.58898913066335</c:v>
                </c:pt>
                <c:pt idx="25">
                  <c:v>98.649240913188777</c:v>
                </c:pt>
                <c:pt idx="26">
                  <c:v>99.709492695714204</c:v>
                </c:pt>
                <c:pt idx="27">
                  <c:v>100.76974447823963</c:v>
                </c:pt>
                <c:pt idx="28">
                  <c:v>101.82999626076513</c:v>
                </c:pt>
                <c:pt idx="29">
                  <c:v>102.40704423462124</c:v>
                </c:pt>
                <c:pt idx="30">
                  <c:v>102.98409220847734</c:v>
                </c:pt>
                <c:pt idx="31">
                  <c:v>102.98409220847734</c:v>
                </c:pt>
                <c:pt idx="32">
                  <c:v>102.98409220847734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47.404902267046701</c:v>
                </c:pt>
                <c:pt idx="10">
                  <c:v>48.226155605734554</c:v>
                </c:pt>
                <c:pt idx="11">
                  <c:v>49.047408944422408</c:v>
                </c:pt>
                <c:pt idx="12">
                  <c:v>49.868662283110261</c:v>
                </c:pt>
                <c:pt idx="13">
                  <c:v>50.689915621798114</c:v>
                </c:pt>
                <c:pt idx="14">
                  <c:v>51.511168960485968</c:v>
                </c:pt>
                <c:pt idx="15">
                  <c:v>52.332422299173821</c:v>
                </c:pt>
                <c:pt idx="16">
                  <c:v>53.153675637861674</c:v>
                </c:pt>
                <c:pt idx="17">
                  <c:v>53.974928976549528</c:v>
                </c:pt>
                <c:pt idx="18">
                  <c:v>54.796182315237353</c:v>
                </c:pt>
                <c:pt idx="19">
                  <c:v>56.331185118551758</c:v>
                </c:pt>
                <c:pt idx="20">
                  <c:v>57.866187921866164</c:v>
                </c:pt>
                <c:pt idx="21">
                  <c:v>59.40119072518057</c:v>
                </c:pt>
                <c:pt idx="22">
                  <c:v>60.936193528494975</c:v>
                </c:pt>
                <c:pt idx="23">
                  <c:v>62.471196331809381</c:v>
                </c:pt>
                <c:pt idx="24">
                  <c:v>64.006199135123794</c:v>
                </c:pt>
                <c:pt idx="25">
                  <c:v>65.541201938438206</c:v>
                </c:pt>
                <c:pt idx="26">
                  <c:v>67.076204741752619</c:v>
                </c:pt>
                <c:pt idx="27">
                  <c:v>68.611207545067032</c:v>
                </c:pt>
                <c:pt idx="28">
                  <c:v>70.14621034838143</c:v>
                </c:pt>
                <c:pt idx="29">
                  <c:v>71.357052652029381</c:v>
                </c:pt>
                <c:pt idx="30">
                  <c:v>72.567894955677332</c:v>
                </c:pt>
                <c:pt idx="31">
                  <c:v>73.778737259325283</c:v>
                </c:pt>
                <c:pt idx="32">
                  <c:v>74.989579562973233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3.6376721224257773</c:v>
                </c:pt>
                <c:pt idx="10">
                  <c:v>3.7127723752912054</c:v>
                </c:pt>
                <c:pt idx="11">
                  <c:v>3.7878726281566335</c:v>
                </c:pt>
                <c:pt idx="12">
                  <c:v>3.8629728810220616</c:v>
                </c:pt>
                <c:pt idx="13">
                  <c:v>3.9380731338874897</c:v>
                </c:pt>
                <c:pt idx="14">
                  <c:v>4.0131733867529178</c:v>
                </c:pt>
                <c:pt idx="15">
                  <c:v>4.0882736396183459</c:v>
                </c:pt>
                <c:pt idx="16">
                  <c:v>4.163373892483774</c:v>
                </c:pt>
                <c:pt idx="17">
                  <c:v>4.2384741453492021</c:v>
                </c:pt>
                <c:pt idx="18">
                  <c:v>4.3135743982146284</c:v>
                </c:pt>
                <c:pt idx="19">
                  <c:v>4.4344103490747209</c:v>
                </c:pt>
                <c:pt idx="20">
                  <c:v>4.5552462999348133</c:v>
                </c:pt>
                <c:pt idx="21">
                  <c:v>4.6760822507949058</c:v>
                </c:pt>
                <c:pt idx="22">
                  <c:v>4.7969182016549983</c:v>
                </c:pt>
                <c:pt idx="23">
                  <c:v>4.9177541525150907</c:v>
                </c:pt>
                <c:pt idx="24">
                  <c:v>5.0385901033751832</c:v>
                </c:pt>
                <c:pt idx="25">
                  <c:v>5.1594260542352757</c:v>
                </c:pt>
                <c:pt idx="26">
                  <c:v>5.2802620050953681</c:v>
                </c:pt>
                <c:pt idx="27">
                  <c:v>5.4010979559554606</c:v>
                </c:pt>
                <c:pt idx="28">
                  <c:v>5.5219339068155575</c:v>
                </c:pt>
                <c:pt idx="29">
                  <c:v>5.6172518311783035</c:v>
                </c:pt>
                <c:pt idx="30">
                  <c:v>5.7125697555410495</c:v>
                </c:pt>
                <c:pt idx="31">
                  <c:v>5.8078876799037955</c:v>
                </c:pt>
                <c:pt idx="32">
                  <c:v>5.9032056042665415</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0.99922679648521096</c:v>
                </c:pt>
                <c:pt idx="10">
                  <c:v>1.0198559743111413</c:v>
                </c:pt>
                <c:pt idx="11">
                  <c:v>1.0404851521370715</c:v>
                </c:pt>
                <c:pt idx="12">
                  <c:v>1.0611143299630017</c:v>
                </c:pt>
                <c:pt idx="13">
                  <c:v>1.0817435077889319</c:v>
                </c:pt>
                <c:pt idx="14">
                  <c:v>1.1023726856148621</c:v>
                </c:pt>
                <c:pt idx="15">
                  <c:v>1.1230018634407923</c:v>
                </c:pt>
                <c:pt idx="16">
                  <c:v>1.1436310412667225</c:v>
                </c:pt>
                <c:pt idx="17">
                  <c:v>1.1642602190926528</c:v>
                </c:pt>
                <c:pt idx="18">
                  <c:v>1.1848893969185836</c:v>
                </c:pt>
                <c:pt idx="19">
                  <c:v>1.2180816462512853</c:v>
                </c:pt>
                <c:pt idx="20">
                  <c:v>1.2512738955839871</c:v>
                </c:pt>
                <c:pt idx="21">
                  <c:v>1.2844661449166888</c:v>
                </c:pt>
                <c:pt idx="22">
                  <c:v>1.3176583942493905</c:v>
                </c:pt>
                <c:pt idx="23">
                  <c:v>1.3508506435820922</c:v>
                </c:pt>
                <c:pt idx="24">
                  <c:v>1.3840428929147939</c:v>
                </c:pt>
                <c:pt idx="25">
                  <c:v>1.4172351422474956</c:v>
                </c:pt>
                <c:pt idx="26">
                  <c:v>1.4504273915801973</c:v>
                </c:pt>
                <c:pt idx="27">
                  <c:v>1.483619640912899</c:v>
                </c:pt>
                <c:pt idx="28">
                  <c:v>1.5168118902456016</c:v>
                </c:pt>
                <c:pt idx="29">
                  <c:v>1.5429946304715383</c:v>
                </c:pt>
                <c:pt idx="30">
                  <c:v>1.569177370697475</c:v>
                </c:pt>
                <c:pt idx="31">
                  <c:v>1.5953601109234117</c:v>
                </c:pt>
                <c:pt idx="32">
                  <c:v>1.6215428511493484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3.2868795117468586</c:v>
                </c:pt>
                <c:pt idx="10">
                  <c:v>3.3547376018008279</c:v>
                </c:pt>
                <c:pt idx="11">
                  <c:v>3.4225956918547973</c:v>
                </c:pt>
                <c:pt idx="12">
                  <c:v>3.4904537819087667</c:v>
                </c:pt>
                <c:pt idx="13">
                  <c:v>3.558311871962736</c:v>
                </c:pt>
                <c:pt idx="14">
                  <c:v>3.6261699620167054</c:v>
                </c:pt>
                <c:pt idx="15">
                  <c:v>3.6940280520706748</c:v>
                </c:pt>
                <c:pt idx="16">
                  <c:v>3.7618861421246441</c:v>
                </c:pt>
                <c:pt idx="17">
                  <c:v>3.8297442321786135</c:v>
                </c:pt>
                <c:pt idx="18">
                  <c:v>3.8976023222325837</c:v>
                </c:pt>
                <c:pt idx="19">
                  <c:v>4.0067856674593205</c:v>
                </c:pt>
                <c:pt idx="20">
                  <c:v>4.1159690126860573</c:v>
                </c:pt>
                <c:pt idx="21">
                  <c:v>4.2251523579127941</c:v>
                </c:pt>
                <c:pt idx="22">
                  <c:v>4.3343357031395309</c:v>
                </c:pt>
                <c:pt idx="23">
                  <c:v>4.4435190483662677</c:v>
                </c:pt>
                <c:pt idx="24">
                  <c:v>4.5527023935930044</c:v>
                </c:pt>
                <c:pt idx="25">
                  <c:v>4.6618857388197412</c:v>
                </c:pt>
                <c:pt idx="26">
                  <c:v>4.771069084046478</c:v>
                </c:pt>
                <c:pt idx="27">
                  <c:v>4.8802524292732148</c:v>
                </c:pt>
                <c:pt idx="28">
                  <c:v>4.9894357744999507</c:v>
                </c:pt>
                <c:pt idx="29">
                  <c:v>5.0755618799173963</c:v>
                </c:pt>
                <c:pt idx="30">
                  <c:v>5.1616879853348419</c:v>
                </c:pt>
                <c:pt idx="31">
                  <c:v>5.2478140907522874</c:v>
                </c:pt>
                <c:pt idx="32">
                  <c:v>5.333940196169733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0.58321610806251878</c:v>
                </c:pt>
                <c:pt idx="9">
                  <c:v>0.59614441087102454</c:v>
                </c:pt>
                <c:pt idx="10">
                  <c:v>0.6084518961236729</c:v>
                </c:pt>
                <c:pt idx="11">
                  <c:v>0.62075938137632125</c:v>
                </c:pt>
                <c:pt idx="12">
                  <c:v>0.6330668666289696</c:v>
                </c:pt>
                <c:pt idx="13">
                  <c:v>0.64537435188161796</c:v>
                </c:pt>
                <c:pt idx="14">
                  <c:v>0.65768183713426631</c:v>
                </c:pt>
                <c:pt idx="15">
                  <c:v>0.66998932238691467</c:v>
                </c:pt>
                <c:pt idx="16">
                  <c:v>0.68229680763956302</c:v>
                </c:pt>
                <c:pt idx="17">
                  <c:v>0.69460429289221137</c:v>
                </c:pt>
                <c:pt idx="18">
                  <c:v>0.70691177814486006</c:v>
                </c:pt>
                <c:pt idx="19">
                  <c:v>0.72671446357476444</c:v>
                </c:pt>
                <c:pt idx="20">
                  <c:v>0.74651714900466881</c:v>
                </c:pt>
                <c:pt idx="21">
                  <c:v>0.76631983443457319</c:v>
                </c:pt>
                <c:pt idx="22">
                  <c:v>0.78612251986447756</c:v>
                </c:pt>
                <c:pt idx="23">
                  <c:v>0.80592520529438194</c:v>
                </c:pt>
                <c:pt idx="24">
                  <c:v>0.82572789072428632</c:v>
                </c:pt>
                <c:pt idx="25">
                  <c:v>0.84553057615419069</c:v>
                </c:pt>
                <c:pt idx="26">
                  <c:v>0.86533326158409507</c:v>
                </c:pt>
                <c:pt idx="27">
                  <c:v>0.88513594701399945</c:v>
                </c:pt>
                <c:pt idx="28">
                  <c:v>0.9049386324439036</c:v>
                </c:pt>
                <c:pt idx="29">
                  <c:v>0.92055940472691666</c:v>
                </c:pt>
                <c:pt idx="30">
                  <c:v>0.93618017700992973</c:v>
                </c:pt>
                <c:pt idx="31">
                  <c:v>0.95180094929294279</c:v>
                </c:pt>
                <c:pt idx="32">
                  <c:v>0.96742172157595585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0.29686140236034775</c:v>
                </c:pt>
                <c:pt idx="10">
                  <c:v>0.30299014778679939</c:v>
                </c:pt>
                <c:pt idx="11">
                  <c:v>0.30911889321325103</c:v>
                </c:pt>
                <c:pt idx="12">
                  <c:v>0.31524763863970268</c:v>
                </c:pt>
                <c:pt idx="13">
                  <c:v>0.32137638406615432</c:v>
                </c:pt>
                <c:pt idx="14">
                  <c:v>0.32750512949260596</c:v>
                </c:pt>
                <c:pt idx="15">
                  <c:v>0.3336338749190576</c:v>
                </c:pt>
                <c:pt idx="16">
                  <c:v>0.33976262034550925</c:v>
                </c:pt>
                <c:pt idx="17">
                  <c:v>0.34589136577196089</c:v>
                </c:pt>
                <c:pt idx="18">
                  <c:v>0.35202011119841253</c:v>
                </c:pt>
                <c:pt idx="19">
                  <c:v>0.36188123353726487</c:v>
                </c:pt>
                <c:pt idx="20">
                  <c:v>0.3717423558761172</c:v>
                </c:pt>
                <c:pt idx="21">
                  <c:v>0.38160347821496954</c:v>
                </c:pt>
                <c:pt idx="22">
                  <c:v>0.39146460055382187</c:v>
                </c:pt>
                <c:pt idx="23">
                  <c:v>0.40132572289267421</c:v>
                </c:pt>
                <c:pt idx="24">
                  <c:v>0.41118684523152654</c:v>
                </c:pt>
                <c:pt idx="25">
                  <c:v>0.42104796757037888</c:v>
                </c:pt>
                <c:pt idx="26">
                  <c:v>0.43090908990923121</c:v>
                </c:pt>
                <c:pt idx="27">
                  <c:v>0.44077021224808355</c:v>
                </c:pt>
                <c:pt idx="28">
                  <c:v>0.45063133458693594</c:v>
                </c:pt>
                <c:pt idx="29">
                  <c:v>0.45840999405488519</c:v>
                </c:pt>
                <c:pt idx="30">
                  <c:v>0.46618865352283445</c:v>
                </c:pt>
                <c:pt idx="31">
                  <c:v>0.47396731299078371</c:v>
                </c:pt>
                <c:pt idx="32">
                  <c:v>0.48174597245873296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6.6369980170086968</c:v>
                </c:pt>
                <c:pt idx="10">
                  <c:v>6.7740197750368258</c:v>
                </c:pt>
                <c:pt idx="11">
                  <c:v>6.9110415330649548</c:v>
                </c:pt>
                <c:pt idx="12">
                  <c:v>7.0480632910930838</c:v>
                </c:pt>
                <c:pt idx="13">
                  <c:v>7.1850850491212128</c:v>
                </c:pt>
                <c:pt idx="14">
                  <c:v>7.3221068071493418</c:v>
                </c:pt>
                <c:pt idx="15">
                  <c:v>7.4591285651774708</c:v>
                </c:pt>
                <c:pt idx="16">
                  <c:v>7.5961503232055998</c:v>
                </c:pt>
                <c:pt idx="17">
                  <c:v>7.7331720812337288</c:v>
                </c:pt>
                <c:pt idx="18">
                  <c:v>7.8701938392618604</c:v>
                </c:pt>
                <c:pt idx="19">
                  <c:v>8.0906611984000421</c:v>
                </c:pt>
                <c:pt idx="20">
                  <c:v>8.3111285575382237</c:v>
                </c:pt>
                <c:pt idx="21">
                  <c:v>8.5315959166764053</c:v>
                </c:pt>
                <c:pt idx="22">
                  <c:v>8.7520632758145869</c:v>
                </c:pt>
                <c:pt idx="23">
                  <c:v>8.9725306349527685</c:v>
                </c:pt>
                <c:pt idx="24">
                  <c:v>9.1929979940909501</c:v>
                </c:pt>
                <c:pt idx="25">
                  <c:v>9.4134653532291317</c:v>
                </c:pt>
                <c:pt idx="26">
                  <c:v>9.6339327123673133</c:v>
                </c:pt>
                <c:pt idx="27">
                  <c:v>9.8544000715054949</c:v>
                </c:pt>
                <c:pt idx="28">
                  <c:v>10.074867430643682</c:v>
                </c:pt>
                <c:pt idx="29">
                  <c:v>10.248776692855875</c:v>
                </c:pt>
                <c:pt idx="30">
                  <c:v>10.422685955068069</c:v>
                </c:pt>
                <c:pt idx="31">
                  <c:v>10.596595217280262</c:v>
                </c:pt>
                <c:pt idx="32">
                  <c:v>10.770504479492455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2.2177395272005445</c:v>
                </c:pt>
                <c:pt idx="10">
                  <c:v>2.2635250718227877</c:v>
                </c:pt>
                <c:pt idx="11">
                  <c:v>2.309310616445031</c:v>
                </c:pt>
                <c:pt idx="12">
                  <c:v>2.3550961610672743</c:v>
                </c:pt>
                <c:pt idx="13">
                  <c:v>2.4008817056895175</c:v>
                </c:pt>
                <c:pt idx="14">
                  <c:v>2.4466672503117608</c:v>
                </c:pt>
                <c:pt idx="15">
                  <c:v>2.4924527949340041</c:v>
                </c:pt>
                <c:pt idx="16">
                  <c:v>2.5382383395562473</c:v>
                </c:pt>
                <c:pt idx="17">
                  <c:v>2.5840238841784906</c:v>
                </c:pt>
                <c:pt idx="18">
                  <c:v>2.6298094288007321</c:v>
                </c:pt>
                <c:pt idx="19">
                  <c:v>2.7034781530590872</c:v>
                </c:pt>
                <c:pt idx="20">
                  <c:v>2.7771468773174424</c:v>
                </c:pt>
                <c:pt idx="21">
                  <c:v>2.8508156015757975</c:v>
                </c:pt>
                <c:pt idx="22">
                  <c:v>2.9244843258341526</c:v>
                </c:pt>
                <c:pt idx="23">
                  <c:v>2.9981530500925078</c:v>
                </c:pt>
                <c:pt idx="24">
                  <c:v>3.0718217743508629</c:v>
                </c:pt>
                <c:pt idx="25">
                  <c:v>3.145490498609218</c:v>
                </c:pt>
                <c:pt idx="26">
                  <c:v>3.2191592228675732</c:v>
                </c:pt>
                <c:pt idx="27">
                  <c:v>3.2928279471259283</c:v>
                </c:pt>
                <c:pt idx="28">
                  <c:v>3.3664966713842848</c:v>
                </c:pt>
                <c:pt idx="29">
                  <c:v>3.4246081012756098</c:v>
                </c:pt>
                <c:pt idx="30">
                  <c:v>3.4827195311669348</c:v>
                </c:pt>
                <c:pt idx="31">
                  <c:v>3.5408309610582598</c:v>
                </c:pt>
                <c:pt idx="32">
                  <c:v>3.5989423909495848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0.1217515886422763</c:v>
                </c:pt>
                <c:pt idx="10">
                  <c:v>0.12426516732283784</c:v>
                </c:pt>
                <c:pt idx="11">
                  <c:v>0.12677874600339939</c:v>
                </c:pt>
                <c:pt idx="12">
                  <c:v>0.12929232468396093</c:v>
                </c:pt>
                <c:pt idx="13">
                  <c:v>0.13180590336452247</c:v>
                </c:pt>
                <c:pt idx="14">
                  <c:v>0.13431948204508401</c:v>
                </c:pt>
                <c:pt idx="15">
                  <c:v>0.13683306072564555</c:v>
                </c:pt>
                <c:pt idx="16">
                  <c:v>0.13934663940620709</c:v>
                </c:pt>
                <c:pt idx="17">
                  <c:v>0.14186021808676863</c:v>
                </c:pt>
                <c:pt idx="18">
                  <c:v>0.1443737967673302</c:v>
                </c:pt>
                <c:pt idx="19">
                  <c:v>0.14841813294914796</c:v>
                </c:pt>
                <c:pt idx="20">
                  <c:v>0.15246246913096573</c:v>
                </c:pt>
                <c:pt idx="21">
                  <c:v>0.15650680531278349</c:v>
                </c:pt>
                <c:pt idx="22">
                  <c:v>0.16055114149460126</c:v>
                </c:pt>
                <c:pt idx="23">
                  <c:v>0.16459547767641902</c:v>
                </c:pt>
                <c:pt idx="24">
                  <c:v>0.16863981385823679</c:v>
                </c:pt>
                <c:pt idx="25">
                  <c:v>0.17268415004005455</c:v>
                </c:pt>
                <c:pt idx="26">
                  <c:v>0.17672848622187232</c:v>
                </c:pt>
                <c:pt idx="27">
                  <c:v>0.18077282240369008</c:v>
                </c:pt>
                <c:pt idx="28">
                  <c:v>0.18481715858550771</c:v>
                </c:pt>
                <c:pt idx="29">
                  <c:v>0.18800741552089906</c:v>
                </c:pt>
                <c:pt idx="30">
                  <c:v>0.19119767245629041</c:v>
                </c:pt>
                <c:pt idx="31">
                  <c:v>0.19438792939168176</c:v>
                </c:pt>
                <c:pt idx="32">
                  <c:v>0.19757818632707311</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2.9300861049302369E-2</c:v>
                </c:pt>
                <c:pt idx="10">
                  <c:v>2.9905781448920456E-2</c:v>
                </c:pt>
                <c:pt idx="11">
                  <c:v>3.0510701848538543E-2</c:v>
                </c:pt>
                <c:pt idx="12">
                  <c:v>3.111562224815663E-2</c:v>
                </c:pt>
                <c:pt idx="13">
                  <c:v>3.1720542647774713E-2</c:v>
                </c:pt>
                <c:pt idx="14">
                  <c:v>3.2325463047392797E-2</c:v>
                </c:pt>
                <c:pt idx="15">
                  <c:v>3.293038344701088E-2</c:v>
                </c:pt>
                <c:pt idx="16">
                  <c:v>3.3535303846628964E-2</c:v>
                </c:pt>
                <c:pt idx="17">
                  <c:v>3.4140224246247047E-2</c:v>
                </c:pt>
                <c:pt idx="18">
                  <c:v>3.4745144645865138E-2</c:v>
                </c:pt>
                <c:pt idx="19">
                  <c:v>3.5718458701325111E-2</c:v>
                </c:pt>
                <c:pt idx="20">
                  <c:v>3.6691772756785083E-2</c:v>
                </c:pt>
                <c:pt idx="21">
                  <c:v>3.7665086812245056E-2</c:v>
                </c:pt>
                <c:pt idx="22">
                  <c:v>3.8638400867705029E-2</c:v>
                </c:pt>
                <c:pt idx="23">
                  <c:v>3.9611714923165002E-2</c:v>
                </c:pt>
                <c:pt idx="24">
                  <c:v>4.0585028978624975E-2</c:v>
                </c:pt>
                <c:pt idx="25">
                  <c:v>4.1558343034084948E-2</c:v>
                </c:pt>
                <c:pt idx="26">
                  <c:v>4.2531657089544921E-2</c:v>
                </c:pt>
                <c:pt idx="27">
                  <c:v>4.3504971145004893E-2</c:v>
                </c:pt>
                <c:pt idx="28">
                  <c:v>4.4478285200464845E-2</c:v>
                </c:pt>
                <c:pt idx="29">
                  <c:v>4.5246055676545653E-2</c:v>
                </c:pt>
                <c:pt idx="30">
                  <c:v>4.6013826152626461E-2</c:v>
                </c:pt>
                <c:pt idx="31">
                  <c:v>4.6781596628707268E-2</c:v>
                </c:pt>
                <c:pt idx="32">
                  <c:v>4.7549367104788076E-2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23.52047053906816</c:v>
                </c:pt>
                <c:pt idx="10">
                  <c:v>24.006053963178399</c:v>
                </c:pt>
                <c:pt idx="11">
                  <c:v>24.491637387288637</c:v>
                </c:pt>
                <c:pt idx="12">
                  <c:v>24.977220811398876</c:v>
                </c:pt>
                <c:pt idx="13">
                  <c:v>25.462804235509115</c:v>
                </c:pt>
                <c:pt idx="14">
                  <c:v>25.948387659619353</c:v>
                </c:pt>
                <c:pt idx="15">
                  <c:v>26.433971083729592</c:v>
                </c:pt>
                <c:pt idx="16">
                  <c:v>26.91955450783983</c:v>
                </c:pt>
                <c:pt idx="17">
                  <c:v>27.405137931950069</c:v>
                </c:pt>
                <c:pt idx="18">
                  <c:v>27.890721356060297</c:v>
                </c:pt>
                <c:pt idx="19">
                  <c:v>28.672022783625419</c:v>
                </c:pt>
                <c:pt idx="20">
                  <c:v>29.453324211190541</c:v>
                </c:pt>
                <c:pt idx="21">
                  <c:v>30.234625638755663</c:v>
                </c:pt>
                <c:pt idx="22">
                  <c:v>31.015927066320785</c:v>
                </c:pt>
                <c:pt idx="23">
                  <c:v>31.797228493885907</c:v>
                </c:pt>
                <c:pt idx="24">
                  <c:v>32.578529921451029</c:v>
                </c:pt>
                <c:pt idx="25">
                  <c:v>33.359831349016147</c:v>
                </c:pt>
                <c:pt idx="26">
                  <c:v>34.141132776581266</c:v>
                </c:pt>
                <c:pt idx="27">
                  <c:v>34.922434204146384</c:v>
                </c:pt>
                <c:pt idx="28">
                  <c:v>35.703735631711503</c:v>
                </c:pt>
                <c:pt idx="29">
                  <c:v>36.320042532489595</c:v>
                </c:pt>
                <c:pt idx="30">
                  <c:v>36.936349433267686</c:v>
                </c:pt>
                <c:pt idx="31">
                  <c:v>37.552656334045778</c:v>
                </c:pt>
                <c:pt idx="32">
                  <c:v>38.16896323482387</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26.834718660482309</c:v>
                </c:pt>
                <c:pt idx="10">
                  <c:v>27.388725203444444</c:v>
                </c:pt>
                <c:pt idx="11">
                  <c:v>27.942731746406579</c:v>
                </c:pt>
                <c:pt idx="12">
                  <c:v>28.496738289368714</c:v>
                </c:pt>
                <c:pt idx="13">
                  <c:v>29.050744832330849</c:v>
                </c:pt>
                <c:pt idx="14">
                  <c:v>29.604751375292985</c:v>
                </c:pt>
                <c:pt idx="15">
                  <c:v>30.15875791825512</c:v>
                </c:pt>
                <c:pt idx="16">
                  <c:v>30.712764461217255</c:v>
                </c:pt>
                <c:pt idx="17">
                  <c:v>31.26677100417939</c:v>
                </c:pt>
                <c:pt idx="18">
                  <c:v>31.820777547141518</c:v>
                </c:pt>
                <c:pt idx="19">
                  <c:v>32.712171448590816</c:v>
                </c:pt>
                <c:pt idx="20">
                  <c:v>33.603565350040114</c:v>
                </c:pt>
                <c:pt idx="21">
                  <c:v>34.494959251489412</c:v>
                </c:pt>
                <c:pt idx="22">
                  <c:v>35.38635315293871</c:v>
                </c:pt>
                <c:pt idx="23">
                  <c:v>36.277747054388009</c:v>
                </c:pt>
                <c:pt idx="24">
                  <c:v>37.169140955837307</c:v>
                </c:pt>
                <c:pt idx="25">
                  <c:v>38.060534857286605</c:v>
                </c:pt>
                <c:pt idx="26">
                  <c:v>38.951928758735903</c:v>
                </c:pt>
                <c:pt idx="27">
                  <c:v>39.843322660185201</c:v>
                </c:pt>
                <c:pt idx="28">
                  <c:v>40.734716561634485</c:v>
                </c:pt>
                <c:pt idx="29">
                  <c:v>41.437866707522218</c:v>
                </c:pt>
                <c:pt idx="30">
                  <c:v>42.141016853409951</c:v>
                </c:pt>
                <c:pt idx="31">
                  <c:v>42.844166999297684</c:v>
                </c:pt>
                <c:pt idx="32">
                  <c:v>43.547317145185417</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84.862097424278346</c:v>
                </c:pt>
                <c:pt idx="10">
                  <c:v>85.569361981081954</c:v>
                </c:pt>
                <c:pt idx="11">
                  <c:v>86.276626537885562</c:v>
                </c:pt>
                <c:pt idx="12">
                  <c:v>86.98389109468917</c:v>
                </c:pt>
                <c:pt idx="13">
                  <c:v>87.691155651492778</c:v>
                </c:pt>
                <c:pt idx="14">
                  <c:v>88.398420208296386</c:v>
                </c:pt>
                <c:pt idx="15">
                  <c:v>89.105684765099994</c:v>
                </c:pt>
                <c:pt idx="16">
                  <c:v>89.812949321903602</c:v>
                </c:pt>
                <c:pt idx="17">
                  <c:v>90.52021387870721</c:v>
                </c:pt>
                <c:pt idx="18">
                  <c:v>91.22747843551079</c:v>
                </c:pt>
                <c:pt idx="19">
                  <c:v>92.287730218036216</c:v>
                </c:pt>
                <c:pt idx="20">
                  <c:v>93.347982000561643</c:v>
                </c:pt>
                <c:pt idx="21">
                  <c:v>94.40823378308707</c:v>
                </c:pt>
                <c:pt idx="22">
                  <c:v>95.468485565612497</c:v>
                </c:pt>
                <c:pt idx="23">
                  <c:v>96.528737348137923</c:v>
                </c:pt>
                <c:pt idx="24">
                  <c:v>97.58898913066335</c:v>
                </c:pt>
                <c:pt idx="25">
                  <c:v>98.649240913188777</c:v>
                </c:pt>
                <c:pt idx="26">
                  <c:v>99.709492695714204</c:v>
                </c:pt>
                <c:pt idx="27">
                  <c:v>100.76974447823963</c:v>
                </c:pt>
                <c:pt idx="28">
                  <c:v>101.82999626076513</c:v>
                </c:pt>
                <c:pt idx="29">
                  <c:v>101.94540585553635</c:v>
                </c:pt>
                <c:pt idx="30">
                  <c:v>102.06081545030757</c:v>
                </c:pt>
                <c:pt idx="31">
                  <c:v>102.17622504507879</c:v>
                </c:pt>
                <c:pt idx="32">
                  <c:v>102.29163463985002</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346.50758520114863</c:v>
                </c:pt>
                <c:pt idx="3">
                  <c:v>358.50232030612949</c:v>
                </c:pt>
                <c:pt idx="4">
                  <c:v>415.14809074218033</c:v>
                </c:pt>
                <c:pt idx="5">
                  <c:v>516.4903329302748</c:v>
                </c:pt>
                <c:pt idx="6">
                  <c:v>589.22182055612916</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322.46537290910544</c:v>
                </c:pt>
                <c:pt idx="3">
                  <c:v>332.89259031093002</c:v>
                </c:pt>
                <c:pt idx="4">
                  <c:v>370.73295183110361</c:v>
                </c:pt>
                <c:pt idx="5">
                  <c:v>457.97663027451381</c:v>
                </c:pt>
                <c:pt idx="6">
                  <c:v>528.74789411778045</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31.342336853405079</c:v>
                </c:pt>
                <c:pt idx="6">
                  <c:v>29.686576824104986</c:v>
                </c:pt>
                <c:pt idx="7">
                  <c:v>25.633657687019387</c:v>
                </c:pt>
                <c:pt idx="8">
                  <c:v>22.235877334709592</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16.784092096161263</c:v>
                </c:pt>
                <c:pt idx="6">
                  <c:v>20.893002842799945</c:v>
                </c:pt>
                <c:pt idx="7">
                  <c:v>24.348404655358244</c:v>
                </c:pt>
                <c:pt idx="8">
                  <c:v>26.968513389056554</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12.031607237391585</c:v>
                </c:pt>
                <c:pt idx="6">
                  <c:v>15.603635034496163</c:v>
                </c:pt>
                <c:pt idx="7">
                  <c:v>21.34948091481559</c:v>
                </c:pt>
                <c:pt idx="8">
                  <c:v>25.916816488090575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0.15671168426702539</c:v>
                </c:pt>
                <c:pt idx="5">
                  <c:v>0.14843288412052494</c:v>
                </c:pt>
                <c:pt idx="6">
                  <c:v>0.12816828843509692</c:v>
                </c:pt>
                <c:pt idx="7">
                  <c:v>0.11117938667354796</c:v>
                </c:pt>
                <c:pt idx="9">
                  <c:v>0.1283823833256614</c:v>
                </c:pt>
                <c:pt idx="10">
                  <c:v>0.12877680945571371</c:v>
                </c:pt>
                <c:pt idx="11">
                  <c:v>0.12973355042768442</c:v>
                </c:pt>
                <c:pt idx="12">
                  <c:v>0.13499132813487882</c:v>
                </c:pt>
                <c:pt idx="13">
                  <c:v>0.15671168426702539</c:v>
                </c:pt>
                <c:pt idx="14">
                  <c:v>0.35252809978624672</c:v>
                </c:pt>
                <c:pt idx="15">
                  <c:v>0.23134376062534998</c:v>
                </c:pt>
                <c:pt idx="16">
                  <c:v>0.19064485329846637</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2.7853482223683792</c:v>
                </c:pt>
                <c:pt idx="5">
                  <c:v>3.4672288494794481</c:v>
                </c:pt>
                <c:pt idx="6">
                  <c:v>4.0406585733534603</c:v>
                </c:pt>
                <c:pt idx="7">
                  <c:v>4.4754700103979204</c:v>
                </c:pt>
                <c:pt idx="9">
                  <c:v>2.7636773332492934</c:v>
                </c:pt>
                <c:pt idx="10">
                  <c:v>2.8913337107360779</c:v>
                </c:pt>
                <c:pt idx="11">
                  <c:v>3.0495903806306055</c:v>
                </c:pt>
                <c:pt idx="12">
                  <c:v>3.2047358801985588</c:v>
                </c:pt>
                <c:pt idx="13">
                  <c:v>2.7853482223683792</c:v>
                </c:pt>
                <c:pt idx="14">
                  <c:v>3.1291740366552014</c:v>
                </c:pt>
                <c:pt idx="15">
                  <c:v>3.4643596443289217</c:v>
                </c:pt>
                <c:pt idx="16">
                  <c:v>3.4630333803988362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3.7596718485503273</c:v>
                </c:pt>
                <c:pt idx="4">
                  <c:v>3.9827431346025834</c:v>
                </c:pt>
                <c:pt idx="5">
                  <c:v>5.3592626168852737</c:v>
                </c:pt>
                <c:pt idx="6">
                  <c:v>7.6930471424556339</c:v>
                </c:pt>
                <c:pt idx="7">
                  <c:v>9.9794054816526696</c:v>
                </c:pt>
                <c:pt idx="9">
                  <c:v>3.9385634462472403</c:v>
                </c:pt>
                <c:pt idx="10">
                  <c:v>4.2313538823878662</c:v>
                </c:pt>
                <c:pt idx="11">
                  <c:v>4.4526615366410756</c:v>
                </c:pt>
                <c:pt idx="12">
                  <c:v>3.7596718485503273</c:v>
                </c:pt>
                <c:pt idx="13">
                  <c:v>3.9827431346025834</c:v>
                </c:pt>
                <c:pt idx="14">
                  <c:v>4.7027058765098122</c:v>
                </c:pt>
                <c:pt idx="15">
                  <c:v>6.1167197826311757</c:v>
                </c:pt>
                <c:pt idx="16">
                  <c:v>7.0586581566600612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0.52085305813176863</c:v>
                </c:pt>
                <c:pt idx="4">
                  <c:v>0.52808252948324785</c:v>
                </c:pt>
                <c:pt idx="5">
                  <c:v>0.59059225735465659</c:v>
                </c:pt>
                <c:pt idx="6">
                  <c:v>0.69700953449595104</c:v>
                </c:pt>
                <c:pt idx="7">
                  <c:v>0.77359704260020234</c:v>
                </c:pt>
                <c:pt idx="9">
                  <c:v>0.52310039361040328</c:v>
                </c:pt>
                <c:pt idx="10">
                  <c:v>0.52911938020465121</c:v>
                </c:pt>
                <c:pt idx="11">
                  <c:v>0.53323895430378154</c:v>
                </c:pt>
                <c:pt idx="12">
                  <c:v>0.52085305813176863</c:v>
                </c:pt>
                <c:pt idx="13">
                  <c:v>0.52808252948324785</c:v>
                </c:pt>
                <c:pt idx="14">
                  <c:v>0.59144801807690084</c:v>
                </c:pt>
                <c:pt idx="15">
                  <c:v>0.67670519762243297</c:v>
                </c:pt>
                <c:pt idx="16">
                  <c:v>0.72131907640781545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107.25193624787502</c:v>
                </c:pt>
                <c:pt idx="5">
                  <c:v>138.10721528015836</c:v>
                </c:pt>
                <c:pt idx="6">
                  <c:v>182.31941833429059</c:v>
                </c:pt>
                <c:pt idx="7">
                  <c:v>223.48310007594094</c:v>
                </c:pt>
                <c:pt idx="9">
                  <c:v>113.09321758673757</c:v>
                </c:pt>
                <c:pt idx="10">
                  <c:v>112.21357404370687</c:v>
                </c:pt>
                <c:pt idx="11">
                  <c:v>117.77587315202406</c:v>
                </c:pt>
                <c:pt idx="12">
                  <c:v>109.43104058031604</c:v>
                </c:pt>
                <c:pt idx="13">
                  <c:v>107.25193624787502</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22.791036452673445</c:v>
                </c:pt>
                <c:pt idx="5">
                  <c:v>29.347783247033657</c:v>
                </c:pt>
                <c:pt idx="6">
                  <c:v>38.742876396036756</c:v>
                </c:pt>
                <c:pt idx="7">
                  <c:v>47.490158766137455</c:v>
                </c:pt>
                <c:pt idx="9">
                  <c:v>18.547037936929154</c:v>
                </c:pt>
                <c:pt idx="10">
                  <c:v>23.845384484287713</c:v>
                </c:pt>
                <c:pt idx="11">
                  <c:v>25.027373044805117</c:v>
                </c:pt>
                <c:pt idx="12">
                  <c:v>23.254096123317161</c:v>
                </c:pt>
                <c:pt idx="13">
                  <c:v>22.791036452673445</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4.0219476092953137</c:v>
                </c:pt>
                <c:pt idx="5">
                  <c:v>5.1790205730059391</c:v>
                </c:pt>
                <c:pt idx="6">
                  <c:v>6.8369781875358973</c:v>
                </c:pt>
                <c:pt idx="7">
                  <c:v>8.3806162528477852</c:v>
                </c:pt>
                <c:pt idx="9">
                  <c:v>3.9743652721991038</c:v>
                </c:pt>
                <c:pt idx="10">
                  <c:v>4.208009026639008</c:v>
                </c:pt>
                <c:pt idx="11">
                  <c:v>4.4165952432009021</c:v>
                </c:pt>
                <c:pt idx="12">
                  <c:v>4.1036640217618512</c:v>
                </c:pt>
                <c:pt idx="13">
                  <c:v>4.0219476092953137</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19.748573787144736</c:v>
                </c:pt>
                <c:pt idx="5">
                  <c:v>20.234824465957928</c:v>
                </c:pt>
                <c:pt idx="6">
                  <c:v>19.221066410059283</c:v>
                </c:pt>
                <c:pt idx="7">
                  <c:v>17.802079488794213</c:v>
                </c:pt>
                <c:pt idx="9">
                  <c:v>28.167748821049805</c:v>
                </c:pt>
                <c:pt idx="10">
                  <c:v>18.502265696365193</c:v>
                </c:pt>
                <c:pt idx="11">
                  <c:v>18.925968547790067</c:v>
                </c:pt>
                <c:pt idx="12">
                  <c:v>19.230136292558988</c:v>
                </c:pt>
                <c:pt idx="13">
                  <c:v>19.748573787144736</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104.48063023874546</c:v>
                </c:pt>
                <c:pt idx="5">
                  <c:v>107.05315916787201</c:v>
                </c:pt>
                <c:pt idx="6">
                  <c:v>101.68983107484065</c:v>
                </c:pt>
                <c:pt idx="7">
                  <c:v>94.182623241390985</c:v>
                </c:pt>
                <c:pt idx="9">
                  <c:v>94.847852582060455</c:v>
                </c:pt>
                <c:pt idx="10">
                  <c:v>97.886986758472602</c:v>
                </c:pt>
                <c:pt idx="11">
                  <c:v>100.12860387107854</c:v>
                </c:pt>
                <c:pt idx="12">
                  <c:v>101.7378156559033</c:v>
                </c:pt>
                <c:pt idx="13">
                  <c:v>104.48063023874546</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7.3955309497646695</c:v>
                </c:pt>
                <c:pt idx="5">
                  <c:v>14.353429232650743</c:v>
                </c:pt>
                <c:pt idx="6">
                  <c:v>27.397071760775237</c:v>
                </c:pt>
                <c:pt idx="7">
                  <c:v>40.023830004719386</c:v>
                </c:pt>
                <c:pt idx="9">
                  <c:v>0.80138751043622602</c:v>
                </c:pt>
                <c:pt idx="10">
                  <c:v>1.5745685843146777</c:v>
                </c:pt>
                <c:pt idx="11">
                  <c:v>2.5244712126531619</c:v>
                </c:pt>
                <c:pt idx="12">
                  <c:v>2.5547042090015273</c:v>
                </c:pt>
                <c:pt idx="13">
                  <c:v>7.3955309497646695</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9.2071053467093638</c:v>
                </c:pt>
                <c:pt idx="5">
                  <c:v>9.4338032983182156</c:v>
                </c:pt>
                <c:pt idx="6">
                  <c:v>8.9611728533384429</c:v>
                </c:pt>
                <c:pt idx="7">
                  <c:v>8.2996181400459434</c:v>
                </c:pt>
                <c:pt idx="9">
                  <c:v>12.322446292964566</c:v>
                </c:pt>
                <c:pt idx="10">
                  <c:v>8.6260563043864682</c:v>
                </c:pt>
                <c:pt idx="11">
                  <c:v>8.8235934445777957</c:v>
                </c:pt>
                <c:pt idx="12">
                  <c:v>8.9654013796389815</c:v>
                </c:pt>
                <c:pt idx="13">
                  <c:v>9.2071053467093638</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0.61850242942963696</c:v>
                </c:pt>
                <c:pt idx="5">
                  <c:v>0.78396596050030642</c:v>
                </c:pt>
                <c:pt idx="6">
                  <c:v>1.0089573998774011</c:v>
                </c:pt>
                <c:pt idx="7">
                  <c:v>1.1860727623872318</c:v>
                </c:pt>
                <c:pt idx="9">
                  <c:v>0.60923770891438467</c:v>
                </c:pt>
                <c:pt idx="10">
                  <c:v>0.64854136839212595</c:v>
                </c:pt>
                <c:pt idx="11">
                  <c:v>0.6995709084876961</c:v>
                </c:pt>
                <c:pt idx="12">
                  <c:v>0.64248252977129328</c:v>
                </c:pt>
                <c:pt idx="13">
                  <c:v>0.61850242942963696</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78.16502898594004</c:v>
                </c:pt>
                <c:pt idx="4">
                  <c:v>76.608525891339312</c:v>
                </c:pt>
                <c:pt idx="5">
                  <c:v>98.648010914398853</c:v>
                </c:pt>
                <c:pt idx="6">
                  <c:v>130.22815595306471</c:v>
                </c:pt>
                <c:pt idx="7">
                  <c:v>159.63078576852928</c:v>
                </c:pt>
                <c:pt idx="9">
                  <c:v>80.780869704812559</c:v>
                </c:pt>
                <c:pt idx="10">
                  <c:v>80.152552888362095</c:v>
                </c:pt>
                <c:pt idx="11">
                  <c:v>84.125623680017213</c:v>
                </c:pt>
                <c:pt idx="12">
                  <c:v>78.16502898594004</c:v>
                </c:pt>
                <c:pt idx="13">
                  <c:v>76.608525891339312</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16.610068659512262</c:v>
                </c:pt>
                <c:pt idx="4">
                  <c:v>16.279311751909606</c:v>
                </c:pt>
                <c:pt idx="5">
                  <c:v>20.962702319309759</c:v>
                </c:pt>
                <c:pt idx="6">
                  <c:v>27.673483140026256</c:v>
                </c:pt>
                <c:pt idx="7">
                  <c:v>33.921541975812474</c:v>
                </c:pt>
                <c:pt idx="9">
                  <c:v>13.247884240663684</c:v>
                </c:pt>
                <c:pt idx="10">
                  <c:v>17.032417488776947</c:v>
                </c:pt>
                <c:pt idx="11">
                  <c:v>17.87669503200366</c:v>
                </c:pt>
                <c:pt idx="12">
                  <c:v>16.610068659512262</c:v>
                </c:pt>
                <c:pt idx="13">
                  <c:v>16.279311751909606</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2.9311885869727514</c:v>
                </c:pt>
                <c:pt idx="4">
                  <c:v>2.8728197209252242</c:v>
                </c:pt>
                <c:pt idx="5">
                  <c:v>3.6993004092899571</c:v>
                </c:pt>
                <c:pt idx="6">
                  <c:v>4.8835558482399266</c:v>
                </c:pt>
                <c:pt idx="7">
                  <c:v>5.9861544663198485</c:v>
                </c:pt>
                <c:pt idx="9">
                  <c:v>2.838832337285075</c:v>
                </c:pt>
                <c:pt idx="10">
                  <c:v>3.0057207333135785</c:v>
                </c:pt>
                <c:pt idx="11">
                  <c:v>3.1547108880006456</c:v>
                </c:pt>
                <c:pt idx="12">
                  <c:v>2.9311885869727514</c:v>
                </c:pt>
                <c:pt idx="13">
                  <c:v>2.8728197209252242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0.76920545170235954</c:v>
                </c:pt>
                <c:pt idx="4">
                  <c:v>0.78994295148578941</c:v>
                </c:pt>
                <c:pt idx="5">
                  <c:v>0.80939297863831716</c:v>
                </c:pt>
                <c:pt idx="6">
                  <c:v>0.76884265640237137</c:v>
                </c:pt>
                <c:pt idx="7">
                  <c:v>0.71208317955176847</c:v>
                </c:pt>
                <c:pt idx="9">
                  <c:v>1.1267099528419922</c:v>
                </c:pt>
                <c:pt idx="10">
                  <c:v>0.74009062785460766</c:v>
                </c:pt>
                <c:pt idx="11">
                  <c:v>0.7570387419116027</c:v>
                </c:pt>
                <c:pt idx="12">
                  <c:v>0.76920545170235954</c:v>
                </c:pt>
                <c:pt idx="13">
                  <c:v>0.78994295148578941</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7.2669868325645215</c:v>
                </c:pt>
                <c:pt idx="4">
                  <c:v>7.4629021599103904</c:v>
                </c:pt>
                <c:pt idx="5">
                  <c:v>7.6466542262765724</c:v>
                </c:pt>
                <c:pt idx="6">
                  <c:v>7.2635593624886186</c:v>
                </c:pt>
                <c:pt idx="7">
                  <c:v>6.7273302315279278</c:v>
                </c:pt>
                <c:pt idx="9">
                  <c:v>6.7748466130043186</c:v>
                </c:pt>
                <c:pt idx="10">
                  <c:v>6.9919276256051859</c:v>
                </c:pt>
                <c:pt idx="11">
                  <c:v>7.1520431336484673</c:v>
                </c:pt>
                <c:pt idx="12">
                  <c:v>7.2669868325645215</c:v>
                </c:pt>
                <c:pt idx="13">
                  <c:v>7.4629021599103904</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0.29582123799058679</c:v>
                </c:pt>
                <c:pt idx="5">
                  <c:v>0.57413716930602976</c:v>
                </c:pt>
                <c:pt idx="6">
                  <c:v>1.0958828704310095</c:v>
                </c:pt>
                <c:pt idx="7">
                  <c:v>1.6009532001887754</c:v>
                </c:pt>
                <c:pt idx="9">
                  <c:v>3.2055500417449041E-2</c:v>
                </c:pt>
                <c:pt idx="10">
                  <c:v>6.2982743372587108E-2</c:v>
                </c:pt>
                <c:pt idx="11">
                  <c:v>0.10097884850612647</c:v>
                </c:pt>
                <c:pt idx="12">
                  <c:v>0.10218816836006109</c:v>
                </c:pt>
                <c:pt idx="13">
                  <c:v>0.29582123799058679</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107.25193624787502</c:v>
                </c:pt>
                <c:pt idx="5">
                  <c:v>138.10721528015836</c:v>
                </c:pt>
                <c:pt idx="6">
                  <c:v>182.31941833429059</c:v>
                </c:pt>
                <c:pt idx="7">
                  <c:v>223.48310007594094</c:v>
                </c:pt>
                <c:pt idx="9">
                  <c:v>113.09321758673757</c:v>
                </c:pt>
                <c:pt idx="10">
                  <c:v>112.21357404370687</c:v>
                </c:pt>
                <c:pt idx="11">
                  <c:v>117.77587315202406</c:v>
                </c:pt>
                <c:pt idx="12">
                  <c:v>109.43104058031604</c:v>
                </c:pt>
                <c:pt idx="13">
                  <c:v>107.25193624787502</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22.791036452673445</c:v>
                </c:pt>
                <c:pt idx="5">
                  <c:v>29.347783247033657</c:v>
                </c:pt>
                <c:pt idx="6">
                  <c:v>38.742876396036756</c:v>
                </c:pt>
                <c:pt idx="7">
                  <c:v>47.490158766137455</c:v>
                </c:pt>
                <c:pt idx="9">
                  <c:v>18.547037936929154</c:v>
                </c:pt>
                <c:pt idx="10">
                  <c:v>23.845384484287713</c:v>
                </c:pt>
                <c:pt idx="11">
                  <c:v>25.027373044805117</c:v>
                </c:pt>
                <c:pt idx="12">
                  <c:v>23.254096123317161</c:v>
                </c:pt>
                <c:pt idx="13">
                  <c:v>22.791036452673445</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4.0219476092953137</c:v>
                </c:pt>
                <c:pt idx="5">
                  <c:v>5.1790205730059391</c:v>
                </c:pt>
                <c:pt idx="6">
                  <c:v>6.8369781875358973</c:v>
                </c:pt>
                <c:pt idx="7">
                  <c:v>8.3806162528477852</c:v>
                </c:pt>
                <c:pt idx="9">
                  <c:v>3.9743652721991038</c:v>
                </c:pt>
                <c:pt idx="10">
                  <c:v>4.208009026639008</c:v>
                </c:pt>
                <c:pt idx="11">
                  <c:v>4.4165952432009021</c:v>
                </c:pt>
                <c:pt idx="12">
                  <c:v>4.1036640217618512</c:v>
                </c:pt>
                <c:pt idx="13">
                  <c:v>4.0219476092953137</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19.748573787144736</c:v>
                </c:pt>
                <c:pt idx="5">
                  <c:v>20.234824465957928</c:v>
                </c:pt>
                <c:pt idx="6">
                  <c:v>19.221066410059283</c:v>
                </c:pt>
                <c:pt idx="7">
                  <c:v>17.802079488794213</c:v>
                </c:pt>
                <c:pt idx="9">
                  <c:v>28.167748821049805</c:v>
                </c:pt>
                <c:pt idx="10">
                  <c:v>18.502265696365193</c:v>
                </c:pt>
                <c:pt idx="11">
                  <c:v>18.925968547790067</c:v>
                </c:pt>
                <c:pt idx="12">
                  <c:v>19.230136292558988</c:v>
                </c:pt>
                <c:pt idx="13">
                  <c:v>19.748573787144736</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104.48063023874546</c:v>
                </c:pt>
                <c:pt idx="5">
                  <c:v>107.05315916787201</c:v>
                </c:pt>
                <c:pt idx="6">
                  <c:v>101.68983107484065</c:v>
                </c:pt>
                <c:pt idx="7">
                  <c:v>94.182623241390985</c:v>
                </c:pt>
                <c:pt idx="9">
                  <c:v>94.847852582060455</c:v>
                </c:pt>
                <c:pt idx="10">
                  <c:v>97.886986758472602</c:v>
                </c:pt>
                <c:pt idx="11">
                  <c:v>100.12860387107854</c:v>
                </c:pt>
                <c:pt idx="12">
                  <c:v>101.7378156559033</c:v>
                </c:pt>
                <c:pt idx="13">
                  <c:v>104.48063023874546</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7.3955309497646695</c:v>
                </c:pt>
                <c:pt idx="5">
                  <c:v>14.353429232650743</c:v>
                </c:pt>
                <c:pt idx="6">
                  <c:v>27.397071760775237</c:v>
                </c:pt>
                <c:pt idx="7">
                  <c:v>40.023830004719386</c:v>
                </c:pt>
                <c:pt idx="9">
                  <c:v>0.80138751043622602</c:v>
                </c:pt>
                <c:pt idx="10">
                  <c:v>1.5745685843146777</c:v>
                </c:pt>
                <c:pt idx="11">
                  <c:v>2.5244712126531619</c:v>
                </c:pt>
                <c:pt idx="12">
                  <c:v>2.5547042090015273</c:v>
                </c:pt>
                <c:pt idx="13">
                  <c:v>7.3955309497646695</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9.2071053467093638</c:v>
                </c:pt>
                <c:pt idx="5">
                  <c:v>9.4338032983182156</c:v>
                </c:pt>
                <c:pt idx="6">
                  <c:v>8.9611728533384429</c:v>
                </c:pt>
                <c:pt idx="7">
                  <c:v>8.2996181400459434</c:v>
                </c:pt>
                <c:pt idx="9">
                  <c:v>12.322446292964566</c:v>
                </c:pt>
                <c:pt idx="10">
                  <c:v>8.6260563043864682</c:v>
                </c:pt>
                <c:pt idx="11">
                  <c:v>8.8235934445777957</c:v>
                </c:pt>
                <c:pt idx="12">
                  <c:v>8.9654013796389815</c:v>
                </c:pt>
                <c:pt idx="13">
                  <c:v>9.2071053467093638</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0.61850242942963696</c:v>
                </c:pt>
                <c:pt idx="5">
                  <c:v>0.78396596050030642</c:v>
                </c:pt>
                <c:pt idx="6">
                  <c:v>1.0089573998774011</c:v>
                </c:pt>
                <c:pt idx="7">
                  <c:v>1.1860727623872318</c:v>
                </c:pt>
                <c:pt idx="9">
                  <c:v>0.60923770891438467</c:v>
                </c:pt>
                <c:pt idx="10">
                  <c:v>0.64854136839212595</c:v>
                </c:pt>
                <c:pt idx="11">
                  <c:v>0.6995709084876961</c:v>
                </c:pt>
                <c:pt idx="12">
                  <c:v>0.64248252977129328</c:v>
                </c:pt>
                <c:pt idx="13">
                  <c:v>0.61850242942963696</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0.41275320354775508</c:v>
                </c:pt>
                <c:pt idx="4">
                  <c:v>0.43095934440931061</c:v>
                </c:pt>
                <c:pt idx="5">
                  <c:v>0.44715377940108908</c:v>
                </c:pt>
                <c:pt idx="6">
                  <c:v>0.46912515841053787</c:v>
                </c:pt>
                <c:pt idx="7">
                  <c:v>0.50130341837371561</c:v>
                </c:pt>
                <c:pt idx="9" formatCode="0%">
                  <c:v>0.41283463855351005</c:v>
                </c:pt>
                <c:pt idx="10" formatCode="0%">
                  <c:v>0.41283463855351005</c:v>
                </c:pt>
                <c:pt idx="11" formatCode="0%">
                  <c:v>0.41283463855351005</c:v>
                </c:pt>
                <c:pt idx="12" formatCode="0%">
                  <c:v>0.41275320354775508</c:v>
                </c:pt>
                <c:pt idx="13" formatCode="0%">
                  <c:v>0.43095934440931061</c:v>
                </c:pt>
                <c:pt idx="14" formatCode="0%">
                  <c:v>0.40243437345906119</c:v>
                </c:pt>
                <c:pt idx="15" formatCode="0%">
                  <c:v>0.39237351412258464</c:v>
                </c:pt>
                <c:pt idx="16" formatCode="0%">
                  <c:v>0.38256417626952</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0.99960548365786217</c:v>
                </c:pt>
                <c:pt idx="2">
                  <c:v>0.99960548365786217</c:v>
                </c:pt>
                <c:pt idx="3" formatCode="0.00">
                  <c:v>0.99921096731572434</c:v>
                </c:pt>
                <c:pt idx="4">
                  <c:v>1.175971971767775</c:v>
                </c:pt>
                <c:pt idx="5">
                  <c:v>1.3527329762198257</c:v>
                </c:pt>
                <c:pt idx="6">
                  <c:v>1.6186049002716711</c:v>
                </c:pt>
                <c:pt idx="7">
                  <c:v>2.0626986635231042</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0.15671168426702539</c:v>
                </c:pt>
                <c:pt idx="5">
                  <c:v>0.14843288412052494</c:v>
                </c:pt>
                <c:pt idx="6">
                  <c:v>0.12816828843509692</c:v>
                </c:pt>
                <c:pt idx="7">
                  <c:v>0.11117938667354796</c:v>
                </c:pt>
                <c:pt idx="9">
                  <c:v>0.1283823833256614</c:v>
                </c:pt>
                <c:pt idx="10">
                  <c:v>0.12877680945571371</c:v>
                </c:pt>
                <c:pt idx="11">
                  <c:v>0.12973355042768442</c:v>
                </c:pt>
                <c:pt idx="12">
                  <c:v>0.13499132813487882</c:v>
                </c:pt>
                <c:pt idx="13">
                  <c:v>0.15671168426702539</c:v>
                </c:pt>
                <c:pt idx="14">
                  <c:v>0.35252809978624672</c:v>
                </c:pt>
                <c:pt idx="15">
                  <c:v>0.23134376062534998</c:v>
                </c:pt>
                <c:pt idx="16">
                  <c:v>0.19064485329846637</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2.7853482223683792</c:v>
                </c:pt>
                <c:pt idx="5">
                  <c:v>3.4672288494794481</c:v>
                </c:pt>
                <c:pt idx="6">
                  <c:v>4.0406585733534603</c:v>
                </c:pt>
                <c:pt idx="7">
                  <c:v>4.4754700103979204</c:v>
                </c:pt>
                <c:pt idx="9">
                  <c:v>2.7636773332492934</c:v>
                </c:pt>
                <c:pt idx="10">
                  <c:v>2.8913337107360779</c:v>
                </c:pt>
                <c:pt idx="11">
                  <c:v>3.0495903806306055</c:v>
                </c:pt>
                <c:pt idx="12">
                  <c:v>3.2047358801985588</c:v>
                </c:pt>
                <c:pt idx="13">
                  <c:v>2.7853482223683792</c:v>
                </c:pt>
                <c:pt idx="14">
                  <c:v>3.1291740366552014</c:v>
                </c:pt>
                <c:pt idx="15">
                  <c:v>3.4643596443289217</c:v>
                </c:pt>
                <c:pt idx="16">
                  <c:v>3.4630333803988362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3.7596718485503273</c:v>
                </c:pt>
                <c:pt idx="4">
                  <c:v>3.9827431346025834</c:v>
                </c:pt>
                <c:pt idx="5">
                  <c:v>5.3592626168852737</c:v>
                </c:pt>
                <c:pt idx="6">
                  <c:v>7.6930471424556339</c:v>
                </c:pt>
                <c:pt idx="7">
                  <c:v>9.9794054816526696</c:v>
                </c:pt>
                <c:pt idx="9">
                  <c:v>3.9385634462472403</c:v>
                </c:pt>
                <c:pt idx="10">
                  <c:v>4.2313538823878662</c:v>
                </c:pt>
                <c:pt idx="11">
                  <c:v>4.4526615366410756</c:v>
                </c:pt>
                <c:pt idx="12">
                  <c:v>3.7596718485503273</c:v>
                </c:pt>
                <c:pt idx="13">
                  <c:v>3.9827431346025834</c:v>
                </c:pt>
                <c:pt idx="14">
                  <c:v>4.7027058765098122</c:v>
                </c:pt>
                <c:pt idx="15">
                  <c:v>6.1167197826311757</c:v>
                </c:pt>
                <c:pt idx="16">
                  <c:v>7.0586581566600612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0.52085305813176863</c:v>
                </c:pt>
                <c:pt idx="4">
                  <c:v>0.52808252948324785</c:v>
                </c:pt>
                <c:pt idx="5">
                  <c:v>0.59059225735465659</c:v>
                </c:pt>
                <c:pt idx="6">
                  <c:v>0.69700953449595104</c:v>
                </c:pt>
                <c:pt idx="7">
                  <c:v>0.77359704260020234</c:v>
                </c:pt>
                <c:pt idx="9">
                  <c:v>0.52310039361040328</c:v>
                </c:pt>
                <c:pt idx="10">
                  <c:v>0.52911938020465121</c:v>
                </c:pt>
                <c:pt idx="11">
                  <c:v>0.53323895430378154</c:v>
                </c:pt>
                <c:pt idx="12">
                  <c:v>0.52085305813176863</c:v>
                </c:pt>
                <c:pt idx="13">
                  <c:v>0.52808252948324785</c:v>
                </c:pt>
                <c:pt idx="14">
                  <c:v>0.59144801807690084</c:v>
                </c:pt>
                <c:pt idx="15">
                  <c:v>0.67670519762243297</c:v>
                </c:pt>
                <c:pt idx="16">
                  <c:v>0.72131907640781545</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7.6202521150155338</c:v>
                      </c:pt>
                      <c:pt idx="4">
                        <c:v>7.4528855707212358</c:v>
                      </c:pt>
                      <c:pt idx="5">
                        <c:v>9.5655166078399017</c:v>
                      </c:pt>
                      <c:pt idx="6">
                        <c:v>12.558883538740142</c:v>
                      </c:pt>
                      <c:pt idx="7">
                        <c:v>15.339651921324341</c:v>
                      </c:pt>
                      <c:pt idx="9">
                        <c:v>7.3537235564325982</c:v>
                      </c:pt>
                      <c:pt idx="10">
                        <c:v>7.7805837827843094</c:v>
                      </c:pt>
                      <c:pt idx="11">
                        <c:v>8.1652244220031474</c:v>
                      </c:pt>
                      <c:pt idx="12">
                        <c:v>7.6202521150155338</c:v>
                      </c:pt>
                      <c:pt idx="13">
                        <c:v>7.4528855707212358</c:v>
                      </c:pt>
                      <c:pt idx="14">
                        <c:v>8.7758560310281624</c:v>
                      </c:pt>
                      <c:pt idx="15">
                        <c:v>10.489128385207881</c:v>
                      </c:pt>
                      <c:pt idx="16">
                        <c:v>11.433655466765181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131.0036863994174</c:v>
                </c:pt>
                <c:pt idx="4">
                  <c:v>123.88844522050735</c:v>
                </c:pt>
                <c:pt idx="5">
                  <c:v>144.53085500601108</c:v>
                </c:pt>
                <c:pt idx="6">
                  <c:v>176.06353325986228</c:v>
                </c:pt>
                <c:pt idx="7">
                  <c:v>204.19868756985593</c:v>
                </c:pt>
                <c:pt idx="9">
                  <c:v>134.31337985641542</c:v>
                </c:pt>
                <c:pt idx="10">
                  <c:v>137.65597351760064</c:v>
                </c:pt>
                <c:pt idx="11">
                  <c:v>139.89972614401438</c:v>
                </c:pt>
                <c:pt idx="12">
                  <c:v>131.0036863994174</c:v>
                </c:pt>
                <c:pt idx="13">
                  <c:v>123.88844522050735</c:v>
                </c:pt>
                <c:pt idx="14">
                  <c:v>132.59942223450773</c:v>
                </c:pt>
                <c:pt idx="15">
                  <c:v>147.04754595576671</c:v>
                </c:pt>
                <c:pt idx="16">
                  <c:v>152.20276525269358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0.69677256402828247</c:v>
                </c:pt>
                <c:pt idx="4" formatCode="0.00">
                  <c:v>0.72750652160905838</c:v>
                </c:pt>
                <c:pt idx="5">
                  <c:v>0.754844499594989</c:v>
                </c:pt>
                <c:pt idx="6">
                  <c:v>0.79193459109776665</c:v>
                </c:pt>
                <c:pt idx="7">
                  <c:v>0.84625501431385886</c:v>
                </c:pt>
                <c:pt idx="9">
                  <c:v>0.69691003522723105</c:v>
                </c:pt>
                <c:pt idx="10">
                  <c:v>0.69691003522723105</c:v>
                </c:pt>
                <c:pt idx="11">
                  <c:v>0.69691003522723105</c:v>
                </c:pt>
                <c:pt idx="12">
                  <c:v>0.69677256402828247</c:v>
                </c:pt>
                <c:pt idx="13">
                  <c:v>0.72750652160905838</c:v>
                </c:pt>
                <c:pt idx="14">
                  <c:v>0.66236941867938581</c:v>
                </c:pt>
                <c:pt idx="15">
                  <c:v>0.62966492863209111</c:v>
                </c:pt>
                <c:pt idx="16">
                  <c:v>0.5985752227808816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0.29322743597171752</c:v>
                </c:pt>
                <c:pt idx="4">
                  <c:v>0.26249347839094161</c:v>
                </c:pt>
                <c:pt idx="5">
                  <c:v>0.21015550040501096</c:v>
                </c:pt>
                <c:pt idx="6">
                  <c:v>0.16806540890223332</c:v>
                </c:pt>
                <c:pt idx="7">
                  <c:v>0.1087449856861411</c:v>
                </c:pt>
                <c:pt idx="9" formatCode="0%">
                  <c:v>0.29308996477276894</c:v>
                </c:pt>
                <c:pt idx="10" formatCode="0%">
                  <c:v>0.29308996477276894</c:v>
                </c:pt>
                <c:pt idx="11" formatCode="0%">
                  <c:v>0.29308996477276894</c:v>
                </c:pt>
                <c:pt idx="12" formatCode="0%">
                  <c:v>0.29322743597171752</c:v>
                </c:pt>
                <c:pt idx="13" formatCode="0%">
                  <c:v>0.26249347839094161</c:v>
                </c:pt>
                <c:pt idx="14">
                  <c:v>0.29763058132061415</c:v>
                </c:pt>
                <c:pt idx="15">
                  <c:v>0.29033507136790881</c:v>
                </c:pt>
                <c:pt idx="16">
                  <c:v>0.25142477721911838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78.16502898594004</c:v>
                </c:pt>
                <c:pt idx="9">
                  <c:v>76.608525891339312</c:v>
                </c:pt>
                <c:pt idx="10">
                  <c:v>79.05735756056815</c:v>
                </c:pt>
                <c:pt idx="11">
                  <c:v>81.506189229796988</c:v>
                </c:pt>
                <c:pt idx="12">
                  <c:v>83.955020899025826</c:v>
                </c:pt>
                <c:pt idx="13">
                  <c:v>86.403852568254663</c:v>
                </c:pt>
                <c:pt idx="14">
                  <c:v>88.852684237483501</c:v>
                </c:pt>
                <c:pt idx="15">
                  <c:v>91.301515906712339</c:v>
                </c:pt>
                <c:pt idx="16">
                  <c:v>93.750347575941177</c:v>
                </c:pt>
                <c:pt idx="17">
                  <c:v>96.199179245170015</c:v>
                </c:pt>
                <c:pt idx="18">
                  <c:v>98.648010914398853</c:v>
                </c:pt>
                <c:pt idx="19">
                  <c:v>101.80602541826543</c:v>
                </c:pt>
                <c:pt idx="20">
                  <c:v>104.96403992213202</c:v>
                </c:pt>
                <c:pt idx="21">
                  <c:v>108.1220544259986</c:v>
                </c:pt>
                <c:pt idx="22">
                  <c:v>111.28006892986518</c:v>
                </c:pt>
                <c:pt idx="23">
                  <c:v>114.43808343373176</c:v>
                </c:pt>
                <c:pt idx="24">
                  <c:v>117.59609793759834</c:v>
                </c:pt>
                <c:pt idx="25">
                  <c:v>120.75411244146493</c:v>
                </c:pt>
                <c:pt idx="26">
                  <c:v>123.91212694533151</c:v>
                </c:pt>
                <c:pt idx="27">
                  <c:v>127.07014144919809</c:v>
                </c:pt>
                <c:pt idx="28">
                  <c:v>130.22815595306471</c:v>
                </c:pt>
                <c:pt idx="29">
                  <c:v>144.92947086079698</c:v>
                </c:pt>
                <c:pt idx="30">
                  <c:v>159.63078576852928</c:v>
                </c:pt>
                <c:pt idx="31">
                  <c:v>159.63078576852928</c:v>
                </c:pt>
                <c:pt idx="32">
                  <c:v>159.63078576852928</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16.610068659512262</c:v>
                </c:pt>
                <c:pt idx="9">
                  <c:v>16.279311751909606</c:v>
                </c:pt>
                <c:pt idx="10">
                  <c:v>16.799688481620734</c:v>
                </c:pt>
                <c:pt idx="11">
                  <c:v>17.320065211331862</c:v>
                </c:pt>
                <c:pt idx="12">
                  <c:v>17.84044194104299</c:v>
                </c:pt>
                <c:pt idx="13">
                  <c:v>18.360818670754117</c:v>
                </c:pt>
                <c:pt idx="14">
                  <c:v>18.881195400465245</c:v>
                </c:pt>
                <c:pt idx="15">
                  <c:v>19.401572130176373</c:v>
                </c:pt>
                <c:pt idx="16">
                  <c:v>19.9219488598875</c:v>
                </c:pt>
                <c:pt idx="17">
                  <c:v>20.442325589598628</c:v>
                </c:pt>
                <c:pt idx="18">
                  <c:v>20.962702319309759</c:v>
                </c:pt>
                <c:pt idx="19">
                  <c:v>21.633780401381408</c:v>
                </c:pt>
                <c:pt idx="20">
                  <c:v>22.304858483453057</c:v>
                </c:pt>
                <c:pt idx="21">
                  <c:v>22.975936565524705</c:v>
                </c:pt>
                <c:pt idx="22">
                  <c:v>23.647014647596354</c:v>
                </c:pt>
                <c:pt idx="23">
                  <c:v>24.318092729668003</c:v>
                </c:pt>
                <c:pt idx="24">
                  <c:v>24.989170811739651</c:v>
                </c:pt>
                <c:pt idx="25">
                  <c:v>25.6602488938113</c:v>
                </c:pt>
                <c:pt idx="26">
                  <c:v>26.331326975882948</c:v>
                </c:pt>
                <c:pt idx="27">
                  <c:v>27.002405057954597</c:v>
                </c:pt>
                <c:pt idx="28">
                  <c:v>27.673483140026256</c:v>
                </c:pt>
                <c:pt idx="29">
                  <c:v>30.797512557919365</c:v>
                </c:pt>
                <c:pt idx="30">
                  <c:v>33.921541975812474</c:v>
                </c:pt>
                <c:pt idx="31">
                  <c:v>33.921541975812474</c:v>
                </c:pt>
                <c:pt idx="32">
                  <c:v>33.921541975812474</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2.9311885869727514</c:v>
                </c:pt>
                <c:pt idx="9">
                  <c:v>2.8728197209252242</c:v>
                </c:pt>
                <c:pt idx="10">
                  <c:v>2.9646509085213055</c:v>
                </c:pt>
                <c:pt idx="11">
                  <c:v>3.0564820961173869</c:v>
                </c:pt>
                <c:pt idx="12">
                  <c:v>3.1483132837134682</c:v>
                </c:pt>
                <c:pt idx="13">
                  <c:v>3.2401444713095495</c:v>
                </c:pt>
                <c:pt idx="14">
                  <c:v>3.3319756589056309</c:v>
                </c:pt>
                <c:pt idx="15">
                  <c:v>3.4238068465017122</c:v>
                </c:pt>
                <c:pt idx="16">
                  <c:v>3.5156380340977935</c:v>
                </c:pt>
                <c:pt idx="17">
                  <c:v>3.6074692216938749</c:v>
                </c:pt>
                <c:pt idx="18">
                  <c:v>3.6993004092899571</c:v>
                </c:pt>
                <c:pt idx="19">
                  <c:v>3.8177259531849539</c:v>
                </c:pt>
                <c:pt idx="20">
                  <c:v>3.9361514970799507</c:v>
                </c:pt>
                <c:pt idx="21">
                  <c:v>4.054577040974948</c:v>
                </c:pt>
                <c:pt idx="22">
                  <c:v>4.1730025848699448</c:v>
                </c:pt>
                <c:pt idx="23">
                  <c:v>4.2914281287649416</c:v>
                </c:pt>
                <c:pt idx="24">
                  <c:v>4.4098536726599384</c:v>
                </c:pt>
                <c:pt idx="25">
                  <c:v>4.5282792165549353</c:v>
                </c:pt>
                <c:pt idx="26">
                  <c:v>4.6467047604499321</c:v>
                </c:pt>
                <c:pt idx="27">
                  <c:v>4.7651303043449289</c:v>
                </c:pt>
                <c:pt idx="28">
                  <c:v>4.8835558482399266</c:v>
                </c:pt>
                <c:pt idx="29">
                  <c:v>5.4348551572798875</c:v>
                </c:pt>
                <c:pt idx="30">
                  <c:v>5.9861544663198485</c:v>
                </c:pt>
                <c:pt idx="31">
                  <c:v>5.9861544663198485</c:v>
                </c:pt>
                <c:pt idx="32">
                  <c:v>5.9861544663198485</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0.76920545170235954</c:v>
                </c:pt>
                <c:pt idx="9">
                  <c:v>0.78994295148578941</c:v>
                </c:pt>
                <c:pt idx="10">
                  <c:v>0.79210406561384805</c:v>
                </c:pt>
                <c:pt idx="11">
                  <c:v>0.79426517974190669</c:v>
                </c:pt>
                <c:pt idx="12">
                  <c:v>0.79642629386996533</c:v>
                </c:pt>
                <c:pt idx="13">
                  <c:v>0.79858740799802397</c:v>
                </c:pt>
                <c:pt idx="14">
                  <c:v>0.80074852212608261</c:v>
                </c:pt>
                <c:pt idx="15">
                  <c:v>0.80290963625414125</c:v>
                </c:pt>
                <c:pt idx="16">
                  <c:v>0.80507075038219988</c:v>
                </c:pt>
                <c:pt idx="17">
                  <c:v>0.80723186451025852</c:v>
                </c:pt>
                <c:pt idx="18">
                  <c:v>0.80939297863831716</c:v>
                </c:pt>
                <c:pt idx="19">
                  <c:v>0.80533794641472256</c:v>
                </c:pt>
                <c:pt idx="20">
                  <c:v>0.80128291419112796</c:v>
                </c:pt>
                <c:pt idx="21">
                  <c:v>0.79722788196753336</c:v>
                </c:pt>
                <c:pt idx="22">
                  <c:v>0.79317284974393876</c:v>
                </c:pt>
                <c:pt idx="23">
                  <c:v>0.78911781752034416</c:v>
                </c:pt>
                <c:pt idx="24">
                  <c:v>0.78506278529674955</c:v>
                </c:pt>
                <c:pt idx="25">
                  <c:v>0.78100775307315495</c:v>
                </c:pt>
                <c:pt idx="26">
                  <c:v>0.77695272084956035</c:v>
                </c:pt>
                <c:pt idx="27">
                  <c:v>0.77289768862596575</c:v>
                </c:pt>
                <c:pt idx="28">
                  <c:v>0.76884265640237137</c:v>
                </c:pt>
                <c:pt idx="29">
                  <c:v>0.74046291797706987</c:v>
                </c:pt>
                <c:pt idx="30">
                  <c:v>0.71208317955176847</c:v>
                </c:pt>
                <c:pt idx="31">
                  <c:v>0.71208317955176847</c:v>
                </c:pt>
                <c:pt idx="32">
                  <c:v>0.71208317955176847</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7.2669868325645215</c:v>
                </c:pt>
                <c:pt idx="9">
                  <c:v>7.4629021599103904</c:v>
                </c:pt>
                <c:pt idx="10">
                  <c:v>7.4833190561732996</c:v>
                </c:pt>
                <c:pt idx="11">
                  <c:v>7.5037359524362088</c:v>
                </c:pt>
                <c:pt idx="12">
                  <c:v>7.524152848699118</c:v>
                </c:pt>
                <c:pt idx="13">
                  <c:v>7.5445697449620273</c:v>
                </c:pt>
                <c:pt idx="14">
                  <c:v>7.5649866412249365</c:v>
                </c:pt>
                <c:pt idx="15">
                  <c:v>7.5854035374878457</c:v>
                </c:pt>
                <c:pt idx="16">
                  <c:v>7.6058204337507549</c:v>
                </c:pt>
                <c:pt idx="17">
                  <c:v>7.6262373300136641</c:v>
                </c:pt>
                <c:pt idx="18">
                  <c:v>7.6466542262765724</c:v>
                </c:pt>
                <c:pt idx="19">
                  <c:v>7.6083447398977775</c:v>
                </c:pt>
                <c:pt idx="20">
                  <c:v>7.5700352535189825</c:v>
                </c:pt>
                <c:pt idx="21">
                  <c:v>7.5317257671401876</c:v>
                </c:pt>
                <c:pt idx="22">
                  <c:v>7.4934162807613927</c:v>
                </c:pt>
                <c:pt idx="23">
                  <c:v>7.4551067943825977</c:v>
                </c:pt>
                <c:pt idx="24">
                  <c:v>7.4167973080038028</c:v>
                </c:pt>
                <c:pt idx="25">
                  <c:v>7.3784878216250078</c:v>
                </c:pt>
                <c:pt idx="26">
                  <c:v>7.3401783352462129</c:v>
                </c:pt>
                <c:pt idx="27">
                  <c:v>7.3018688488674179</c:v>
                </c:pt>
                <c:pt idx="28">
                  <c:v>7.2635593624886186</c:v>
                </c:pt>
                <c:pt idx="29">
                  <c:v>6.9954447970082736</c:v>
                </c:pt>
                <c:pt idx="30">
                  <c:v>6.7273302315279278</c:v>
                </c:pt>
                <c:pt idx="31">
                  <c:v>6.7273302315279278</c:v>
                </c:pt>
                <c:pt idx="32">
                  <c:v>6.7273302315279278</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0.29582123799058679</c:v>
                </c:pt>
                <c:pt idx="10">
                  <c:v>0.32674523035896935</c:v>
                </c:pt>
                <c:pt idx="11">
                  <c:v>0.35766922272735191</c:v>
                </c:pt>
                <c:pt idx="12">
                  <c:v>0.38859321509573447</c:v>
                </c:pt>
                <c:pt idx="13">
                  <c:v>0.41951720746411703</c:v>
                </c:pt>
                <c:pt idx="14">
                  <c:v>0.45044119983249958</c:v>
                </c:pt>
                <c:pt idx="15">
                  <c:v>0.48136519220088214</c:v>
                </c:pt>
                <c:pt idx="16">
                  <c:v>0.51228918456926464</c:v>
                </c:pt>
                <c:pt idx="17">
                  <c:v>0.54321317693764715</c:v>
                </c:pt>
                <c:pt idx="18">
                  <c:v>0.57413716930602976</c:v>
                </c:pt>
                <c:pt idx="19">
                  <c:v>0.62631173941852769</c:v>
                </c:pt>
                <c:pt idx="20">
                  <c:v>0.67848630953102562</c:v>
                </c:pt>
                <c:pt idx="21">
                  <c:v>0.73066087964352355</c:v>
                </c:pt>
                <c:pt idx="22">
                  <c:v>0.78283544975602148</c:v>
                </c:pt>
                <c:pt idx="23">
                  <c:v>0.83501001986851942</c:v>
                </c:pt>
                <c:pt idx="24">
                  <c:v>0.88718458998101735</c:v>
                </c:pt>
                <c:pt idx="25">
                  <c:v>0.93935916009351528</c:v>
                </c:pt>
                <c:pt idx="26">
                  <c:v>0.99153373020601321</c:v>
                </c:pt>
                <c:pt idx="27">
                  <c:v>1.0437083003185113</c:v>
                </c:pt>
                <c:pt idx="28">
                  <c:v>1.0958828704310095</c:v>
                </c:pt>
                <c:pt idx="29">
                  <c:v>1.3484180353098925</c:v>
                </c:pt>
                <c:pt idx="30">
                  <c:v>1.6009532001887754</c:v>
                </c:pt>
                <c:pt idx="31">
                  <c:v>1.6009532001887754</c:v>
                </c:pt>
                <c:pt idx="32">
                  <c:v>1.6009532001887754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8.9654013796389815</c:v>
                </c:pt>
                <c:pt idx="9">
                  <c:v>9.2071053467093638</c:v>
                </c:pt>
                <c:pt idx="10">
                  <c:v>9.2322940079992364</c:v>
                </c:pt>
                <c:pt idx="11">
                  <c:v>9.257482669289109</c:v>
                </c:pt>
                <c:pt idx="12">
                  <c:v>9.2826713305789816</c:v>
                </c:pt>
                <c:pt idx="13">
                  <c:v>9.3078599918688543</c:v>
                </c:pt>
                <c:pt idx="14">
                  <c:v>9.3330486531587269</c:v>
                </c:pt>
                <c:pt idx="15">
                  <c:v>9.3582373144485995</c:v>
                </c:pt>
                <c:pt idx="16">
                  <c:v>9.3834259757384721</c:v>
                </c:pt>
                <c:pt idx="17">
                  <c:v>9.4086146370283448</c:v>
                </c:pt>
                <c:pt idx="18">
                  <c:v>9.4338032983182156</c:v>
                </c:pt>
                <c:pt idx="19">
                  <c:v>9.3865402538202378</c:v>
                </c:pt>
                <c:pt idx="20">
                  <c:v>9.33927720932226</c:v>
                </c:pt>
                <c:pt idx="21">
                  <c:v>9.2920141648242822</c:v>
                </c:pt>
                <c:pt idx="22">
                  <c:v>9.2447511203263044</c:v>
                </c:pt>
                <c:pt idx="23">
                  <c:v>9.1974880758283266</c:v>
                </c:pt>
                <c:pt idx="24">
                  <c:v>9.1502250313303488</c:v>
                </c:pt>
                <c:pt idx="25">
                  <c:v>9.102961986832371</c:v>
                </c:pt>
                <c:pt idx="26">
                  <c:v>9.0556989423343932</c:v>
                </c:pt>
                <c:pt idx="27">
                  <c:v>9.0084358978364154</c:v>
                </c:pt>
                <c:pt idx="28">
                  <c:v>8.9611728533384429</c:v>
                </c:pt>
                <c:pt idx="29">
                  <c:v>8.6303954966921932</c:v>
                </c:pt>
                <c:pt idx="30">
                  <c:v>8.2996181400459434</c:v>
                </c:pt>
                <c:pt idx="31">
                  <c:v>8.2996181400459434</c:v>
                </c:pt>
                <c:pt idx="32">
                  <c:v>8.2996181400459434</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0.61850242942963696</c:v>
                </c:pt>
                <c:pt idx="10">
                  <c:v>0.63688726621526692</c:v>
                </c:pt>
                <c:pt idx="11">
                  <c:v>0.65527210300089689</c:v>
                </c:pt>
                <c:pt idx="12">
                  <c:v>0.67365693978652685</c:v>
                </c:pt>
                <c:pt idx="13">
                  <c:v>0.69204177657215682</c:v>
                </c:pt>
                <c:pt idx="14">
                  <c:v>0.71042661335778678</c:v>
                </c:pt>
                <c:pt idx="15">
                  <c:v>0.72881145014341675</c:v>
                </c:pt>
                <c:pt idx="16">
                  <c:v>0.74719628692904672</c:v>
                </c:pt>
                <c:pt idx="17">
                  <c:v>0.76558112371467668</c:v>
                </c:pt>
                <c:pt idx="18">
                  <c:v>0.78396596050030642</c:v>
                </c:pt>
                <c:pt idx="19">
                  <c:v>0.80646510443801589</c:v>
                </c:pt>
                <c:pt idx="20">
                  <c:v>0.82896424837572535</c:v>
                </c:pt>
                <c:pt idx="21">
                  <c:v>0.85146339231343482</c:v>
                </c:pt>
                <c:pt idx="22">
                  <c:v>0.87396253625114428</c:v>
                </c:pt>
                <c:pt idx="23">
                  <c:v>0.89646168018885375</c:v>
                </c:pt>
                <c:pt idx="24">
                  <c:v>0.91896082412656321</c:v>
                </c:pt>
                <c:pt idx="25">
                  <c:v>0.94145996806427268</c:v>
                </c:pt>
                <c:pt idx="26">
                  <c:v>0.96395911200198214</c:v>
                </c:pt>
                <c:pt idx="27">
                  <c:v>0.98645825593969161</c:v>
                </c:pt>
                <c:pt idx="28">
                  <c:v>1.0089573998774011</c:v>
                </c:pt>
                <c:pt idx="29">
                  <c:v>1.0975150811323164</c:v>
                </c:pt>
                <c:pt idx="30">
                  <c:v>1.1860727623872318</c:v>
                </c:pt>
                <c:pt idx="31">
                  <c:v>1.1860727623872318</c:v>
                </c:pt>
                <c:pt idx="32">
                  <c:v>1.1860727623872318</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0.50677658119604019</c:v>
                </c:pt>
                <c:pt idx="3">
                  <c:v>0.48659707204624486</c:v>
                </c:pt>
                <c:pt idx="4">
                  <c:v>0.53201120531407053</c:v>
                </c:pt>
                <c:pt idx="5">
                  <c:v>0.59014144586368789</c:v>
                </c:pt>
                <c:pt idx="6">
                  <c:v>0.63367376631147376</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0.49322341880395981</c:v>
                </c:pt>
                <c:pt idx="3">
                  <c:v>0.51340292795375508</c:v>
                </c:pt>
                <c:pt idx="4">
                  <c:v>0.46798879468592947</c:v>
                </c:pt>
                <c:pt idx="5">
                  <c:v>0.40985855413631211</c:v>
                </c:pt>
                <c:pt idx="6">
                  <c:v>0.36632623368852624</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78.16502898594004</c:v>
                </c:pt>
                <c:pt idx="3">
                  <c:v>76.608525891339312</c:v>
                </c:pt>
                <c:pt idx="4">
                  <c:v>98.648010914398853</c:v>
                </c:pt>
                <c:pt idx="5">
                  <c:v>130.22815595306471</c:v>
                </c:pt>
                <c:pt idx="6">
                  <c:v>159.63078576852928</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78.16502898594004</c:v>
                </c:pt>
                <c:pt idx="3">
                  <c:v>76.608525891339312</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71" t="s">
        <v>216</v>
      </c>
      <c r="B1" s="71" t="s">
        <v>32</v>
      </c>
      <c r="C1" s="71" t="s">
        <v>218</v>
      </c>
      <c r="D1" s="71" t="s">
        <v>214</v>
      </c>
    </row>
    <row r="2" spans="1:4">
      <c r="A2" s="70">
        <v>41499</v>
      </c>
      <c r="B2" s="69" t="s">
        <v>217</v>
      </c>
      <c r="C2" s="69" t="s">
        <v>219</v>
      </c>
      <c r="D2" t="s">
        <v>215</v>
      </c>
    </row>
    <row r="3" spans="1:4">
      <c r="A3" s="70">
        <v>41500</v>
      </c>
      <c r="B3" t="s">
        <v>222</v>
      </c>
      <c r="C3" t="s">
        <v>223</v>
      </c>
      <c r="D3" t="s">
        <v>215</v>
      </c>
    </row>
    <row r="4" spans="1:4">
      <c r="A4" s="70">
        <v>41502</v>
      </c>
      <c r="B4" t="s">
        <v>224</v>
      </c>
      <c r="C4" t="s">
        <v>223</v>
      </c>
      <c r="D4" t="s">
        <v>215</v>
      </c>
    </row>
    <row r="5" spans="1:4">
      <c r="A5" s="70">
        <v>41505</v>
      </c>
      <c r="B5" t="s">
        <v>226</v>
      </c>
      <c r="C5" t="s">
        <v>261</v>
      </c>
      <c r="D5" t="s">
        <v>225</v>
      </c>
    </row>
    <row r="7" spans="1:4">
      <c r="A7" s="70">
        <v>41599</v>
      </c>
      <c r="B7" t="s">
        <v>267</v>
      </c>
      <c r="C7" t="s">
        <v>4</v>
      </c>
      <c r="D7" t="s">
        <v>225</v>
      </c>
    </row>
    <row r="9" spans="1:4">
      <c r="A9" s="70" t="s">
        <v>407</v>
      </c>
      <c r="B9" t="s">
        <v>408</v>
      </c>
      <c r="D9" t="s">
        <v>409</v>
      </c>
    </row>
    <row r="11" spans="1:4">
      <c r="A11" s="70">
        <v>42467</v>
      </c>
      <c r="B11" t="s">
        <v>430</v>
      </c>
      <c r="C11" t="s">
        <v>431</v>
      </c>
      <c r="D11" t="s">
        <v>432</v>
      </c>
    </row>
    <row r="13" spans="1:4">
      <c r="A13" s="127">
        <v>42963</v>
      </c>
      <c r="B13" t="s">
        <v>447</v>
      </c>
      <c r="C13" t="s">
        <v>446</v>
      </c>
      <c r="D13" t="s">
        <v>225</v>
      </c>
    </row>
    <row r="14" spans="1:4">
      <c r="B14" t="s">
        <v>448</v>
      </c>
    </row>
    <row r="15" spans="1:4">
      <c r="B15" t="s">
        <v>449</v>
      </c>
    </row>
    <row r="17" spans="1:4">
      <c r="A17" s="127">
        <v>43007</v>
      </c>
      <c r="B17" t="s">
        <v>501</v>
      </c>
      <c r="D17" t="s">
        <v>225</v>
      </c>
    </row>
    <row r="18" spans="1:4">
      <c r="B18" t="s">
        <v>502</v>
      </c>
    </row>
    <row r="20" spans="1:4">
      <c r="A20" s="127">
        <v>43039</v>
      </c>
      <c r="B20" t="s">
        <v>517</v>
      </c>
      <c r="C20" t="s">
        <v>518</v>
      </c>
      <c r="D20" t="s">
        <v>519</v>
      </c>
    </row>
    <row r="21" spans="1:4">
      <c r="B21" t="s">
        <v>520</v>
      </c>
      <c r="C21" t="s">
        <v>4</v>
      </c>
      <c r="D21" t="s">
        <v>519</v>
      </c>
    </row>
    <row r="24" spans="1:4">
      <c r="A24" s="191">
        <v>44007.756886921299</v>
      </c>
      <c r="B24" t="s">
        <v>601</v>
      </c>
      <c r="C24" t="s">
        <v>602</v>
      </c>
      <c r="D24" t="s">
        <v>603</v>
      </c>
    </row>
    <row r="26" spans="1:4">
      <c r="A26" s="70">
        <v>44061</v>
      </c>
      <c r="B26" t="s">
        <v>648</v>
      </c>
      <c r="C26" t="s">
        <v>540</v>
      </c>
      <c r="D26" t="s">
        <v>409</v>
      </c>
    </row>
    <row r="27" spans="1:4">
      <c r="B27" t="s">
        <v>649</v>
      </c>
      <c r="C27" t="s">
        <v>540</v>
      </c>
      <c r="D27" t="s">
        <v>409</v>
      </c>
    </row>
    <row r="28" spans="1:4">
      <c r="B28" t="s">
        <v>650</v>
      </c>
      <c r="C28" t="s">
        <v>540</v>
      </c>
      <c r="D28" t="s">
        <v>409</v>
      </c>
    </row>
    <row r="30" spans="1:4">
      <c r="A30" s="70">
        <v>44298</v>
      </c>
      <c r="B30" t="s">
        <v>698</v>
      </c>
      <c r="C30" t="s">
        <v>602</v>
      </c>
      <c r="D30" t="s">
        <v>603</v>
      </c>
    </row>
    <row r="38" spans="1:2">
      <c r="A38" s="191">
        <f ca="1">NOW()</f>
        <v>45006.671514583337</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31" t="s">
        <v>404</v>
      </c>
    </row>
    <row r="4" spans="2:5" ht="18.75" thickTop="1" thickBot="1">
      <c r="B4" s="31" t="s">
        <v>286</v>
      </c>
    </row>
    <row r="5" spans="2:5" ht="15.75" thickTop="1"/>
    <row r="6" spans="2:5" ht="18" thickBot="1">
      <c r="B6" s="31" t="s">
        <v>287</v>
      </c>
    </row>
    <row r="7" spans="2:5" ht="15.75" thickTop="1">
      <c r="B7" t="s">
        <v>1</v>
      </c>
      <c r="C7" s="23">
        <v>1</v>
      </c>
      <c r="D7" s="2"/>
    </row>
    <row r="8" spans="2:5">
      <c r="B8" t="s">
        <v>3</v>
      </c>
      <c r="C8" s="23">
        <v>1</v>
      </c>
      <c r="D8" s="2"/>
    </row>
    <row r="9" spans="2:5">
      <c r="B9" t="s">
        <v>139</v>
      </c>
      <c r="C9" s="23">
        <v>1</v>
      </c>
      <c r="D9" s="2"/>
    </row>
    <row r="10" spans="2:5">
      <c r="B10" t="s">
        <v>140</v>
      </c>
      <c r="C10" s="23">
        <v>1</v>
      </c>
      <c r="D10" s="2"/>
    </row>
    <row r="11" spans="2:5">
      <c r="B11" t="s">
        <v>2</v>
      </c>
      <c r="C11" s="23">
        <v>1</v>
      </c>
      <c r="D11" s="2"/>
    </row>
    <row r="13" spans="2:5">
      <c r="B13" s="2" t="s">
        <v>278</v>
      </c>
    </row>
    <row r="14" spans="2:5">
      <c r="B14" t="s">
        <v>271</v>
      </c>
    </row>
    <row r="15" spans="2:5">
      <c r="B15" t="s">
        <v>272</v>
      </c>
    </row>
    <row r="16" spans="2:5">
      <c r="B16" t="s">
        <v>273</v>
      </c>
    </row>
    <row r="17" spans="2:8">
      <c r="B17" t="s">
        <v>274</v>
      </c>
      <c r="G17" t="s">
        <v>472</v>
      </c>
    </row>
    <row r="18" spans="2:8">
      <c r="G18" t="s">
        <v>471</v>
      </c>
      <c r="H18" t="s">
        <v>473</v>
      </c>
    </row>
    <row r="19" spans="2:8">
      <c r="B19" t="s">
        <v>470</v>
      </c>
      <c r="C19" s="23">
        <v>1</v>
      </c>
      <c r="G19">
        <v>1</v>
      </c>
      <c r="H19" s="24">
        <v>0</v>
      </c>
    </row>
    <row r="20" spans="2:8">
      <c r="G20">
        <v>2</v>
      </c>
      <c r="H20" s="24">
        <v>0.04</v>
      </c>
    </row>
    <row r="21" spans="2:8">
      <c r="G21">
        <v>3</v>
      </c>
      <c r="H21" s="24">
        <v>0.06</v>
      </c>
    </row>
    <row r="22" spans="2:8">
      <c r="G22">
        <v>4</v>
      </c>
      <c r="H22" s="24">
        <v>0.08</v>
      </c>
    </row>
    <row r="23" spans="2:8">
      <c r="G23">
        <v>5</v>
      </c>
      <c r="H23" s="24">
        <v>0.1</v>
      </c>
    </row>
    <row r="29" spans="2:8">
      <c r="B29" t="s">
        <v>126</v>
      </c>
      <c r="C29" s="25">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303</v>
      </c>
      <c r="E6" t="s">
        <v>304</v>
      </c>
      <c r="F6" t="s">
        <v>410</v>
      </c>
    </row>
    <row r="7" spans="1:6">
      <c r="A7" t="s">
        <v>302</v>
      </c>
      <c r="B7" t="s">
        <v>635</v>
      </c>
      <c r="C7" t="str">
        <f>"DriversGams!"&amp;ADDRESS(ROW(DriversGams!A5),COLUMN(DriversGams!A5),4)</f>
        <v>DriversGams!A5</v>
      </c>
      <c r="D7">
        <v>1</v>
      </c>
      <c r="E7">
        <v>1</v>
      </c>
    </row>
    <row r="8" spans="1:6">
      <c r="A8" t="s">
        <v>302</v>
      </c>
      <c r="B8" t="s">
        <v>611</v>
      </c>
      <c r="C8" t="str">
        <f>"DriversGams!"&amp;ADDRESS(ROW(DriversGams!A43),COLUMN(DriversGams!A43),4)</f>
        <v>DriversGams!A43</v>
      </c>
      <c r="E8">
        <v>1</v>
      </c>
    </row>
    <row r="9" spans="1:6">
      <c r="A9" t="s">
        <v>302</v>
      </c>
      <c r="B9" t="s">
        <v>636</v>
      </c>
      <c r="C9" t="str">
        <f>"DriversGams!"&amp;ADDRESS(ROW(DriversGams!A61),COLUMN(DriversGams!A61),4)</f>
        <v>DriversGams!A61</v>
      </c>
      <c r="D9">
        <v>1</v>
      </c>
      <c r="E9">
        <v>1</v>
      </c>
    </row>
    <row r="10" spans="1:6">
      <c r="A10" t="s">
        <v>302</v>
      </c>
      <c r="B10" t="s">
        <v>510</v>
      </c>
      <c r="C10" t="str">
        <f>"DriversGams!"&amp;ADDRESS(ROW(DriversGams!A71),COLUMN(DriversGams!A71),4)</f>
        <v>DriversGams!A71</v>
      </c>
      <c r="E10">
        <v>1</v>
      </c>
    </row>
    <row r="11" spans="1:6">
      <c r="A11" t="s">
        <v>503</v>
      </c>
      <c r="B11" t="s">
        <v>504</v>
      </c>
      <c r="C11" t="str">
        <f>"DriversGams!"&amp;ADDRESS(ROW(DriversGams!A102),COLUMN(DriversGams!A102),4)</f>
        <v>DriversGams!A102</v>
      </c>
      <c r="D11">
        <v>2</v>
      </c>
      <c r="E11">
        <v>1</v>
      </c>
    </row>
    <row r="12" spans="1:6">
      <c r="A12" t="s">
        <v>302</v>
      </c>
      <c r="B12" t="s">
        <v>713</v>
      </c>
      <c r="C12" t="str">
        <f>"DriversGams!"&amp;ADDRESS(ROW(DriversGams!A130),COLUMN(DriversGams!A130),4)</f>
        <v>DriversGams!A130</v>
      </c>
      <c r="D12">
        <v>1</v>
      </c>
      <c r="E12">
        <v>1</v>
      </c>
    </row>
    <row r="13" spans="1:6">
      <c r="A13" t="s">
        <v>302</v>
      </c>
      <c r="B13" t="s">
        <v>638</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303</v>
      </c>
      <c r="E6" t="s">
        <v>304</v>
      </c>
    </row>
    <row r="7" spans="1:5">
      <c r="A7" t="s">
        <v>302</v>
      </c>
      <c r="B7" t="s">
        <v>390</v>
      </c>
      <c r="C7" t="s">
        <v>389</v>
      </c>
      <c r="D7">
        <v>1</v>
      </c>
      <c r="E7">
        <v>1</v>
      </c>
    </row>
    <row r="14" spans="1:5">
      <c r="C14" s="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469</v>
      </c>
      <c r="D1">
        <v>2002</v>
      </c>
      <c r="E1">
        <v>2003</v>
      </c>
      <c r="F1">
        <v>2004</v>
      </c>
      <c r="G1">
        <v>2005</v>
      </c>
      <c r="H1">
        <v>2006</v>
      </c>
      <c r="I1">
        <v>2007</v>
      </c>
      <c r="J1">
        <v>2008</v>
      </c>
      <c r="K1">
        <v>2009</v>
      </c>
      <c r="L1">
        <v>2010</v>
      </c>
      <c r="M1">
        <v>2011</v>
      </c>
      <c r="N1">
        <v>2012</v>
      </c>
      <c r="O1">
        <v>2013</v>
      </c>
      <c r="P1">
        <v>2014</v>
      </c>
      <c r="Q1">
        <v>2015</v>
      </c>
      <c r="R1">
        <v>2016</v>
      </c>
      <c r="S1">
        <v>2017</v>
      </c>
    </row>
    <row r="2" spans="1:31">
      <c r="B2" t="s">
        <v>450</v>
      </c>
      <c r="C2" t="s">
        <v>451</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450</v>
      </c>
      <c r="C3" t="s">
        <v>452</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450</v>
      </c>
      <c r="C4" t="s">
        <v>453</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450</v>
      </c>
      <c r="C5" t="s">
        <v>454</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450</v>
      </c>
      <c r="C6" t="s">
        <v>455</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450</v>
      </c>
      <c r="C7" t="s">
        <v>456</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450</v>
      </c>
      <c r="C8" t="s">
        <v>457</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450</v>
      </c>
      <c r="C9" t="s">
        <v>458</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450</v>
      </c>
      <c r="C10" t="s">
        <v>459</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450</v>
      </c>
      <c r="C11" t="s">
        <v>460</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450</v>
      </c>
      <c r="C12" t="s">
        <v>461</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450</v>
      </c>
      <c r="C13" t="s">
        <v>462</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450</v>
      </c>
      <c r="C14" t="s">
        <v>463</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450</v>
      </c>
      <c r="C15" t="s">
        <v>464</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450</v>
      </c>
      <c r="C16" t="s">
        <v>465</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450</v>
      </c>
      <c r="C17" t="s">
        <v>466</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450</v>
      </c>
      <c r="C18" t="s">
        <v>467</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468</v>
      </c>
      <c r="C19" t="s">
        <v>451</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468</v>
      </c>
      <c r="C20" t="s">
        <v>452</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468</v>
      </c>
      <c r="C21" t="s">
        <v>453</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468</v>
      </c>
      <c r="C22" t="s">
        <v>454</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468</v>
      </c>
      <c r="C23" t="s">
        <v>455</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468</v>
      </c>
      <c r="C24" t="s">
        <v>456</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468</v>
      </c>
      <c r="C25" t="s">
        <v>457</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468</v>
      </c>
      <c r="C26" t="s">
        <v>458</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468</v>
      </c>
      <c r="C27" t="s">
        <v>459</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468</v>
      </c>
      <c r="C28" t="s">
        <v>460</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468</v>
      </c>
      <c r="C29" t="s">
        <v>461</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468</v>
      </c>
      <c r="C30" t="s">
        <v>462</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468</v>
      </c>
      <c r="C31" t="s">
        <v>463</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468</v>
      </c>
      <c r="C32" t="s">
        <v>464</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468</v>
      </c>
      <c r="C33" t="s">
        <v>465</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468</v>
      </c>
      <c r="C34" t="s">
        <v>466</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468</v>
      </c>
      <c r="C35" t="s">
        <v>467</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238</v>
      </c>
      <c r="C36" t="s">
        <v>451</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238</v>
      </c>
      <c r="C37" t="s">
        <v>452</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238</v>
      </c>
      <c r="C38" t="s">
        <v>453</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238</v>
      </c>
      <c r="C39" t="s">
        <v>454</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238</v>
      </c>
      <c r="C40" t="s">
        <v>455</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238</v>
      </c>
      <c r="C41" t="s">
        <v>456</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238</v>
      </c>
      <c r="C42" t="s">
        <v>457</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238</v>
      </c>
      <c r="C43" t="s">
        <v>458</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238</v>
      </c>
      <c r="C44" t="s">
        <v>459</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238</v>
      </c>
      <c r="C45" t="s">
        <v>460</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238</v>
      </c>
      <c r="C46" t="s">
        <v>461</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238</v>
      </c>
      <c r="C47" t="s">
        <v>462</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238</v>
      </c>
      <c r="C48" t="s">
        <v>463</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238</v>
      </c>
      <c r="C49" t="s">
        <v>464</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238</v>
      </c>
      <c r="C50" t="s">
        <v>465</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238</v>
      </c>
      <c r="C51" t="s">
        <v>466</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238</v>
      </c>
      <c r="C52" t="s">
        <v>467</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238</v>
      </c>
      <c r="C53" t="s">
        <v>405</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topLeftCell="D101" workbookViewId="0">
      <selection activeCell="B131" sqref="B131:AG132"/>
    </sheetView>
  </sheetViews>
  <sheetFormatPr defaultColWidth="8.7109375" defaultRowHeight="15"/>
  <sheetData>
    <row r="4" spans="1:40">
      <c r="A4" t="s">
        <v>607</v>
      </c>
    </row>
    <row r="5" spans="1:40">
      <c r="B5" s="29" t="s">
        <v>567</v>
      </c>
      <c r="C5" s="29" t="s">
        <v>555</v>
      </c>
      <c r="D5" s="29" t="s">
        <v>568</v>
      </c>
      <c r="E5" s="29" t="s">
        <v>569</v>
      </c>
      <c r="F5" s="29" t="s">
        <v>570</v>
      </c>
      <c r="G5" s="29" t="s">
        <v>571</v>
      </c>
      <c r="H5" s="29" t="s">
        <v>556</v>
      </c>
      <c r="I5" s="29" t="s">
        <v>572</v>
      </c>
      <c r="J5" s="29" t="s">
        <v>573</v>
      </c>
      <c r="K5" s="29" t="s">
        <v>574</v>
      </c>
      <c r="L5" s="29" t="s">
        <v>575</v>
      </c>
      <c r="M5" s="29" t="s">
        <v>557</v>
      </c>
      <c r="N5" s="29" t="s">
        <v>576</v>
      </c>
      <c r="O5" s="29" t="s">
        <v>577</v>
      </c>
      <c r="P5" s="29" t="s">
        <v>578</v>
      </c>
      <c r="Q5" s="29" t="s">
        <v>579</v>
      </c>
      <c r="R5" s="29" t="s">
        <v>558</v>
      </c>
      <c r="S5" s="29" t="s">
        <v>580</v>
      </c>
      <c r="T5" s="29" t="s">
        <v>581</v>
      </c>
      <c r="U5" s="29" t="s">
        <v>582</v>
      </c>
      <c r="V5" s="29" t="s">
        <v>583</v>
      </c>
      <c r="W5" s="29" t="s">
        <v>559</v>
      </c>
      <c r="X5" s="29" t="s">
        <v>584</v>
      </c>
      <c r="Y5" s="29" t="s">
        <v>585</v>
      </c>
      <c r="Z5" s="29" t="s">
        <v>586</v>
      </c>
      <c r="AA5" s="29" t="s">
        <v>587</v>
      </c>
      <c r="AB5" s="29" t="s">
        <v>560</v>
      </c>
      <c r="AC5" s="29" t="s">
        <v>588</v>
      </c>
      <c r="AD5" s="29" t="s">
        <v>589</v>
      </c>
      <c r="AE5" s="29" t="s">
        <v>590</v>
      </c>
      <c r="AF5" s="29" t="s">
        <v>591</v>
      </c>
      <c r="AG5" s="29" t="s">
        <v>561</v>
      </c>
      <c r="AH5" s="29"/>
      <c r="AI5" s="29"/>
      <c r="AJ5" s="29"/>
      <c r="AK5" s="29"/>
      <c r="AL5" s="29"/>
      <c r="AM5" s="29"/>
      <c r="AN5" s="29"/>
    </row>
    <row r="6" spans="1:40">
      <c r="A6" s="29" t="s">
        <v>4</v>
      </c>
      <c r="B6">
        <v>2742.7</v>
      </c>
      <c r="C6">
        <v>2570.23</v>
      </c>
      <c r="D6">
        <v>2663.51</v>
      </c>
      <c r="E6">
        <v>2738.96</v>
      </c>
      <c r="F6">
        <v>2812.95</v>
      </c>
      <c r="G6">
        <v>2890.84</v>
      </c>
      <c r="H6">
        <v>2963.9</v>
      </c>
      <c r="I6">
        <v>3029.24</v>
      </c>
      <c r="J6">
        <v>3094.44</v>
      </c>
      <c r="K6">
        <v>3162.18</v>
      </c>
      <c r="L6">
        <v>3245.03</v>
      </c>
      <c r="M6">
        <v>3323.15</v>
      </c>
      <c r="N6">
        <v>3413.55</v>
      </c>
      <c r="O6">
        <v>3506.82</v>
      </c>
      <c r="P6">
        <v>3618.29</v>
      </c>
      <c r="Q6">
        <v>3735.21</v>
      </c>
      <c r="R6">
        <v>3846.98</v>
      </c>
      <c r="S6">
        <v>3952.74</v>
      </c>
      <c r="T6">
        <v>4036.91</v>
      </c>
      <c r="U6">
        <v>4137.6000000000004</v>
      </c>
      <c r="V6">
        <v>4257.1000000000004</v>
      </c>
      <c r="W6">
        <v>4369.76</v>
      </c>
      <c r="X6">
        <v>4496.03</v>
      </c>
      <c r="Y6">
        <v>4622.3</v>
      </c>
      <c r="Z6">
        <v>4749.76</v>
      </c>
      <c r="AA6">
        <v>4882.6899999999996</v>
      </c>
      <c r="AB6">
        <v>5022.43</v>
      </c>
      <c r="AC6">
        <v>5173.28</v>
      </c>
      <c r="AD6">
        <v>5269.79</v>
      </c>
      <c r="AE6">
        <v>5354.74</v>
      </c>
      <c r="AF6">
        <v>5438.42</v>
      </c>
      <c r="AG6">
        <v>5519.16</v>
      </c>
    </row>
    <row r="7" spans="1:40">
      <c r="A7" s="29" t="s">
        <v>637</v>
      </c>
      <c r="B7">
        <v>102.77</v>
      </c>
      <c r="C7">
        <v>101.85</v>
      </c>
      <c r="D7">
        <v>104.68</v>
      </c>
      <c r="E7">
        <v>107.17</v>
      </c>
      <c r="F7">
        <v>109.35</v>
      </c>
      <c r="G7">
        <v>111.59</v>
      </c>
      <c r="H7">
        <v>113.61</v>
      </c>
      <c r="I7">
        <v>115.3</v>
      </c>
      <c r="J7">
        <v>116.94</v>
      </c>
      <c r="K7">
        <v>120.33</v>
      </c>
      <c r="L7">
        <v>123.7</v>
      </c>
      <c r="M7">
        <v>126.03</v>
      </c>
      <c r="N7">
        <v>128.57</v>
      </c>
      <c r="O7">
        <v>130.74</v>
      </c>
      <c r="P7">
        <v>133.47999999999999</v>
      </c>
      <c r="Q7">
        <v>136.05000000000001</v>
      </c>
      <c r="R7">
        <v>140.6</v>
      </c>
      <c r="S7">
        <v>145.51</v>
      </c>
      <c r="T7">
        <v>147.41999999999999</v>
      </c>
      <c r="U7">
        <v>149.72999999999999</v>
      </c>
      <c r="V7">
        <v>151.53</v>
      </c>
      <c r="W7">
        <v>154.26</v>
      </c>
      <c r="X7">
        <v>157.19</v>
      </c>
      <c r="Y7">
        <v>159.76</v>
      </c>
      <c r="Z7">
        <v>161.96</v>
      </c>
      <c r="AA7">
        <v>164.13</v>
      </c>
      <c r="AB7">
        <v>166.38</v>
      </c>
      <c r="AC7">
        <v>168.75</v>
      </c>
      <c r="AD7">
        <v>169.19</v>
      </c>
      <c r="AE7">
        <v>169.4</v>
      </c>
      <c r="AF7">
        <v>169.79</v>
      </c>
      <c r="AG7">
        <v>170.18</v>
      </c>
    </row>
    <row r="8" spans="1:40">
      <c r="A8" s="29" t="s">
        <v>387</v>
      </c>
      <c r="B8">
        <v>197.32</v>
      </c>
      <c r="C8">
        <v>188.75</v>
      </c>
      <c r="D8">
        <v>193.27</v>
      </c>
      <c r="E8">
        <v>196.31</v>
      </c>
      <c r="F8">
        <v>199.37</v>
      </c>
      <c r="G8">
        <v>202.51</v>
      </c>
      <c r="H8">
        <v>205.34</v>
      </c>
      <c r="I8">
        <v>207.91</v>
      </c>
      <c r="J8">
        <v>210.39</v>
      </c>
      <c r="K8">
        <v>216.65</v>
      </c>
      <c r="L8">
        <v>221.84</v>
      </c>
      <c r="M8">
        <v>224.93</v>
      </c>
      <c r="N8">
        <v>227.79</v>
      </c>
      <c r="O8">
        <v>230</v>
      </c>
      <c r="P8">
        <v>232.79</v>
      </c>
      <c r="Q8">
        <v>235.36</v>
      </c>
      <c r="R8">
        <v>242.48</v>
      </c>
      <c r="S8">
        <v>250.03</v>
      </c>
      <c r="T8">
        <v>252.13</v>
      </c>
      <c r="U8">
        <v>254.81</v>
      </c>
      <c r="V8">
        <v>254.84</v>
      </c>
      <c r="W8">
        <v>258.02</v>
      </c>
      <c r="X8">
        <v>260.3</v>
      </c>
      <c r="Y8">
        <v>261.68</v>
      </c>
      <c r="Z8">
        <v>262.60000000000002</v>
      </c>
      <c r="AA8">
        <v>263.49</v>
      </c>
      <c r="AB8">
        <v>264.62</v>
      </c>
      <c r="AC8">
        <v>266.10000000000002</v>
      </c>
      <c r="AD8">
        <v>265.45999999999998</v>
      </c>
      <c r="AE8">
        <v>264.17</v>
      </c>
      <c r="AF8">
        <v>263.06</v>
      </c>
      <c r="AG8">
        <v>261.68</v>
      </c>
    </row>
    <row r="9" spans="1:40">
      <c r="A9" s="29" t="s">
        <v>522</v>
      </c>
      <c r="B9">
        <v>155.19999999999999</v>
      </c>
      <c r="C9">
        <v>154.51</v>
      </c>
      <c r="D9">
        <v>161.34</v>
      </c>
      <c r="E9">
        <v>167.36</v>
      </c>
      <c r="F9">
        <v>172.82</v>
      </c>
      <c r="G9">
        <v>178.36</v>
      </c>
      <c r="H9">
        <v>183.29</v>
      </c>
      <c r="I9">
        <v>187.41</v>
      </c>
      <c r="J9">
        <v>191.52</v>
      </c>
      <c r="K9">
        <v>198.84</v>
      </c>
      <c r="L9">
        <v>205.18</v>
      </c>
      <c r="M9">
        <v>209.75</v>
      </c>
      <c r="N9">
        <v>214.9</v>
      </c>
      <c r="O9">
        <v>219.47</v>
      </c>
      <c r="P9">
        <v>225.07</v>
      </c>
      <c r="Q9">
        <v>230.49</v>
      </c>
      <c r="R9">
        <v>241.08</v>
      </c>
      <c r="S9">
        <v>251.92</v>
      </c>
      <c r="T9">
        <v>255.45</v>
      </c>
      <c r="U9">
        <v>259.19</v>
      </c>
      <c r="V9">
        <v>261.45999999999998</v>
      </c>
      <c r="W9">
        <v>266.93</v>
      </c>
      <c r="X9">
        <v>272.95999999999998</v>
      </c>
      <c r="Y9">
        <v>277.56</v>
      </c>
      <c r="Z9">
        <v>281.05</v>
      </c>
      <c r="AA9">
        <v>284.37</v>
      </c>
      <c r="AB9">
        <v>287.97000000000003</v>
      </c>
      <c r="AC9">
        <v>291.79000000000002</v>
      </c>
      <c r="AD9">
        <v>292.86</v>
      </c>
      <c r="AE9">
        <v>293.20999999999998</v>
      </c>
      <c r="AF9">
        <v>293.61</v>
      </c>
      <c r="AG9">
        <v>293.94</v>
      </c>
    </row>
    <row r="10" spans="1:40">
      <c r="A10" s="29" t="s">
        <v>523</v>
      </c>
      <c r="B10">
        <v>366.71</v>
      </c>
      <c r="C10">
        <v>339.03</v>
      </c>
      <c r="D10">
        <v>349.62</v>
      </c>
      <c r="E10">
        <v>356.97</v>
      </c>
      <c r="F10">
        <v>365</v>
      </c>
      <c r="G10">
        <v>374.06</v>
      </c>
      <c r="H10">
        <v>382.81</v>
      </c>
      <c r="I10">
        <v>391.7</v>
      </c>
      <c r="J10">
        <v>400.21</v>
      </c>
      <c r="K10">
        <v>413.95</v>
      </c>
      <c r="L10">
        <v>426.7</v>
      </c>
      <c r="M10">
        <v>436.52</v>
      </c>
      <c r="N10">
        <v>446.99</v>
      </c>
      <c r="O10">
        <v>457.85</v>
      </c>
      <c r="P10">
        <v>471.4</v>
      </c>
      <c r="Q10">
        <v>485.51</v>
      </c>
      <c r="R10">
        <v>505.43</v>
      </c>
      <c r="S10">
        <v>522.92999999999995</v>
      </c>
      <c r="T10">
        <v>530.27</v>
      </c>
      <c r="U10">
        <v>539.78</v>
      </c>
      <c r="V10">
        <v>550.91</v>
      </c>
      <c r="W10">
        <v>563.9</v>
      </c>
      <c r="X10">
        <v>571.30999999999995</v>
      </c>
      <c r="Y10">
        <v>581.63</v>
      </c>
      <c r="Z10">
        <v>595.29999999999995</v>
      </c>
      <c r="AA10">
        <v>610.46</v>
      </c>
      <c r="AB10">
        <v>626.64</v>
      </c>
      <c r="AC10">
        <v>644.64</v>
      </c>
      <c r="AD10">
        <v>650.41999999999996</v>
      </c>
      <c r="AE10">
        <v>656.26</v>
      </c>
      <c r="AF10">
        <v>663.56</v>
      </c>
      <c r="AG10">
        <v>670.82</v>
      </c>
    </row>
    <row r="11" spans="1:40">
      <c r="A11" s="29" t="s">
        <v>524</v>
      </c>
      <c r="B11">
        <v>24.02</v>
      </c>
      <c r="C11">
        <v>22.83</v>
      </c>
      <c r="D11">
        <v>23.64</v>
      </c>
      <c r="E11">
        <v>24.06</v>
      </c>
      <c r="F11">
        <v>24.57</v>
      </c>
      <c r="G11">
        <v>25.29</v>
      </c>
      <c r="H11">
        <v>25.8</v>
      </c>
      <c r="I11">
        <v>26.15</v>
      </c>
      <c r="J11">
        <v>26.59</v>
      </c>
      <c r="K11">
        <v>27.06</v>
      </c>
      <c r="L11">
        <v>27.52</v>
      </c>
      <c r="M11">
        <v>27.94</v>
      </c>
      <c r="N11">
        <v>28.91</v>
      </c>
      <c r="O11">
        <v>29.53</v>
      </c>
      <c r="P11">
        <v>30.31</v>
      </c>
      <c r="Q11">
        <v>31.13</v>
      </c>
      <c r="R11">
        <v>31.92</v>
      </c>
      <c r="S11">
        <v>32.54</v>
      </c>
      <c r="T11">
        <v>32.880000000000003</v>
      </c>
      <c r="U11">
        <v>33.47</v>
      </c>
      <c r="V11">
        <v>33.89</v>
      </c>
      <c r="W11">
        <v>34.57</v>
      </c>
      <c r="X11">
        <v>35.28</v>
      </c>
      <c r="Y11">
        <v>35.96</v>
      </c>
      <c r="Z11">
        <v>36.619999999999997</v>
      </c>
      <c r="AA11">
        <v>37.33</v>
      </c>
      <c r="AB11">
        <v>38.1</v>
      </c>
      <c r="AC11">
        <v>38.950000000000003</v>
      </c>
      <c r="AD11">
        <v>39.33</v>
      </c>
      <c r="AE11">
        <v>39.630000000000003</v>
      </c>
      <c r="AF11">
        <v>39.950000000000003</v>
      </c>
      <c r="AG11">
        <v>40.26</v>
      </c>
    </row>
    <row r="12" spans="1:40">
      <c r="A12" s="29" t="s">
        <v>525</v>
      </c>
      <c r="B12">
        <v>78.8</v>
      </c>
      <c r="C12">
        <v>77.650000000000006</v>
      </c>
      <c r="D12">
        <v>76.69</v>
      </c>
      <c r="E12">
        <v>77.209999999999994</v>
      </c>
      <c r="F12">
        <v>78.11</v>
      </c>
      <c r="G12">
        <v>78.900000000000006</v>
      </c>
      <c r="H12">
        <v>79.64</v>
      </c>
      <c r="I12">
        <v>80.319999999999993</v>
      </c>
      <c r="J12">
        <v>81</v>
      </c>
      <c r="K12">
        <v>82.01</v>
      </c>
      <c r="L12">
        <v>82.46</v>
      </c>
      <c r="M12">
        <v>83.04</v>
      </c>
      <c r="N12">
        <v>83.83</v>
      </c>
      <c r="O12">
        <v>84.67</v>
      </c>
      <c r="P12">
        <v>85.85</v>
      </c>
      <c r="Q12">
        <v>87.08</v>
      </c>
      <c r="R12">
        <v>68.459999999999994</v>
      </c>
      <c r="S12">
        <v>52.9</v>
      </c>
      <c r="T12">
        <v>50.58</v>
      </c>
      <c r="U12">
        <v>54.24</v>
      </c>
      <c r="V12">
        <v>56.85</v>
      </c>
      <c r="W12">
        <v>51.03</v>
      </c>
      <c r="X12">
        <v>50.88</v>
      </c>
      <c r="Y12">
        <v>51.46</v>
      </c>
      <c r="Z12">
        <v>52.38</v>
      </c>
      <c r="AA12">
        <v>53.51</v>
      </c>
      <c r="AB12">
        <v>54.78</v>
      </c>
      <c r="AC12">
        <v>56.14</v>
      </c>
      <c r="AD12">
        <v>57.05</v>
      </c>
      <c r="AE12">
        <v>57.61</v>
      </c>
      <c r="AF12">
        <v>58.16</v>
      </c>
      <c r="AG12">
        <v>58.71</v>
      </c>
    </row>
    <row r="13" spans="1:40">
      <c r="A13" s="29" t="s">
        <v>526</v>
      </c>
      <c r="B13">
        <v>17.63</v>
      </c>
      <c r="C13">
        <v>16.38</v>
      </c>
      <c r="D13">
        <v>16.91</v>
      </c>
      <c r="E13">
        <v>17.3</v>
      </c>
      <c r="F13">
        <v>17.72</v>
      </c>
      <c r="G13">
        <v>18.170000000000002</v>
      </c>
      <c r="H13">
        <v>18.600000000000001</v>
      </c>
      <c r="I13">
        <v>19</v>
      </c>
      <c r="J13">
        <v>19.399999999999999</v>
      </c>
      <c r="K13">
        <v>19.97</v>
      </c>
      <c r="L13">
        <v>20.53</v>
      </c>
      <c r="M13">
        <v>20.99</v>
      </c>
      <c r="N13">
        <v>21.51</v>
      </c>
      <c r="O13">
        <v>22.03</v>
      </c>
      <c r="P13">
        <v>22.68</v>
      </c>
      <c r="Q13">
        <v>23.35</v>
      </c>
      <c r="R13">
        <v>24.11</v>
      </c>
      <c r="S13">
        <v>24.74</v>
      </c>
      <c r="T13">
        <v>25.06</v>
      </c>
      <c r="U13">
        <v>25.51</v>
      </c>
      <c r="V13">
        <v>26.07</v>
      </c>
      <c r="W13">
        <v>26.65</v>
      </c>
      <c r="X13">
        <v>27.19</v>
      </c>
      <c r="Y13">
        <v>27.76</v>
      </c>
      <c r="Z13">
        <v>28.37</v>
      </c>
      <c r="AA13">
        <v>29.02</v>
      </c>
      <c r="AB13">
        <v>29.72</v>
      </c>
      <c r="AC13">
        <v>30.49</v>
      </c>
      <c r="AD13">
        <v>30.81</v>
      </c>
      <c r="AE13">
        <v>31.08</v>
      </c>
      <c r="AF13">
        <v>31.37</v>
      </c>
      <c r="AG13">
        <v>31.64</v>
      </c>
    </row>
    <row r="14" spans="1:40">
      <c r="A14" s="29" t="s">
        <v>388</v>
      </c>
      <c r="B14">
        <v>20.84</v>
      </c>
      <c r="C14">
        <v>19.72</v>
      </c>
      <c r="D14">
        <v>19.940000000000001</v>
      </c>
      <c r="E14">
        <v>20.03</v>
      </c>
      <c r="F14">
        <v>20.239999999999998</v>
      </c>
      <c r="G14">
        <v>20.52</v>
      </c>
      <c r="H14">
        <v>20.81</v>
      </c>
      <c r="I14">
        <v>21.19</v>
      </c>
      <c r="J14">
        <v>21.52</v>
      </c>
      <c r="K14">
        <v>22.23</v>
      </c>
      <c r="L14">
        <v>22.78</v>
      </c>
      <c r="M14">
        <v>23.14</v>
      </c>
      <c r="N14">
        <v>23.45</v>
      </c>
      <c r="O14">
        <v>23.78</v>
      </c>
      <c r="P14">
        <v>24.2</v>
      </c>
      <c r="Q14">
        <v>24.71</v>
      </c>
      <c r="R14">
        <v>25.82</v>
      </c>
      <c r="S14">
        <v>26.77</v>
      </c>
      <c r="T14">
        <v>27.15</v>
      </c>
      <c r="U14">
        <v>27.58</v>
      </c>
      <c r="V14">
        <v>27.84</v>
      </c>
      <c r="W14">
        <v>28.57</v>
      </c>
      <c r="X14">
        <v>28.41</v>
      </c>
      <c r="Y14">
        <v>28.67</v>
      </c>
      <c r="Z14">
        <v>29.23</v>
      </c>
      <c r="AA14">
        <v>29.91</v>
      </c>
      <c r="AB14">
        <v>30.63</v>
      </c>
      <c r="AC14">
        <v>31.33</v>
      </c>
      <c r="AD14">
        <v>31.4</v>
      </c>
      <c r="AE14">
        <v>31.65</v>
      </c>
      <c r="AF14">
        <v>31.93</v>
      </c>
      <c r="AG14">
        <v>32.22</v>
      </c>
    </row>
    <row r="15" spans="1:40">
      <c r="A15" s="29" t="s">
        <v>527</v>
      </c>
      <c r="B15">
        <v>13.07</v>
      </c>
      <c r="C15">
        <v>12</v>
      </c>
      <c r="D15">
        <v>11.38</v>
      </c>
      <c r="E15">
        <v>10.67</v>
      </c>
      <c r="F15">
        <v>10.46</v>
      </c>
      <c r="G15">
        <v>10.46</v>
      </c>
      <c r="H15">
        <v>10.61</v>
      </c>
      <c r="I15">
        <v>11.26</v>
      </c>
      <c r="J15">
        <v>11.73</v>
      </c>
      <c r="K15">
        <v>13.44</v>
      </c>
      <c r="L15">
        <v>14.48</v>
      </c>
      <c r="M15">
        <v>14.77</v>
      </c>
      <c r="N15">
        <v>14.73</v>
      </c>
      <c r="O15">
        <v>14.66</v>
      </c>
      <c r="P15">
        <v>14.74</v>
      </c>
      <c r="Q15">
        <v>15.04</v>
      </c>
      <c r="R15">
        <v>17.91</v>
      </c>
      <c r="S15">
        <v>20.67</v>
      </c>
      <c r="T15">
        <v>20.25</v>
      </c>
      <c r="U15">
        <v>20.36</v>
      </c>
      <c r="V15">
        <v>19.59</v>
      </c>
      <c r="W15">
        <v>20.77</v>
      </c>
      <c r="X15">
        <v>17.77</v>
      </c>
      <c r="Y15">
        <v>16.77</v>
      </c>
      <c r="Z15">
        <v>16.95</v>
      </c>
      <c r="AA15">
        <v>17.420000000000002</v>
      </c>
      <c r="AB15">
        <v>17.989999999999998</v>
      </c>
      <c r="AC15">
        <v>18.420000000000002</v>
      </c>
      <c r="AD15">
        <v>17.350000000000001</v>
      </c>
      <c r="AE15">
        <v>16.91</v>
      </c>
      <c r="AF15">
        <v>16.760000000000002</v>
      </c>
      <c r="AG15">
        <v>16.690000000000001</v>
      </c>
    </row>
    <row r="16" spans="1:40">
      <c r="A16" s="29" t="s">
        <v>598</v>
      </c>
      <c r="B16">
        <v>0.12</v>
      </c>
      <c r="C16">
        <v>0.13</v>
      </c>
      <c r="D16">
        <v>0.31</v>
      </c>
      <c r="E16">
        <v>0.73</v>
      </c>
      <c r="F16">
        <v>0.73</v>
      </c>
      <c r="G16">
        <v>0.73</v>
      </c>
      <c r="H16">
        <v>0.73</v>
      </c>
      <c r="I16">
        <v>0.73</v>
      </c>
      <c r="J16">
        <v>0.73</v>
      </c>
      <c r="K16">
        <v>0.73</v>
      </c>
      <c r="L16">
        <v>0.73</v>
      </c>
      <c r="M16">
        <v>0.73</v>
      </c>
      <c r="N16">
        <v>0.97</v>
      </c>
      <c r="O16">
        <v>2.31</v>
      </c>
      <c r="P16">
        <v>3.55</v>
      </c>
      <c r="Q16">
        <v>5</v>
      </c>
      <c r="R16">
        <v>6.69</v>
      </c>
      <c r="S16">
        <v>8.19</v>
      </c>
      <c r="T16">
        <v>20.63</v>
      </c>
      <c r="U16">
        <v>25.37</v>
      </c>
      <c r="V16">
        <v>30.06</v>
      </c>
      <c r="W16">
        <v>34.76</v>
      </c>
      <c r="X16">
        <v>37.130000000000003</v>
      </c>
      <c r="Y16">
        <v>39.5</v>
      </c>
      <c r="Z16">
        <v>41.85</v>
      </c>
      <c r="AA16">
        <v>44.2</v>
      </c>
      <c r="AB16">
        <v>46.55</v>
      </c>
      <c r="AC16">
        <v>49.02</v>
      </c>
      <c r="AD16">
        <v>51.48</v>
      </c>
      <c r="AE16">
        <v>53.95</v>
      </c>
      <c r="AF16">
        <v>56.41</v>
      </c>
      <c r="AG16">
        <v>58.88</v>
      </c>
    </row>
    <row r="17" spans="1:33">
      <c r="A17" s="29" t="s">
        <v>528</v>
      </c>
      <c r="B17">
        <v>142.19999999999999</v>
      </c>
      <c r="C17">
        <v>137.66999999999999</v>
      </c>
      <c r="D17">
        <v>143.4</v>
      </c>
      <c r="E17">
        <v>144.38999999999999</v>
      </c>
      <c r="F17">
        <v>144.57</v>
      </c>
      <c r="G17">
        <v>145.81</v>
      </c>
      <c r="H17">
        <v>147.94999999999999</v>
      </c>
      <c r="I17">
        <v>149.13</v>
      </c>
      <c r="J17">
        <v>150.59</v>
      </c>
      <c r="K17">
        <v>152.97</v>
      </c>
      <c r="L17">
        <v>156.79</v>
      </c>
      <c r="M17">
        <v>158.83000000000001</v>
      </c>
      <c r="N17">
        <v>165.7</v>
      </c>
      <c r="O17">
        <v>174.21</v>
      </c>
      <c r="P17">
        <v>181.55</v>
      </c>
      <c r="Q17">
        <v>191.62</v>
      </c>
      <c r="R17">
        <v>191.16</v>
      </c>
      <c r="S17">
        <v>195.15</v>
      </c>
      <c r="T17">
        <v>233.38</v>
      </c>
      <c r="U17">
        <v>246.79</v>
      </c>
      <c r="V17">
        <v>262.18</v>
      </c>
      <c r="W17">
        <v>276.33</v>
      </c>
      <c r="X17">
        <v>285.33999999999997</v>
      </c>
      <c r="Y17">
        <v>294.49</v>
      </c>
      <c r="Z17">
        <v>304.62</v>
      </c>
      <c r="AA17">
        <v>314.81</v>
      </c>
      <c r="AB17">
        <v>325.05</v>
      </c>
      <c r="AC17">
        <v>341.29</v>
      </c>
      <c r="AD17">
        <v>356.6</v>
      </c>
      <c r="AE17">
        <v>371.17</v>
      </c>
      <c r="AF17">
        <v>386.66</v>
      </c>
      <c r="AG17">
        <v>402.21</v>
      </c>
    </row>
    <row r="18" spans="1:33">
      <c r="A18" s="29" t="s">
        <v>593</v>
      </c>
      <c r="B18">
        <v>60.68</v>
      </c>
      <c r="C18">
        <v>58.58</v>
      </c>
      <c r="D18">
        <v>60.09</v>
      </c>
      <c r="E18">
        <v>61.48</v>
      </c>
      <c r="F18">
        <v>62.68</v>
      </c>
      <c r="G18">
        <v>64.05</v>
      </c>
      <c r="H18">
        <v>65.23</v>
      </c>
      <c r="I18">
        <v>66.2</v>
      </c>
      <c r="J18">
        <v>67.41</v>
      </c>
      <c r="K18">
        <v>69.67</v>
      </c>
      <c r="L18">
        <v>72.37</v>
      </c>
      <c r="M18">
        <v>74.66</v>
      </c>
      <c r="N18">
        <v>77.239999999999995</v>
      </c>
      <c r="O18">
        <v>79.61</v>
      </c>
      <c r="P18">
        <v>82.52</v>
      </c>
      <c r="Q18">
        <v>85.37</v>
      </c>
      <c r="R18">
        <v>89.15</v>
      </c>
      <c r="S18">
        <v>93.56</v>
      </c>
      <c r="T18">
        <v>96.22</v>
      </c>
      <c r="U18">
        <v>99.16</v>
      </c>
      <c r="V18">
        <v>101.85</v>
      </c>
      <c r="W18">
        <v>104.7</v>
      </c>
      <c r="X18">
        <v>107.63</v>
      </c>
      <c r="Y18">
        <v>110.21</v>
      </c>
      <c r="Z18">
        <v>112.46</v>
      </c>
      <c r="AA18">
        <v>114.47</v>
      </c>
      <c r="AB18">
        <v>116.38</v>
      </c>
      <c r="AC18">
        <v>118.34</v>
      </c>
      <c r="AD18">
        <v>118.47</v>
      </c>
      <c r="AE18">
        <v>118.4</v>
      </c>
      <c r="AF18">
        <v>118.4</v>
      </c>
      <c r="AG18">
        <v>118.36</v>
      </c>
    </row>
    <row r="19" spans="1:33">
      <c r="A19" s="29" t="s">
        <v>594</v>
      </c>
      <c r="B19">
        <v>247.43</v>
      </c>
      <c r="C19">
        <v>235.95</v>
      </c>
      <c r="D19">
        <v>242.5</v>
      </c>
      <c r="E19">
        <v>248.63</v>
      </c>
      <c r="F19">
        <v>253.33</v>
      </c>
      <c r="G19">
        <v>258.23</v>
      </c>
      <c r="H19">
        <v>263.17</v>
      </c>
      <c r="I19">
        <v>268.76</v>
      </c>
      <c r="J19">
        <v>274.67</v>
      </c>
      <c r="K19">
        <v>282.06</v>
      </c>
      <c r="L19">
        <v>291.58999999999997</v>
      </c>
      <c r="M19">
        <v>299.91000000000003</v>
      </c>
      <c r="N19">
        <v>308.88</v>
      </c>
      <c r="O19">
        <v>317.89</v>
      </c>
      <c r="P19">
        <v>330.19</v>
      </c>
      <c r="Q19">
        <v>343.29</v>
      </c>
      <c r="R19">
        <v>353.76</v>
      </c>
      <c r="S19">
        <v>364</v>
      </c>
      <c r="T19">
        <v>373.36</v>
      </c>
      <c r="U19">
        <v>384.36</v>
      </c>
      <c r="V19">
        <v>395.7</v>
      </c>
      <c r="W19">
        <v>407.99</v>
      </c>
      <c r="X19">
        <v>420.62</v>
      </c>
      <c r="Y19">
        <v>432.8</v>
      </c>
      <c r="Z19">
        <v>445.63</v>
      </c>
      <c r="AA19">
        <v>458.11</v>
      </c>
      <c r="AB19">
        <v>470.64</v>
      </c>
      <c r="AC19">
        <v>482.18</v>
      </c>
      <c r="AD19">
        <v>485.3</v>
      </c>
      <c r="AE19">
        <v>488.87</v>
      </c>
      <c r="AF19">
        <v>493.16</v>
      </c>
      <c r="AG19">
        <v>497.65</v>
      </c>
    </row>
    <row r="20" spans="1:33">
      <c r="A20" s="29" t="s">
        <v>595</v>
      </c>
      <c r="B20">
        <v>7.29</v>
      </c>
      <c r="C20">
        <v>7.02</v>
      </c>
      <c r="D20">
        <v>7.35</v>
      </c>
      <c r="E20">
        <v>7.62</v>
      </c>
      <c r="F20">
        <v>7.82</v>
      </c>
      <c r="G20">
        <v>8.02</v>
      </c>
      <c r="H20">
        <v>8.2200000000000006</v>
      </c>
      <c r="I20">
        <v>8.42</v>
      </c>
      <c r="J20">
        <v>8.6199999999999992</v>
      </c>
      <c r="K20">
        <v>8.77</v>
      </c>
      <c r="L20">
        <v>9</v>
      </c>
      <c r="M20">
        <v>9.2200000000000006</v>
      </c>
      <c r="N20">
        <v>9.42</v>
      </c>
      <c r="O20">
        <v>9.61</v>
      </c>
      <c r="P20">
        <v>9.89</v>
      </c>
      <c r="Q20">
        <v>10.19</v>
      </c>
      <c r="R20">
        <v>10.35</v>
      </c>
      <c r="S20">
        <v>10.48</v>
      </c>
      <c r="T20">
        <v>10.64</v>
      </c>
      <c r="U20">
        <v>10.89</v>
      </c>
      <c r="V20">
        <v>11.16</v>
      </c>
      <c r="W20">
        <v>11.43</v>
      </c>
      <c r="X20">
        <v>11.7</v>
      </c>
      <c r="Y20">
        <v>11.97</v>
      </c>
      <c r="Z20">
        <v>12.28</v>
      </c>
      <c r="AA20">
        <v>12.58</v>
      </c>
      <c r="AB20">
        <v>12.88</v>
      </c>
      <c r="AC20">
        <v>13.16</v>
      </c>
      <c r="AD20">
        <v>13.25</v>
      </c>
      <c r="AE20">
        <v>13.36</v>
      </c>
      <c r="AF20">
        <v>13.48</v>
      </c>
      <c r="AG20">
        <v>13.61</v>
      </c>
    </row>
    <row r="21" spans="1:33">
      <c r="A21" s="29" t="s">
        <v>529</v>
      </c>
      <c r="B21">
        <v>46.32</v>
      </c>
      <c r="C21">
        <v>29.08</v>
      </c>
      <c r="D21">
        <v>33.340000000000003</v>
      </c>
      <c r="E21">
        <v>38.270000000000003</v>
      </c>
      <c r="F21">
        <v>38.229999999999997</v>
      </c>
      <c r="G21">
        <v>38.19</v>
      </c>
      <c r="H21">
        <v>38.159999999999997</v>
      </c>
      <c r="I21">
        <v>38.119999999999997</v>
      </c>
      <c r="J21">
        <v>38.08</v>
      </c>
      <c r="K21">
        <v>16.8</v>
      </c>
      <c r="L21">
        <v>10.85</v>
      </c>
      <c r="M21">
        <v>10.81</v>
      </c>
      <c r="N21">
        <v>10.81</v>
      </c>
      <c r="O21">
        <v>10.81</v>
      </c>
      <c r="P21">
        <v>10.81</v>
      </c>
      <c r="Q21">
        <v>10.79</v>
      </c>
      <c r="R21">
        <v>6.07</v>
      </c>
      <c r="S21">
        <v>1.4</v>
      </c>
      <c r="T21">
        <v>1.38</v>
      </c>
      <c r="U21">
        <v>1.28</v>
      </c>
      <c r="V21">
        <v>1.17</v>
      </c>
      <c r="W21">
        <v>1.06</v>
      </c>
      <c r="X21">
        <v>0.97</v>
      </c>
      <c r="Y21">
        <v>0.88</v>
      </c>
      <c r="Z21">
        <v>0.79</v>
      </c>
      <c r="AA21">
        <v>0.7</v>
      </c>
      <c r="AB21">
        <v>0.61</v>
      </c>
      <c r="AC21">
        <v>0.62</v>
      </c>
      <c r="AD21">
        <v>0.63</v>
      </c>
      <c r="AE21">
        <v>0.63</v>
      </c>
      <c r="AF21">
        <v>0.64</v>
      </c>
      <c r="AG21">
        <v>0.65</v>
      </c>
    </row>
    <row r="22" spans="1:33">
      <c r="A22" s="29" t="s">
        <v>599</v>
      </c>
      <c r="B22">
        <v>112.99</v>
      </c>
      <c r="C22">
        <v>109.03</v>
      </c>
      <c r="D22">
        <v>107.81</v>
      </c>
      <c r="E22">
        <v>106.54</v>
      </c>
      <c r="F22">
        <v>104.86</v>
      </c>
      <c r="G22">
        <v>103.71</v>
      </c>
      <c r="H22">
        <v>102.26</v>
      </c>
      <c r="I22">
        <v>99.81</v>
      </c>
      <c r="J22">
        <v>96.7</v>
      </c>
      <c r="K22">
        <v>94.63</v>
      </c>
      <c r="L22">
        <v>92.91</v>
      </c>
      <c r="M22">
        <v>88.38</v>
      </c>
      <c r="N22">
        <v>84.01</v>
      </c>
      <c r="O22">
        <v>81.599999999999994</v>
      </c>
      <c r="P22">
        <v>77.55</v>
      </c>
      <c r="Q22">
        <v>77.3</v>
      </c>
      <c r="R22">
        <v>63.1</v>
      </c>
      <c r="S22">
        <v>49.91</v>
      </c>
      <c r="T22">
        <v>42.41</v>
      </c>
      <c r="U22">
        <v>38.44</v>
      </c>
      <c r="V22">
        <v>34.46</v>
      </c>
      <c r="W22">
        <v>30.51</v>
      </c>
      <c r="X22">
        <v>29.19</v>
      </c>
      <c r="Y22">
        <v>27.86</v>
      </c>
      <c r="Z22">
        <v>26.53</v>
      </c>
      <c r="AA22">
        <v>25.19</v>
      </c>
      <c r="AB22">
        <v>23.86</v>
      </c>
      <c r="AC22">
        <v>21.82</v>
      </c>
      <c r="AD22">
        <v>19.77</v>
      </c>
      <c r="AE22">
        <v>17.73</v>
      </c>
      <c r="AF22">
        <v>15.68</v>
      </c>
      <c r="AG22">
        <v>13.64</v>
      </c>
    </row>
    <row r="23" spans="1:33">
      <c r="A23" s="29" t="s">
        <v>718</v>
      </c>
      <c r="B23">
        <v>97.82</v>
      </c>
      <c r="C23">
        <v>74.11</v>
      </c>
      <c r="D23">
        <v>78.11</v>
      </c>
      <c r="E23">
        <v>82.05</v>
      </c>
      <c r="F23">
        <v>86.08</v>
      </c>
      <c r="G23">
        <v>90.14</v>
      </c>
      <c r="H23">
        <v>94.22</v>
      </c>
      <c r="I23">
        <v>94.74</v>
      </c>
      <c r="J23">
        <v>95.24</v>
      </c>
      <c r="K23">
        <v>95.95</v>
      </c>
      <c r="L23">
        <v>96.56</v>
      </c>
      <c r="M23">
        <v>97.04</v>
      </c>
      <c r="N23">
        <v>98.98</v>
      </c>
      <c r="O23">
        <v>100.95</v>
      </c>
      <c r="P23">
        <v>102.96</v>
      </c>
      <c r="Q23">
        <v>105</v>
      </c>
      <c r="R23">
        <v>107.44</v>
      </c>
      <c r="S23">
        <v>109.83</v>
      </c>
      <c r="T23">
        <v>111.69</v>
      </c>
      <c r="U23">
        <v>113.62</v>
      </c>
      <c r="V23">
        <v>115.47</v>
      </c>
      <c r="W23">
        <v>117.58</v>
      </c>
      <c r="X23">
        <v>140.30000000000001</v>
      </c>
      <c r="Y23">
        <v>163.32</v>
      </c>
      <c r="Z23">
        <v>186.53</v>
      </c>
      <c r="AA23">
        <v>209.81</v>
      </c>
      <c r="AB23">
        <v>233.11</v>
      </c>
      <c r="AC23">
        <v>256.42</v>
      </c>
      <c r="AD23">
        <v>279.41000000000003</v>
      </c>
      <c r="AE23">
        <v>302.49</v>
      </c>
      <c r="AF23">
        <v>325.62</v>
      </c>
      <c r="AG23">
        <v>348.76</v>
      </c>
    </row>
    <row r="24" spans="1:33">
      <c r="A24" s="29" t="s">
        <v>712</v>
      </c>
      <c r="B24">
        <v>2.4900000000000002</v>
      </c>
      <c r="C24">
        <v>2.35</v>
      </c>
      <c r="D24">
        <v>2.35</v>
      </c>
      <c r="E24">
        <v>2.39</v>
      </c>
      <c r="F24">
        <v>2.42</v>
      </c>
      <c r="G24">
        <v>2.4500000000000002</v>
      </c>
      <c r="H24">
        <v>2.4700000000000002</v>
      </c>
      <c r="I24">
        <v>2.5099999999999998</v>
      </c>
      <c r="J24">
        <v>2.54</v>
      </c>
      <c r="K24">
        <v>2.5</v>
      </c>
      <c r="L24">
        <v>2.5</v>
      </c>
      <c r="M24">
        <v>2.5299999999999998</v>
      </c>
      <c r="N24">
        <v>2.56</v>
      </c>
      <c r="O24">
        <v>2.59</v>
      </c>
      <c r="P24">
        <v>2.64</v>
      </c>
      <c r="Q24">
        <v>2.68</v>
      </c>
      <c r="R24">
        <v>2.23</v>
      </c>
      <c r="S24">
        <v>1.86</v>
      </c>
      <c r="T24">
        <v>1.8</v>
      </c>
      <c r="U24">
        <v>1.9</v>
      </c>
      <c r="V24">
        <v>1.97</v>
      </c>
      <c r="W24">
        <v>1.85</v>
      </c>
      <c r="X24">
        <v>1.82</v>
      </c>
      <c r="Y24">
        <v>1.84</v>
      </c>
      <c r="Z24">
        <v>1.88</v>
      </c>
      <c r="AA24">
        <v>1.93</v>
      </c>
      <c r="AB24">
        <v>1.98</v>
      </c>
      <c r="AC24">
        <v>2.0299999999999998</v>
      </c>
      <c r="AD24">
        <v>2.0499999999999998</v>
      </c>
      <c r="AE24">
        <v>2.0699999999999998</v>
      </c>
      <c r="AF24">
        <v>2.09</v>
      </c>
      <c r="AG24">
        <v>2.11</v>
      </c>
    </row>
    <row r="25" spans="1:33">
      <c r="A25" s="29" t="s">
        <v>720</v>
      </c>
      <c r="B25">
        <v>0.28999999999999998</v>
      </c>
      <c r="C25">
        <v>0.28999999999999998</v>
      </c>
      <c r="D25">
        <v>0.28999999999999998</v>
      </c>
      <c r="E25">
        <v>0.28999999999999998</v>
      </c>
      <c r="F25">
        <v>0.28999999999999998</v>
      </c>
      <c r="G25">
        <v>0.28999999999999998</v>
      </c>
      <c r="H25">
        <v>0.28999999999999998</v>
      </c>
      <c r="I25">
        <v>0.28999999999999998</v>
      </c>
      <c r="J25">
        <v>0.28999999999999998</v>
      </c>
      <c r="K25">
        <v>0.28999999999999998</v>
      </c>
      <c r="L25">
        <v>0.28999999999999998</v>
      </c>
      <c r="M25">
        <v>0.28999999999999998</v>
      </c>
      <c r="N25">
        <v>1.63</v>
      </c>
      <c r="O25">
        <v>1.77</v>
      </c>
      <c r="P25">
        <v>1.5</v>
      </c>
      <c r="Q25">
        <v>1.96</v>
      </c>
      <c r="R25">
        <v>2.0499999999999998</v>
      </c>
      <c r="S25">
        <v>2.16</v>
      </c>
      <c r="T25">
        <v>5.39</v>
      </c>
      <c r="U25">
        <v>11.2</v>
      </c>
      <c r="V25">
        <v>16.98</v>
      </c>
      <c r="W25">
        <v>22.75</v>
      </c>
      <c r="X25">
        <v>25.18</v>
      </c>
      <c r="Y25">
        <v>27.62</v>
      </c>
      <c r="Z25">
        <v>30.04</v>
      </c>
      <c r="AA25">
        <v>32.450000000000003</v>
      </c>
      <c r="AB25">
        <v>34.869999999999997</v>
      </c>
      <c r="AC25">
        <v>34.19</v>
      </c>
      <c r="AD25">
        <v>33.5</v>
      </c>
      <c r="AE25">
        <v>32.82</v>
      </c>
      <c r="AF25">
        <v>32.14</v>
      </c>
      <c r="AG25">
        <v>31.46</v>
      </c>
    </row>
    <row r="26" spans="1:33">
      <c r="A26" s="29" t="s">
        <v>721</v>
      </c>
      <c r="B26">
        <v>0.08</v>
      </c>
      <c r="C26">
        <v>0.08</v>
      </c>
      <c r="D26">
        <v>0.08</v>
      </c>
      <c r="E26">
        <v>0.08</v>
      </c>
      <c r="F26">
        <v>0.12</v>
      </c>
      <c r="G26">
        <v>0.16</v>
      </c>
      <c r="H26">
        <v>0.2</v>
      </c>
      <c r="I26">
        <v>0.23</v>
      </c>
      <c r="J26">
        <v>0.27</v>
      </c>
      <c r="K26">
        <v>0.31</v>
      </c>
      <c r="L26">
        <v>0.35</v>
      </c>
      <c r="M26">
        <v>1.99</v>
      </c>
      <c r="N26">
        <v>1.01</v>
      </c>
      <c r="O26">
        <v>1.4</v>
      </c>
      <c r="P26">
        <v>1.29</v>
      </c>
      <c r="Q26">
        <v>1.66</v>
      </c>
      <c r="R26">
        <v>2.08</v>
      </c>
      <c r="S26">
        <v>1.84</v>
      </c>
      <c r="T26">
        <v>8.24</v>
      </c>
      <c r="U26">
        <v>8.2200000000000006</v>
      </c>
      <c r="V26">
        <v>4.18</v>
      </c>
      <c r="W26">
        <v>4.18</v>
      </c>
      <c r="X26">
        <v>4.18</v>
      </c>
      <c r="Y26">
        <v>4.17</v>
      </c>
      <c r="Z26">
        <v>3.29</v>
      </c>
      <c r="AA26">
        <v>3.29</v>
      </c>
      <c r="AB26">
        <v>3.29</v>
      </c>
      <c r="AC26">
        <v>3.29</v>
      </c>
      <c r="AD26">
        <v>3.29</v>
      </c>
      <c r="AE26">
        <v>6.49</v>
      </c>
      <c r="AF26">
        <v>6.49</v>
      </c>
      <c r="AG26">
        <v>6.49</v>
      </c>
    </row>
    <row r="27" spans="1:33">
      <c r="A27" s="29"/>
    </row>
    <row r="28" spans="1:33">
      <c r="A28" s="29"/>
    </row>
    <row r="42" spans="1:39">
      <c r="A42" s="118"/>
      <c r="B42" s="118"/>
      <c r="C42" s="118"/>
      <c r="D42" s="118"/>
      <c r="E42" s="118"/>
      <c r="F42" s="118"/>
      <c r="G42" s="118"/>
      <c r="H42" s="118"/>
      <c r="I42" s="118"/>
    </row>
    <row r="43" spans="1:39">
      <c r="A43" s="29" t="s">
        <v>567</v>
      </c>
      <c r="B43" s="29" t="s">
        <v>555</v>
      </c>
      <c r="C43" s="29" t="s">
        <v>568</v>
      </c>
      <c r="D43" s="29" t="s">
        <v>569</v>
      </c>
      <c r="E43" s="29" t="s">
        <v>570</v>
      </c>
      <c r="F43" s="29" t="s">
        <v>571</v>
      </c>
      <c r="G43" s="29" t="s">
        <v>556</v>
      </c>
      <c r="H43" s="29" t="s">
        <v>572</v>
      </c>
      <c r="I43" s="29" t="s">
        <v>573</v>
      </c>
      <c r="J43" s="29" t="s">
        <v>574</v>
      </c>
      <c r="K43" s="29" t="s">
        <v>575</v>
      </c>
      <c r="L43" s="29" t="s">
        <v>557</v>
      </c>
      <c r="M43" s="29" t="s">
        <v>576</v>
      </c>
      <c r="N43" s="29" t="s">
        <v>577</v>
      </c>
      <c r="O43" s="29" t="s">
        <v>578</v>
      </c>
      <c r="P43" s="29" t="s">
        <v>579</v>
      </c>
      <c r="Q43" s="29" t="s">
        <v>558</v>
      </c>
      <c r="R43" s="29" t="s">
        <v>580</v>
      </c>
      <c r="S43" s="29" t="s">
        <v>581</v>
      </c>
      <c r="T43" s="29" t="s">
        <v>582</v>
      </c>
      <c r="U43" s="29" t="s">
        <v>583</v>
      </c>
      <c r="V43" s="29" t="s">
        <v>559</v>
      </c>
      <c r="W43" s="29" t="s">
        <v>584</v>
      </c>
      <c r="X43" s="29" t="s">
        <v>585</v>
      </c>
      <c r="Y43" s="29" t="s">
        <v>586</v>
      </c>
      <c r="Z43" s="29" t="s">
        <v>587</v>
      </c>
      <c r="AA43" s="29" t="s">
        <v>560</v>
      </c>
      <c r="AB43" s="29" t="s">
        <v>588</v>
      </c>
      <c r="AC43" s="29" t="s">
        <v>589</v>
      </c>
      <c r="AD43" s="29" t="s">
        <v>590</v>
      </c>
      <c r="AE43" s="29" t="s">
        <v>591</v>
      </c>
      <c r="AF43" s="29" t="s">
        <v>561</v>
      </c>
      <c r="AG43" s="29"/>
      <c r="AH43" s="29"/>
      <c r="AI43" s="29"/>
      <c r="AJ43" s="29"/>
      <c r="AK43" s="29"/>
      <c r="AL43" s="29"/>
      <c r="AM43" s="29"/>
    </row>
    <row r="44" spans="1:39">
      <c r="A44">
        <v>58364.834921819442</v>
      </c>
      <c r="B44">
        <v>59308.69</v>
      </c>
      <c r="C44">
        <v>60158.036186957921</v>
      </c>
      <c r="D44">
        <v>60963.559588769531</v>
      </c>
      <c r="E44">
        <v>61723.133308607779</v>
      </c>
      <c r="F44">
        <v>62434.728280060037</v>
      </c>
      <c r="G44">
        <v>63096.422221537941</v>
      </c>
      <c r="H44">
        <v>63744.102485123491</v>
      </c>
      <c r="I44">
        <v>64377.188881988601</v>
      </c>
      <c r="J44">
        <v>64995.109664264295</v>
      </c>
      <c r="K44">
        <v>65597.302376622756</v>
      </c>
      <c r="L44">
        <v>66183.214701401099</v>
      </c>
      <c r="M44">
        <v>66757.007289602305</v>
      </c>
      <c r="N44">
        <v>67318.27099416386</v>
      </c>
      <c r="O44">
        <v>67866.602868669026</v>
      </c>
      <c r="P44">
        <v>68401.606645337117</v>
      </c>
      <c r="Q44">
        <v>68922.893208527457</v>
      </c>
      <c r="R44">
        <v>69431.445341664759</v>
      </c>
      <c r="S44">
        <v>69926.919446580025</v>
      </c>
      <c r="T44">
        <v>70408.978817025956</v>
      </c>
      <c r="U44">
        <v>70877.294017675013</v>
      </c>
      <c r="V44">
        <v>71331.543257193218</v>
      </c>
      <c r="W44">
        <v>71772.879261991126</v>
      </c>
      <c r="X44">
        <v>72201.023455996197</v>
      </c>
      <c r="Y44">
        <v>72615.704257339326</v>
      </c>
      <c r="Z44">
        <v>73016.657364175844</v>
      </c>
      <c r="AA44">
        <v>73403.626034263347</v>
      </c>
      <c r="AB44">
        <v>73776.422042674065</v>
      </c>
      <c r="AC44">
        <v>74134.805489166116</v>
      </c>
      <c r="AD44">
        <v>74478.544758379343</v>
      </c>
      <c r="AE44">
        <v>74807.416768507304</v>
      </c>
      <c r="AF44">
        <v>75121.207211856716</v>
      </c>
    </row>
    <row r="61" spans="1:40">
      <c r="B61" s="29" t="s">
        <v>567</v>
      </c>
      <c r="C61" s="29" t="s">
        <v>555</v>
      </c>
      <c r="D61" s="29" t="s">
        <v>568</v>
      </c>
      <c r="E61" s="29" t="s">
        <v>569</v>
      </c>
      <c r="F61" s="29" t="s">
        <v>570</v>
      </c>
      <c r="G61" s="29" t="s">
        <v>571</v>
      </c>
      <c r="H61" s="29" t="s">
        <v>556</v>
      </c>
      <c r="I61" s="29" t="s">
        <v>572</v>
      </c>
      <c r="J61" s="29" t="s">
        <v>573</v>
      </c>
      <c r="K61" s="29" t="s">
        <v>574</v>
      </c>
      <c r="L61" s="29" t="s">
        <v>575</v>
      </c>
      <c r="M61" s="29" t="s">
        <v>557</v>
      </c>
      <c r="N61" s="29" t="s">
        <v>576</v>
      </c>
      <c r="O61" s="29" t="s">
        <v>577</v>
      </c>
      <c r="P61" s="29" t="s">
        <v>578</v>
      </c>
      <c r="Q61" s="29" t="s">
        <v>579</v>
      </c>
      <c r="R61" s="29" t="s">
        <v>558</v>
      </c>
      <c r="S61" s="29" t="s">
        <v>580</v>
      </c>
      <c r="T61" s="29" t="s">
        <v>581</v>
      </c>
      <c r="U61" s="29" t="s">
        <v>582</v>
      </c>
      <c r="V61" s="29" t="s">
        <v>583</v>
      </c>
      <c r="W61" s="29" t="s">
        <v>559</v>
      </c>
      <c r="X61" s="29" t="s">
        <v>584</v>
      </c>
      <c r="Y61" s="29" t="s">
        <v>585</v>
      </c>
      <c r="Z61" s="29" t="s">
        <v>586</v>
      </c>
      <c r="AA61" s="29" t="s">
        <v>587</v>
      </c>
      <c r="AB61" s="29" t="s">
        <v>560</v>
      </c>
      <c r="AC61" s="29" t="s">
        <v>588</v>
      </c>
      <c r="AD61" s="29" t="s">
        <v>589</v>
      </c>
      <c r="AE61" s="29" t="s">
        <v>590</v>
      </c>
      <c r="AF61" s="29" t="s">
        <v>591</v>
      </c>
      <c r="AG61" s="29" t="s">
        <v>561</v>
      </c>
      <c r="AH61" s="29"/>
      <c r="AI61" s="29"/>
      <c r="AJ61" s="29"/>
      <c r="AK61" s="29"/>
      <c r="AL61" s="29"/>
      <c r="AM61" s="29"/>
      <c r="AN61" s="29"/>
    </row>
    <row r="62" spans="1:40">
      <c r="A62" s="29" t="s">
        <v>275</v>
      </c>
      <c r="B62">
        <v>0.5</v>
      </c>
      <c r="C62">
        <v>0.51400000000000001</v>
      </c>
      <c r="D62">
        <v>0.52100000000000002</v>
      </c>
      <c r="E62">
        <v>0.50900000000000001</v>
      </c>
      <c r="F62">
        <v>0.5</v>
      </c>
      <c r="G62">
        <v>0.49099999999999999</v>
      </c>
      <c r="H62">
        <v>0.48199999999999998</v>
      </c>
      <c r="I62">
        <v>0.47499999999999998</v>
      </c>
      <c r="J62">
        <v>0.46800000000000003</v>
      </c>
      <c r="K62">
        <v>0.46400000000000002</v>
      </c>
      <c r="L62">
        <v>0.45700000000000002</v>
      </c>
      <c r="M62">
        <v>0.44900000000000001</v>
      </c>
      <c r="N62">
        <v>0.439</v>
      </c>
      <c r="O62">
        <v>0.42799999999999999</v>
      </c>
      <c r="P62">
        <v>0.41699999999999998</v>
      </c>
      <c r="Q62">
        <v>0.40500000000000003</v>
      </c>
      <c r="R62">
        <v>0.39600000000000002</v>
      </c>
      <c r="S62">
        <v>0.39100000000000001</v>
      </c>
      <c r="T62">
        <v>0.38400000000000001</v>
      </c>
      <c r="U62">
        <v>0.377</v>
      </c>
      <c r="V62">
        <v>0.36799999999999999</v>
      </c>
      <c r="W62">
        <v>0.35899999999999999</v>
      </c>
      <c r="X62">
        <v>0.35199999999999998</v>
      </c>
      <c r="Y62">
        <v>0.34399999999999997</v>
      </c>
      <c r="Z62">
        <v>0.33600000000000002</v>
      </c>
      <c r="AA62">
        <v>0.32800000000000001</v>
      </c>
      <c r="AB62">
        <v>0.32</v>
      </c>
      <c r="AC62">
        <v>0.312</v>
      </c>
      <c r="AD62">
        <v>0.30599999999999999</v>
      </c>
      <c r="AE62">
        <v>0.30299999999999999</v>
      </c>
      <c r="AF62">
        <v>0.3</v>
      </c>
      <c r="AG62">
        <v>0.29599999999999999</v>
      </c>
      <c r="AH62" s="18"/>
      <c r="AI62" s="18"/>
      <c r="AJ62" s="18"/>
      <c r="AK62" s="18"/>
      <c r="AL62" s="18"/>
      <c r="AM62" s="18"/>
      <c r="AN62" s="18"/>
    </row>
    <row r="63" spans="1:40">
      <c r="A63" s="29" t="s">
        <v>276</v>
      </c>
      <c r="B63">
        <v>0.3</v>
      </c>
      <c r="C63">
        <v>0.28599999999999998</v>
      </c>
      <c r="D63">
        <v>0.27900000000000003</v>
      </c>
      <c r="E63">
        <v>0.29099999999999998</v>
      </c>
      <c r="F63">
        <v>0.29899999999999999</v>
      </c>
      <c r="G63">
        <v>0.30199999999999999</v>
      </c>
      <c r="H63">
        <v>0.30499999999999999</v>
      </c>
      <c r="I63">
        <v>0.307</v>
      </c>
      <c r="J63">
        <v>0.31</v>
      </c>
      <c r="K63">
        <v>0.312</v>
      </c>
      <c r="L63">
        <v>0.313</v>
      </c>
      <c r="M63">
        <v>0.316</v>
      </c>
      <c r="N63">
        <v>0.318</v>
      </c>
      <c r="O63">
        <v>0.32</v>
      </c>
      <c r="P63">
        <v>0.32300000000000001</v>
      </c>
      <c r="Q63">
        <v>0.32600000000000001</v>
      </c>
      <c r="R63">
        <v>0.33</v>
      </c>
      <c r="S63">
        <v>0.33200000000000002</v>
      </c>
      <c r="T63">
        <v>0.33400000000000002</v>
      </c>
      <c r="U63">
        <v>0.33700000000000002</v>
      </c>
      <c r="V63">
        <v>0.33700000000000002</v>
      </c>
      <c r="W63">
        <v>0.34100000000000003</v>
      </c>
      <c r="X63">
        <v>0.34300000000000003</v>
      </c>
      <c r="Y63">
        <v>0.34499999999999997</v>
      </c>
      <c r="Z63">
        <v>0.34699999999999998</v>
      </c>
      <c r="AA63">
        <v>0.34799999999999998</v>
      </c>
      <c r="AB63">
        <v>0.35</v>
      </c>
      <c r="AC63">
        <v>0.35199999999999998</v>
      </c>
      <c r="AD63">
        <v>0.35499999999999998</v>
      </c>
      <c r="AE63">
        <v>0.35599999999999998</v>
      </c>
      <c r="AF63">
        <v>0.35799999999999998</v>
      </c>
      <c r="AG63">
        <v>0.35899999999999999</v>
      </c>
      <c r="AH63" s="18"/>
      <c r="AI63" s="18"/>
      <c r="AJ63" s="18"/>
      <c r="AK63" s="18"/>
      <c r="AL63" s="18"/>
      <c r="AM63" s="18"/>
      <c r="AN63" s="18"/>
    </row>
    <row r="64" spans="1:40">
      <c r="A64" s="29" t="s">
        <v>277</v>
      </c>
      <c r="B64">
        <v>0.2</v>
      </c>
      <c r="C64">
        <v>0.2</v>
      </c>
      <c r="D64">
        <v>0.2</v>
      </c>
      <c r="E64">
        <v>0.2</v>
      </c>
      <c r="F64">
        <v>0.20100000000000001</v>
      </c>
      <c r="G64">
        <v>0.20699999999999999</v>
      </c>
      <c r="H64">
        <v>0.21299999999999999</v>
      </c>
      <c r="I64">
        <v>0.218</v>
      </c>
      <c r="J64">
        <v>0.222</v>
      </c>
      <c r="K64">
        <v>0.224</v>
      </c>
      <c r="L64">
        <v>0.23</v>
      </c>
      <c r="M64">
        <v>0.23599999999999999</v>
      </c>
      <c r="N64">
        <v>0.24399999999999999</v>
      </c>
      <c r="O64">
        <v>0.251</v>
      </c>
      <c r="P64">
        <v>0.26</v>
      </c>
      <c r="Q64">
        <v>0.26900000000000002</v>
      </c>
      <c r="R64">
        <v>0.27400000000000002</v>
      </c>
      <c r="S64">
        <v>0.27700000000000002</v>
      </c>
      <c r="T64">
        <v>0.28199999999999997</v>
      </c>
      <c r="U64">
        <v>0.28699999999999998</v>
      </c>
      <c r="V64">
        <v>0.29399999999999998</v>
      </c>
      <c r="W64">
        <v>0.29899999999999999</v>
      </c>
      <c r="X64">
        <v>0.30599999999999999</v>
      </c>
      <c r="Y64">
        <v>0.312</v>
      </c>
      <c r="Z64">
        <v>0.318</v>
      </c>
      <c r="AA64">
        <v>0.32400000000000001</v>
      </c>
      <c r="AB64">
        <v>0.33</v>
      </c>
      <c r="AC64">
        <v>0.33600000000000002</v>
      </c>
      <c r="AD64">
        <v>0.33900000000000002</v>
      </c>
      <c r="AE64">
        <v>0.34100000000000003</v>
      </c>
      <c r="AF64">
        <v>0.34300000000000003</v>
      </c>
      <c r="AG64">
        <v>0.34499999999999997</v>
      </c>
      <c r="AH64" s="18"/>
      <c r="AI64" s="18"/>
      <c r="AJ64" s="18"/>
      <c r="AK64" s="18"/>
      <c r="AL64" s="18"/>
      <c r="AM64" s="18"/>
      <c r="AN64" s="18"/>
    </row>
    <row r="65" spans="1:39">
      <c r="A65" s="29"/>
    </row>
    <row r="66" spans="1:39">
      <c r="A66" s="29"/>
    </row>
    <row r="67" spans="1:39">
      <c r="A67" s="29"/>
    </row>
    <row r="71" spans="1:39">
      <c r="A71" s="29" t="s">
        <v>567</v>
      </c>
      <c r="B71" s="29" t="s">
        <v>555</v>
      </c>
      <c r="C71" s="29" t="s">
        <v>568</v>
      </c>
      <c r="D71" s="29" t="s">
        <v>569</v>
      </c>
      <c r="E71" s="29" t="s">
        <v>570</v>
      </c>
      <c r="F71" s="29" t="s">
        <v>571</v>
      </c>
      <c r="G71" s="29" t="s">
        <v>556</v>
      </c>
      <c r="H71" s="29" t="s">
        <v>572</v>
      </c>
      <c r="I71" s="29" t="s">
        <v>573</v>
      </c>
      <c r="J71" s="29" t="s">
        <v>574</v>
      </c>
      <c r="K71" s="29" t="s">
        <v>575</v>
      </c>
      <c r="L71" s="29" t="s">
        <v>557</v>
      </c>
      <c r="M71" s="29" t="s">
        <v>576</v>
      </c>
      <c r="N71" s="29" t="s">
        <v>577</v>
      </c>
      <c r="O71" s="29" t="s">
        <v>578</v>
      </c>
      <c r="P71" s="29" t="s">
        <v>579</v>
      </c>
      <c r="Q71" s="29" t="s">
        <v>558</v>
      </c>
      <c r="R71" s="29" t="s">
        <v>580</v>
      </c>
      <c r="S71" s="29" t="s">
        <v>581</v>
      </c>
      <c r="T71" s="29" t="s">
        <v>582</v>
      </c>
      <c r="U71" s="29" t="s">
        <v>583</v>
      </c>
      <c r="V71" s="29" t="s">
        <v>559</v>
      </c>
      <c r="W71" s="29" t="s">
        <v>584</v>
      </c>
      <c r="X71" s="29" t="s">
        <v>585</v>
      </c>
      <c r="Y71" s="29" t="s">
        <v>586</v>
      </c>
      <c r="Z71" s="29" t="s">
        <v>587</v>
      </c>
      <c r="AA71" s="29" t="s">
        <v>560</v>
      </c>
      <c r="AB71" s="29" t="s">
        <v>588</v>
      </c>
      <c r="AC71" s="29" t="s">
        <v>589</v>
      </c>
      <c r="AD71" s="29" t="s">
        <v>590</v>
      </c>
      <c r="AE71" s="29" t="s">
        <v>591</v>
      </c>
      <c r="AF71" s="29" t="s">
        <v>561</v>
      </c>
      <c r="AG71" s="29"/>
      <c r="AH71" s="29"/>
      <c r="AI71" s="29"/>
      <c r="AJ71" s="29"/>
      <c r="AK71" s="29"/>
      <c r="AL71" s="29"/>
      <c r="AM71" s="29"/>
    </row>
    <row r="72" spans="1:39">
      <c r="A72">
        <v>0.36699999999999999</v>
      </c>
      <c r="B72">
        <v>0.34200000000000003</v>
      </c>
      <c r="C72">
        <v>0.41299999999999998</v>
      </c>
      <c r="D72">
        <v>0.36099999999999999</v>
      </c>
      <c r="E72">
        <v>0.42599999999999999</v>
      </c>
      <c r="F72">
        <v>0.432</v>
      </c>
      <c r="G72">
        <v>0.438</v>
      </c>
      <c r="H72">
        <v>0.442</v>
      </c>
      <c r="I72">
        <v>0.44700000000000001</v>
      </c>
      <c r="J72">
        <v>0.44800000000000001</v>
      </c>
      <c r="K72">
        <v>0.45600000000000002</v>
      </c>
      <c r="L72">
        <v>0.46300000000000002</v>
      </c>
      <c r="M72">
        <v>0.47299999999999998</v>
      </c>
      <c r="N72">
        <v>0.48299999999999998</v>
      </c>
      <c r="O72">
        <v>0.496</v>
      </c>
      <c r="P72">
        <v>0.50900000000000001</v>
      </c>
      <c r="Q72">
        <v>0.51400000000000001</v>
      </c>
      <c r="R72">
        <v>0.51800000000000002</v>
      </c>
      <c r="S72">
        <v>0.52500000000000002</v>
      </c>
      <c r="T72">
        <v>0.53300000000000003</v>
      </c>
      <c r="U72">
        <v>0.54800000000000004</v>
      </c>
      <c r="V72">
        <v>0.55400000000000005</v>
      </c>
      <c r="W72">
        <v>0.623</v>
      </c>
      <c r="X72">
        <v>0.63500000000000001</v>
      </c>
      <c r="Y72">
        <v>0.64800000000000002</v>
      </c>
      <c r="Z72">
        <v>0.66100000000000003</v>
      </c>
      <c r="AA72">
        <v>0.67600000000000005</v>
      </c>
      <c r="AB72">
        <v>0.69099999999999995</v>
      </c>
      <c r="AC72">
        <v>0.69499999999999995</v>
      </c>
      <c r="AD72">
        <v>0.69799999999999995</v>
      </c>
      <c r="AE72">
        <v>0.70199999999999996</v>
      </c>
      <c r="AF72">
        <v>0.70599999999999996</v>
      </c>
      <c r="AG72" s="18"/>
      <c r="AH72" s="18"/>
      <c r="AI72" s="18"/>
      <c r="AJ72" s="18"/>
      <c r="AK72" s="18"/>
      <c r="AL72" s="18"/>
      <c r="AM72" s="18"/>
    </row>
    <row r="82" spans="1:46">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row>
    <row r="83" spans="1:46">
      <c r="A83" s="29"/>
    </row>
    <row r="84" spans="1:46">
      <c r="A84" s="29"/>
    </row>
    <row r="85" spans="1:46">
      <c r="A85" s="29"/>
    </row>
    <row r="92" spans="1:46">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row>
    <row r="93" spans="1:46">
      <c r="A93" s="29"/>
    </row>
    <row r="94" spans="1:46">
      <c r="A94" s="29"/>
    </row>
    <row r="95" spans="1:46">
      <c r="A95" s="29"/>
    </row>
    <row r="96" spans="1:46">
      <c r="A96" s="29"/>
    </row>
    <row r="97" spans="1:47">
      <c r="A97" s="29"/>
    </row>
    <row r="98" spans="1:47">
      <c r="A98" s="29"/>
    </row>
    <row r="99" spans="1:47">
      <c r="A99" s="29"/>
    </row>
    <row r="100" spans="1:47">
      <c r="A100" s="29"/>
    </row>
    <row r="101" spans="1:47">
      <c r="A101" s="29"/>
    </row>
    <row r="102" spans="1:47">
      <c r="C102" s="29" t="s">
        <v>567</v>
      </c>
      <c r="D102" s="29" t="s">
        <v>555</v>
      </c>
      <c r="E102" s="29" t="s">
        <v>568</v>
      </c>
      <c r="F102" s="29" t="s">
        <v>569</v>
      </c>
      <c r="G102" s="29" t="s">
        <v>570</v>
      </c>
      <c r="H102" s="29" t="s">
        <v>571</v>
      </c>
      <c r="I102" s="29" t="s">
        <v>556</v>
      </c>
      <c r="J102" s="29" t="s">
        <v>572</v>
      </c>
      <c r="K102" s="29" t="s">
        <v>573</v>
      </c>
      <c r="L102" s="29" t="s">
        <v>574</v>
      </c>
      <c r="M102" s="29" t="s">
        <v>575</v>
      </c>
      <c r="N102" s="29" t="s">
        <v>557</v>
      </c>
      <c r="O102" s="29" t="s">
        <v>576</v>
      </c>
      <c r="P102" s="29" t="s">
        <v>577</v>
      </c>
      <c r="Q102" s="29" t="s">
        <v>578</v>
      </c>
      <c r="R102" s="29" t="s">
        <v>579</v>
      </c>
      <c r="S102" s="29" t="s">
        <v>558</v>
      </c>
      <c r="T102" s="29" t="s">
        <v>580</v>
      </c>
      <c r="U102" s="29" t="s">
        <v>581</v>
      </c>
      <c r="V102" s="29" t="s">
        <v>582</v>
      </c>
      <c r="W102" s="29" t="s">
        <v>583</v>
      </c>
      <c r="X102" s="29" t="s">
        <v>559</v>
      </c>
      <c r="Y102" s="29" t="s">
        <v>584</v>
      </c>
      <c r="Z102" s="29" t="s">
        <v>585</v>
      </c>
      <c r="AA102" s="29" t="s">
        <v>586</v>
      </c>
      <c r="AB102" s="29" t="s">
        <v>587</v>
      </c>
      <c r="AC102" s="29" t="s">
        <v>560</v>
      </c>
      <c r="AD102" s="29" t="s">
        <v>588</v>
      </c>
      <c r="AE102" s="29" t="s">
        <v>589</v>
      </c>
      <c r="AF102" s="29" t="s">
        <v>590</v>
      </c>
      <c r="AG102" s="29" t="s">
        <v>591</v>
      </c>
      <c r="AH102" s="29" t="s">
        <v>561</v>
      </c>
      <c r="AI102" s="29"/>
      <c r="AJ102" s="29"/>
      <c r="AK102" s="29"/>
      <c r="AL102" s="29"/>
      <c r="AM102" s="29"/>
      <c r="AN102" s="29"/>
      <c r="AO102" s="29"/>
      <c r="AP102" s="29"/>
      <c r="AQ102" s="29"/>
      <c r="AR102" s="29"/>
      <c r="AS102" s="29"/>
      <c r="AT102" s="29"/>
      <c r="AU102" s="29"/>
    </row>
    <row r="103" spans="1:47">
      <c r="A103" s="29" t="s">
        <v>275</v>
      </c>
      <c r="B103" s="29" t="s">
        <v>530</v>
      </c>
      <c r="C103" t="s">
        <v>395</v>
      </c>
      <c r="D103" t="s">
        <v>395</v>
      </c>
      <c r="E103" t="s">
        <v>395</v>
      </c>
      <c r="F103" t="s">
        <v>395</v>
      </c>
      <c r="G103" t="s">
        <v>395</v>
      </c>
      <c r="H103" t="s">
        <v>395</v>
      </c>
      <c r="I103" t="s">
        <v>395</v>
      </c>
      <c r="J103" t="s">
        <v>395</v>
      </c>
      <c r="K103" t="s">
        <v>395</v>
      </c>
      <c r="L103" t="s">
        <v>395</v>
      </c>
      <c r="M103" t="s">
        <v>395</v>
      </c>
      <c r="N103" t="s">
        <v>395</v>
      </c>
      <c r="O103" t="s">
        <v>395</v>
      </c>
      <c r="P103" t="s">
        <v>395</v>
      </c>
      <c r="Q103" t="s">
        <v>395</v>
      </c>
      <c r="R103" t="s">
        <v>395</v>
      </c>
      <c r="S103" t="s">
        <v>395</v>
      </c>
      <c r="T103" t="s">
        <v>395</v>
      </c>
      <c r="U103" t="s">
        <v>395</v>
      </c>
      <c r="V103" t="s">
        <v>395</v>
      </c>
      <c r="W103" t="s">
        <v>395</v>
      </c>
      <c r="X103" t="s">
        <v>395</v>
      </c>
      <c r="Y103" t="s">
        <v>395</v>
      </c>
      <c r="Z103" t="s">
        <v>395</v>
      </c>
      <c r="AA103" t="s">
        <v>395</v>
      </c>
      <c r="AB103" t="s">
        <v>395</v>
      </c>
      <c r="AC103" t="s">
        <v>395</v>
      </c>
      <c r="AD103" t="s">
        <v>395</v>
      </c>
      <c r="AE103" t="s">
        <v>395</v>
      </c>
      <c r="AF103" t="s">
        <v>395</v>
      </c>
      <c r="AG103" t="s">
        <v>395</v>
      </c>
      <c r="AH103" t="s">
        <v>395</v>
      </c>
    </row>
    <row r="104" spans="1:47">
      <c r="A104" s="29" t="s">
        <v>275</v>
      </c>
      <c r="B104" s="29" t="s">
        <v>531</v>
      </c>
      <c r="C104" t="s">
        <v>395</v>
      </c>
      <c r="D104" t="s">
        <v>395</v>
      </c>
      <c r="E104" t="s">
        <v>395</v>
      </c>
      <c r="F104" t="s">
        <v>395</v>
      </c>
      <c r="G104" t="s">
        <v>395</v>
      </c>
      <c r="H104" t="s">
        <v>395</v>
      </c>
      <c r="I104" t="s">
        <v>395</v>
      </c>
      <c r="J104" t="s">
        <v>395</v>
      </c>
      <c r="K104" t="s">
        <v>395</v>
      </c>
      <c r="L104" t="s">
        <v>395</v>
      </c>
      <c r="M104" t="s">
        <v>395</v>
      </c>
      <c r="N104" t="s">
        <v>395</v>
      </c>
      <c r="O104" t="s">
        <v>395</v>
      </c>
      <c r="P104" t="s">
        <v>395</v>
      </c>
      <c r="Q104" t="s">
        <v>395</v>
      </c>
      <c r="R104" t="s">
        <v>395</v>
      </c>
      <c r="S104" t="s">
        <v>395</v>
      </c>
      <c r="T104" t="s">
        <v>395</v>
      </c>
      <c r="U104" t="s">
        <v>395</v>
      </c>
      <c r="V104" t="s">
        <v>395</v>
      </c>
      <c r="W104" t="s">
        <v>395</v>
      </c>
      <c r="X104" t="s">
        <v>395</v>
      </c>
      <c r="Y104" t="s">
        <v>395</v>
      </c>
      <c r="Z104" t="s">
        <v>395</v>
      </c>
      <c r="AA104" t="s">
        <v>395</v>
      </c>
      <c r="AB104" t="s">
        <v>395</v>
      </c>
      <c r="AC104" t="s">
        <v>395</v>
      </c>
      <c r="AD104" t="s">
        <v>395</v>
      </c>
      <c r="AE104" t="s">
        <v>395</v>
      </c>
      <c r="AF104" t="s">
        <v>395</v>
      </c>
      <c r="AG104" t="s">
        <v>395</v>
      </c>
      <c r="AH104" t="s">
        <v>395</v>
      </c>
    </row>
    <row r="105" spans="1:47">
      <c r="A105" s="29" t="s">
        <v>275</v>
      </c>
      <c r="B105" s="29" t="s">
        <v>532</v>
      </c>
      <c r="C105" t="s">
        <v>395</v>
      </c>
      <c r="D105" t="s">
        <v>395</v>
      </c>
      <c r="E105" t="s">
        <v>395</v>
      </c>
      <c r="F105" t="s">
        <v>395</v>
      </c>
      <c r="G105" t="s">
        <v>395</v>
      </c>
      <c r="H105" t="s">
        <v>395</v>
      </c>
      <c r="I105" t="s">
        <v>395</v>
      </c>
      <c r="J105" t="s">
        <v>395</v>
      </c>
      <c r="K105" t="s">
        <v>395</v>
      </c>
      <c r="L105" t="s">
        <v>395</v>
      </c>
      <c r="M105" t="s">
        <v>395</v>
      </c>
      <c r="N105" t="s">
        <v>395</v>
      </c>
      <c r="O105" t="s">
        <v>395</v>
      </c>
      <c r="P105" t="s">
        <v>395</v>
      </c>
      <c r="Q105" t="s">
        <v>395</v>
      </c>
      <c r="R105" t="s">
        <v>395</v>
      </c>
      <c r="S105" t="s">
        <v>395</v>
      </c>
      <c r="T105" t="s">
        <v>395</v>
      </c>
      <c r="U105" t="s">
        <v>395</v>
      </c>
      <c r="V105" t="s">
        <v>395</v>
      </c>
      <c r="W105" t="s">
        <v>395</v>
      </c>
      <c r="X105" t="s">
        <v>395</v>
      </c>
      <c r="Y105" t="s">
        <v>395</v>
      </c>
      <c r="Z105" t="s">
        <v>395</v>
      </c>
      <c r="AA105" t="s">
        <v>395</v>
      </c>
      <c r="AB105" t="s">
        <v>395</v>
      </c>
      <c r="AC105" t="s">
        <v>395</v>
      </c>
      <c r="AD105" t="s">
        <v>395</v>
      </c>
      <c r="AE105" t="s">
        <v>395</v>
      </c>
      <c r="AF105" t="s">
        <v>395</v>
      </c>
    </row>
    <row r="106" spans="1:47">
      <c r="A106" s="29" t="s">
        <v>275</v>
      </c>
      <c r="B106" s="29" t="s">
        <v>533</v>
      </c>
      <c r="C106" t="s">
        <v>395</v>
      </c>
      <c r="D106" t="s">
        <v>395</v>
      </c>
      <c r="E106" t="s">
        <v>395</v>
      </c>
      <c r="F106" t="s">
        <v>395</v>
      </c>
      <c r="G106" t="s">
        <v>395</v>
      </c>
      <c r="H106" t="s">
        <v>395</v>
      </c>
      <c r="I106" t="s">
        <v>395</v>
      </c>
      <c r="J106" t="s">
        <v>395</v>
      </c>
      <c r="K106" t="s">
        <v>395</v>
      </c>
      <c r="L106" t="s">
        <v>395</v>
      </c>
      <c r="M106" t="s">
        <v>395</v>
      </c>
      <c r="N106" t="s">
        <v>395</v>
      </c>
      <c r="O106" t="s">
        <v>395</v>
      </c>
      <c r="P106" t="s">
        <v>395</v>
      </c>
      <c r="Q106" t="s">
        <v>395</v>
      </c>
      <c r="R106" t="s">
        <v>395</v>
      </c>
    </row>
    <row r="107" spans="1:47">
      <c r="A107" s="29" t="s">
        <v>275</v>
      </c>
      <c r="B107" s="29" t="s">
        <v>534</v>
      </c>
      <c r="C107" t="s">
        <v>395</v>
      </c>
      <c r="D107" t="s">
        <v>395</v>
      </c>
      <c r="E107" t="s">
        <v>395</v>
      </c>
      <c r="F107" t="s">
        <v>395</v>
      </c>
    </row>
    <row r="108" spans="1:47">
      <c r="A108" s="29" t="s">
        <v>276</v>
      </c>
      <c r="B108" s="29" t="s">
        <v>532</v>
      </c>
      <c r="AG108" t="s">
        <v>395</v>
      </c>
      <c r="AH108" t="s">
        <v>395</v>
      </c>
    </row>
    <row r="109" spans="1:47">
      <c r="A109" s="29" t="s">
        <v>276</v>
      </c>
      <c r="B109" s="29" t="s">
        <v>533</v>
      </c>
      <c r="S109" t="s">
        <v>395</v>
      </c>
      <c r="T109" t="s">
        <v>395</v>
      </c>
      <c r="U109" t="s">
        <v>395</v>
      </c>
      <c r="V109" t="s">
        <v>395</v>
      </c>
      <c r="W109" t="s">
        <v>395</v>
      </c>
      <c r="X109" t="s">
        <v>395</v>
      </c>
      <c r="Y109" t="s">
        <v>395</v>
      </c>
      <c r="Z109" t="s">
        <v>395</v>
      </c>
      <c r="AA109" t="s">
        <v>395</v>
      </c>
      <c r="AB109" t="s">
        <v>395</v>
      </c>
      <c r="AC109" t="s">
        <v>395</v>
      </c>
      <c r="AD109" t="s">
        <v>395</v>
      </c>
      <c r="AE109" t="s">
        <v>395</v>
      </c>
      <c r="AF109" t="s">
        <v>395</v>
      </c>
      <c r="AG109" t="s">
        <v>395</v>
      </c>
      <c r="AH109" t="s">
        <v>395</v>
      </c>
    </row>
    <row r="110" spans="1:47">
      <c r="A110" s="29" t="s">
        <v>276</v>
      </c>
      <c r="B110" s="29" t="s">
        <v>534</v>
      </c>
      <c r="G110" t="s">
        <v>395</v>
      </c>
      <c r="H110" t="s">
        <v>395</v>
      </c>
      <c r="I110" t="s">
        <v>395</v>
      </c>
      <c r="J110" t="s">
        <v>395</v>
      </c>
      <c r="K110" t="s">
        <v>395</v>
      </c>
      <c r="L110" t="s">
        <v>395</v>
      </c>
      <c r="M110" t="s">
        <v>395</v>
      </c>
      <c r="N110" t="s">
        <v>395</v>
      </c>
      <c r="O110" t="s">
        <v>395</v>
      </c>
      <c r="P110" t="s">
        <v>395</v>
      </c>
      <c r="Q110" t="s">
        <v>395</v>
      </c>
      <c r="R110" t="s">
        <v>395</v>
      </c>
      <c r="S110" t="s">
        <v>395</v>
      </c>
      <c r="T110" t="s">
        <v>395</v>
      </c>
      <c r="U110" t="s">
        <v>395</v>
      </c>
      <c r="V110" t="s">
        <v>395</v>
      </c>
      <c r="W110" t="s">
        <v>395</v>
      </c>
      <c r="X110" t="s">
        <v>395</v>
      </c>
      <c r="Y110" t="s">
        <v>395</v>
      </c>
      <c r="Z110" t="s">
        <v>395</v>
      </c>
      <c r="AA110" t="s">
        <v>395</v>
      </c>
      <c r="AB110" t="s">
        <v>395</v>
      </c>
      <c r="AC110" t="s">
        <v>395</v>
      </c>
      <c r="AD110" t="s">
        <v>395</v>
      </c>
      <c r="AE110" t="s">
        <v>395</v>
      </c>
      <c r="AF110" t="s">
        <v>395</v>
      </c>
      <c r="AG110" t="s">
        <v>395</v>
      </c>
      <c r="AH110" t="s">
        <v>395</v>
      </c>
    </row>
    <row r="111" spans="1:47">
      <c r="A111" s="29" t="s">
        <v>276</v>
      </c>
      <c r="B111" s="29" t="s">
        <v>535</v>
      </c>
      <c r="C111" t="s">
        <v>395</v>
      </c>
      <c r="D111" t="s">
        <v>395</v>
      </c>
      <c r="E111" t="s">
        <v>395</v>
      </c>
      <c r="F111" t="s">
        <v>395</v>
      </c>
      <c r="G111" t="s">
        <v>395</v>
      </c>
      <c r="H111" t="s">
        <v>395</v>
      </c>
      <c r="I111" t="s">
        <v>395</v>
      </c>
      <c r="J111" t="s">
        <v>395</v>
      </c>
      <c r="K111" t="s">
        <v>395</v>
      </c>
      <c r="L111" t="s">
        <v>395</v>
      </c>
      <c r="M111" t="s">
        <v>395</v>
      </c>
      <c r="N111" t="s">
        <v>395</v>
      </c>
      <c r="O111" t="s">
        <v>395</v>
      </c>
      <c r="P111" t="s">
        <v>395</v>
      </c>
      <c r="Q111" t="s">
        <v>395</v>
      </c>
      <c r="R111" t="s">
        <v>395</v>
      </c>
      <c r="S111" t="s">
        <v>395</v>
      </c>
      <c r="T111" t="s">
        <v>395</v>
      </c>
      <c r="U111" t="s">
        <v>395</v>
      </c>
      <c r="V111" t="s">
        <v>395</v>
      </c>
      <c r="W111" t="s">
        <v>395</v>
      </c>
      <c r="X111" t="s">
        <v>395</v>
      </c>
      <c r="Y111" t="s">
        <v>395</v>
      </c>
      <c r="Z111" t="s">
        <v>395</v>
      </c>
      <c r="AA111" t="s">
        <v>395</v>
      </c>
      <c r="AB111" t="s">
        <v>395</v>
      </c>
      <c r="AC111" t="s">
        <v>395</v>
      </c>
      <c r="AD111" t="s">
        <v>395</v>
      </c>
      <c r="AE111" t="s">
        <v>395</v>
      </c>
      <c r="AF111" t="s">
        <v>395</v>
      </c>
      <c r="AG111" t="s">
        <v>395</v>
      </c>
      <c r="AH111" t="s">
        <v>395</v>
      </c>
    </row>
    <row r="112" spans="1:47">
      <c r="A112" s="29" t="s">
        <v>276</v>
      </c>
      <c r="B112" s="29" t="s">
        <v>536</v>
      </c>
      <c r="C112" t="s">
        <v>395</v>
      </c>
      <c r="D112" t="s">
        <v>395</v>
      </c>
      <c r="E112" t="s">
        <v>395</v>
      </c>
      <c r="F112" t="s">
        <v>395</v>
      </c>
      <c r="G112" t="s">
        <v>395</v>
      </c>
      <c r="H112" t="s">
        <v>395</v>
      </c>
      <c r="I112" t="s">
        <v>395</v>
      </c>
      <c r="J112" t="s">
        <v>395</v>
      </c>
      <c r="K112" t="s">
        <v>395</v>
      </c>
      <c r="L112" t="s">
        <v>395</v>
      </c>
      <c r="M112" t="s">
        <v>395</v>
      </c>
      <c r="N112" t="s">
        <v>395</v>
      </c>
      <c r="O112" t="s">
        <v>395</v>
      </c>
      <c r="P112" t="s">
        <v>395</v>
      </c>
      <c r="Q112" t="s">
        <v>395</v>
      </c>
      <c r="R112" t="s">
        <v>395</v>
      </c>
      <c r="S112" t="s">
        <v>395</v>
      </c>
      <c r="T112" t="s">
        <v>395</v>
      </c>
      <c r="U112" t="s">
        <v>395</v>
      </c>
      <c r="V112" t="s">
        <v>395</v>
      </c>
      <c r="W112" t="s">
        <v>395</v>
      </c>
      <c r="X112" t="s">
        <v>395</v>
      </c>
    </row>
    <row r="113" spans="1:34">
      <c r="A113" s="29" t="s">
        <v>276</v>
      </c>
      <c r="B113" s="29" t="s">
        <v>537</v>
      </c>
      <c r="C113" t="s">
        <v>395</v>
      </c>
      <c r="D113" t="s">
        <v>395</v>
      </c>
      <c r="F113" t="s">
        <v>395</v>
      </c>
    </row>
    <row r="114" spans="1:34">
      <c r="A114" s="29" t="s">
        <v>277</v>
      </c>
      <c r="B114" s="29" t="s">
        <v>536</v>
      </c>
      <c r="Y114" t="s">
        <v>395</v>
      </c>
      <c r="Z114" t="s">
        <v>395</v>
      </c>
      <c r="AA114" t="s">
        <v>395</v>
      </c>
      <c r="AB114" t="s">
        <v>395</v>
      </c>
      <c r="AC114" t="s">
        <v>395</v>
      </c>
      <c r="AD114" t="s">
        <v>395</v>
      </c>
      <c r="AE114" t="s">
        <v>395</v>
      </c>
      <c r="AF114" t="s">
        <v>395</v>
      </c>
      <c r="AG114" t="s">
        <v>395</v>
      </c>
      <c r="AH114" t="s">
        <v>395</v>
      </c>
    </row>
    <row r="115" spans="1:34">
      <c r="A115" s="29" t="s">
        <v>277</v>
      </c>
      <c r="B115" s="29" t="s">
        <v>537</v>
      </c>
      <c r="E115" t="s">
        <v>395</v>
      </c>
      <c r="G115" t="s">
        <v>395</v>
      </c>
      <c r="H115" t="s">
        <v>395</v>
      </c>
      <c r="I115" t="s">
        <v>395</v>
      </c>
      <c r="J115" t="s">
        <v>395</v>
      </c>
      <c r="K115" t="s">
        <v>395</v>
      </c>
      <c r="L115" t="s">
        <v>395</v>
      </c>
      <c r="M115" t="s">
        <v>395</v>
      </c>
      <c r="N115" t="s">
        <v>395</v>
      </c>
      <c r="O115" t="s">
        <v>395</v>
      </c>
      <c r="P115" t="s">
        <v>395</v>
      </c>
      <c r="Q115" t="s">
        <v>395</v>
      </c>
      <c r="R115" t="s">
        <v>395</v>
      </c>
      <c r="S115" t="s">
        <v>395</v>
      </c>
      <c r="T115" t="s">
        <v>395</v>
      </c>
      <c r="U115" t="s">
        <v>395</v>
      </c>
      <c r="V115" t="s">
        <v>395</v>
      </c>
      <c r="W115" t="s">
        <v>395</v>
      </c>
      <c r="X115" t="s">
        <v>395</v>
      </c>
      <c r="Y115" t="s">
        <v>395</v>
      </c>
      <c r="Z115" t="s">
        <v>395</v>
      </c>
      <c r="AA115" t="s">
        <v>395</v>
      </c>
      <c r="AB115" t="s">
        <v>395</v>
      </c>
      <c r="AC115" t="s">
        <v>395</v>
      </c>
      <c r="AD115" t="s">
        <v>395</v>
      </c>
      <c r="AE115" t="s">
        <v>395</v>
      </c>
      <c r="AF115" t="s">
        <v>395</v>
      </c>
      <c r="AG115" t="s">
        <v>395</v>
      </c>
      <c r="AH115" t="s">
        <v>395</v>
      </c>
    </row>
    <row r="116" spans="1:34">
      <c r="A116" s="29" t="s">
        <v>277</v>
      </c>
      <c r="B116" s="29" t="s">
        <v>538</v>
      </c>
      <c r="C116" t="s">
        <v>395</v>
      </c>
      <c r="D116" t="s">
        <v>395</v>
      </c>
      <c r="E116" t="s">
        <v>395</v>
      </c>
      <c r="F116" t="s">
        <v>395</v>
      </c>
      <c r="G116" t="s">
        <v>395</v>
      </c>
      <c r="H116" t="s">
        <v>395</v>
      </c>
      <c r="I116" t="s">
        <v>395</v>
      </c>
      <c r="J116" t="s">
        <v>395</v>
      </c>
      <c r="K116" t="s">
        <v>395</v>
      </c>
      <c r="L116" t="s">
        <v>395</v>
      </c>
      <c r="M116" t="s">
        <v>395</v>
      </c>
      <c r="N116" t="s">
        <v>395</v>
      </c>
      <c r="O116" t="s">
        <v>395</v>
      </c>
      <c r="P116" t="s">
        <v>395</v>
      </c>
      <c r="Q116" t="s">
        <v>395</v>
      </c>
      <c r="R116" t="s">
        <v>395</v>
      </c>
      <c r="S116" t="s">
        <v>395</v>
      </c>
      <c r="T116" t="s">
        <v>395</v>
      </c>
      <c r="U116" t="s">
        <v>395</v>
      </c>
      <c r="V116" t="s">
        <v>395</v>
      </c>
      <c r="W116" t="s">
        <v>395</v>
      </c>
      <c r="X116" t="s">
        <v>395</v>
      </c>
      <c r="Y116" t="s">
        <v>395</v>
      </c>
      <c r="Z116" t="s">
        <v>395</v>
      </c>
      <c r="AA116" t="s">
        <v>395</v>
      </c>
      <c r="AB116" t="s">
        <v>395</v>
      </c>
      <c r="AC116" t="s">
        <v>395</v>
      </c>
      <c r="AD116" t="s">
        <v>395</v>
      </c>
      <c r="AE116" t="s">
        <v>395</v>
      </c>
      <c r="AF116" t="s">
        <v>395</v>
      </c>
      <c r="AG116" t="s">
        <v>395</v>
      </c>
      <c r="AH116" t="s">
        <v>395</v>
      </c>
    </row>
    <row r="117" spans="1:34">
      <c r="A117" s="29" t="s">
        <v>277</v>
      </c>
      <c r="B117" s="29" t="s">
        <v>600</v>
      </c>
      <c r="C117" t="s">
        <v>395</v>
      </c>
      <c r="D117" t="s">
        <v>395</v>
      </c>
      <c r="E117" t="s">
        <v>395</v>
      </c>
      <c r="F117" t="s">
        <v>395</v>
      </c>
      <c r="G117" t="s">
        <v>395</v>
      </c>
      <c r="H117" t="s">
        <v>395</v>
      </c>
      <c r="I117" t="s">
        <v>395</v>
      </c>
      <c r="J117" t="s">
        <v>395</v>
      </c>
      <c r="K117" t="s">
        <v>395</v>
      </c>
      <c r="L117" t="s">
        <v>395</v>
      </c>
      <c r="M117" t="s">
        <v>395</v>
      </c>
      <c r="N117" t="s">
        <v>395</v>
      </c>
      <c r="O117" t="s">
        <v>395</v>
      </c>
      <c r="P117" t="s">
        <v>395</v>
      </c>
      <c r="Q117" t="s">
        <v>395</v>
      </c>
      <c r="R117" t="s">
        <v>395</v>
      </c>
      <c r="S117" t="s">
        <v>395</v>
      </c>
      <c r="T117" t="s">
        <v>395</v>
      </c>
      <c r="U117" t="s">
        <v>395</v>
      </c>
      <c r="V117" t="s">
        <v>395</v>
      </c>
      <c r="W117" t="s">
        <v>395</v>
      </c>
      <c r="X117" t="s">
        <v>395</v>
      </c>
      <c r="Y117" t="s">
        <v>395</v>
      </c>
      <c r="Z117" t="s">
        <v>395</v>
      </c>
      <c r="AA117" t="s">
        <v>395</v>
      </c>
      <c r="AB117" t="s">
        <v>395</v>
      </c>
      <c r="AC117" t="s">
        <v>395</v>
      </c>
      <c r="AD117" t="s">
        <v>395</v>
      </c>
      <c r="AE117" t="s">
        <v>395</v>
      </c>
      <c r="AF117" t="s">
        <v>395</v>
      </c>
      <c r="AG117" t="s">
        <v>395</v>
      </c>
      <c r="AH117" t="s">
        <v>395</v>
      </c>
    </row>
    <row r="118" spans="1:34">
      <c r="A118" s="29"/>
      <c r="B118" s="29"/>
    </row>
    <row r="119" spans="1:34">
      <c r="A119" s="29"/>
      <c r="B119" s="29"/>
    </row>
    <row r="120" spans="1:34">
      <c r="A120" s="29"/>
      <c r="B120" s="29"/>
    </row>
    <row r="121" spans="1:34">
      <c r="A121" s="29"/>
      <c r="B121" s="29"/>
    </row>
    <row r="122" spans="1:34">
      <c r="A122" s="29"/>
      <c r="B122" s="29"/>
    </row>
    <row r="123" spans="1:34">
      <c r="A123" s="29"/>
      <c r="B123" s="29"/>
    </row>
    <row r="124" spans="1:34">
      <c r="A124" s="29"/>
      <c r="B124" s="29"/>
    </row>
    <row r="125" spans="1:34">
      <c r="A125" s="29"/>
      <c r="B125" s="29"/>
    </row>
    <row r="126" spans="1:34">
      <c r="A126" s="29"/>
      <c r="B126" s="29"/>
    </row>
    <row r="127" spans="1:34">
      <c r="A127" s="29"/>
      <c r="B127" s="29"/>
    </row>
    <row r="128" spans="1:34">
      <c r="A128" s="29"/>
      <c r="B128" s="29"/>
    </row>
    <row r="129" spans="1:40">
      <c r="A129" s="29"/>
      <c r="B129" s="29"/>
    </row>
    <row r="130" spans="1:40">
      <c r="A130" s="29"/>
      <c r="B130" s="29" t="s">
        <v>567</v>
      </c>
      <c r="C130" s="29" t="s">
        <v>555</v>
      </c>
      <c r="D130" s="29" t="s">
        <v>568</v>
      </c>
      <c r="E130" s="29" t="s">
        <v>569</v>
      </c>
      <c r="F130" s="29" t="s">
        <v>570</v>
      </c>
      <c r="G130" s="29" t="s">
        <v>571</v>
      </c>
      <c r="H130" s="29" t="s">
        <v>556</v>
      </c>
      <c r="I130" s="29" t="s">
        <v>572</v>
      </c>
      <c r="J130" s="29" t="s">
        <v>573</v>
      </c>
      <c r="K130" s="29" t="s">
        <v>574</v>
      </c>
      <c r="L130" s="29" t="s">
        <v>575</v>
      </c>
      <c r="M130" s="29" t="s">
        <v>557</v>
      </c>
      <c r="N130" s="29" t="s">
        <v>576</v>
      </c>
      <c r="O130" s="29" t="s">
        <v>577</v>
      </c>
      <c r="P130" s="29" t="s">
        <v>578</v>
      </c>
      <c r="Q130" s="29" t="s">
        <v>579</v>
      </c>
      <c r="R130" s="29" t="s">
        <v>558</v>
      </c>
      <c r="S130" s="29" t="s">
        <v>580</v>
      </c>
      <c r="T130" s="29" t="s">
        <v>581</v>
      </c>
      <c r="U130" s="29" t="s">
        <v>582</v>
      </c>
      <c r="V130" s="29" t="s">
        <v>583</v>
      </c>
      <c r="W130" s="29" t="s">
        <v>559</v>
      </c>
      <c r="X130" s="29" t="s">
        <v>584</v>
      </c>
      <c r="Y130" s="29" t="s">
        <v>585</v>
      </c>
      <c r="Z130" s="29" t="s">
        <v>586</v>
      </c>
      <c r="AA130" s="29" t="s">
        <v>587</v>
      </c>
      <c r="AB130" s="29" t="s">
        <v>560</v>
      </c>
      <c r="AC130" s="29" t="s">
        <v>588</v>
      </c>
      <c r="AD130" s="29" t="s">
        <v>589</v>
      </c>
      <c r="AE130" s="29" t="s">
        <v>590</v>
      </c>
      <c r="AF130" s="29" t="s">
        <v>591</v>
      </c>
      <c r="AG130" s="29" t="s">
        <v>561</v>
      </c>
      <c r="AH130" s="29"/>
      <c r="AI130" s="29"/>
      <c r="AJ130" s="29"/>
      <c r="AK130" s="29"/>
      <c r="AL130" s="29"/>
      <c r="AM130" s="29"/>
      <c r="AN130" s="29"/>
    </row>
    <row r="131" spans="1:40">
      <c r="A131" s="29" t="s">
        <v>388</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row>
    <row r="132" spans="1:40">
      <c r="A132" s="29" t="s">
        <v>712</v>
      </c>
      <c r="B132" s="176">
        <v>9.1050000000000004</v>
      </c>
      <c r="C132" s="176">
        <v>8.6709999999999994</v>
      </c>
      <c r="D132" s="176">
        <v>8.7420000000000009</v>
      </c>
      <c r="E132" s="29">
        <v>8.8580000000000005</v>
      </c>
      <c r="F132" s="176">
        <v>8.9559999999999995</v>
      </c>
      <c r="G132" s="22">
        <v>9.0570000000000004</v>
      </c>
      <c r="H132" s="22">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row>
    <row r="133" spans="1:40">
      <c r="A133" s="29"/>
      <c r="B133" s="29"/>
    </row>
    <row r="134" spans="1:40">
      <c r="A134" s="29"/>
      <c r="B134" s="29"/>
    </row>
    <row r="135" spans="1:40">
      <c r="A135" s="29"/>
      <c r="B135" s="29"/>
    </row>
    <row r="162" spans="1:13">
      <c r="A162" s="29"/>
      <c r="B162" s="29"/>
      <c r="C162" s="29"/>
      <c r="D162" s="29"/>
      <c r="E162" s="29"/>
      <c r="F162" s="29"/>
      <c r="G162" s="29"/>
      <c r="H162" s="29"/>
      <c r="I162" s="29"/>
      <c r="J162" s="29"/>
      <c r="K162" s="29"/>
      <c r="L162" s="29"/>
      <c r="M162" s="29"/>
    </row>
    <row r="163" spans="1:13">
      <c r="A163" s="29" t="s">
        <v>639</v>
      </c>
      <c r="B163" s="29" t="s">
        <v>4</v>
      </c>
      <c r="C163" s="29" t="s">
        <v>640</v>
      </c>
      <c r="D163" s="29" t="s">
        <v>641</v>
      </c>
      <c r="E163" s="29" t="s">
        <v>661</v>
      </c>
    </row>
    <row r="164" spans="1:13">
      <c r="A164">
        <v>-1</v>
      </c>
      <c r="B164">
        <v>-1</v>
      </c>
      <c r="C164">
        <v>-1</v>
      </c>
      <c r="D164">
        <v>1</v>
      </c>
      <c r="E164">
        <v>-1</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C88" sqref="C88:I89"/>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3" spans="1:41">
      <c r="C3" s="29" t="s">
        <v>553</v>
      </c>
      <c r="D3" s="29" t="s">
        <v>562</v>
      </c>
      <c r="E3" s="29" t="s">
        <v>563</v>
      </c>
      <c r="F3" s="29" t="s">
        <v>554</v>
      </c>
      <c r="G3" s="29" t="s">
        <v>564</v>
      </c>
      <c r="H3" s="29" t="s">
        <v>565</v>
      </c>
      <c r="I3" s="29" t="s">
        <v>566</v>
      </c>
      <c r="J3" s="29" t="s">
        <v>567</v>
      </c>
      <c r="K3" s="29" t="s">
        <v>555</v>
      </c>
      <c r="L3" s="29" t="s">
        <v>568</v>
      </c>
      <c r="M3" s="29" t="s">
        <v>569</v>
      </c>
      <c r="N3" s="29" t="s">
        <v>570</v>
      </c>
      <c r="O3" s="29" t="s">
        <v>571</v>
      </c>
      <c r="P3" s="29" t="s">
        <v>556</v>
      </c>
      <c r="Q3" s="29" t="s">
        <v>572</v>
      </c>
      <c r="R3" s="29" t="s">
        <v>573</v>
      </c>
      <c r="S3" s="29" t="s">
        <v>574</v>
      </c>
      <c r="T3" s="29" t="s">
        <v>575</v>
      </c>
      <c r="U3" s="29" t="s">
        <v>557</v>
      </c>
      <c r="V3" s="29" t="s">
        <v>576</v>
      </c>
      <c r="W3" s="29" t="s">
        <v>577</v>
      </c>
      <c r="X3" s="29" t="s">
        <v>578</v>
      </c>
      <c r="Y3" s="29" t="s">
        <v>579</v>
      </c>
      <c r="Z3" s="29" t="s">
        <v>558</v>
      </c>
      <c r="AA3" s="29" t="s">
        <v>580</v>
      </c>
      <c r="AB3" s="29" t="s">
        <v>581</v>
      </c>
      <c r="AC3" s="29" t="s">
        <v>582</v>
      </c>
      <c r="AD3" s="29" t="s">
        <v>583</v>
      </c>
      <c r="AE3" s="29" t="s">
        <v>559</v>
      </c>
      <c r="AF3" s="29" t="s">
        <v>560</v>
      </c>
      <c r="AG3" s="29" t="s">
        <v>561</v>
      </c>
      <c r="AH3" s="29"/>
      <c r="AI3" s="29"/>
      <c r="AJ3" s="29"/>
      <c r="AK3" s="29"/>
      <c r="AL3" s="29"/>
      <c r="AM3" s="29"/>
      <c r="AN3" s="29"/>
      <c r="AO3" s="29"/>
    </row>
    <row r="5" spans="1:41">
      <c r="A5" t="s">
        <v>608</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N5" s="2"/>
    </row>
    <row r="6" spans="1:41">
      <c r="A6" t="s">
        <v>609</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row>
    <row r="7" spans="1:41">
      <c r="A7" s="120" t="s">
        <v>138</v>
      </c>
      <c r="B7">
        <v>1</v>
      </c>
      <c r="C7" s="284">
        <v>96.797279590965346</v>
      </c>
      <c r="D7" s="284">
        <v>101.32801029182565</v>
      </c>
      <c r="E7" s="284">
        <v>105.4512845971946</v>
      </c>
      <c r="F7" s="284">
        <v>104.03295587682055</v>
      </c>
      <c r="G7" s="284">
        <v>102.86973222443167</v>
      </c>
      <c r="H7" s="284">
        <v>106.45368114150588</v>
      </c>
      <c r="I7" s="284">
        <v>104.83293209544796</v>
      </c>
      <c r="J7" s="284">
        <v>103.19</v>
      </c>
      <c r="K7" s="284">
        <v>101.98</v>
      </c>
      <c r="L7" s="6">
        <f t="shared" ref="L7:AG7" si="1">L45/K45*K7</f>
        <v>104.81361217476683</v>
      </c>
      <c r="M7" s="6">
        <f t="shared" si="1"/>
        <v>107.30679037800688</v>
      </c>
      <c r="N7" s="6">
        <f t="shared" si="1"/>
        <v>109.48957290132547</v>
      </c>
      <c r="O7" s="6">
        <f t="shared" si="1"/>
        <v>111.73243200785468</v>
      </c>
      <c r="P7" s="6">
        <f t="shared" si="1"/>
        <v>113.75501030927835</v>
      </c>
      <c r="Q7" s="6">
        <f t="shared" si="1"/>
        <v>115.44716740304369</v>
      </c>
      <c r="R7" s="6">
        <f t="shared" si="1"/>
        <v>117.08926067746685</v>
      </c>
      <c r="S7" s="6">
        <f t="shared" si="1"/>
        <v>120.48358762886598</v>
      </c>
      <c r="T7" s="6">
        <f t="shared" si="1"/>
        <v>123.85788905252824</v>
      </c>
      <c r="U7" s="6">
        <f t="shared" si="1"/>
        <v>126.19086303387334</v>
      </c>
      <c r="V7" s="6">
        <f t="shared" si="1"/>
        <v>128.73410505645555</v>
      </c>
      <c r="W7" s="6">
        <f t="shared" si="1"/>
        <v>130.90687481590575</v>
      </c>
      <c r="X7" s="6">
        <f t="shared" si="1"/>
        <v>133.65037211585664</v>
      </c>
      <c r="Y7" s="6">
        <f t="shared" si="1"/>
        <v>136.22365243004418</v>
      </c>
      <c r="Z7" s="6">
        <f t="shared" si="1"/>
        <v>140.77945999018161</v>
      </c>
      <c r="AA7" s="6">
        <f t="shared" si="1"/>
        <v>145.6957270495827</v>
      </c>
      <c r="AB7" s="6">
        <f t="shared" si="1"/>
        <v>147.60816494845361</v>
      </c>
      <c r="AC7" s="6">
        <f t="shared" si="1"/>
        <v>149.92111340206185</v>
      </c>
      <c r="AD7" s="6">
        <f t="shared" si="1"/>
        <v>151.72341089837997</v>
      </c>
      <c r="AE7" s="6">
        <f t="shared" si="1"/>
        <v>154.45689543446241</v>
      </c>
      <c r="AF7" s="6">
        <f t="shared" si="1"/>
        <v>166.59236524300439</v>
      </c>
      <c r="AG7" s="6">
        <f t="shared" si="1"/>
        <v>170.39721551300934</v>
      </c>
      <c r="AH7" s="112"/>
      <c r="AI7" s="112"/>
      <c r="AJ7" s="112"/>
      <c r="AK7" s="112"/>
      <c r="AL7" s="112"/>
      <c r="AM7" s="112"/>
      <c r="AO7">
        <v>1</v>
      </c>
    </row>
    <row r="8" spans="1:41">
      <c r="A8" s="120" t="s">
        <v>4</v>
      </c>
      <c r="B8">
        <f>B7+1</f>
        <v>2</v>
      </c>
      <c r="C8" s="284">
        <v>2420.5059603282948</v>
      </c>
      <c r="D8" s="284">
        <v>2489.1047071827661</v>
      </c>
      <c r="E8" s="284">
        <v>2551.5982527371866</v>
      </c>
      <c r="F8" s="284">
        <v>2595.1630396206046</v>
      </c>
      <c r="G8" s="284">
        <v>2628.6516711665686</v>
      </c>
      <c r="H8" s="284">
        <v>2667.1308637985835</v>
      </c>
      <c r="I8" s="284">
        <v>2710.4237502366891</v>
      </c>
      <c r="J8" s="284">
        <v>2746.44</v>
      </c>
      <c r="K8" s="284">
        <v>2570.58</v>
      </c>
      <c r="L8" s="6">
        <f t="shared" ref="L8:AG8" si="2">L46/K46*K8</f>
        <v>2663.8727023651581</v>
      </c>
      <c r="M8" s="6">
        <f t="shared" si="2"/>
        <v>2739.3329767374908</v>
      </c>
      <c r="N8" s="6">
        <f t="shared" si="2"/>
        <v>2813.3330522949309</v>
      </c>
      <c r="O8" s="6">
        <f t="shared" si="2"/>
        <v>2891.2336589332476</v>
      </c>
      <c r="P8" s="6">
        <f t="shared" si="2"/>
        <v>2964.3036078483251</v>
      </c>
      <c r="Q8" s="6">
        <f t="shared" si="2"/>
        <v>3029.6525054956169</v>
      </c>
      <c r="R8" s="6">
        <f t="shared" si="2"/>
        <v>3094.8613840784674</v>
      </c>
      <c r="S8" s="6">
        <f t="shared" si="2"/>
        <v>3162.61060854476</v>
      </c>
      <c r="T8" s="6">
        <f t="shared" si="2"/>
        <v>3245.4718906090111</v>
      </c>
      <c r="U8" s="6">
        <f t="shared" si="2"/>
        <v>3323.6025285674814</v>
      </c>
      <c r="V8" s="6">
        <f t="shared" si="2"/>
        <v>3414.0148387498389</v>
      </c>
      <c r="W8" s="6">
        <f t="shared" si="2"/>
        <v>3507.2975397532509</v>
      </c>
      <c r="X8" s="6">
        <f t="shared" si="2"/>
        <v>3618.7827191340839</v>
      </c>
      <c r="Y8" s="6">
        <f t="shared" si="2"/>
        <v>3735.7186406663977</v>
      </c>
      <c r="Z8" s="6">
        <f t="shared" si="2"/>
        <v>3847.5038608996065</v>
      </c>
      <c r="AA8" s="6">
        <f t="shared" si="2"/>
        <v>3953.2782627235674</v>
      </c>
      <c r="AB8" s="6">
        <f t="shared" si="2"/>
        <v>4037.4597245382688</v>
      </c>
      <c r="AC8" s="6">
        <f t="shared" si="2"/>
        <v>4138.1634359570917</v>
      </c>
      <c r="AD8" s="6">
        <f t="shared" si="2"/>
        <v>4257.6797088198309</v>
      </c>
      <c r="AE8" s="6">
        <f t="shared" si="2"/>
        <v>4370.3550502484186</v>
      </c>
      <c r="AF8" s="6">
        <f t="shared" si="2"/>
        <v>5023.1139273138951</v>
      </c>
      <c r="AG8" s="6">
        <f t="shared" si="2"/>
        <v>5519.9115693148042</v>
      </c>
      <c r="AH8" s="112"/>
      <c r="AI8" s="112"/>
      <c r="AJ8" s="112"/>
      <c r="AK8" s="112"/>
      <c r="AL8" s="112"/>
      <c r="AM8" s="112"/>
      <c r="AO8">
        <f>AO7+1</f>
        <v>2</v>
      </c>
    </row>
    <row r="9" spans="1:41">
      <c r="A9" s="120" t="s">
        <v>525</v>
      </c>
      <c r="B9">
        <f t="shared" ref="B9:B37" si="3">B8+1</f>
        <v>3</v>
      </c>
      <c r="C9" s="284">
        <v>72.107894835057621</v>
      </c>
      <c r="D9" s="284">
        <v>74.266300997437128</v>
      </c>
      <c r="E9" s="284">
        <v>75.801027741220466</v>
      </c>
      <c r="F9" s="284">
        <v>76.644854367250801</v>
      </c>
      <c r="G9" s="284">
        <v>77.466834349241523</v>
      </c>
      <c r="H9" s="284">
        <v>78.131791577197461</v>
      </c>
      <c r="I9" s="284">
        <v>79.016580660802092</v>
      </c>
      <c r="J9" s="284">
        <v>78.849999999999994</v>
      </c>
      <c r="K9" s="284">
        <v>77.7</v>
      </c>
      <c r="L9" s="6">
        <f t="shared" ref="L9:AG9" si="4">L47/K47*K9</f>
        <v>76.739381841596909</v>
      </c>
      <c r="M9" s="6">
        <f t="shared" si="4"/>
        <v>77.259716677398572</v>
      </c>
      <c r="N9" s="6">
        <f t="shared" si="4"/>
        <v>78.16029620090147</v>
      </c>
      <c r="O9" s="6">
        <f t="shared" si="4"/>
        <v>78.950804893754011</v>
      </c>
      <c r="P9" s="6">
        <f t="shared" si="4"/>
        <v>79.691281390856389</v>
      </c>
      <c r="Q9" s="6">
        <f t="shared" si="4"/>
        <v>80.371719253058558</v>
      </c>
      <c r="R9" s="6">
        <f t="shared" si="4"/>
        <v>81.052157115260755</v>
      </c>
      <c r="S9" s="6">
        <f t="shared" si="4"/>
        <v>82.062807469414011</v>
      </c>
      <c r="T9" s="6">
        <f t="shared" si="4"/>
        <v>82.513097231165446</v>
      </c>
      <c r="U9" s="6">
        <f t="shared" si="4"/>
        <v>83.093470701867332</v>
      </c>
      <c r="V9" s="6">
        <f t="shared" si="4"/>
        <v>83.883979394719859</v>
      </c>
      <c r="W9" s="6">
        <f t="shared" si="4"/>
        <v>84.724520283322576</v>
      </c>
      <c r="X9" s="6">
        <f t="shared" si="4"/>
        <v>85.905280103026371</v>
      </c>
      <c r="Y9" s="6">
        <f t="shared" si="4"/>
        <v>87.136072118480328</v>
      </c>
      <c r="Z9" s="6">
        <f t="shared" si="4"/>
        <v>68.504082421120373</v>
      </c>
      <c r="AA9" s="6">
        <f t="shared" si="4"/>
        <v>52.934063103670283</v>
      </c>
      <c r="AB9" s="6">
        <f t="shared" si="4"/>
        <v>50.61256922086281</v>
      </c>
      <c r="AC9" s="6">
        <f t="shared" si="4"/>
        <v>54.274925949774598</v>
      </c>
      <c r="AD9" s="6">
        <f t="shared" si="4"/>
        <v>56.886606567933001</v>
      </c>
      <c r="AE9" s="6">
        <f t="shared" si="4"/>
        <v>51.062858982614266</v>
      </c>
      <c r="AF9" s="6">
        <f t="shared" si="4"/>
        <v>54.815273663876333</v>
      </c>
      <c r="AG9" s="6">
        <f t="shared" si="4"/>
        <v>58.747804249838978</v>
      </c>
      <c r="AH9" s="112"/>
      <c r="AI9" s="112"/>
      <c r="AJ9" s="112"/>
      <c r="AK9" s="112"/>
      <c r="AL9" s="112"/>
      <c r="AM9" s="112"/>
      <c r="AO9">
        <f t="shared" ref="AO9:AO25" si="5">AO8+1</f>
        <v>3</v>
      </c>
    </row>
    <row r="10" spans="1:41">
      <c r="A10" s="120" t="s">
        <v>712</v>
      </c>
      <c r="B10">
        <f t="shared" si="3"/>
        <v>4</v>
      </c>
      <c r="C10" s="284">
        <v>2.4554419284149018</v>
      </c>
      <c r="D10" s="284">
        <v>2.4807404210106916</v>
      </c>
      <c r="E10" s="284">
        <v>2.5000863271133542</v>
      </c>
      <c r="F10" s="284">
        <v>2.4936376917457999</v>
      </c>
      <c r="G10" s="284">
        <v>2.4903306992496184</v>
      </c>
      <c r="H10" s="284">
        <v>2.5025665714854908</v>
      </c>
      <c r="I10" s="284">
        <v>2.5113301016003717</v>
      </c>
      <c r="J10" s="284">
        <v>2.4900000000000002</v>
      </c>
      <c r="K10" s="284">
        <v>2.36</v>
      </c>
      <c r="L10" s="6">
        <f t="shared" ref="L10:AG10" si="6">L48/K48*K10</f>
        <v>2.36</v>
      </c>
      <c r="M10" s="6">
        <f t="shared" si="6"/>
        <v>2.4001702127659574</v>
      </c>
      <c r="N10" s="6">
        <f t="shared" si="6"/>
        <v>2.4302978723404252</v>
      </c>
      <c r="O10" s="6">
        <f t="shared" si="6"/>
        <v>2.4604255319148933</v>
      </c>
      <c r="P10" s="6">
        <f t="shared" si="6"/>
        <v>2.4805106382978721</v>
      </c>
      <c r="Q10" s="6">
        <f t="shared" si="6"/>
        <v>2.5206808510638292</v>
      </c>
      <c r="R10" s="6">
        <f t="shared" si="6"/>
        <v>2.5508085106382974</v>
      </c>
      <c r="S10" s="6">
        <f t="shared" si="6"/>
        <v>2.5106382978723398</v>
      </c>
      <c r="T10" s="6">
        <f t="shared" si="6"/>
        <v>2.5106382978723398</v>
      </c>
      <c r="U10" s="6">
        <f t="shared" si="6"/>
        <v>2.540765957446808</v>
      </c>
      <c r="V10" s="6">
        <f t="shared" si="6"/>
        <v>2.5708936170212766</v>
      </c>
      <c r="W10" s="6">
        <f t="shared" si="6"/>
        <v>2.6010212765957448</v>
      </c>
      <c r="X10" s="6">
        <f t="shared" si="6"/>
        <v>2.6512340425531922</v>
      </c>
      <c r="Y10" s="6">
        <f t="shared" si="6"/>
        <v>2.6914042553191497</v>
      </c>
      <c r="Z10" s="6">
        <f t="shared" si="6"/>
        <v>2.2394893617021281</v>
      </c>
      <c r="AA10" s="6">
        <f t="shared" si="6"/>
        <v>1.8679148936170218</v>
      </c>
      <c r="AB10" s="6">
        <f t="shared" si="6"/>
        <v>1.8076595744680855</v>
      </c>
      <c r="AC10" s="6">
        <f t="shared" si="6"/>
        <v>1.9080851063829791</v>
      </c>
      <c r="AD10" s="6">
        <f t="shared" si="6"/>
        <v>1.9783829787234049</v>
      </c>
      <c r="AE10" s="6">
        <f t="shared" si="6"/>
        <v>1.8578723404255326</v>
      </c>
      <c r="AF10" s="6">
        <f t="shared" si="6"/>
        <v>1.9884255319148942</v>
      </c>
      <c r="AG10" s="6">
        <f t="shared" si="6"/>
        <v>2.1189787234042559</v>
      </c>
      <c r="AH10" s="112"/>
      <c r="AI10" s="112"/>
      <c r="AJ10" s="112"/>
      <c r="AK10" s="112"/>
      <c r="AL10" s="112"/>
      <c r="AM10" s="112"/>
      <c r="AO10">
        <f t="shared" si="5"/>
        <v>4</v>
      </c>
    </row>
    <row r="11" spans="1:41">
      <c r="A11" s="120" t="s">
        <v>522</v>
      </c>
      <c r="B11">
        <f t="shared" si="3"/>
        <v>5</v>
      </c>
      <c r="C11" s="284">
        <v>138.08343097582718</v>
      </c>
      <c r="D11" s="284">
        <v>143.16360238477418</v>
      </c>
      <c r="E11" s="284">
        <v>146.98438355117329</v>
      </c>
      <c r="F11" s="284">
        <v>148.78204922418408</v>
      </c>
      <c r="G11" s="284">
        <v>151.86270236184362</v>
      </c>
      <c r="H11" s="284">
        <v>153.55950890468549</v>
      </c>
      <c r="I11" s="284">
        <v>155.74281242834212</v>
      </c>
      <c r="J11" s="284">
        <v>155.24</v>
      </c>
      <c r="K11" s="284">
        <v>152.88999999999999</v>
      </c>
      <c r="L11" s="6">
        <f t="shared" ref="L11:AG11" si="7">L49/K49*K11</f>
        <v>159.64838910102907</v>
      </c>
      <c r="M11" s="6">
        <f t="shared" si="7"/>
        <v>165.60527085625526</v>
      </c>
      <c r="N11" s="6">
        <f t="shared" si="7"/>
        <v>171.00802407611155</v>
      </c>
      <c r="O11" s="6">
        <f t="shared" si="7"/>
        <v>176.48993851530645</v>
      </c>
      <c r="P11" s="6">
        <f t="shared" si="7"/>
        <v>181.3682486570448</v>
      </c>
      <c r="Q11" s="6">
        <f t="shared" si="7"/>
        <v>185.44505145298035</v>
      </c>
      <c r="R11" s="6">
        <f t="shared" si="7"/>
        <v>189.51195909649857</v>
      </c>
      <c r="S11" s="6">
        <f t="shared" si="7"/>
        <v>196.75521066597628</v>
      </c>
      <c r="T11" s="6">
        <f t="shared" si="7"/>
        <v>203.02873729855671</v>
      </c>
      <c r="U11" s="6">
        <f t="shared" si="7"/>
        <v>207.55082195327159</v>
      </c>
      <c r="V11" s="6">
        <f t="shared" si="7"/>
        <v>212.64682544819104</v>
      </c>
      <c r="W11" s="6">
        <f t="shared" si="7"/>
        <v>217.16891010290593</v>
      </c>
      <c r="X11" s="6">
        <f t="shared" si="7"/>
        <v>222.71019545660471</v>
      </c>
      <c r="Y11" s="6">
        <f t="shared" si="7"/>
        <v>228.0733680667918</v>
      </c>
      <c r="Z11" s="6">
        <f t="shared" si="7"/>
        <v>238.55233447673291</v>
      </c>
      <c r="AA11" s="6">
        <f t="shared" si="7"/>
        <v>249.27867969710698</v>
      </c>
      <c r="AB11" s="6">
        <f t="shared" si="7"/>
        <v>252.7716685004207</v>
      </c>
      <c r="AC11" s="6">
        <f t="shared" si="7"/>
        <v>256.4724555044981</v>
      </c>
      <c r="AD11" s="6">
        <f t="shared" si="7"/>
        <v>258.71865510322954</v>
      </c>
      <c r="AE11" s="6">
        <f t="shared" si="7"/>
        <v>264.13130347550322</v>
      </c>
      <c r="AF11" s="6">
        <f t="shared" si="7"/>
        <v>284.95070416154294</v>
      </c>
      <c r="AG11" s="6">
        <f t="shared" si="7"/>
        <v>290.85811015468255</v>
      </c>
      <c r="AH11" s="112"/>
      <c r="AI11" s="112"/>
      <c r="AJ11" s="112"/>
      <c r="AK11" s="112"/>
      <c r="AL11" s="112"/>
      <c r="AM11" s="112"/>
      <c r="AO11">
        <f>AO9+1</f>
        <v>4</v>
      </c>
    </row>
    <row r="12" spans="1:41">
      <c r="A12" s="120" t="s">
        <v>598</v>
      </c>
      <c r="B12">
        <f t="shared" si="3"/>
        <v>6</v>
      </c>
      <c r="C12" s="284">
        <v>0.14875454246747444</v>
      </c>
      <c r="D12" s="284">
        <v>0.12</v>
      </c>
      <c r="E12" s="284">
        <v>0.12</v>
      </c>
      <c r="F12" s="284">
        <v>0.12</v>
      </c>
      <c r="G12" s="284">
        <v>0.12</v>
      </c>
      <c r="H12" s="284">
        <v>0.12</v>
      </c>
      <c r="I12" s="284">
        <v>0.12</v>
      </c>
      <c r="J12" s="284">
        <v>0.12</v>
      </c>
      <c r="K12" s="284">
        <v>0.12</v>
      </c>
      <c r="L12" s="6">
        <f t="shared" ref="L12:AG12" si="8">L50/K50*K12</f>
        <v>0.28615384615384615</v>
      </c>
      <c r="M12" s="6">
        <f t="shared" si="8"/>
        <v>0.67384615384615387</v>
      </c>
      <c r="N12" s="6">
        <f t="shared" si="8"/>
        <v>0.67384615384615387</v>
      </c>
      <c r="O12" s="6">
        <f t="shared" si="8"/>
        <v>0.67384615384615387</v>
      </c>
      <c r="P12" s="6">
        <f t="shared" si="8"/>
        <v>0.67384615384615387</v>
      </c>
      <c r="Q12" s="6">
        <f t="shared" si="8"/>
        <v>0.67384615384615387</v>
      </c>
      <c r="R12" s="6">
        <f t="shared" si="8"/>
        <v>0.67384615384615387</v>
      </c>
      <c r="S12" s="6">
        <f t="shared" si="8"/>
        <v>0.67384615384615387</v>
      </c>
      <c r="T12" s="6">
        <f t="shared" si="8"/>
        <v>0.67384615384615387</v>
      </c>
      <c r="U12" s="6">
        <f t="shared" si="8"/>
        <v>0.67384615384615387</v>
      </c>
      <c r="V12" s="6">
        <f t="shared" si="8"/>
        <v>0.89538461538461545</v>
      </c>
      <c r="W12" s="6">
        <f t="shared" si="8"/>
        <v>2.1323076923076925</v>
      </c>
      <c r="X12" s="6">
        <f t="shared" si="8"/>
        <v>3.2769230769230768</v>
      </c>
      <c r="Y12" s="6">
        <f t="shared" si="8"/>
        <v>4.6153846153846159</v>
      </c>
      <c r="Z12" s="6">
        <f t="shared" si="8"/>
        <v>6.1753846153846164</v>
      </c>
      <c r="AA12" s="6">
        <f t="shared" si="8"/>
        <v>7.56</v>
      </c>
      <c r="AB12" s="6">
        <f t="shared" si="8"/>
        <v>19.043076923076921</v>
      </c>
      <c r="AC12" s="6">
        <f t="shared" si="8"/>
        <v>23.418461538461536</v>
      </c>
      <c r="AD12" s="6">
        <f t="shared" si="8"/>
        <v>27.747692307692301</v>
      </c>
      <c r="AE12" s="6">
        <f t="shared" si="8"/>
        <v>32.086153846153834</v>
      </c>
      <c r="AF12" s="6">
        <f t="shared" si="8"/>
        <v>42.969230769230748</v>
      </c>
      <c r="AG12" s="6">
        <f t="shared" si="8"/>
        <v>54.350769230769203</v>
      </c>
      <c r="AH12" s="112"/>
      <c r="AI12" s="112"/>
      <c r="AJ12" s="112"/>
      <c r="AK12" s="112"/>
      <c r="AL12" s="112"/>
      <c r="AM12" s="112"/>
      <c r="AO12">
        <f t="shared" si="5"/>
        <v>5</v>
      </c>
    </row>
    <row r="13" spans="1:41">
      <c r="A13" s="120" t="s">
        <v>720</v>
      </c>
      <c r="B13">
        <f t="shared" si="3"/>
        <v>7</v>
      </c>
      <c r="C13" s="284">
        <v>0.28999999999999998</v>
      </c>
      <c r="D13" s="284">
        <v>0.28999999999999998</v>
      </c>
      <c r="E13" s="284">
        <v>0.28999999999999998</v>
      </c>
      <c r="F13" s="284">
        <v>0.28999999999999998</v>
      </c>
      <c r="G13" s="284">
        <v>0.28999999999999998</v>
      </c>
      <c r="H13" s="284">
        <v>0.28999999999999998</v>
      </c>
      <c r="I13" s="284">
        <v>0.28999999999999998</v>
      </c>
      <c r="J13" s="284">
        <v>0.28999999999999998</v>
      </c>
      <c r="K13" s="284">
        <v>0.28999999999999998</v>
      </c>
      <c r="L13" s="6">
        <f t="shared" ref="L13:AG13" si="9">L53/K53*K13</f>
        <v>0.29323529411764709</v>
      </c>
      <c r="M13" s="6">
        <f t="shared" si="9"/>
        <v>0.29455882352941176</v>
      </c>
      <c r="N13" s="6">
        <f t="shared" si="9"/>
        <v>0.29764705882352932</v>
      </c>
      <c r="O13" s="6">
        <f t="shared" si="9"/>
        <v>0.30176470588235288</v>
      </c>
      <c r="P13" s="6">
        <f t="shared" si="9"/>
        <v>0.30602941176470583</v>
      </c>
      <c r="Q13" s="6">
        <f t="shared" si="9"/>
        <v>0.31161764705882355</v>
      </c>
      <c r="R13" s="6">
        <f t="shared" si="9"/>
        <v>0.31647058823529411</v>
      </c>
      <c r="S13" s="6">
        <f t="shared" si="9"/>
        <v>0.32691176470588235</v>
      </c>
      <c r="T13" s="6">
        <f t="shared" si="9"/>
        <v>0.33500000000000002</v>
      </c>
      <c r="U13" s="6">
        <f t="shared" si="9"/>
        <v>0.34029411764705886</v>
      </c>
      <c r="V13" s="6">
        <f t="shared" si="9"/>
        <v>0.34485294117647058</v>
      </c>
      <c r="W13" s="6">
        <f t="shared" si="9"/>
        <v>0.3497058823529412</v>
      </c>
      <c r="X13" s="6">
        <f t="shared" si="9"/>
        <v>0.35588235294117648</v>
      </c>
      <c r="Y13" s="6">
        <f t="shared" si="9"/>
        <v>0.36338235294117649</v>
      </c>
      <c r="Z13" s="6">
        <f t="shared" si="9"/>
        <v>0.37970588235294117</v>
      </c>
      <c r="AA13" s="6">
        <f t="shared" si="9"/>
        <v>0.39367647058823529</v>
      </c>
      <c r="AB13" s="6">
        <f t="shared" si="9"/>
        <v>0.39926470588235297</v>
      </c>
      <c r="AC13" s="6">
        <f t="shared" si="9"/>
        <v>0.40558823529411764</v>
      </c>
      <c r="AD13" s="6">
        <f t="shared" si="9"/>
        <v>0.40941176470588236</v>
      </c>
      <c r="AE13" s="6">
        <f t="shared" si="9"/>
        <v>0.42014705882352943</v>
      </c>
      <c r="AF13" s="6">
        <f t="shared" si="9"/>
        <v>0.45044117647058829</v>
      </c>
      <c r="AG13" s="6">
        <f t="shared" si="9"/>
        <v>0.4738235294117647</v>
      </c>
      <c r="AH13" s="112"/>
      <c r="AI13" s="112"/>
      <c r="AJ13" s="112"/>
      <c r="AK13" s="112"/>
      <c r="AL13" s="112"/>
      <c r="AM13" s="112"/>
      <c r="AO13">
        <f t="shared" si="5"/>
        <v>6</v>
      </c>
    </row>
    <row r="14" spans="1:41">
      <c r="A14" s="120" t="s">
        <v>721</v>
      </c>
      <c r="B14">
        <f t="shared" si="3"/>
        <v>8</v>
      </c>
      <c r="C14" s="284">
        <v>0.08</v>
      </c>
      <c r="D14" s="284">
        <v>0.08</v>
      </c>
      <c r="E14" s="284">
        <v>0.08</v>
      </c>
      <c r="F14" s="284">
        <v>0.08</v>
      </c>
      <c r="G14" s="284">
        <v>0.08</v>
      </c>
      <c r="H14" s="284">
        <v>0.08</v>
      </c>
      <c r="I14" s="284">
        <v>0.08</v>
      </c>
      <c r="J14" s="284">
        <v>0.08</v>
      </c>
      <c r="K14" s="284">
        <v>0.08</v>
      </c>
      <c r="L14" s="6">
        <f t="shared" ref="L14:AG14" si="10">L54/K54*K14</f>
        <v>8.1915761589403988E-2</v>
      </c>
      <c r="M14" s="6">
        <f t="shared" si="10"/>
        <v>8.3204238410596043E-2</v>
      </c>
      <c r="N14" s="6">
        <f t="shared" si="10"/>
        <v>8.4501192052980151E-2</v>
      </c>
      <c r="O14" s="6">
        <f t="shared" si="10"/>
        <v>8.5832052980132453E-2</v>
      </c>
      <c r="P14" s="6">
        <f t="shared" si="10"/>
        <v>8.7031523178807954E-2</v>
      </c>
      <c r="Q14" s="6">
        <f t="shared" si="10"/>
        <v>8.8120794701986749E-2</v>
      </c>
      <c r="R14" s="6">
        <f t="shared" si="10"/>
        <v>8.9171920529801316E-2</v>
      </c>
      <c r="S14" s="6">
        <f t="shared" si="10"/>
        <v>9.182516556291391E-2</v>
      </c>
      <c r="T14" s="6">
        <f t="shared" si="10"/>
        <v>9.4024900662251665E-2</v>
      </c>
      <c r="U14" s="6">
        <f t="shared" si="10"/>
        <v>9.5334569536423858E-2</v>
      </c>
      <c r="V14" s="6">
        <f t="shared" si="10"/>
        <v>9.654675496688743E-2</v>
      </c>
      <c r="W14" s="6">
        <f t="shared" si="10"/>
        <v>9.7483443708609285E-2</v>
      </c>
      <c r="X14" s="6">
        <f t="shared" si="10"/>
        <v>9.8665960264900668E-2</v>
      </c>
      <c r="Y14" s="6">
        <f t="shared" si="10"/>
        <v>9.9755231788079476E-2</v>
      </c>
      <c r="Z14" s="6">
        <f t="shared" si="10"/>
        <v>0.10277298013245033</v>
      </c>
      <c r="AA14" s="6">
        <f t="shared" si="10"/>
        <v>0.10597298013245032</v>
      </c>
      <c r="AB14" s="6">
        <f t="shared" si="10"/>
        <v>0.10686304635761588</v>
      </c>
      <c r="AC14" s="6">
        <f t="shared" si="10"/>
        <v>0.107998940397351</v>
      </c>
      <c r="AD14" s="6">
        <f t="shared" si="10"/>
        <v>0.10801165562913909</v>
      </c>
      <c r="AE14" s="6">
        <f t="shared" si="10"/>
        <v>0.10935947019867551</v>
      </c>
      <c r="AF14" s="6">
        <f t="shared" si="10"/>
        <v>0.112156821192053</v>
      </c>
      <c r="AG14" s="6">
        <f t="shared" si="10"/>
        <v>0.11091072847682121</v>
      </c>
      <c r="AH14" s="112"/>
      <c r="AI14" s="112"/>
      <c r="AJ14" s="112"/>
      <c r="AK14" s="112"/>
      <c r="AL14" s="112"/>
      <c r="AM14" s="112"/>
      <c r="AO14">
        <f t="shared" si="5"/>
        <v>7</v>
      </c>
    </row>
    <row r="15" spans="1:41">
      <c r="A15" s="120" t="s">
        <v>388</v>
      </c>
      <c r="B15">
        <f>B12+1</f>
        <v>7</v>
      </c>
      <c r="C15" s="284">
        <v>19.344853564503961</v>
      </c>
      <c r="D15" s="284">
        <v>19.93389877641825</v>
      </c>
      <c r="E15" s="284">
        <v>20.313674916573973</v>
      </c>
      <c r="F15" s="284">
        <v>20.822458982202448</v>
      </c>
      <c r="G15" s="284">
        <v>20.887687708565075</v>
      </c>
      <c r="H15" s="284">
        <v>21.03698901557286</v>
      </c>
      <c r="I15" s="284">
        <v>21.050034760845385</v>
      </c>
      <c r="J15" s="284">
        <v>20.85</v>
      </c>
      <c r="K15" s="284">
        <v>19.82</v>
      </c>
      <c r="L15" s="6">
        <f t="shared" ref="L15:AG15" si="11">L53/K53*K15</f>
        <v>20.041115618661262</v>
      </c>
      <c r="M15" s="6">
        <f t="shared" si="11"/>
        <v>20.131572008113594</v>
      </c>
      <c r="N15" s="6">
        <f t="shared" si="11"/>
        <v>20.342636916835698</v>
      </c>
      <c r="O15" s="6">
        <f t="shared" si="11"/>
        <v>20.624056795131846</v>
      </c>
      <c r="P15" s="6">
        <f t="shared" si="11"/>
        <v>20.915527383367138</v>
      </c>
      <c r="Q15" s="6">
        <f t="shared" si="11"/>
        <v>21.297454361054768</v>
      </c>
      <c r="R15" s="6">
        <f t="shared" si="11"/>
        <v>21.629127789046652</v>
      </c>
      <c r="S15" s="6">
        <f t="shared" si="11"/>
        <v>22.342728194726167</v>
      </c>
      <c r="T15" s="6">
        <f t="shared" si="11"/>
        <v>22.895517241379313</v>
      </c>
      <c r="U15" s="6">
        <f t="shared" si="11"/>
        <v>23.257342799188642</v>
      </c>
      <c r="V15" s="6">
        <f t="shared" si="11"/>
        <v>23.568914807302228</v>
      </c>
      <c r="W15" s="6">
        <f t="shared" si="11"/>
        <v>23.900588235294116</v>
      </c>
      <c r="X15" s="6">
        <f t="shared" si="11"/>
        <v>24.322718052738331</v>
      </c>
      <c r="Y15" s="6">
        <f t="shared" si="11"/>
        <v>24.835304259634885</v>
      </c>
      <c r="Z15" s="6">
        <f t="shared" si="11"/>
        <v>25.950933062880321</v>
      </c>
      <c r="AA15" s="6">
        <f t="shared" si="11"/>
        <v>26.905750507099388</v>
      </c>
      <c r="AB15" s="6">
        <f t="shared" si="11"/>
        <v>27.287677484787014</v>
      </c>
      <c r="AC15" s="6">
        <f t="shared" si="11"/>
        <v>27.719858012170381</v>
      </c>
      <c r="AD15" s="6">
        <f t="shared" si="11"/>
        <v>27.981176470588231</v>
      </c>
      <c r="AE15" s="6">
        <f t="shared" si="11"/>
        <v>28.71487829614604</v>
      </c>
      <c r="AF15" s="6">
        <f t="shared" si="11"/>
        <v>30.785324543610542</v>
      </c>
      <c r="AG15" s="6">
        <f t="shared" si="11"/>
        <v>32.383387423935083</v>
      </c>
      <c r="AH15" s="112"/>
      <c r="AI15" s="112"/>
      <c r="AJ15" s="112"/>
      <c r="AK15" s="112"/>
      <c r="AL15" s="112"/>
      <c r="AM15" s="112"/>
      <c r="AO15">
        <f>AO12+1</f>
        <v>6</v>
      </c>
    </row>
    <row r="16" spans="1:41">
      <c r="A16" s="120" t="s">
        <v>387</v>
      </c>
      <c r="B16">
        <f t="shared" si="3"/>
        <v>8</v>
      </c>
      <c r="C16" s="284">
        <v>186.51301855651582</v>
      </c>
      <c r="D16" s="284">
        <v>191.20040429598868</v>
      </c>
      <c r="E16" s="284">
        <v>192.19084947996168</v>
      </c>
      <c r="F16" s="284">
        <v>198.3568473622208</v>
      </c>
      <c r="G16" s="284">
        <v>195.64424405359443</v>
      </c>
      <c r="H16" s="284">
        <v>201.78663829260577</v>
      </c>
      <c r="I16" s="284">
        <v>200.62824410860065</v>
      </c>
      <c r="J16" s="284">
        <v>198.05</v>
      </c>
      <c r="K16" s="284">
        <v>190.12</v>
      </c>
      <c r="L16" s="6">
        <f t="shared" ref="L16:AG16" si="12">L54/K54*K16</f>
        <v>194.67280741721856</v>
      </c>
      <c r="M16" s="6">
        <f t="shared" si="12"/>
        <v>197.73487258278149</v>
      </c>
      <c r="N16" s="6">
        <f t="shared" si="12"/>
        <v>200.81708291390731</v>
      </c>
      <c r="O16" s="6">
        <f t="shared" si="12"/>
        <v>203.97987390728477</v>
      </c>
      <c r="P16" s="6">
        <f t="shared" si="12"/>
        <v>206.83041483443708</v>
      </c>
      <c r="Q16" s="6">
        <f t="shared" si="12"/>
        <v>209.41906860927148</v>
      </c>
      <c r="R16" s="6">
        <f t="shared" si="12"/>
        <v>211.91706913907279</v>
      </c>
      <c r="S16" s="6">
        <f t="shared" si="12"/>
        <v>218.2225059602649</v>
      </c>
      <c r="T16" s="6">
        <f t="shared" si="12"/>
        <v>223.45017642384107</v>
      </c>
      <c r="U16" s="6">
        <f t="shared" si="12"/>
        <v>226.56260450331129</v>
      </c>
      <c r="V16" s="6">
        <f t="shared" si="12"/>
        <v>229.44336317880797</v>
      </c>
      <c r="W16" s="6">
        <f t="shared" si="12"/>
        <v>231.66940397350999</v>
      </c>
      <c r="X16" s="6">
        <f t="shared" si="12"/>
        <v>234.47965456953645</v>
      </c>
      <c r="Y16" s="6">
        <f t="shared" si="12"/>
        <v>237.06830834437091</v>
      </c>
      <c r="Z16" s="6">
        <f t="shared" si="12"/>
        <v>244.23998728476823</v>
      </c>
      <c r="AA16" s="6">
        <f t="shared" si="12"/>
        <v>251.84478728476824</v>
      </c>
      <c r="AB16" s="6">
        <f t="shared" si="12"/>
        <v>253.96002966887423</v>
      </c>
      <c r="AC16" s="6">
        <f t="shared" si="12"/>
        <v>256.65948185430472</v>
      </c>
      <c r="AD16" s="6">
        <f t="shared" si="12"/>
        <v>256.68969960264911</v>
      </c>
      <c r="AE16" s="6">
        <f t="shared" si="12"/>
        <v>259.89278092715239</v>
      </c>
      <c r="AF16" s="6">
        <f t="shared" si="12"/>
        <v>266.54068556291401</v>
      </c>
      <c r="AG16" s="6">
        <f t="shared" si="12"/>
        <v>263.57934622516564</v>
      </c>
      <c r="AH16" s="112"/>
      <c r="AI16" s="112"/>
      <c r="AJ16" s="112"/>
      <c r="AK16" s="112"/>
      <c r="AL16" s="112"/>
      <c r="AM16" s="112"/>
      <c r="AO16">
        <f t="shared" si="5"/>
        <v>7</v>
      </c>
    </row>
    <row r="17" spans="1:41">
      <c r="A17" s="120" t="s">
        <v>718</v>
      </c>
      <c r="B17">
        <f t="shared" si="3"/>
        <v>9</v>
      </c>
      <c r="C17" s="284">
        <v>91.99927686334776</v>
      </c>
      <c r="D17" s="284">
        <v>94.311373368720652</v>
      </c>
      <c r="E17" s="284">
        <v>94.799919645026264</v>
      </c>
      <c r="F17" s="284">
        <v>97.841355308332979</v>
      </c>
      <c r="G17" s="284">
        <v>96.503338558927737</v>
      </c>
      <c r="H17" s="284">
        <v>99.533131506208818</v>
      </c>
      <c r="I17" s="284">
        <v>98.961742827413289</v>
      </c>
      <c r="J17" s="284">
        <v>97.69</v>
      </c>
      <c r="K17" s="284">
        <v>74.06</v>
      </c>
      <c r="L17" s="6">
        <f t="shared" ref="L17:AG17" si="13">L55/K55*K17</f>
        <v>78.057301308865206</v>
      </c>
      <c r="M17" s="6">
        <f t="shared" si="13"/>
        <v>81.994643098097427</v>
      </c>
      <c r="N17" s="6">
        <f t="shared" si="13"/>
        <v>86.021924166779115</v>
      </c>
      <c r="O17" s="6">
        <f t="shared" si="13"/>
        <v>90.079184995277288</v>
      </c>
      <c r="P17" s="6">
        <f t="shared" si="13"/>
        <v>94.156432330319788</v>
      </c>
      <c r="Q17" s="6">
        <f t="shared" si="13"/>
        <v>94.676081500472264</v>
      </c>
      <c r="R17" s="6">
        <f t="shared" si="13"/>
        <v>95.175744164080413</v>
      </c>
      <c r="S17" s="6">
        <f t="shared" si="13"/>
        <v>95.885265146403981</v>
      </c>
      <c r="T17" s="6">
        <f t="shared" si="13"/>
        <v>96.494853596005925</v>
      </c>
      <c r="U17" s="6">
        <f t="shared" si="13"/>
        <v>96.974529753069746</v>
      </c>
      <c r="V17" s="6">
        <f t="shared" si="13"/>
        <v>98.913220887869372</v>
      </c>
      <c r="W17" s="6">
        <f t="shared" si="13"/>
        <v>100.88189178248548</v>
      </c>
      <c r="X17" s="6">
        <f t="shared" si="13"/>
        <v>102.89053569019023</v>
      </c>
      <c r="Y17" s="6">
        <f t="shared" si="13"/>
        <v>104.92915935771148</v>
      </c>
      <c r="Z17" s="6">
        <f t="shared" si="13"/>
        <v>107.36751315611926</v>
      </c>
      <c r="AA17" s="6">
        <f t="shared" si="13"/>
        <v>109.75590068816622</v>
      </c>
      <c r="AB17" s="6">
        <f t="shared" si="13"/>
        <v>111.61464579678854</v>
      </c>
      <c r="AC17" s="6">
        <f t="shared" si="13"/>
        <v>113.54334367831601</v>
      </c>
      <c r="AD17" s="6">
        <f t="shared" si="13"/>
        <v>115.39209553366615</v>
      </c>
      <c r="AE17" s="6">
        <f t="shared" si="13"/>
        <v>117.50067197409254</v>
      </c>
      <c r="AF17" s="6">
        <f t="shared" si="13"/>
        <v>232.95272702739169</v>
      </c>
      <c r="AG17" s="6">
        <f t="shared" si="13"/>
        <v>348.52470111995677</v>
      </c>
      <c r="AH17" s="112"/>
      <c r="AI17" s="112"/>
      <c r="AJ17" s="112"/>
      <c r="AK17" s="112"/>
      <c r="AL17" s="112"/>
      <c r="AM17" s="112"/>
      <c r="AO17">
        <f t="shared" si="5"/>
        <v>8</v>
      </c>
    </row>
    <row r="18" spans="1:41">
      <c r="A18" s="120" t="s">
        <v>527</v>
      </c>
      <c r="B18">
        <f t="shared" si="3"/>
        <v>10</v>
      </c>
      <c r="C18" s="284">
        <v>18.748363502594032</v>
      </c>
      <c r="D18" s="284">
        <v>15.909210489014884</v>
      </c>
      <c r="E18" s="284">
        <v>14.603991495393339</v>
      </c>
      <c r="F18" s="284">
        <v>14.80978596739901</v>
      </c>
      <c r="G18" s="284">
        <v>14.414883061658401</v>
      </c>
      <c r="H18" s="284">
        <v>13.877221828490436</v>
      </c>
      <c r="I18" s="284">
        <v>13.621369241672575</v>
      </c>
      <c r="J18" s="284">
        <v>13.08</v>
      </c>
      <c r="K18" s="284">
        <v>12.33</v>
      </c>
      <c r="L18" s="6">
        <f t="shared" ref="L18:AG18" si="14">L56/K56*K18</f>
        <v>11.69295</v>
      </c>
      <c r="M18" s="6">
        <f t="shared" si="14"/>
        <v>10.963424999999999</v>
      </c>
      <c r="N18" s="6">
        <f t="shared" si="14"/>
        <v>10.74765</v>
      </c>
      <c r="O18" s="6">
        <f t="shared" si="14"/>
        <v>10.74765</v>
      </c>
      <c r="P18" s="6">
        <f t="shared" si="14"/>
        <v>10.901774999999999</v>
      </c>
      <c r="Q18" s="6">
        <f t="shared" si="14"/>
        <v>11.569649999999999</v>
      </c>
      <c r="R18" s="6">
        <f t="shared" si="14"/>
        <v>12.052574999999999</v>
      </c>
      <c r="S18" s="6">
        <f t="shared" si="14"/>
        <v>13.809599999999998</v>
      </c>
      <c r="T18" s="6">
        <f t="shared" si="14"/>
        <v>14.8782</v>
      </c>
      <c r="U18" s="6">
        <f t="shared" si="14"/>
        <v>15.176174999999999</v>
      </c>
      <c r="V18" s="6">
        <f t="shared" si="14"/>
        <v>15.135074999999999</v>
      </c>
      <c r="W18" s="6">
        <f t="shared" si="14"/>
        <v>15.063149999999998</v>
      </c>
      <c r="X18" s="6">
        <f t="shared" si="14"/>
        <v>15.145349999999997</v>
      </c>
      <c r="Y18" s="6">
        <f t="shared" si="14"/>
        <v>15.453599999999998</v>
      </c>
      <c r="Z18" s="6">
        <f t="shared" si="14"/>
        <v>18.402525000000001</v>
      </c>
      <c r="AA18" s="6">
        <f t="shared" si="14"/>
        <v>21.238425000000003</v>
      </c>
      <c r="AB18" s="6">
        <f t="shared" si="14"/>
        <v>20.806875000000002</v>
      </c>
      <c r="AC18" s="6">
        <f t="shared" si="14"/>
        <v>20.919900000000002</v>
      </c>
      <c r="AD18" s="6">
        <f t="shared" si="14"/>
        <v>20.128725000000003</v>
      </c>
      <c r="AE18" s="6">
        <f t="shared" si="14"/>
        <v>21.341175000000003</v>
      </c>
      <c r="AF18" s="6">
        <f t="shared" si="14"/>
        <v>18.484725000000001</v>
      </c>
      <c r="AG18" s="6">
        <f t="shared" si="14"/>
        <v>17.148975000000004</v>
      </c>
      <c r="AH18" s="112"/>
      <c r="AI18" s="112"/>
      <c r="AJ18" s="112"/>
      <c r="AK18" s="112"/>
      <c r="AL18" s="112"/>
      <c r="AM18" s="112"/>
      <c r="AO18">
        <f>AO16+1</f>
        <v>8</v>
      </c>
    </row>
    <row r="19" spans="1:41">
      <c r="A19" s="120" t="s">
        <v>526</v>
      </c>
      <c r="B19">
        <f t="shared" si="3"/>
        <v>11</v>
      </c>
      <c r="C19" s="284">
        <v>16.099074173411047</v>
      </c>
      <c r="D19" s="284">
        <v>16.518849146566016</v>
      </c>
      <c r="E19" s="284">
        <v>16.808536607755151</v>
      </c>
      <c r="F19" s="284">
        <v>17.0461507724374</v>
      </c>
      <c r="G19" s="284">
        <v>17.232929214387152</v>
      </c>
      <c r="H19" s="284">
        <v>17.424562753451802</v>
      </c>
      <c r="I19" s="284">
        <v>17.64894439854638</v>
      </c>
      <c r="J19" s="284">
        <v>17.63</v>
      </c>
      <c r="K19" s="284">
        <v>16.46</v>
      </c>
      <c r="L19" s="6">
        <f t="shared" ref="L19:AG19" si="15">L57/K57*K19</f>
        <v>16.992588522588527</v>
      </c>
      <c r="M19" s="6">
        <f t="shared" si="15"/>
        <v>17.384493284493288</v>
      </c>
      <c r="N19" s="6">
        <f t="shared" si="15"/>
        <v>17.806544566544567</v>
      </c>
      <c r="O19" s="6">
        <f t="shared" si="15"/>
        <v>18.258742368742372</v>
      </c>
      <c r="P19" s="6">
        <f t="shared" si="15"/>
        <v>18.690842490842495</v>
      </c>
      <c r="Q19" s="6">
        <f t="shared" si="15"/>
        <v>19.092796092796096</v>
      </c>
      <c r="R19" s="6">
        <f t="shared" si="15"/>
        <v>19.494749694749697</v>
      </c>
      <c r="S19" s="6">
        <f t="shared" si="15"/>
        <v>20.067533577533581</v>
      </c>
      <c r="T19" s="6">
        <f t="shared" si="15"/>
        <v>20.630268620268627</v>
      </c>
      <c r="U19" s="6">
        <f t="shared" si="15"/>
        <v>21.092515262515263</v>
      </c>
      <c r="V19" s="6">
        <f t="shared" si="15"/>
        <v>21.615054945054947</v>
      </c>
      <c r="W19" s="6">
        <f t="shared" si="15"/>
        <v>22.137594627594627</v>
      </c>
      <c r="X19" s="6">
        <f t="shared" si="15"/>
        <v>22.790769230769229</v>
      </c>
      <c r="Y19" s="6">
        <f t="shared" si="15"/>
        <v>23.464041514041515</v>
      </c>
      <c r="Z19" s="6">
        <f t="shared" si="15"/>
        <v>24.227753357753361</v>
      </c>
      <c r="AA19" s="6">
        <f t="shared" si="15"/>
        <v>24.860830280830282</v>
      </c>
      <c r="AB19" s="6">
        <f t="shared" si="15"/>
        <v>25.182393162393161</v>
      </c>
      <c r="AC19" s="6">
        <f t="shared" si="15"/>
        <v>25.634590964590966</v>
      </c>
      <c r="AD19" s="6">
        <f t="shared" si="15"/>
        <v>26.197326007326005</v>
      </c>
      <c r="AE19" s="6">
        <f t="shared" si="15"/>
        <v>26.780158730158725</v>
      </c>
      <c r="AF19" s="6">
        <f t="shared" si="15"/>
        <v>29.865152625152621</v>
      </c>
      <c r="AG19" s="6">
        <f t="shared" si="15"/>
        <v>31.79452991452991</v>
      </c>
      <c r="AH19" s="112"/>
      <c r="AI19" s="112"/>
      <c r="AJ19" s="112"/>
      <c r="AK19" s="112"/>
      <c r="AL19" s="112"/>
      <c r="AM19" s="112"/>
      <c r="AO19">
        <f t="shared" si="5"/>
        <v>9</v>
      </c>
    </row>
    <row r="20" spans="1:41">
      <c r="A20" s="120" t="s">
        <v>523</v>
      </c>
      <c r="B20">
        <f t="shared" si="3"/>
        <v>12</v>
      </c>
      <c r="C20" s="284">
        <v>335.77331305186084</v>
      </c>
      <c r="D20" s="284">
        <v>345.12368336779264</v>
      </c>
      <c r="E20" s="284">
        <v>351.73654833895557</v>
      </c>
      <c r="F20" s="284">
        <v>356.62847152051233</v>
      </c>
      <c r="G20" s="284">
        <v>360.31274126727499</v>
      </c>
      <c r="H20" s="284">
        <v>363.08022098030375</v>
      </c>
      <c r="I20" s="284">
        <v>367.26352107202263</v>
      </c>
      <c r="J20" s="284">
        <v>366.87</v>
      </c>
      <c r="K20" s="284">
        <v>340.31</v>
      </c>
      <c r="L20" s="6">
        <f t="shared" ref="L20:AG20" si="16">L58/K58*K20</f>
        <v>350.9399823024512</v>
      </c>
      <c r="M20" s="6">
        <f t="shared" si="16"/>
        <v>358.31773205910991</v>
      </c>
      <c r="N20" s="6">
        <f t="shared" si="16"/>
        <v>366.37804914019421</v>
      </c>
      <c r="O20" s="6">
        <f t="shared" si="16"/>
        <v>375.47225496268777</v>
      </c>
      <c r="P20" s="6">
        <f t="shared" si="16"/>
        <v>384.25529038728149</v>
      </c>
      <c r="Q20" s="6">
        <f t="shared" si="16"/>
        <v>393.17885437866869</v>
      </c>
      <c r="R20" s="6">
        <f t="shared" si="16"/>
        <v>401.72098368875925</v>
      </c>
      <c r="S20" s="6">
        <f t="shared" si="16"/>
        <v>415.51285874406415</v>
      </c>
      <c r="T20" s="6">
        <f t="shared" si="16"/>
        <v>428.31099607704357</v>
      </c>
      <c r="U20" s="6">
        <f t="shared" si="16"/>
        <v>438.16807126213047</v>
      </c>
      <c r="V20" s="6">
        <f t="shared" si="16"/>
        <v>448.67760050733006</v>
      </c>
      <c r="W20" s="6">
        <f t="shared" si="16"/>
        <v>459.57860218859724</v>
      </c>
      <c r="X20" s="6">
        <f t="shared" si="16"/>
        <v>473.17975990325374</v>
      </c>
      <c r="Y20" s="6">
        <f t="shared" si="16"/>
        <v>487.34303188508432</v>
      </c>
      <c r="Z20" s="6">
        <f t="shared" si="16"/>
        <v>507.33823938884512</v>
      </c>
      <c r="AA20" s="6">
        <f t="shared" si="16"/>
        <v>524.90431023803251</v>
      </c>
      <c r="AB20" s="6">
        <f t="shared" si="16"/>
        <v>532.27202223992026</v>
      </c>
      <c r="AC20" s="6">
        <f t="shared" si="16"/>
        <v>541.8179270271072</v>
      </c>
      <c r="AD20" s="6">
        <f t="shared" si="16"/>
        <v>552.98994808719033</v>
      </c>
      <c r="AE20" s="6">
        <f t="shared" si="16"/>
        <v>566.02899153467285</v>
      </c>
      <c r="AF20" s="6">
        <f t="shared" si="16"/>
        <v>629.00586496770245</v>
      </c>
      <c r="AG20" s="6">
        <f t="shared" si="16"/>
        <v>673.35266554582256</v>
      </c>
      <c r="AH20" s="112"/>
      <c r="AI20" s="112"/>
      <c r="AJ20" s="112"/>
      <c r="AK20" s="112"/>
      <c r="AL20" s="112"/>
      <c r="AM20" s="112"/>
      <c r="AO20">
        <f>AO19+1</f>
        <v>10</v>
      </c>
    </row>
    <row r="21" spans="1:41">
      <c r="A21" s="120" t="s">
        <v>529</v>
      </c>
      <c r="B21">
        <f t="shared" si="3"/>
        <v>13</v>
      </c>
      <c r="C21" s="284">
        <v>49.680584563226056</v>
      </c>
      <c r="D21" s="284">
        <v>48.564231533814059</v>
      </c>
      <c r="E21" s="284">
        <v>47.459267978951466</v>
      </c>
      <c r="F21" s="284">
        <v>46.356109920093544</v>
      </c>
      <c r="G21" s="284">
        <v>46.356109920093544</v>
      </c>
      <c r="H21" s="284">
        <v>46.356109920093544</v>
      </c>
      <c r="I21" s="284">
        <v>46.327221984018706</v>
      </c>
      <c r="J21" s="284">
        <v>46.32</v>
      </c>
      <c r="K21" s="284">
        <v>29.1</v>
      </c>
      <c r="L21" s="6">
        <f t="shared" ref="L21:AG21" si="17">L59/K59*K21</f>
        <v>33.362929848693263</v>
      </c>
      <c r="M21" s="6">
        <f t="shared" si="17"/>
        <v>38.296320495185697</v>
      </c>
      <c r="N21" s="6">
        <f t="shared" si="17"/>
        <v>38.256292984869319</v>
      </c>
      <c r="O21" s="6">
        <f t="shared" si="17"/>
        <v>38.216265474552948</v>
      </c>
      <c r="P21" s="6">
        <f t="shared" si="17"/>
        <v>38.186244841815672</v>
      </c>
      <c r="Q21" s="6">
        <f t="shared" si="17"/>
        <v>38.146217331499301</v>
      </c>
      <c r="R21" s="6">
        <f t="shared" si="17"/>
        <v>38.10618982118293</v>
      </c>
      <c r="S21" s="6">
        <f t="shared" si="17"/>
        <v>16.811554332874824</v>
      </c>
      <c r="T21" s="6">
        <f t="shared" si="17"/>
        <v>10.857462173314989</v>
      </c>
      <c r="U21" s="6">
        <f t="shared" si="17"/>
        <v>10.81743466299862</v>
      </c>
      <c r="V21" s="6">
        <f t="shared" si="17"/>
        <v>10.81743466299862</v>
      </c>
      <c r="W21" s="6">
        <f t="shared" si="17"/>
        <v>10.81743466299862</v>
      </c>
      <c r="X21" s="6">
        <f t="shared" si="17"/>
        <v>10.81743466299862</v>
      </c>
      <c r="Y21" s="6">
        <f t="shared" si="17"/>
        <v>10.797420907840435</v>
      </c>
      <c r="Z21" s="6">
        <f t="shared" si="17"/>
        <v>6.0741746905089382</v>
      </c>
      <c r="AA21" s="6">
        <f t="shared" si="17"/>
        <v>1.4009628610729015</v>
      </c>
      <c r="AB21" s="6">
        <f t="shared" si="17"/>
        <v>1.380949105914717</v>
      </c>
      <c r="AC21" s="6">
        <f t="shared" si="17"/>
        <v>1.2808803301237957</v>
      </c>
      <c r="AD21" s="6">
        <f t="shared" si="17"/>
        <v>1.1708046767537819</v>
      </c>
      <c r="AE21" s="6">
        <f t="shared" si="17"/>
        <v>1.0607290233837683</v>
      </c>
      <c r="AF21" s="6">
        <f t="shared" si="17"/>
        <v>0.61041953232462132</v>
      </c>
      <c r="AG21" s="6">
        <f t="shared" si="17"/>
        <v>0.65044704264098996</v>
      </c>
      <c r="AH21" s="112"/>
      <c r="AI21" s="112"/>
      <c r="AJ21" s="112"/>
      <c r="AK21" s="112"/>
      <c r="AL21" s="112"/>
      <c r="AM21" s="112"/>
      <c r="AO21">
        <f t="shared" si="5"/>
        <v>11</v>
      </c>
    </row>
    <row r="22" spans="1:41">
      <c r="A22" s="120" t="s">
        <v>524</v>
      </c>
      <c r="B22">
        <f t="shared" si="3"/>
        <v>14</v>
      </c>
      <c r="C22" s="284">
        <v>21.771602125906632</v>
      </c>
      <c r="D22" s="284">
        <v>22.321967288291042</v>
      </c>
      <c r="E22" s="284">
        <v>22.799481809844082</v>
      </c>
      <c r="F22" s="284">
        <v>23.061502598593702</v>
      </c>
      <c r="G22" s="284">
        <v>23.492490064200549</v>
      </c>
      <c r="H22" s="284">
        <v>23.649212778966675</v>
      </c>
      <c r="I22" s="284">
        <v>24.045917150718431</v>
      </c>
      <c r="J22" s="284">
        <v>24.03</v>
      </c>
      <c r="K22" s="284">
        <v>22.95</v>
      </c>
      <c r="L22" s="6">
        <f t="shared" ref="L22:AG22" si="18">L60/K60*K22</f>
        <v>23.764257555847571</v>
      </c>
      <c r="M22" s="6">
        <f t="shared" si="18"/>
        <v>24.186465177398162</v>
      </c>
      <c r="N22" s="6">
        <f t="shared" si="18"/>
        <v>24.699145860709596</v>
      </c>
      <c r="O22" s="6">
        <f t="shared" si="18"/>
        <v>25.422930354796321</v>
      </c>
      <c r="P22" s="6">
        <f t="shared" si="18"/>
        <v>25.935611038107755</v>
      </c>
      <c r="Q22" s="6">
        <f t="shared" si="18"/>
        <v>26.287450722733247</v>
      </c>
      <c r="R22" s="6">
        <f t="shared" si="18"/>
        <v>26.729763469119579</v>
      </c>
      <c r="S22" s="6">
        <f t="shared" si="18"/>
        <v>27.202233902759527</v>
      </c>
      <c r="T22" s="6">
        <f t="shared" si="18"/>
        <v>27.664651773981607</v>
      </c>
      <c r="U22" s="6">
        <f t="shared" si="18"/>
        <v>28.086859395532201</v>
      </c>
      <c r="V22" s="6">
        <f t="shared" si="18"/>
        <v>29.061957950065711</v>
      </c>
      <c r="W22" s="6">
        <f t="shared" si="18"/>
        <v>29.685216819973729</v>
      </c>
      <c r="X22" s="6">
        <f t="shared" si="18"/>
        <v>30.46931668856768</v>
      </c>
      <c r="Y22" s="6">
        <f t="shared" si="18"/>
        <v>31.293626806833121</v>
      </c>
      <c r="Z22" s="6">
        <f t="shared" si="18"/>
        <v>32.087779237844948</v>
      </c>
      <c r="AA22" s="6">
        <f t="shared" si="18"/>
        <v>32.711038107752962</v>
      </c>
      <c r="AB22" s="6">
        <f t="shared" si="18"/>
        <v>33.05282522996059</v>
      </c>
      <c r="AC22" s="6">
        <f t="shared" si="18"/>
        <v>33.64592641261499</v>
      </c>
      <c r="AD22" s="6">
        <f t="shared" si="18"/>
        <v>34.068134034165581</v>
      </c>
      <c r="AE22" s="6">
        <f t="shared" si="18"/>
        <v>34.751708278580828</v>
      </c>
      <c r="AF22" s="6">
        <f t="shared" si="18"/>
        <v>38.300262812089372</v>
      </c>
      <c r="AG22" s="6">
        <f t="shared" si="18"/>
        <v>40.471616294349552</v>
      </c>
      <c r="AH22" s="112"/>
      <c r="AI22" s="112"/>
      <c r="AJ22" s="112"/>
      <c r="AK22" s="112"/>
      <c r="AL22" s="112"/>
      <c r="AM22" s="112"/>
      <c r="AO22">
        <f t="shared" si="5"/>
        <v>12</v>
      </c>
    </row>
    <row r="23" spans="1:41">
      <c r="A23" s="120" t="s">
        <v>594</v>
      </c>
      <c r="B23">
        <f t="shared" si="3"/>
        <v>15</v>
      </c>
      <c r="C23" s="284">
        <v>234.64829421512601</v>
      </c>
      <c r="D23" s="284">
        <v>241.75157173268613</v>
      </c>
      <c r="E23" s="284">
        <v>247.49716491255998</v>
      </c>
      <c r="F23" s="284">
        <v>250.49509082227485</v>
      </c>
      <c r="G23" s="284">
        <v>252.5592931181983</v>
      </c>
      <c r="H23" s="284">
        <v>256.25966914032193</v>
      </c>
      <c r="I23" s="284">
        <v>259.56135726080817</v>
      </c>
      <c r="J23" s="284">
        <v>260.25</v>
      </c>
      <c r="K23" s="284">
        <v>248.16</v>
      </c>
      <c r="L23" s="6">
        <f t="shared" ref="L23:AG23" si="19">L61/K61*K23</f>
        <v>255.04895104895104</v>
      </c>
      <c r="M23" s="6">
        <f t="shared" si="19"/>
        <v>261.49616783216783</v>
      </c>
      <c r="N23" s="6">
        <f t="shared" si="19"/>
        <v>266.4393846153846</v>
      </c>
      <c r="O23" s="6">
        <f t="shared" si="19"/>
        <v>271.59295104895102</v>
      </c>
      <c r="P23" s="6">
        <f t="shared" si="19"/>
        <v>276.78858741258739</v>
      </c>
      <c r="Q23" s="6">
        <f t="shared" si="19"/>
        <v>282.66786013986007</v>
      </c>
      <c r="R23" s="6">
        <f t="shared" si="19"/>
        <v>288.88369230769223</v>
      </c>
      <c r="S23" s="6">
        <f t="shared" si="19"/>
        <v>296.65611188811181</v>
      </c>
      <c r="T23" s="6">
        <f t="shared" si="19"/>
        <v>306.67927272727263</v>
      </c>
      <c r="U23" s="6">
        <f t="shared" si="19"/>
        <v>315.42981818181812</v>
      </c>
      <c r="V23" s="6">
        <f t="shared" si="19"/>
        <v>324.86399999999986</v>
      </c>
      <c r="W23" s="6">
        <f t="shared" si="19"/>
        <v>334.34025174825155</v>
      </c>
      <c r="X23" s="6">
        <f t="shared" si="19"/>
        <v>347.27675524475507</v>
      </c>
      <c r="Y23" s="6">
        <f t="shared" si="19"/>
        <v>361.05465734265715</v>
      </c>
      <c r="Z23" s="6">
        <f t="shared" si="19"/>
        <v>372.06646153846128</v>
      </c>
      <c r="AA23" s="6">
        <f t="shared" si="19"/>
        <v>382.83636363636339</v>
      </c>
      <c r="AB23" s="6">
        <f t="shared" si="19"/>
        <v>392.68072727272704</v>
      </c>
      <c r="AC23" s="6">
        <f t="shared" si="19"/>
        <v>404.24995804195783</v>
      </c>
      <c r="AD23" s="6">
        <f t="shared" si="19"/>
        <v>416.17678321678295</v>
      </c>
      <c r="AE23" s="6">
        <f t="shared" si="19"/>
        <v>429.10276923076901</v>
      </c>
      <c r="AF23" s="6">
        <f t="shared" si="19"/>
        <v>494.99479720279692</v>
      </c>
      <c r="AG23" s="6">
        <f t="shared" si="19"/>
        <v>523.40251748251717</v>
      </c>
      <c r="AH23" s="112"/>
      <c r="AI23" s="112"/>
      <c r="AJ23" s="112"/>
      <c r="AK23" s="112"/>
      <c r="AL23" s="112"/>
      <c r="AM23" s="112"/>
      <c r="AO23" t="e">
        <f>#REF!+1</f>
        <v>#REF!</v>
      </c>
    </row>
    <row r="24" spans="1:41">
      <c r="A24" s="120" t="s">
        <v>593</v>
      </c>
      <c r="B24">
        <f t="shared" si="3"/>
        <v>16</v>
      </c>
      <c r="C24" s="284">
        <v>40.911909200944407</v>
      </c>
      <c r="D24" s="284">
        <v>43.472466890059046</v>
      </c>
      <c r="E24" s="284">
        <v>46.683336524652951</v>
      </c>
      <c r="F24" s="284">
        <v>48.977367480453168</v>
      </c>
      <c r="G24" s="284">
        <v>50.507366203925315</v>
      </c>
      <c r="H24" s="284">
        <v>54.114758895803412</v>
      </c>
      <c r="I24" s="284">
        <v>58.020027445348646</v>
      </c>
      <c r="J24" s="284">
        <v>60.61</v>
      </c>
      <c r="K24" s="284">
        <v>58.58</v>
      </c>
      <c r="L24" s="6">
        <f t="shared" ref="L24:AG24" si="20">L62/K62*K24</f>
        <v>60.089999999999996</v>
      </c>
      <c r="M24" s="6">
        <f t="shared" si="20"/>
        <v>61.48</v>
      </c>
      <c r="N24" s="6">
        <f t="shared" si="20"/>
        <v>62.679999999999993</v>
      </c>
      <c r="O24" s="6">
        <f t="shared" si="20"/>
        <v>64.05</v>
      </c>
      <c r="P24" s="6">
        <f t="shared" si="20"/>
        <v>65.23</v>
      </c>
      <c r="Q24" s="6">
        <f t="shared" si="20"/>
        <v>66.2</v>
      </c>
      <c r="R24" s="6">
        <f t="shared" si="20"/>
        <v>67.41</v>
      </c>
      <c r="S24" s="6">
        <f t="shared" si="20"/>
        <v>69.67</v>
      </c>
      <c r="T24" s="6">
        <f t="shared" si="20"/>
        <v>72.37</v>
      </c>
      <c r="U24" s="6">
        <f t="shared" si="20"/>
        <v>74.66</v>
      </c>
      <c r="V24" s="6">
        <f t="shared" si="20"/>
        <v>77.239999999999995</v>
      </c>
      <c r="W24" s="6">
        <f t="shared" si="20"/>
        <v>79.610000000000014</v>
      </c>
      <c r="X24" s="6">
        <f t="shared" si="20"/>
        <v>82.52000000000001</v>
      </c>
      <c r="Y24" s="6">
        <f t="shared" si="20"/>
        <v>85.370000000000019</v>
      </c>
      <c r="Z24" s="6">
        <f t="shared" si="20"/>
        <v>89.15000000000002</v>
      </c>
      <c r="AA24" s="6">
        <f t="shared" si="20"/>
        <v>93.560000000000016</v>
      </c>
      <c r="AB24" s="6">
        <f t="shared" si="20"/>
        <v>96.220000000000027</v>
      </c>
      <c r="AC24" s="6">
        <f t="shared" si="20"/>
        <v>99.160000000000025</v>
      </c>
      <c r="AD24" s="6">
        <f t="shared" si="20"/>
        <v>101.85000000000004</v>
      </c>
      <c r="AE24" s="6">
        <f t="shared" si="20"/>
        <v>104.70000000000005</v>
      </c>
      <c r="AF24" s="6">
        <f t="shared" si="20"/>
        <v>116.38000000000005</v>
      </c>
      <c r="AG24" s="6">
        <f t="shared" si="20"/>
        <v>118.36000000000004</v>
      </c>
      <c r="AH24" s="112"/>
      <c r="AI24" s="112"/>
      <c r="AJ24" s="112"/>
      <c r="AK24" s="112"/>
      <c r="AL24" s="112"/>
      <c r="AM24" s="112"/>
      <c r="AO24" t="e">
        <f t="shared" si="5"/>
        <v>#REF!</v>
      </c>
    </row>
    <row r="25" spans="1:41">
      <c r="A25" s="120" t="s">
        <v>595</v>
      </c>
      <c r="B25">
        <f t="shared" si="3"/>
        <v>17</v>
      </c>
      <c r="C25" s="284">
        <v>6.4158612357306808</v>
      </c>
      <c r="D25" s="284">
        <v>6.604363287904599</v>
      </c>
      <c r="E25" s="284">
        <v>6.7999637989778527</v>
      </c>
      <c r="F25" s="284">
        <v>6.9251895229982949</v>
      </c>
      <c r="G25" s="284">
        <v>6.9893547700170355</v>
      </c>
      <c r="H25" s="284">
        <v>7.0969867972742753</v>
      </c>
      <c r="I25" s="284">
        <v>7.234631601362862</v>
      </c>
      <c r="J25" s="284">
        <v>7.29</v>
      </c>
      <c r="K25" s="284">
        <v>6.9</v>
      </c>
      <c r="L25" s="6">
        <f t="shared" ref="L25:AG25" si="21">L63/K63*K25</f>
        <v>7.2243589743589753</v>
      </c>
      <c r="M25" s="6">
        <f t="shared" si="21"/>
        <v>7.4897435897435907</v>
      </c>
      <c r="N25" s="6">
        <f t="shared" si="21"/>
        <v>7.6863247863247874</v>
      </c>
      <c r="O25" s="6">
        <f t="shared" si="21"/>
        <v>7.8829059829059842</v>
      </c>
      <c r="P25" s="6">
        <f t="shared" si="21"/>
        <v>8.0794871794871828</v>
      </c>
      <c r="Q25" s="6">
        <f t="shared" si="21"/>
        <v>8.2760683760683786</v>
      </c>
      <c r="R25" s="6">
        <f t="shared" si="21"/>
        <v>8.4726495726495745</v>
      </c>
      <c r="S25" s="6">
        <f t="shared" si="21"/>
        <v>8.6200854700854723</v>
      </c>
      <c r="T25" s="6">
        <f t="shared" si="21"/>
        <v>8.8461538461538485</v>
      </c>
      <c r="U25" s="6">
        <f t="shared" si="21"/>
        <v>9.0623931623931657</v>
      </c>
      <c r="V25" s="6">
        <f t="shared" si="21"/>
        <v>9.2589743589743616</v>
      </c>
      <c r="W25" s="6">
        <f t="shared" si="21"/>
        <v>9.4457264957264968</v>
      </c>
      <c r="X25" s="6">
        <f t="shared" si="21"/>
        <v>9.7209401709401728</v>
      </c>
      <c r="Y25" s="6">
        <f t="shared" si="21"/>
        <v>10.015811965811965</v>
      </c>
      <c r="Z25" s="6">
        <f t="shared" si="21"/>
        <v>10.173076923076922</v>
      </c>
      <c r="AA25" s="6">
        <f t="shared" si="21"/>
        <v>10.3008547008547</v>
      </c>
      <c r="AB25" s="6">
        <f t="shared" si="21"/>
        <v>10.458119658119656</v>
      </c>
      <c r="AC25" s="6">
        <f t="shared" si="21"/>
        <v>10.703846153846152</v>
      </c>
      <c r="AD25" s="6">
        <f t="shared" si="21"/>
        <v>10.969230769230768</v>
      </c>
      <c r="AE25" s="6">
        <f t="shared" si="21"/>
        <v>11.234615384615383</v>
      </c>
      <c r="AF25" s="6">
        <f t="shared" si="21"/>
        <v>12.659829059829057</v>
      </c>
      <c r="AG25" s="6">
        <f t="shared" si="21"/>
        <v>13.377350427350425</v>
      </c>
      <c r="AH25" s="112"/>
      <c r="AI25" s="112"/>
      <c r="AJ25" s="112"/>
      <c r="AK25" s="112"/>
      <c r="AL25" s="112"/>
      <c r="AM25" s="112"/>
      <c r="AO25" t="e">
        <f t="shared" si="5"/>
        <v>#REF!</v>
      </c>
    </row>
    <row r="26" spans="1:41">
      <c r="A26" s="120" t="s">
        <v>599</v>
      </c>
      <c r="B26">
        <f t="shared" si="3"/>
        <v>18</v>
      </c>
      <c r="C26" s="284">
        <v>125.48003402211921</v>
      </c>
      <c r="D26" s="284">
        <v>127.1852732099033</v>
      </c>
      <c r="E26" s="284">
        <v>121.33259319855085</v>
      </c>
      <c r="F26" s="284">
        <v>115.48558072755804</v>
      </c>
      <c r="G26" s="284">
        <v>115.29855189569106</v>
      </c>
      <c r="H26" s="284">
        <v>115.15875256682079</v>
      </c>
      <c r="I26" s="284">
        <v>113.64929765104591</v>
      </c>
      <c r="J26" s="284">
        <v>113.16</v>
      </c>
      <c r="K26" s="284">
        <v>108.36</v>
      </c>
      <c r="L26" s="6">
        <f t="shared" ref="L26:AG26" si="22">L64/K64*K26</f>
        <v>107.14749701916904</v>
      </c>
      <c r="M26" s="6">
        <f t="shared" si="22"/>
        <v>105.88530129322204</v>
      </c>
      <c r="N26" s="6">
        <f t="shared" si="22"/>
        <v>104.21562505732366</v>
      </c>
      <c r="O26" s="6">
        <f t="shared" si="22"/>
        <v>103.07269191965513</v>
      </c>
      <c r="P26" s="6">
        <f t="shared" si="22"/>
        <v>101.63160231129046</v>
      </c>
      <c r="Q26" s="6">
        <f t="shared" si="22"/>
        <v>99.196657800605323</v>
      </c>
      <c r="R26" s="6">
        <f t="shared" si="22"/>
        <v>96.105769054388688</v>
      </c>
      <c r="S26" s="6">
        <f t="shared" si="22"/>
        <v>94.048489406585318</v>
      </c>
      <c r="T26" s="6">
        <f t="shared" si="22"/>
        <v>92.339058974594124</v>
      </c>
      <c r="U26" s="6">
        <f t="shared" si="22"/>
        <v>87.836896267082437</v>
      </c>
      <c r="V26" s="6">
        <f t="shared" si="22"/>
        <v>83.493750343942025</v>
      </c>
      <c r="W26" s="6">
        <f t="shared" si="22"/>
        <v>81.098560029349699</v>
      </c>
      <c r="X26" s="6">
        <f t="shared" si="22"/>
        <v>77.073447674951836</v>
      </c>
      <c r="Y26" s="6">
        <f t="shared" si="22"/>
        <v>76.824983949371713</v>
      </c>
      <c r="Z26" s="6">
        <f t="shared" si="22"/>
        <v>62.712244336421151</v>
      </c>
      <c r="AA26" s="6">
        <f t="shared" si="22"/>
        <v>49.603298174814249</v>
      </c>
      <c r="AB26" s="6">
        <f t="shared" si="22"/>
        <v>42.149386407410788</v>
      </c>
      <c r="AC26" s="6">
        <f t="shared" si="22"/>
        <v>38.203782445198556</v>
      </c>
      <c r="AD26" s="6">
        <f t="shared" si="22"/>
        <v>34.24823993396312</v>
      </c>
      <c r="AE26" s="6">
        <f t="shared" si="22"/>
        <v>30.322513069797296</v>
      </c>
      <c r="AF26" s="6">
        <f t="shared" si="22"/>
        <v>23.713377969366224</v>
      </c>
      <c r="AG26" s="6">
        <f t="shared" si="22"/>
        <v>13.556180867651104</v>
      </c>
      <c r="AH26" s="112"/>
      <c r="AI26" s="112"/>
      <c r="AJ26" s="112"/>
      <c r="AK26" s="112"/>
      <c r="AL26" s="112"/>
      <c r="AM26" s="112"/>
    </row>
    <row r="27" spans="1:41">
      <c r="A27" s="120" t="s">
        <v>528</v>
      </c>
      <c r="B27">
        <f t="shared" si="3"/>
        <v>19</v>
      </c>
      <c r="C27" s="284">
        <v>154.18842101590053</v>
      </c>
      <c r="D27" s="284">
        <v>151.87047226763119</v>
      </c>
      <c r="E27" s="284">
        <v>148.71168942836181</v>
      </c>
      <c r="F27" s="284">
        <v>145.49800306349678</v>
      </c>
      <c r="G27" s="284">
        <v>142.32274916654868</v>
      </c>
      <c r="H27" s="284">
        <v>141.64560568420242</v>
      </c>
      <c r="I27" s="284">
        <v>143.22499710383713</v>
      </c>
      <c r="J27" s="284">
        <v>142.18</v>
      </c>
      <c r="K27" s="284">
        <v>135.41</v>
      </c>
      <c r="L27" s="6">
        <f t="shared" ref="L27:AG27" si="23">L65/K65*K27</f>
        <v>141.04593593375463</v>
      </c>
      <c r="M27" s="6">
        <f t="shared" si="23"/>
        <v>142.01968402702113</v>
      </c>
      <c r="N27" s="6">
        <f t="shared" si="23"/>
        <v>142.19672913488776</v>
      </c>
      <c r="O27" s="6">
        <f t="shared" si="23"/>
        <v>143.41637321130239</v>
      </c>
      <c r="P27" s="6">
        <f t="shared" si="23"/>
        <v>145.5212428270502</v>
      </c>
      <c r="Q27" s="6">
        <f t="shared" si="23"/>
        <v>146.68187186750927</v>
      </c>
      <c r="R27" s="6">
        <f t="shared" si="23"/>
        <v>148.11790440909422</v>
      </c>
      <c r="S27" s="6">
        <f t="shared" si="23"/>
        <v>150.4588341686642</v>
      </c>
      <c r="T27" s="6">
        <f t="shared" si="23"/>
        <v>154.21612479116729</v>
      </c>
      <c r="U27" s="6">
        <f t="shared" si="23"/>
        <v>156.22263601365589</v>
      </c>
      <c r="V27" s="6">
        <f t="shared" si="23"/>
        <v>162.97985763056585</v>
      </c>
      <c r="W27" s="6">
        <f t="shared" si="23"/>
        <v>171.35015689692744</v>
      </c>
      <c r="X27" s="6">
        <f t="shared" si="23"/>
        <v>178.56966296215589</v>
      </c>
      <c r="Y27" s="6">
        <f t="shared" si="23"/>
        <v>188.47435316336168</v>
      </c>
      <c r="Z27" s="6">
        <f t="shared" si="23"/>
        <v>188.02190455436914</v>
      </c>
      <c r="AA27" s="6">
        <f t="shared" si="23"/>
        <v>191.94640444541295</v>
      </c>
      <c r="AB27" s="6">
        <f t="shared" si="23"/>
        <v>229.54881818842159</v>
      </c>
      <c r="AC27" s="6">
        <f t="shared" si="23"/>
        <v>242.73867872448611</v>
      </c>
      <c r="AD27" s="6">
        <f t="shared" si="23"/>
        <v>257.87603544708367</v>
      </c>
      <c r="AE27" s="6">
        <f t="shared" si="23"/>
        <v>271.79374809326652</v>
      </c>
      <c r="AF27" s="6">
        <f t="shared" si="23"/>
        <v>319.7139572891698</v>
      </c>
      <c r="AG27" s="6">
        <f t="shared" si="23"/>
        <v>395.60729352800172</v>
      </c>
      <c r="AH27" s="112"/>
      <c r="AI27" s="112"/>
      <c r="AJ27" s="112"/>
      <c r="AK27" s="112"/>
      <c r="AL27" s="112"/>
      <c r="AM27" s="112"/>
    </row>
    <row r="28" spans="1:41">
      <c r="A28" s="2" t="s">
        <v>5</v>
      </c>
      <c r="B28">
        <f t="shared" si="3"/>
        <v>20</v>
      </c>
      <c r="C28" s="291">
        <v>2893.5650000000564</v>
      </c>
      <c r="D28" s="292">
        <v>2970.0601000000001</v>
      </c>
      <c r="E28" s="292">
        <v>3029.9541000000004</v>
      </c>
      <c r="F28" s="292">
        <v>3072.6080999999999</v>
      </c>
      <c r="G28" s="292">
        <v>3100.0580999999997</v>
      </c>
      <c r="H28" s="292">
        <v>3146.024100000001</v>
      </c>
      <c r="I28" s="292">
        <v>3186.0821000000001</v>
      </c>
      <c r="J28" s="292">
        <v>3209.1911000000009</v>
      </c>
      <c r="K28" s="292">
        <v>2976.6450999999997</v>
      </c>
      <c r="L28" s="113">
        <f t="shared" ref="L28:AG28" si="24">SUM(L7:L27)</f>
        <v>4308.1760659349702</v>
      </c>
      <c r="M28" s="113">
        <f t="shared" si="24"/>
        <v>4420.3369545250371</v>
      </c>
      <c r="N28" s="113">
        <f t="shared" si="24"/>
        <v>4523.7646278940929</v>
      </c>
      <c r="O28" s="113">
        <f t="shared" si="24"/>
        <v>4634.7445838160738</v>
      </c>
      <c r="P28" s="113">
        <f t="shared" si="24"/>
        <v>4739.7886239691779</v>
      </c>
      <c r="Q28" s="113">
        <f t="shared" si="24"/>
        <v>4831.2007402319086</v>
      </c>
      <c r="R28" s="113">
        <f t="shared" si="24"/>
        <v>4921.9612762507795</v>
      </c>
      <c r="S28" s="113">
        <f t="shared" si="24"/>
        <v>5014.8232364830792</v>
      </c>
      <c r="T28" s="113">
        <f t="shared" si="24"/>
        <v>5138.1178597886656</v>
      </c>
      <c r="U28" s="113">
        <f t="shared" si="24"/>
        <v>5247.4352013186644</v>
      </c>
      <c r="V28" s="113">
        <f t="shared" si="24"/>
        <v>5378.2566308506639</v>
      </c>
      <c r="W28" s="113">
        <f t="shared" si="24"/>
        <v>5514.856940711059</v>
      </c>
      <c r="X28" s="113">
        <f t="shared" si="24"/>
        <v>5676.6876170931109</v>
      </c>
      <c r="Y28" s="113">
        <f t="shared" si="24"/>
        <v>5851.8459592338641</v>
      </c>
      <c r="Z28" s="113">
        <f t="shared" si="24"/>
        <v>5992.0496831582632</v>
      </c>
      <c r="AA28" s="113">
        <f t="shared" si="24"/>
        <v>6132.9832228434343</v>
      </c>
      <c r="AB28" s="113">
        <f t="shared" si="24"/>
        <v>6286.4234606731097</v>
      </c>
      <c r="AC28" s="113">
        <f t="shared" si="24"/>
        <v>6440.9502382786768</v>
      </c>
      <c r="AD28" s="113">
        <f t="shared" si="24"/>
        <v>6610.9900788755231</v>
      </c>
      <c r="AE28" s="113">
        <f t="shared" si="24"/>
        <v>6777.7043803992347</v>
      </c>
      <c r="AF28" s="113">
        <f t="shared" si="24"/>
        <v>7788.9996482734769</v>
      </c>
      <c r="AG28" s="113">
        <f t="shared" si="24"/>
        <v>8569.178192316318</v>
      </c>
      <c r="AH28" s="113"/>
      <c r="AI28" s="113"/>
      <c r="AJ28" s="113"/>
      <c r="AK28" s="113"/>
      <c r="AL28" s="113"/>
      <c r="AM28" s="113"/>
    </row>
    <row r="29" spans="1:41" s="27" customFormat="1">
      <c r="A29" s="220" t="s">
        <v>279</v>
      </c>
      <c r="B29">
        <f t="shared" si="3"/>
        <v>21</v>
      </c>
      <c r="C29" s="286"/>
      <c r="D29" s="221">
        <v>2.6436281887547874E-2</v>
      </c>
      <c r="E29" s="221">
        <v>2.0165921894981231E-2</v>
      </c>
      <c r="F29" s="221">
        <v>1.407744097509589E-2</v>
      </c>
      <c r="G29" s="221">
        <v>8.9337784405372211E-3</v>
      </c>
      <c r="H29" s="221">
        <v>1.4827464040109817E-2</v>
      </c>
      <c r="I29" s="221">
        <v>1.2732896737821964E-2</v>
      </c>
      <c r="J29" s="221">
        <v>7.2531087632679014E-3</v>
      </c>
      <c r="K29" s="221">
        <v>-7.2462496857853442E-2</v>
      </c>
      <c r="L29" s="221">
        <f t="shared" ref="L29:AE29" si="25">L28/K28-1</f>
        <v>0.44732607388599011</v>
      </c>
      <c r="M29" s="221">
        <f t="shared" si="25"/>
        <v>2.6034425444431131E-2</v>
      </c>
      <c r="N29" s="221">
        <f t="shared" si="25"/>
        <v>2.3398142366314101E-2</v>
      </c>
      <c r="O29" s="221">
        <f t="shared" si="25"/>
        <v>2.4532654779973573E-2</v>
      </c>
      <c r="P29" s="221">
        <f t="shared" si="25"/>
        <v>2.2664472281796133E-2</v>
      </c>
      <c r="Q29" s="221">
        <f t="shared" si="25"/>
        <v>1.9286116642514006E-2</v>
      </c>
      <c r="R29" s="221">
        <f t="shared" si="25"/>
        <v>1.8786330955586461E-2</v>
      </c>
      <c r="S29" s="221">
        <f t="shared" si="25"/>
        <v>1.8866861200305118E-2</v>
      </c>
      <c r="T29" s="221">
        <f t="shared" si="25"/>
        <v>2.458603573673579E-2</v>
      </c>
      <c r="U29" s="221">
        <f t="shared" si="25"/>
        <v>2.127575593108233E-2</v>
      </c>
      <c r="V29" s="221">
        <f t="shared" si="25"/>
        <v>2.4930546926834829E-2</v>
      </c>
      <c r="W29" s="221">
        <f t="shared" si="25"/>
        <v>2.539862249726621E-2</v>
      </c>
      <c r="X29" s="221">
        <f t="shared" si="25"/>
        <v>2.9344492182092008E-2</v>
      </c>
      <c r="Y29" s="221">
        <f t="shared" si="25"/>
        <v>3.0855730305351381E-2</v>
      </c>
      <c r="Z29" s="221">
        <f t="shared" si="25"/>
        <v>2.3958888340723572E-2</v>
      </c>
      <c r="AA29" s="221">
        <f t="shared" si="25"/>
        <v>2.3520088640334613E-2</v>
      </c>
      <c r="AB29" s="221">
        <f t="shared" si="25"/>
        <v>2.5018858238215813E-2</v>
      </c>
      <c r="AC29" s="221">
        <f t="shared" si="25"/>
        <v>2.4581032215259313E-2</v>
      </c>
      <c r="AD29" s="221">
        <f t="shared" si="25"/>
        <v>2.6399806597836584E-2</v>
      </c>
      <c r="AE29" s="221">
        <f t="shared" si="25"/>
        <v>2.5217750977485798E-2</v>
      </c>
      <c r="AF29" s="221">
        <f>(AF28/AE28)^(1/5)-1</f>
        <v>2.8205238883101336E-2</v>
      </c>
      <c r="AG29" s="221">
        <f>(AG28/AF28)^(1/5)-1</f>
        <v>1.927529485747792E-2</v>
      </c>
      <c r="AH29" s="220"/>
      <c r="AI29" s="220"/>
      <c r="AJ29" s="220"/>
      <c r="AK29" s="220"/>
      <c r="AL29" s="220"/>
      <c r="AM29" s="220"/>
    </row>
    <row r="30" spans="1:41">
      <c r="A30" t="s">
        <v>610</v>
      </c>
      <c r="B30">
        <f t="shared" si="3"/>
        <v>22</v>
      </c>
      <c r="C30" s="285">
        <v>52.325432882070082</v>
      </c>
      <c r="D30" s="284">
        <v>53.104386458423342</v>
      </c>
      <c r="E30" s="284">
        <v>53.912365691429272</v>
      </c>
      <c r="F30" s="284">
        <v>54.750491457321111</v>
      </c>
      <c r="G30" s="284">
        <v>55.619940469824826</v>
      </c>
      <c r="H30" s="284">
        <v>56.521948041648095</v>
      </c>
      <c r="I30" s="284">
        <v>57.436000617299655</v>
      </c>
      <c r="J30" s="284">
        <v>58.364834921819444</v>
      </c>
      <c r="K30" s="284">
        <v>59.308690000000006</v>
      </c>
      <c r="L30" s="112">
        <f>INDEX(DriversGams!$A$44:$AN$44,1,MATCH(Drivers!L$3,DriversGams!$A$43:$AN$43,0))/1000</f>
        <v>60.158036186957922</v>
      </c>
      <c r="M30" s="112">
        <f>INDEX(DriversGams!$A$44:$AN$44,1,MATCH(Drivers!M$3,DriversGams!$A$43:$AN$43,0))/1000</f>
        <v>60.963559588769527</v>
      </c>
      <c r="N30" s="112">
        <f>INDEX(DriversGams!$A$44:$AN$44,1,MATCH(Drivers!N$3,DriversGams!$A$43:$AN$43,0))/1000</f>
        <v>61.723133308607778</v>
      </c>
      <c r="O30" s="112">
        <f>INDEX(DriversGams!$A$44:$AN$44,1,MATCH(Drivers!O$3,DriversGams!$A$43:$AN$43,0))/1000</f>
        <v>62.434728280060035</v>
      </c>
      <c r="P30" s="112">
        <f>INDEX(DriversGams!$A$44:$AN$44,1,MATCH(Drivers!P$3,DriversGams!$A$43:$AN$43,0))/1000</f>
        <v>63.096422221537942</v>
      </c>
      <c r="Q30" s="112">
        <f>INDEX(DriversGams!$A$44:$AN$44,1,MATCH(Drivers!Q$3,DriversGams!$A$43:$AN$43,0))/1000</f>
        <v>63.744102485123491</v>
      </c>
      <c r="R30" s="112">
        <f>INDEX(DriversGams!$A$44:$AN$44,1,MATCH(Drivers!R$3,DriversGams!$A$43:$AN$43,0))/1000</f>
        <v>64.377188881988602</v>
      </c>
      <c r="S30" s="112">
        <f>INDEX(DriversGams!$A$44:$AN$44,1,MATCH(Drivers!S$3,DriversGams!$A$43:$AN$43,0))/1000</f>
        <v>64.995109664264291</v>
      </c>
      <c r="T30" s="112">
        <f>INDEX(DriversGams!$A$44:$AN$44,1,MATCH(Drivers!T$3,DriversGams!$A$43:$AN$43,0))/1000</f>
        <v>65.59730237662275</v>
      </c>
      <c r="U30" s="112">
        <f>INDEX(DriversGams!$A$44:$AN$44,1,MATCH(Drivers!U$3,DriversGams!$A$43:$AN$43,0))/1000</f>
        <v>66.183214701401099</v>
      </c>
      <c r="V30" s="112">
        <f>INDEX(DriversGams!$A$44:$AN$44,1,MATCH(Drivers!V$3,DriversGams!$A$43:$AN$43,0))/1000</f>
        <v>66.757007289602299</v>
      </c>
      <c r="W30" s="112">
        <f>INDEX(DriversGams!$A$44:$AN$44,1,MATCH(Drivers!W$3,DriversGams!$A$43:$AN$43,0))/1000</f>
        <v>67.318270994163854</v>
      </c>
      <c r="X30" s="112">
        <f>INDEX(DriversGams!$A$44:$AN$44,1,MATCH(Drivers!X$3,DriversGams!$A$43:$AN$43,0))/1000</f>
        <v>67.86660286866902</v>
      </c>
      <c r="Y30" s="112">
        <f>INDEX(DriversGams!$A$44:$AN$44,1,MATCH(Drivers!Y$3,DriversGams!$A$43:$AN$43,0))/1000</f>
        <v>68.401606645337111</v>
      </c>
      <c r="Z30" s="112">
        <f>INDEX(DriversGams!$A$44:$AN$44,1,MATCH(Drivers!Z$3,DriversGams!$A$43:$AN$43,0))/1000</f>
        <v>68.922893208527455</v>
      </c>
      <c r="AA30" s="112">
        <f>INDEX(DriversGams!$A$44:$AN$44,1,MATCH(Drivers!AA$3,DriversGams!$A$43:$AN$43,0))/1000</f>
        <v>69.431445341664755</v>
      </c>
      <c r="AB30" s="112">
        <f>INDEX(DriversGams!$A$44:$AN$44,1,MATCH(Drivers!AB$3,DriversGams!$A$43:$AN$43,0))/1000</f>
        <v>69.92691944658003</v>
      </c>
      <c r="AC30" s="112">
        <f>INDEX(DriversGams!$A$44:$AN$44,1,MATCH(Drivers!AC$3,DriversGams!$A$43:$AN$43,0))/1000</f>
        <v>70.408978817025954</v>
      </c>
      <c r="AD30" s="112">
        <f>INDEX(DriversGams!$A$44:$AN$44,1,MATCH(Drivers!AD$3,DriversGams!$A$43:$AN$43,0))/1000</f>
        <v>70.877294017675013</v>
      </c>
      <c r="AE30" s="112">
        <f>INDEX(DriversGams!$A$44:$AN$44,1,MATCH(Drivers!AE$3,DriversGams!$A$43:$AN$43,0))/1000</f>
        <v>71.331543257193218</v>
      </c>
      <c r="AF30" s="112">
        <f>INDEX(DriversGams!$A$44:$AN$44,1,MATCH(Drivers!AF$3,DriversGams!$A$43:$AN$43,0))/1000</f>
        <v>73.40362603426334</v>
      </c>
      <c r="AG30" s="112">
        <f>INDEX(DriversGams!$A$44:$AN$44,1,MATCH(Drivers!AG$3,DriversGams!$A$43:$AN$43,0))/1000</f>
        <v>75.121207211856714</v>
      </c>
      <c r="AH30" s="112"/>
      <c r="AI30" s="112"/>
      <c r="AJ30" s="112"/>
      <c r="AK30" s="112"/>
      <c r="AL30" s="112"/>
      <c r="AM30" s="112"/>
    </row>
    <row r="31" spans="1:41">
      <c r="A31" t="s">
        <v>396</v>
      </c>
      <c r="B31">
        <f t="shared" si="3"/>
        <v>23</v>
      </c>
      <c r="C31" s="287">
        <v>0.5</v>
      </c>
      <c r="D31" s="287">
        <v>0.5</v>
      </c>
      <c r="E31" s="287">
        <v>0.5</v>
      </c>
      <c r="F31" s="287">
        <v>0.5</v>
      </c>
      <c r="G31" s="287">
        <v>0.5</v>
      </c>
      <c r="H31" s="287">
        <v>0.5</v>
      </c>
      <c r="I31" s="287">
        <v>0.5</v>
      </c>
      <c r="J31" s="287">
        <v>0.50152754832852431</v>
      </c>
      <c r="K31" s="287">
        <v>0.51748350868667314</v>
      </c>
      <c r="L31" s="18">
        <f>L81/SUM(L$81:L$83)</f>
        <v>0.52100000000000002</v>
      </c>
      <c r="M31" s="18">
        <f t="shared" ref="M31:AG33" si="26">M81/SUM(M$81:M$83)</f>
        <v>0.50900000000000001</v>
      </c>
      <c r="N31" s="18">
        <f t="shared" si="26"/>
        <v>0.5</v>
      </c>
      <c r="O31" s="18">
        <f t="shared" si="26"/>
        <v>0.49099999999999999</v>
      </c>
      <c r="P31" s="18">
        <f t="shared" si="26"/>
        <v>0.48199999999999998</v>
      </c>
      <c r="Q31" s="18">
        <f t="shared" si="26"/>
        <v>0.47499999999999998</v>
      </c>
      <c r="R31" s="18">
        <f t="shared" si="26"/>
        <v>0.46800000000000003</v>
      </c>
      <c r="S31" s="18">
        <f t="shared" si="26"/>
        <v>0.46400000000000002</v>
      </c>
      <c r="T31" s="18">
        <f t="shared" si="26"/>
        <v>0.45700000000000002</v>
      </c>
      <c r="U31" s="18">
        <f t="shared" si="26"/>
        <v>0.44855144855144852</v>
      </c>
      <c r="V31" s="18">
        <f t="shared" si="26"/>
        <v>0.43856143856143853</v>
      </c>
      <c r="W31" s="18">
        <f t="shared" si="26"/>
        <v>0.42842842842842838</v>
      </c>
      <c r="X31" s="18">
        <f t="shared" si="26"/>
        <v>0.41699999999999998</v>
      </c>
      <c r="Y31" s="18">
        <f t="shared" si="26"/>
        <v>0.40499999999999992</v>
      </c>
      <c r="Z31" s="18">
        <f t="shared" si="26"/>
        <v>0.39600000000000002</v>
      </c>
      <c r="AA31" s="18">
        <f t="shared" si="26"/>
        <v>0.3909999999999999</v>
      </c>
      <c r="AB31" s="18">
        <f t="shared" si="26"/>
        <v>0.38400000000000001</v>
      </c>
      <c r="AC31" s="18">
        <f t="shared" si="26"/>
        <v>0.37662337662337658</v>
      </c>
      <c r="AD31" s="18">
        <f t="shared" si="26"/>
        <v>0.36836836836836834</v>
      </c>
      <c r="AE31" s="18">
        <f t="shared" si="26"/>
        <v>0.35935935935935936</v>
      </c>
      <c r="AF31" s="18">
        <f t="shared" si="26"/>
        <v>0.32</v>
      </c>
      <c r="AG31" s="18">
        <f t="shared" si="26"/>
        <v>0.29600000000000004</v>
      </c>
      <c r="AH31" s="112"/>
      <c r="AI31" s="112"/>
      <c r="AJ31" s="112"/>
      <c r="AK31" s="112"/>
      <c r="AL31" s="112"/>
      <c r="AM31" s="112"/>
    </row>
    <row r="32" spans="1:41">
      <c r="A32" t="s">
        <v>397</v>
      </c>
      <c r="B32">
        <f t="shared" si="3"/>
        <v>24</v>
      </c>
      <c r="C32" s="287">
        <v>0.3</v>
      </c>
      <c r="D32" s="287">
        <v>0.3</v>
      </c>
      <c r="E32" s="287">
        <v>0.3</v>
      </c>
      <c r="F32" s="287">
        <v>0.3</v>
      </c>
      <c r="G32" s="287">
        <v>0.3</v>
      </c>
      <c r="H32" s="287">
        <v>0.3</v>
      </c>
      <c r="I32" s="287">
        <v>0.3</v>
      </c>
      <c r="J32" s="287">
        <v>0.29852364948703553</v>
      </c>
      <c r="K32" s="287">
        <v>0.28256768912888669</v>
      </c>
      <c r="L32" s="18">
        <f t="shared" ref="L32:AA32" si="27">L82/SUM(L$81:L$83)</f>
        <v>0.27900000000000003</v>
      </c>
      <c r="M32" s="18">
        <f t="shared" si="27"/>
        <v>0.29099999999999998</v>
      </c>
      <c r="N32" s="18">
        <f t="shared" si="27"/>
        <v>0.29900000000000004</v>
      </c>
      <c r="O32" s="18">
        <f t="shared" si="27"/>
        <v>0.30200000000000005</v>
      </c>
      <c r="P32" s="18">
        <f t="shared" si="27"/>
        <v>0.30500000000000005</v>
      </c>
      <c r="Q32" s="18">
        <f t="shared" si="27"/>
        <v>0.30700000000000005</v>
      </c>
      <c r="R32" s="18">
        <f t="shared" si="27"/>
        <v>0.31000000000000005</v>
      </c>
      <c r="S32" s="18">
        <f t="shared" si="27"/>
        <v>0.312</v>
      </c>
      <c r="T32" s="18">
        <f t="shared" si="27"/>
        <v>0.313</v>
      </c>
      <c r="U32" s="18">
        <f t="shared" si="27"/>
        <v>0.31568431568431565</v>
      </c>
      <c r="V32" s="18">
        <f t="shared" si="27"/>
        <v>0.31768231768231764</v>
      </c>
      <c r="W32" s="18">
        <f t="shared" si="27"/>
        <v>0.32032032032032032</v>
      </c>
      <c r="X32" s="18">
        <f t="shared" si="27"/>
        <v>0.32299999999999995</v>
      </c>
      <c r="Y32" s="18">
        <f t="shared" si="27"/>
        <v>0.32599999999999996</v>
      </c>
      <c r="Z32" s="18">
        <f t="shared" si="27"/>
        <v>0.33</v>
      </c>
      <c r="AA32" s="18">
        <f t="shared" si="27"/>
        <v>0.33199999999999996</v>
      </c>
      <c r="AB32" s="18">
        <f t="shared" si="26"/>
        <v>0.33400000000000002</v>
      </c>
      <c r="AC32" s="18">
        <f t="shared" si="26"/>
        <v>0.33666333666333659</v>
      </c>
      <c r="AD32" s="18">
        <f t="shared" si="26"/>
        <v>0.33733733733733728</v>
      </c>
      <c r="AE32" s="18">
        <f t="shared" si="26"/>
        <v>0.34134134134134131</v>
      </c>
      <c r="AF32" s="18">
        <f t="shared" si="26"/>
        <v>0.34999999999999987</v>
      </c>
      <c r="AG32" s="18">
        <f t="shared" si="26"/>
        <v>0.35899999999999993</v>
      </c>
      <c r="AH32" s="112"/>
      <c r="AI32" s="112"/>
      <c r="AJ32" s="112"/>
      <c r="AK32" s="112"/>
      <c r="AL32" s="112"/>
      <c r="AM32" s="112"/>
    </row>
    <row r="33" spans="1:41">
      <c r="A33" t="s">
        <v>398</v>
      </c>
      <c r="B33">
        <f t="shared" si="3"/>
        <v>25</v>
      </c>
      <c r="C33" s="287">
        <v>0.19999999999999996</v>
      </c>
      <c r="D33" s="287">
        <v>0.19999999999999996</v>
      </c>
      <c r="E33" s="287">
        <v>0.19999999999999996</v>
      </c>
      <c r="F33" s="287">
        <v>0.19999999999999996</v>
      </c>
      <c r="G33" s="287">
        <v>0.19999999999999996</v>
      </c>
      <c r="H33" s="287">
        <v>0.19999999999999996</v>
      </c>
      <c r="I33" s="287">
        <v>0.19999999999999996</v>
      </c>
      <c r="J33" s="287">
        <v>0.19994880218444017</v>
      </c>
      <c r="K33" s="287">
        <v>0.19994880218444014</v>
      </c>
      <c r="L33" s="18">
        <f>L83/SUM(L$81:L$83)</f>
        <v>0.2</v>
      </c>
      <c r="M33" s="18">
        <f t="shared" si="26"/>
        <v>0.2</v>
      </c>
      <c r="N33" s="18">
        <f t="shared" si="26"/>
        <v>0.20099999999999998</v>
      </c>
      <c r="O33" s="18">
        <f t="shared" si="26"/>
        <v>0.20699999999999996</v>
      </c>
      <c r="P33" s="18">
        <f t="shared" si="26"/>
        <v>0.21299999999999999</v>
      </c>
      <c r="Q33" s="18">
        <f t="shared" si="26"/>
        <v>0.21800000000000003</v>
      </c>
      <c r="R33" s="18">
        <f t="shared" si="26"/>
        <v>0.22200000000000006</v>
      </c>
      <c r="S33" s="18">
        <f t="shared" si="26"/>
        <v>0.22400000000000003</v>
      </c>
      <c r="T33" s="18">
        <f t="shared" si="26"/>
        <v>0.23000000000000007</v>
      </c>
      <c r="U33" s="18">
        <f t="shared" si="26"/>
        <v>0.23576423576423577</v>
      </c>
      <c r="V33" s="18">
        <f t="shared" si="26"/>
        <v>0.2437562437562438</v>
      </c>
      <c r="W33" s="18">
        <f t="shared" si="26"/>
        <v>0.25125125125125136</v>
      </c>
      <c r="X33" s="18">
        <f t="shared" si="26"/>
        <v>0.26000000000000012</v>
      </c>
      <c r="Y33" s="18">
        <f t="shared" si="26"/>
        <v>0.26900000000000007</v>
      </c>
      <c r="Z33" s="18">
        <f t="shared" si="26"/>
        <v>0.27400000000000013</v>
      </c>
      <c r="AA33" s="18">
        <f t="shared" si="26"/>
        <v>0.27700000000000008</v>
      </c>
      <c r="AB33" s="18">
        <f t="shared" si="26"/>
        <v>0.28200000000000008</v>
      </c>
      <c r="AC33" s="18">
        <f t="shared" si="26"/>
        <v>0.28671328671328677</v>
      </c>
      <c r="AD33" s="18">
        <f t="shared" si="26"/>
        <v>0.29429429429429438</v>
      </c>
      <c r="AE33" s="18">
        <f t="shared" si="26"/>
        <v>0.29929929929929933</v>
      </c>
      <c r="AF33" s="18">
        <f t="shared" si="26"/>
        <v>0.33000000000000007</v>
      </c>
      <c r="AG33" s="18">
        <f t="shared" si="26"/>
        <v>0.34500000000000014</v>
      </c>
      <c r="AH33" s="112"/>
      <c r="AI33" s="112"/>
      <c r="AJ33" s="112"/>
      <c r="AK33" s="112"/>
      <c r="AL33" s="112"/>
      <c r="AM33" s="112"/>
    </row>
    <row r="34" spans="1:41">
      <c r="A34" t="s">
        <v>399</v>
      </c>
      <c r="B34">
        <f t="shared" si="3"/>
        <v>26</v>
      </c>
      <c r="C34" s="284">
        <v>26.162716441035041</v>
      </c>
      <c r="D34" s="284">
        <v>26.124793740612695</v>
      </c>
      <c r="E34" s="284">
        <v>25.810272238913001</v>
      </c>
      <c r="F34" s="284">
        <v>25.676476665132281</v>
      </c>
      <c r="G34" s="284">
        <v>25.758415053648385</v>
      </c>
      <c r="H34" s="284">
        <v>25.755361891142741</v>
      </c>
      <c r="I34" s="284">
        <v>25.706039736299225</v>
      </c>
      <c r="J34" s="284">
        <v>25.946710085536886</v>
      </c>
      <c r="K34" s="284">
        <v>26.998265626975765</v>
      </c>
      <c r="L34" s="6">
        <f t="shared" ref="L34:AG34" si="28">L31*L$30</f>
        <v>31.342336853405079</v>
      </c>
      <c r="M34" s="6">
        <f t="shared" si="28"/>
        <v>31.030451830683688</v>
      </c>
      <c r="N34" s="6">
        <f t="shared" si="28"/>
        <v>30.861566654303889</v>
      </c>
      <c r="O34" s="6">
        <f t="shared" si="28"/>
        <v>30.655451585509478</v>
      </c>
      <c r="P34" s="6">
        <f t="shared" si="28"/>
        <v>30.412475510781288</v>
      </c>
      <c r="Q34" s="6">
        <f t="shared" si="28"/>
        <v>30.278448680433659</v>
      </c>
      <c r="R34" s="6">
        <f t="shared" si="28"/>
        <v>30.128524396770668</v>
      </c>
      <c r="S34" s="6">
        <f t="shared" si="28"/>
        <v>30.157730884218633</v>
      </c>
      <c r="T34" s="6">
        <f t="shared" si="28"/>
        <v>29.977967186116597</v>
      </c>
      <c r="U34" s="6">
        <f t="shared" si="28"/>
        <v>29.686576824104986</v>
      </c>
      <c r="V34" s="6">
        <f t="shared" si="28"/>
        <v>29.277049150984421</v>
      </c>
      <c r="W34" s="6">
        <f t="shared" si="28"/>
        <v>28.841061046548674</v>
      </c>
      <c r="X34" s="6">
        <f t="shared" si="28"/>
        <v>28.300373396234981</v>
      </c>
      <c r="Y34" s="6">
        <f t="shared" si="28"/>
        <v>27.702650691361523</v>
      </c>
      <c r="Z34" s="6">
        <f t="shared" si="28"/>
        <v>27.293465710576875</v>
      </c>
      <c r="AA34" s="6">
        <f t="shared" si="28"/>
        <v>27.147695128590911</v>
      </c>
      <c r="AB34" s="6">
        <f t="shared" si="28"/>
        <v>26.85193706748673</v>
      </c>
      <c r="AC34" s="6">
        <f t="shared" si="28"/>
        <v>26.517667346672109</v>
      </c>
      <c r="AD34" s="6">
        <f t="shared" si="28"/>
        <v>26.10895315165606</v>
      </c>
      <c r="AE34" s="6">
        <f t="shared" si="28"/>
        <v>25.633657687019387</v>
      </c>
      <c r="AF34" s="6">
        <f t="shared" si="28"/>
        <v>23.489160330964268</v>
      </c>
      <c r="AG34" s="6">
        <f t="shared" si="28"/>
        <v>22.235877334709592</v>
      </c>
      <c r="AH34" s="6"/>
      <c r="AI34" s="6"/>
      <c r="AJ34" s="6"/>
      <c r="AK34" s="6"/>
      <c r="AL34" s="6"/>
      <c r="AM34" s="6"/>
    </row>
    <row r="35" spans="1:41">
      <c r="A35" t="s">
        <v>400</v>
      </c>
      <c r="B35">
        <f t="shared" si="3"/>
        <v>27</v>
      </c>
      <c r="C35" s="284">
        <v>15.697629864621025</v>
      </c>
      <c r="D35" s="284">
        <v>15.706931206012538</v>
      </c>
      <c r="E35" s="284">
        <v>16.206450010480257</v>
      </c>
      <c r="F35" s="284">
        <v>16.65350655721161</v>
      </c>
      <c r="G35" s="284">
        <v>17.096293177200256</v>
      </c>
      <c r="H35" s="284">
        <v>17.422744808714206</v>
      </c>
      <c r="I35" s="284">
        <v>17.892835083270921</v>
      </c>
      <c r="J35" s="284">
        <v>18.376375848815535</v>
      </c>
      <c r="K35" s="284">
        <v>19.311259441517389</v>
      </c>
      <c r="L35" s="6">
        <f t="shared" ref="L35:AG35" si="29">L32*L$30</f>
        <v>16.784092096161263</v>
      </c>
      <c r="M35" s="6">
        <f t="shared" si="29"/>
        <v>17.740395840331932</v>
      </c>
      <c r="N35" s="6">
        <f t="shared" si="29"/>
        <v>18.45521685927373</v>
      </c>
      <c r="O35" s="6">
        <f t="shared" si="29"/>
        <v>18.855287940578133</v>
      </c>
      <c r="P35" s="6">
        <f t="shared" si="29"/>
        <v>19.244408777569074</v>
      </c>
      <c r="Q35" s="6">
        <f t="shared" si="29"/>
        <v>19.569439462932916</v>
      </c>
      <c r="R35" s="6">
        <f t="shared" si="29"/>
        <v>19.956928553416471</v>
      </c>
      <c r="S35" s="6">
        <f t="shared" si="29"/>
        <v>20.278474215250458</v>
      </c>
      <c r="T35" s="6">
        <f t="shared" si="29"/>
        <v>20.53195564388292</v>
      </c>
      <c r="U35" s="6">
        <f t="shared" si="29"/>
        <v>20.893002842799945</v>
      </c>
      <c r="V35" s="6">
        <f t="shared" si="29"/>
        <v>21.207520797296233</v>
      </c>
      <c r="W35" s="6">
        <f t="shared" si="29"/>
        <v>21.563410128260692</v>
      </c>
      <c r="X35" s="6">
        <f t="shared" si="29"/>
        <v>21.920912726580092</v>
      </c>
      <c r="Y35" s="6">
        <f t="shared" si="29"/>
        <v>22.298923766379897</v>
      </c>
      <c r="Z35" s="6">
        <f t="shared" si="29"/>
        <v>22.744554758814061</v>
      </c>
      <c r="AA35" s="6">
        <f t="shared" si="29"/>
        <v>23.051239853432698</v>
      </c>
      <c r="AB35" s="6">
        <f t="shared" si="29"/>
        <v>23.355591095157731</v>
      </c>
      <c r="AC35" s="6">
        <f t="shared" si="29"/>
        <v>23.704121739598143</v>
      </c>
      <c r="AD35" s="6">
        <f t="shared" si="29"/>
        <v>23.909557641598074</v>
      </c>
      <c r="AE35" s="6">
        <f t="shared" si="29"/>
        <v>24.348404655358244</v>
      </c>
      <c r="AF35" s="6">
        <f t="shared" si="29"/>
        <v>25.69126911199216</v>
      </c>
      <c r="AG35" s="6">
        <f t="shared" si="29"/>
        <v>26.968513389056554</v>
      </c>
      <c r="AH35" s="6"/>
      <c r="AI35" s="6"/>
      <c r="AJ35" s="6"/>
      <c r="AK35" s="6"/>
      <c r="AL35" s="6"/>
      <c r="AM35" s="6"/>
    </row>
    <row r="36" spans="1:41">
      <c r="A36" t="s">
        <v>401</v>
      </c>
      <c r="B36">
        <f t="shared" si="3"/>
        <v>28</v>
      </c>
      <c r="C36" s="284">
        <v>10.465086576414015</v>
      </c>
      <c r="D36" s="284">
        <v>11.272661511798107</v>
      </c>
      <c r="E36" s="284">
        <v>11.895643442036015</v>
      </c>
      <c r="F36" s="284">
        <v>12.420508234977223</v>
      </c>
      <c r="G36" s="284">
        <v>12.765232238976191</v>
      </c>
      <c r="H36" s="284">
        <v>13.343841341791148</v>
      </c>
      <c r="I36" s="284">
        <v>13.837125797729508</v>
      </c>
      <c r="J36" s="284">
        <v>14.041748987467024</v>
      </c>
      <c r="K36" s="3">
        <f t="shared" ref="K36:AG36" si="30">K33*K$30</f>
        <v>11.858701524628284</v>
      </c>
      <c r="L36" s="6">
        <f t="shared" si="30"/>
        <v>12.031607237391585</v>
      </c>
      <c r="M36" s="6">
        <f t="shared" si="30"/>
        <v>12.192711917753906</v>
      </c>
      <c r="N36" s="6">
        <f t="shared" si="30"/>
        <v>12.406349795030163</v>
      </c>
      <c r="O36" s="6">
        <f t="shared" si="30"/>
        <v>12.923988753972425</v>
      </c>
      <c r="P36" s="6">
        <f t="shared" si="30"/>
        <v>13.439537933187582</v>
      </c>
      <c r="Q36" s="6">
        <f t="shared" si="30"/>
        <v>13.896214341756924</v>
      </c>
      <c r="R36" s="6">
        <f t="shared" si="30"/>
        <v>14.291735931801473</v>
      </c>
      <c r="S36" s="6">
        <f t="shared" si="30"/>
        <v>14.558904564795203</v>
      </c>
      <c r="T36" s="6">
        <f t="shared" si="30"/>
        <v>15.087379546623236</v>
      </c>
      <c r="U36" s="6">
        <f t="shared" si="30"/>
        <v>15.603635034496163</v>
      </c>
      <c r="V36" s="6">
        <f t="shared" si="30"/>
        <v>16.272437341321641</v>
      </c>
      <c r="W36" s="6">
        <f t="shared" si="30"/>
        <v>16.913799819354487</v>
      </c>
      <c r="X36" s="6">
        <f t="shared" si="30"/>
        <v>17.645316745853954</v>
      </c>
      <c r="Y36" s="6">
        <f t="shared" si="30"/>
        <v>18.400032187595688</v>
      </c>
      <c r="Z36" s="6">
        <f t="shared" si="30"/>
        <v>18.884872739136533</v>
      </c>
      <c r="AA36" s="6">
        <f t="shared" si="30"/>
        <v>19.232510359641143</v>
      </c>
      <c r="AB36" s="6">
        <f t="shared" si="30"/>
        <v>19.719391283935575</v>
      </c>
      <c r="AC36" s="6">
        <f t="shared" si="30"/>
        <v>20.187189730755698</v>
      </c>
      <c r="AD36" s="6">
        <f t="shared" si="30"/>
        <v>20.858783224420879</v>
      </c>
      <c r="AE36" s="6">
        <f t="shared" si="30"/>
        <v>21.34948091481559</v>
      </c>
      <c r="AF36" s="6">
        <f t="shared" si="30"/>
        <v>24.223196591306909</v>
      </c>
      <c r="AG36" s="6">
        <f t="shared" si="30"/>
        <v>25.916816488090575</v>
      </c>
      <c r="AH36" s="6"/>
      <c r="AI36" s="6"/>
      <c r="AJ36" s="6"/>
      <c r="AK36" s="6"/>
      <c r="AL36" s="6"/>
      <c r="AM36" s="6"/>
    </row>
    <row r="37" spans="1:41">
      <c r="A37" t="s">
        <v>402</v>
      </c>
      <c r="B37">
        <f t="shared" si="3"/>
        <v>29</v>
      </c>
      <c r="C37" s="288">
        <v>0.33936777226430637</v>
      </c>
      <c r="D37" s="287">
        <v>0.34922378908645002</v>
      </c>
      <c r="E37" s="287">
        <v>0.35473666462293074</v>
      </c>
      <c r="F37" s="287">
        <v>0.35856192519926422</v>
      </c>
      <c r="G37" s="287">
        <v>0.35979950950337214</v>
      </c>
      <c r="H37" s="287">
        <v>0.36519987737584303</v>
      </c>
      <c r="I37" s="287">
        <v>0.36857510729613735</v>
      </c>
      <c r="J37" s="287">
        <v>0.36699999999999999</v>
      </c>
      <c r="K37" s="287">
        <v>0.33910000000000001</v>
      </c>
      <c r="L37" s="18">
        <f t="shared" ref="L37:AG37" si="31">L75/K75*K37</f>
        <v>0.34851944444444449</v>
      </c>
      <c r="M37" s="18">
        <f t="shared" si="31"/>
        <v>0.35793888888888892</v>
      </c>
      <c r="N37" s="3">
        <f t="shared" si="31"/>
        <v>0.42238771929824565</v>
      </c>
      <c r="O37" s="3">
        <f t="shared" si="31"/>
        <v>0.42833684210526318</v>
      </c>
      <c r="P37" s="3">
        <f t="shared" si="31"/>
        <v>0.43329444444444454</v>
      </c>
      <c r="Q37" s="3">
        <f t="shared" si="31"/>
        <v>0.43825204678362584</v>
      </c>
      <c r="R37" s="3">
        <f t="shared" si="31"/>
        <v>0.44320964912280708</v>
      </c>
      <c r="S37" s="3">
        <f t="shared" si="31"/>
        <v>0.44420116959064337</v>
      </c>
      <c r="T37" s="3">
        <f t="shared" si="31"/>
        <v>0.45213333333333339</v>
      </c>
      <c r="U37" s="3">
        <f t="shared" si="31"/>
        <v>0.45907397660818716</v>
      </c>
      <c r="V37" s="3">
        <f t="shared" si="31"/>
        <v>0.46898918128654971</v>
      </c>
      <c r="W37" s="3">
        <f t="shared" si="31"/>
        <v>0.4789043859649123</v>
      </c>
      <c r="X37" s="3">
        <f t="shared" si="31"/>
        <v>0.49179415204678367</v>
      </c>
      <c r="Y37" s="3">
        <f t="shared" si="31"/>
        <v>0.50468391812865498</v>
      </c>
      <c r="Z37" s="3">
        <f t="shared" si="31"/>
        <v>0.50964152046783628</v>
      </c>
      <c r="AA37" s="3">
        <f t="shared" si="31"/>
        <v>0.51360760233918135</v>
      </c>
      <c r="AB37" s="3">
        <f t="shared" si="31"/>
        <v>0.52054824561403523</v>
      </c>
      <c r="AC37" s="3">
        <f t="shared" si="31"/>
        <v>0.52848040935672536</v>
      </c>
      <c r="AD37" s="3">
        <f t="shared" si="31"/>
        <v>0.54335321637426925</v>
      </c>
      <c r="AE37" s="3">
        <f t="shared" si="31"/>
        <v>0.54930233918128679</v>
      </c>
      <c r="AF37" s="3">
        <f t="shared" si="31"/>
        <v>0.67026783625731023</v>
      </c>
      <c r="AG37" s="3">
        <f t="shared" si="31"/>
        <v>0.70001345029239792</v>
      </c>
      <c r="AH37" s="112"/>
      <c r="AI37" s="112"/>
      <c r="AJ37" s="112"/>
      <c r="AK37" s="112"/>
      <c r="AL37" s="112"/>
      <c r="AM37" s="112"/>
    </row>
    <row r="38" spans="1:41">
      <c r="A38" t="s">
        <v>279</v>
      </c>
      <c r="C38" s="97"/>
      <c r="D38" s="293">
        <f>(D37/C37)^(1/(D$5-C$5))-1</f>
        <v>2.9042288713459818E-2</v>
      </c>
      <c r="E38" s="293">
        <f t="shared" ref="E38:L38" si="32">(E37/D37)^(1/(E$5-D$5))-1</f>
        <v>1.5786082474226859E-2</v>
      </c>
      <c r="F38" s="293">
        <f t="shared" si="32"/>
        <v>1.0783380907072537E-2</v>
      </c>
      <c r="G38" s="293">
        <f t="shared" si="32"/>
        <v>3.4515218073423171E-3</v>
      </c>
      <c r="H38" s="293">
        <f t="shared" si="32"/>
        <v>1.5009380863039379E-2</v>
      </c>
      <c r="I38" s="293">
        <f t="shared" si="32"/>
        <v>9.2421441774492852E-3</v>
      </c>
      <c r="J38" s="293">
        <f t="shared" si="32"/>
        <v>-4.2735042735043693E-3</v>
      </c>
      <c r="K38" s="293">
        <f t="shared" si="32"/>
        <v>-7.6021798365122573E-2</v>
      </c>
      <c r="L38" s="97">
        <f t="shared" si="32"/>
        <v>2.7777777777777901E-2</v>
      </c>
      <c r="M38" s="97">
        <f t="shared" ref="M38" si="33">(M37/L37)^(1/(M$5-L$5))-1</f>
        <v>2.7027027027026973E-2</v>
      </c>
      <c r="N38" s="97">
        <f t="shared" ref="N38" si="34">(N37/M37)^(1/(N$5-M$5))-1</f>
        <v>0.18005540166204992</v>
      </c>
      <c r="O38" s="97">
        <f t="shared" ref="O38" si="35">(O37/N37)^(1/(O$5-N$5))-1</f>
        <v>1.4084507042253502E-2</v>
      </c>
      <c r="P38" s="97">
        <f t="shared" ref="P38" si="36">(P37/O37)^(1/(P$5-O$5))-1</f>
        <v>1.1574074074074181E-2</v>
      </c>
      <c r="Q38" s="97">
        <f t="shared" ref="Q38" si="37">(Q37/P37)^(1/(Q$5-P$5))-1</f>
        <v>1.1441647597254079E-2</v>
      </c>
      <c r="R38" s="97">
        <f t="shared" ref="R38" si="38">(R37/Q37)^(1/(R$5-Q$5))-1</f>
        <v>1.1312217194570096E-2</v>
      </c>
      <c r="S38" s="97">
        <f t="shared" ref="S38" si="39">(S37/R37)^(1/(S$5-R$5))-1</f>
        <v>2.2371364653244186E-3</v>
      </c>
      <c r="T38" s="97">
        <f t="shared" ref="T38" si="40">(T37/S37)^(1/(T$5-S$5))-1</f>
        <v>1.7857142857142794E-2</v>
      </c>
      <c r="U38" s="97">
        <f t="shared" ref="U38" si="41">(U37/T37)^(1/(U$5-T$5))-1</f>
        <v>1.5350877192982448E-2</v>
      </c>
      <c r="V38" s="97">
        <f t="shared" ref="V38" si="42">(V37/U37)^(1/(V$5-U$5))-1</f>
        <v>2.1598272138228847E-2</v>
      </c>
      <c r="W38" s="97">
        <f t="shared" ref="W38" si="43">(W37/V37)^(1/(W$5-V$5))-1</f>
        <v>2.114164904862581E-2</v>
      </c>
      <c r="X38" s="97">
        <f t="shared" ref="X38" si="44">(X37/W37)^(1/(X$5-W$5))-1</f>
        <v>2.6915113871635699E-2</v>
      </c>
      <c r="Y38" s="97">
        <f t="shared" ref="Y38" si="45">(Y37/X37)^(1/(Y$5-X$5))-1</f>
        <v>2.620967741935476E-2</v>
      </c>
      <c r="Z38" s="97">
        <f t="shared" ref="Z38" si="46">(Z37/Y37)^(1/(Z$5-Y$5))-1</f>
        <v>9.8231827111985304E-3</v>
      </c>
      <c r="AA38" s="97">
        <f t="shared" ref="AA38" si="47">(AA37/Z37)^(1/(AA$5-Z$5))-1</f>
        <v>7.7821011673151474E-3</v>
      </c>
      <c r="AB38" s="97">
        <f t="shared" ref="AB38" si="48">(AB37/AA37)^(1/(AB$5-AA$5))-1</f>
        <v>1.3513513513513598E-2</v>
      </c>
      <c r="AC38" s="97">
        <f t="shared" ref="AC38" si="49">(AC37/AB37)^(1/(AC$5-AB$5))-1</f>
        <v>1.5238095238095273E-2</v>
      </c>
      <c r="AD38" s="97">
        <f t="shared" ref="AD38" si="50">(AD37/AC37)^(1/(AD$5-AC$5))-1</f>
        <v>2.8142589118199002E-2</v>
      </c>
      <c r="AE38" s="97">
        <f t="shared" ref="AE38" si="51">(AE37/AD37)^(1/(AE$5-AD$5))-1</f>
        <v>1.0948905109489093E-2</v>
      </c>
      <c r="AF38" s="97">
        <f t="shared" ref="AF38" si="52">(AF37/AE37)^(1/(AF$5-AE$5))-1</f>
        <v>4.0608541264317122E-2</v>
      </c>
      <c r="AG38" s="97">
        <f t="shared" ref="AG38" si="53">(AG37/AF37)^(1/(AG$5-AF$5))-1</f>
        <v>8.7222513719651396E-3</v>
      </c>
      <c r="AH38" s="97"/>
      <c r="AI38" s="97"/>
      <c r="AJ38" s="97"/>
      <c r="AK38" s="97"/>
      <c r="AL38" s="97"/>
      <c r="AM38" s="97"/>
    </row>
    <row r="39" spans="1:41">
      <c r="L39" s="6"/>
      <c r="Y39" s="97"/>
      <c r="Z39" s="97"/>
      <c r="AA39" s="97"/>
    </row>
    <row r="40" spans="1:41">
      <c r="A40" s="189" t="s">
        <v>658</v>
      </c>
    </row>
    <row r="41" spans="1:41">
      <c r="C41" s="29" t="s">
        <v>553</v>
      </c>
      <c r="D41" s="29" t="s">
        <v>562</v>
      </c>
      <c r="E41" s="29" t="s">
        <v>563</v>
      </c>
      <c r="F41" s="29" t="s">
        <v>554</v>
      </c>
      <c r="G41" s="29" t="s">
        <v>564</v>
      </c>
      <c r="H41" s="29" t="s">
        <v>565</v>
      </c>
      <c r="I41" s="29" t="s">
        <v>566</v>
      </c>
      <c r="J41" s="29" t="s">
        <v>567</v>
      </c>
      <c r="K41" s="29" t="s">
        <v>555</v>
      </c>
      <c r="L41" s="29" t="s">
        <v>568</v>
      </c>
      <c r="M41" s="29" t="s">
        <v>569</v>
      </c>
      <c r="N41" s="29" t="s">
        <v>570</v>
      </c>
      <c r="O41" s="29" t="s">
        <v>571</v>
      </c>
      <c r="P41" s="29" t="s">
        <v>556</v>
      </c>
      <c r="Q41" s="29" t="s">
        <v>572</v>
      </c>
      <c r="R41" s="29" t="s">
        <v>573</v>
      </c>
      <c r="S41" s="29" t="s">
        <v>574</v>
      </c>
      <c r="T41" s="29" t="s">
        <v>575</v>
      </c>
      <c r="U41" s="29" t="s">
        <v>557</v>
      </c>
      <c r="V41" s="29" t="s">
        <v>576</v>
      </c>
      <c r="W41" s="29" t="s">
        <v>577</v>
      </c>
      <c r="X41" s="29" t="s">
        <v>578</v>
      </c>
      <c r="Y41" s="29" t="s">
        <v>579</v>
      </c>
      <c r="Z41" s="29" t="s">
        <v>558</v>
      </c>
      <c r="AA41" s="29" t="s">
        <v>580</v>
      </c>
      <c r="AB41" s="29" t="s">
        <v>581</v>
      </c>
      <c r="AC41" s="29" t="s">
        <v>582</v>
      </c>
      <c r="AD41" s="29" t="s">
        <v>583</v>
      </c>
      <c r="AE41" s="29" t="s">
        <v>559</v>
      </c>
      <c r="AF41" s="29" t="s">
        <v>560</v>
      </c>
      <c r="AG41" s="29" t="s">
        <v>561</v>
      </c>
      <c r="AH41" s="29"/>
      <c r="AI41" s="29"/>
      <c r="AJ41" s="29"/>
      <c r="AK41" s="29"/>
      <c r="AL41" s="29"/>
      <c r="AM41" s="29"/>
      <c r="AN41" s="29"/>
      <c r="AO41" s="29"/>
    </row>
    <row r="43" spans="1:41">
      <c r="A43" t="s">
        <v>608</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N43" s="2"/>
    </row>
    <row r="44" spans="1:41">
      <c r="A44" t="s">
        <v>609</v>
      </c>
      <c r="C44">
        <v>0</v>
      </c>
      <c r="D44">
        <f>C44+1</f>
        <v>1</v>
      </c>
      <c r="E44">
        <f t="shared" ref="E44" si="54">D44+1</f>
        <v>2</v>
      </c>
      <c r="F44">
        <f t="shared" ref="F44" si="55">E44+1</f>
        <v>3</v>
      </c>
      <c r="G44">
        <f t="shared" ref="G44" si="56">F44+1</f>
        <v>4</v>
      </c>
      <c r="H44">
        <f t="shared" ref="H44" si="57">G44+1</f>
        <v>5</v>
      </c>
      <c r="I44">
        <f t="shared" ref="I44" si="58">H44+1</f>
        <v>6</v>
      </c>
      <c r="J44">
        <f t="shared" ref="J44" si="59">I44+1</f>
        <v>7</v>
      </c>
      <c r="K44">
        <f t="shared" ref="K44" si="60">J44+1</f>
        <v>8</v>
      </c>
      <c r="L44">
        <f t="shared" ref="L44" si="61">K44+1</f>
        <v>9</v>
      </c>
      <c r="M44">
        <f t="shared" ref="M44" si="62">L44+1</f>
        <v>10</v>
      </c>
      <c r="N44">
        <f t="shared" ref="N44" si="63">M44+1</f>
        <v>11</v>
      </c>
      <c r="O44">
        <f t="shared" ref="O44" si="64">N44+1</f>
        <v>12</v>
      </c>
      <c r="P44">
        <f t="shared" ref="P44" si="65">O44+1</f>
        <v>13</v>
      </c>
      <c r="Q44">
        <f t="shared" ref="Q44" si="66">P44+1</f>
        <v>14</v>
      </c>
      <c r="R44">
        <f t="shared" ref="R44" si="67">Q44+1</f>
        <v>15</v>
      </c>
      <c r="S44">
        <f t="shared" ref="S44" si="68">R44+1</f>
        <v>16</v>
      </c>
      <c r="T44">
        <f t="shared" ref="T44" si="69">S44+1</f>
        <v>17</v>
      </c>
      <c r="U44">
        <f t="shared" ref="U44" si="70">T44+1</f>
        <v>18</v>
      </c>
      <c r="V44">
        <f t="shared" ref="V44" si="71">U44+1</f>
        <v>19</v>
      </c>
      <c r="W44">
        <f t="shared" ref="W44" si="72">V44+1</f>
        <v>20</v>
      </c>
      <c r="X44">
        <f t="shared" ref="X44" si="73">W44+1</f>
        <v>21</v>
      </c>
      <c r="Y44">
        <f t="shared" ref="Y44" si="74">X44+1</f>
        <v>22</v>
      </c>
      <c r="Z44">
        <f t="shared" ref="Z44" si="75">Y44+1</f>
        <v>23</v>
      </c>
      <c r="AA44">
        <f t="shared" ref="AA44" si="76">Z44+1</f>
        <v>24</v>
      </c>
      <c r="AB44">
        <f t="shared" ref="AB44" si="77">AA44+1</f>
        <v>25</v>
      </c>
      <c r="AC44">
        <f t="shared" ref="AC44" si="78">AB44+1</f>
        <v>26</v>
      </c>
      <c r="AD44">
        <f t="shared" ref="AD44" si="79">AC44+1</f>
        <v>27</v>
      </c>
      <c r="AE44">
        <f t="shared" ref="AE44" si="80">AD44+1</f>
        <v>28</v>
      </c>
      <c r="AF44">
        <f t="shared" ref="AF44" si="81">AE44+1</f>
        <v>29</v>
      </c>
      <c r="AG44">
        <f t="shared" ref="AG44" si="82">AF44+1</f>
        <v>30</v>
      </c>
    </row>
    <row r="45" spans="1:41">
      <c r="A45" s="120" t="s">
        <v>138</v>
      </c>
      <c r="B45">
        <v>1</v>
      </c>
      <c r="C45" s="284">
        <v>96.797279590965346</v>
      </c>
      <c r="D45" s="284">
        <v>101.32801029182565</v>
      </c>
      <c r="E45" s="284">
        <v>105.4512845971946</v>
      </c>
      <c r="F45" s="284">
        <v>104.03295587682055</v>
      </c>
      <c r="G45" s="284">
        <v>102.86973222443167</v>
      </c>
      <c r="H45" s="284">
        <v>106.45368114150588</v>
      </c>
      <c r="I45" s="284">
        <v>104.83293209544796</v>
      </c>
      <c r="J45" s="6">
        <f>INDEX(DriversGams!$A$5:$AN$26,MATCH(Drivers!$A45,DriversGams!$A$5:$A$26,0),MATCH(Drivers!J$3,DriversGams!$A$5:$AN$5,0))</f>
        <v>102.77</v>
      </c>
      <c r="K45" s="6">
        <f>INDEX(DriversGams!$A$5:$AN$26,MATCH(Drivers!$A45,DriversGams!$A$5:$A$26,0),MATCH(Drivers!K$3,DriversGams!$A$5:$AN$5,0))</f>
        <v>101.85</v>
      </c>
      <c r="L45" s="6">
        <f>INDEX(DriversGams!$A$5:$AN$26,MATCH(Drivers!$A45,DriversGams!$A$5:$A$26,0),MATCH(Drivers!L$3,DriversGams!$A$5:$AN$5,0))</f>
        <v>104.68</v>
      </c>
      <c r="M45" s="6">
        <f>INDEX(DriversGams!$A$5:$AN$26,MATCH(Drivers!$A45,DriversGams!$A$5:$A$26,0),MATCH(Drivers!M$3,DriversGams!$A$5:$AN$5,0))</f>
        <v>107.17</v>
      </c>
      <c r="N45" s="6">
        <f>INDEX(DriversGams!$A$5:$AN$26,MATCH(Drivers!$A45,DriversGams!$A$5:$A$26,0),MATCH(Drivers!N$3,DriversGams!$A$5:$AN$5,0))</f>
        <v>109.35</v>
      </c>
      <c r="O45" s="6">
        <f>INDEX(DriversGams!$A$5:$AN$26,MATCH(Drivers!$A45,DriversGams!$A$5:$A$26,0),MATCH(Drivers!O$3,DriversGams!$A$5:$AN$5,0))</f>
        <v>111.59</v>
      </c>
      <c r="P45" s="6">
        <f>INDEX(DriversGams!$A$5:$AN$26,MATCH(Drivers!$A45,DriversGams!$A$5:$A$26,0),MATCH(Drivers!P$3,DriversGams!$A$5:$AN$5,0))</f>
        <v>113.61</v>
      </c>
      <c r="Q45" s="6">
        <f>INDEX(DriversGams!$A$5:$AN$26,MATCH(Drivers!$A45,DriversGams!$A$5:$A$26,0),MATCH(Drivers!Q$3,DriversGams!$A$5:$AN$5,0))</f>
        <v>115.3</v>
      </c>
      <c r="R45" s="6">
        <f>INDEX(DriversGams!$A$5:$AN$26,MATCH(Drivers!$A45,DriversGams!$A$5:$A$26,0),MATCH(Drivers!R$3,DriversGams!$A$5:$AN$5,0))</f>
        <v>116.94</v>
      </c>
      <c r="S45" s="6">
        <f>INDEX(DriversGams!$A$5:$AN$26,MATCH(Drivers!$A45,DriversGams!$A$5:$A$26,0),MATCH(Drivers!S$3,DriversGams!$A$5:$AN$5,0))</f>
        <v>120.33</v>
      </c>
      <c r="T45" s="6">
        <f>INDEX(DriversGams!$A$5:$AN$26,MATCH(Drivers!$A45,DriversGams!$A$5:$A$26,0),MATCH(Drivers!T$3,DriversGams!$A$5:$AN$5,0))</f>
        <v>123.7</v>
      </c>
      <c r="U45" s="6">
        <f>INDEX(DriversGams!$A$5:$AN$26,MATCH(Drivers!$A45,DriversGams!$A$5:$A$26,0),MATCH(Drivers!U$3,DriversGams!$A$5:$AN$5,0))</f>
        <v>126.03</v>
      </c>
      <c r="V45" s="6">
        <f>INDEX(DriversGams!$A$5:$AN$26,MATCH(Drivers!$A45,DriversGams!$A$5:$A$26,0),MATCH(Drivers!V$3,DriversGams!$A$5:$AN$5,0))</f>
        <v>128.57</v>
      </c>
      <c r="W45" s="6">
        <f>INDEX(DriversGams!$A$5:$AN$26,MATCH(Drivers!$A45,DriversGams!$A$5:$A$26,0),MATCH(Drivers!W$3,DriversGams!$A$5:$AN$5,0))</f>
        <v>130.74</v>
      </c>
      <c r="X45" s="6">
        <f>INDEX(DriversGams!$A$5:$AN$26,MATCH(Drivers!$A45,DriversGams!$A$5:$A$26,0),MATCH(Drivers!X$3,DriversGams!$A$5:$AN$5,0))</f>
        <v>133.47999999999999</v>
      </c>
      <c r="Y45" s="6">
        <f>INDEX(DriversGams!$A$5:$AN$26,MATCH(Drivers!$A45,DriversGams!$A$5:$A$26,0),MATCH(Drivers!Y$3,DriversGams!$A$5:$AN$5,0))</f>
        <v>136.05000000000001</v>
      </c>
      <c r="Z45" s="6">
        <f>INDEX(DriversGams!$A$5:$AN$26,MATCH(Drivers!$A45,DriversGams!$A$5:$A$26,0),MATCH(Drivers!Z$3,DriversGams!$A$5:$AN$5,0))</f>
        <v>140.6</v>
      </c>
      <c r="AA45" s="6">
        <f>INDEX(DriversGams!$A$5:$AN$26,MATCH(Drivers!$A45,DriversGams!$A$5:$A$26,0),MATCH(Drivers!AA$3,DriversGams!$A$5:$AN$5,0))</f>
        <v>145.51</v>
      </c>
      <c r="AB45" s="6">
        <f>INDEX(DriversGams!$A$5:$AN$26,MATCH(Drivers!$A45,DriversGams!$A$5:$A$26,0),MATCH(Drivers!AB$3,DriversGams!$A$5:$AN$5,0))</f>
        <v>147.41999999999999</v>
      </c>
      <c r="AC45" s="6">
        <f>INDEX(DriversGams!$A$5:$AN$26,MATCH(Drivers!$A45,DriversGams!$A$5:$A$26,0),MATCH(Drivers!AC$3,DriversGams!$A$5:$AN$5,0))</f>
        <v>149.72999999999999</v>
      </c>
      <c r="AD45" s="6">
        <f>INDEX(DriversGams!$A$5:$AN$26,MATCH(Drivers!$A45,DriversGams!$A$5:$A$26,0),MATCH(Drivers!AD$3,DriversGams!$A$5:$AN$5,0))</f>
        <v>151.53</v>
      </c>
      <c r="AE45" s="6">
        <f>INDEX(DriversGams!$A$5:$AN$26,MATCH(Drivers!$A45,DriversGams!$A$5:$A$26,0),MATCH(Drivers!AE$3,DriversGams!$A$5:$AN$5,0))</f>
        <v>154.26</v>
      </c>
      <c r="AF45" s="6">
        <f>INDEX(DriversGams!$A$5:$AN$26,MATCH(Drivers!$A45,DriversGams!$A$5:$A$26,0),MATCH(Drivers!AF$3,DriversGams!$A$5:$AN$5,0))</f>
        <v>166.38</v>
      </c>
      <c r="AG45" s="6">
        <f>INDEX(DriversGams!$A$5:$AN$26,MATCH(Drivers!$A45,DriversGams!$A$5:$A$26,0),MATCH(Drivers!AG$3,DriversGams!$A$5:$AN$5,0))</f>
        <v>170.18</v>
      </c>
      <c r="AH45" s="112"/>
      <c r="AI45" s="112"/>
      <c r="AJ45" s="112"/>
      <c r="AK45" s="112"/>
      <c r="AL45" s="112"/>
      <c r="AM45" s="112"/>
      <c r="AO45">
        <v>1</v>
      </c>
    </row>
    <row r="46" spans="1:41">
      <c r="A46" s="120" t="s">
        <v>4</v>
      </c>
      <c r="B46">
        <f>B45+1</f>
        <v>2</v>
      </c>
      <c r="C46" s="284">
        <v>2420.5059603282948</v>
      </c>
      <c r="D46" s="284">
        <v>2489.1047071827661</v>
      </c>
      <c r="E46" s="284">
        <v>2551.5982527371866</v>
      </c>
      <c r="F46" s="284">
        <v>2595.1630396206046</v>
      </c>
      <c r="G46" s="284">
        <v>2628.6516711665686</v>
      </c>
      <c r="H46" s="284">
        <v>2667.1308637985835</v>
      </c>
      <c r="I46" s="284">
        <v>2710.4237502366891</v>
      </c>
      <c r="J46" s="6">
        <f>INDEX(DriversGams!$A$5:$AN$26,MATCH(Drivers!$A46,DriversGams!$A$5:$A$26,0),MATCH(Drivers!J$3,DriversGams!$A$5:$AN$5,0))</f>
        <v>2742.7</v>
      </c>
      <c r="K46" s="6">
        <f>INDEX(DriversGams!$A$5:$AN$26,MATCH(Drivers!$A46,DriversGams!$A$5:$A$26,0),MATCH(Drivers!K$3,DriversGams!$A$5:$AN$5,0))</f>
        <v>2570.23</v>
      </c>
      <c r="L46" s="6">
        <f>INDEX(DriversGams!$A$5:$AN$26,MATCH(Drivers!$A46,DriversGams!$A$5:$A$26,0),MATCH(Drivers!L$3,DriversGams!$A$5:$AN$5,0))</f>
        <v>2663.51</v>
      </c>
      <c r="M46" s="6">
        <f>INDEX(DriversGams!$A$5:$AN$26,MATCH(Drivers!$A46,DriversGams!$A$5:$A$26,0),MATCH(Drivers!M$3,DriversGams!$A$5:$AN$5,0))</f>
        <v>2738.96</v>
      </c>
      <c r="N46" s="6">
        <f>INDEX(DriversGams!$A$5:$AN$26,MATCH(Drivers!$A46,DriversGams!$A$5:$A$26,0),MATCH(Drivers!N$3,DriversGams!$A$5:$AN$5,0))</f>
        <v>2812.95</v>
      </c>
      <c r="O46" s="6">
        <f>INDEX(DriversGams!$A$5:$AN$26,MATCH(Drivers!$A46,DriversGams!$A$5:$A$26,0),MATCH(Drivers!O$3,DriversGams!$A$5:$AN$5,0))</f>
        <v>2890.84</v>
      </c>
      <c r="P46" s="6">
        <f>INDEX(DriversGams!$A$5:$AN$26,MATCH(Drivers!$A46,DriversGams!$A$5:$A$26,0),MATCH(Drivers!P$3,DriversGams!$A$5:$AN$5,0))</f>
        <v>2963.9</v>
      </c>
      <c r="Q46" s="6">
        <f>INDEX(DriversGams!$A$5:$AN$26,MATCH(Drivers!$A46,DriversGams!$A$5:$A$26,0),MATCH(Drivers!Q$3,DriversGams!$A$5:$AN$5,0))</f>
        <v>3029.24</v>
      </c>
      <c r="R46" s="6">
        <f>INDEX(DriversGams!$A$5:$AN$26,MATCH(Drivers!$A46,DriversGams!$A$5:$A$26,0),MATCH(Drivers!R$3,DriversGams!$A$5:$AN$5,0))</f>
        <v>3094.44</v>
      </c>
      <c r="S46" s="6">
        <f>INDEX(DriversGams!$A$5:$AN$26,MATCH(Drivers!$A46,DriversGams!$A$5:$A$26,0),MATCH(Drivers!S$3,DriversGams!$A$5:$AN$5,0))</f>
        <v>3162.18</v>
      </c>
      <c r="T46" s="6">
        <f>INDEX(DriversGams!$A$5:$AN$26,MATCH(Drivers!$A46,DriversGams!$A$5:$A$26,0),MATCH(Drivers!T$3,DriversGams!$A$5:$AN$5,0))</f>
        <v>3245.03</v>
      </c>
      <c r="U46" s="6">
        <f>INDEX(DriversGams!$A$5:$AN$26,MATCH(Drivers!$A46,DriversGams!$A$5:$A$26,0),MATCH(Drivers!U$3,DriversGams!$A$5:$AN$5,0))</f>
        <v>3323.15</v>
      </c>
      <c r="V46" s="6">
        <f>INDEX(DriversGams!$A$5:$AN$26,MATCH(Drivers!$A46,DriversGams!$A$5:$A$26,0),MATCH(Drivers!V$3,DriversGams!$A$5:$AN$5,0))</f>
        <v>3413.55</v>
      </c>
      <c r="W46" s="6">
        <f>INDEX(DriversGams!$A$5:$AN$26,MATCH(Drivers!$A46,DriversGams!$A$5:$A$26,0),MATCH(Drivers!W$3,DriversGams!$A$5:$AN$5,0))</f>
        <v>3506.82</v>
      </c>
      <c r="X46" s="6">
        <f>INDEX(DriversGams!$A$5:$AN$26,MATCH(Drivers!$A46,DriversGams!$A$5:$A$26,0),MATCH(Drivers!X$3,DriversGams!$A$5:$AN$5,0))</f>
        <v>3618.29</v>
      </c>
      <c r="Y46" s="6">
        <f>INDEX(DriversGams!$A$5:$AN$26,MATCH(Drivers!$A46,DriversGams!$A$5:$A$26,0),MATCH(Drivers!Y$3,DriversGams!$A$5:$AN$5,0))</f>
        <v>3735.21</v>
      </c>
      <c r="Z46" s="6">
        <f>INDEX(DriversGams!$A$5:$AN$26,MATCH(Drivers!$A46,DriversGams!$A$5:$A$26,0),MATCH(Drivers!Z$3,DriversGams!$A$5:$AN$5,0))</f>
        <v>3846.98</v>
      </c>
      <c r="AA46" s="6">
        <f>INDEX(DriversGams!$A$5:$AN$26,MATCH(Drivers!$A46,DriversGams!$A$5:$A$26,0),MATCH(Drivers!AA$3,DriversGams!$A$5:$AN$5,0))</f>
        <v>3952.74</v>
      </c>
      <c r="AB46" s="6">
        <f>INDEX(DriversGams!$A$5:$AN$26,MATCH(Drivers!$A46,DriversGams!$A$5:$A$26,0),MATCH(Drivers!AB$3,DriversGams!$A$5:$AN$5,0))</f>
        <v>4036.91</v>
      </c>
      <c r="AC46" s="6">
        <f>INDEX(DriversGams!$A$5:$AN$26,MATCH(Drivers!$A46,DriversGams!$A$5:$A$26,0),MATCH(Drivers!AC$3,DriversGams!$A$5:$AN$5,0))</f>
        <v>4137.6000000000004</v>
      </c>
      <c r="AD46" s="6">
        <f>INDEX(DriversGams!$A$5:$AN$26,MATCH(Drivers!$A46,DriversGams!$A$5:$A$26,0),MATCH(Drivers!AD$3,DriversGams!$A$5:$AN$5,0))</f>
        <v>4257.1000000000004</v>
      </c>
      <c r="AE46" s="6">
        <f>INDEX(DriversGams!$A$5:$AN$26,MATCH(Drivers!$A46,DriversGams!$A$5:$A$26,0),MATCH(Drivers!AE$3,DriversGams!$A$5:$AN$5,0))</f>
        <v>4369.76</v>
      </c>
      <c r="AF46" s="6">
        <f>INDEX(DriversGams!$A$5:$AN$26,MATCH(Drivers!$A46,DriversGams!$A$5:$A$26,0),MATCH(Drivers!AF$3,DriversGams!$A$5:$AN$5,0))</f>
        <v>5022.43</v>
      </c>
      <c r="AG46" s="6">
        <f>INDEX(DriversGams!$A$5:$AN$26,MATCH(Drivers!$A46,DriversGams!$A$5:$A$26,0),MATCH(Drivers!AG$3,DriversGams!$A$5:$AN$5,0))</f>
        <v>5519.16</v>
      </c>
      <c r="AH46" s="112"/>
      <c r="AI46" s="112"/>
      <c r="AJ46" s="112"/>
      <c r="AK46" s="112"/>
      <c r="AL46" s="112"/>
      <c r="AM46" s="112"/>
      <c r="AO46">
        <f>AO45+1</f>
        <v>2</v>
      </c>
    </row>
    <row r="47" spans="1:41">
      <c r="A47" s="120" t="s">
        <v>525</v>
      </c>
      <c r="B47">
        <f t="shared" ref="B47:B75" si="83">B46+1</f>
        <v>3</v>
      </c>
      <c r="C47" s="284">
        <v>72.107894835057621</v>
      </c>
      <c r="D47" s="284">
        <v>74.266300997437128</v>
      </c>
      <c r="E47" s="284">
        <v>75.801027741220466</v>
      </c>
      <c r="F47" s="284">
        <v>76.644854367250801</v>
      </c>
      <c r="G47" s="284">
        <v>77.466834349241523</v>
      </c>
      <c r="H47" s="284">
        <v>78.131791577197461</v>
      </c>
      <c r="I47" s="284">
        <v>79.016580660802092</v>
      </c>
      <c r="J47" s="6">
        <f>INDEX(DriversGams!$A$5:$AN$26,MATCH(Drivers!$A47,DriversGams!$A$5:$A$26,0),MATCH(Drivers!J$3,DriversGams!$A$5:$AN$5,0))</f>
        <v>78.8</v>
      </c>
      <c r="K47" s="6">
        <f>INDEX(DriversGams!$A$5:$AN$26,MATCH(Drivers!$A47,DriversGams!$A$5:$A$26,0),MATCH(Drivers!K$3,DriversGams!$A$5:$AN$5,0))</f>
        <v>77.650000000000006</v>
      </c>
      <c r="L47" s="6">
        <f>INDEX(DriversGams!$A$5:$AN$26,MATCH(Drivers!$A47,DriversGams!$A$5:$A$26,0),MATCH(Drivers!L$3,DriversGams!$A$5:$AN$5,0))</f>
        <v>76.69</v>
      </c>
      <c r="M47" s="6">
        <f>INDEX(DriversGams!$A$5:$AN$26,MATCH(Drivers!$A47,DriversGams!$A$5:$A$26,0),MATCH(Drivers!M$3,DriversGams!$A$5:$AN$5,0))</f>
        <v>77.209999999999994</v>
      </c>
      <c r="N47" s="6">
        <f>INDEX(DriversGams!$A$5:$AN$26,MATCH(Drivers!$A47,DriversGams!$A$5:$A$26,0),MATCH(Drivers!N$3,DriversGams!$A$5:$AN$5,0))</f>
        <v>78.11</v>
      </c>
      <c r="O47" s="6">
        <f>INDEX(DriversGams!$A$5:$AN$26,MATCH(Drivers!$A47,DriversGams!$A$5:$A$26,0),MATCH(Drivers!O$3,DriversGams!$A$5:$AN$5,0))</f>
        <v>78.900000000000006</v>
      </c>
      <c r="P47" s="6">
        <f>INDEX(DriversGams!$A$5:$AN$26,MATCH(Drivers!$A47,DriversGams!$A$5:$A$26,0),MATCH(Drivers!P$3,DriversGams!$A$5:$AN$5,0))</f>
        <v>79.64</v>
      </c>
      <c r="Q47" s="6">
        <f>INDEX(DriversGams!$A$5:$AN$26,MATCH(Drivers!$A47,DriversGams!$A$5:$A$26,0),MATCH(Drivers!Q$3,DriversGams!$A$5:$AN$5,0))</f>
        <v>80.319999999999993</v>
      </c>
      <c r="R47" s="6">
        <f>INDEX(DriversGams!$A$5:$AN$26,MATCH(Drivers!$A47,DriversGams!$A$5:$A$26,0),MATCH(Drivers!R$3,DriversGams!$A$5:$AN$5,0))</f>
        <v>81</v>
      </c>
      <c r="S47" s="6">
        <f>INDEX(DriversGams!$A$5:$AN$26,MATCH(Drivers!$A47,DriversGams!$A$5:$A$26,0),MATCH(Drivers!S$3,DriversGams!$A$5:$AN$5,0))</f>
        <v>82.01</v>
      </c>
      <c r="T47" s="6">
        <f>INDEX(DriversGams!$A$5:$AN$26,MATCH(Drivers!$A47,DriversGams!$A$5:$A$26,0),MATCH(Drivers!T$3,DriversGams!$A$5:$AN$5,0))</f>
        <v>82.46</v>
      </c>
      <c r="U47" s="6">
        <f>INDEX(DriversGams!$A$5:$AN$26,MATCH(Drivers!$A47,DriversGams!$A$5:$A$26,0),MATCH(Drivers!U$3,DriversGams!$A$5:$AN$5,0))</f>
        <v>83.04</v>
      </c>
      <c r="V47" s="6">
        <f>INDEX(DriversGams!$A$5:$AN$26,MATCH(Drivers!$A47,DriversGams!$A$5:$A$26,0),MATCH(Drivers!V$3,DriversGams!$A$5:$AN$5,0))</f>
        <v>83.83</v>
      </c>
      <c r="W47" s="6">
        <f>INDEX(DriversGams!$A$5:$AN$26,MATCH(Drivers!$A47,DriversGams!$A$5:$A$26,0),MATCH(Drivers!W$3,DriversGams!$A$5:$AN$5,0))</f>
        <v>84.67</v>
      </c>
      <c r="X47" s="6">
        <f>INDEX(DriversGams!$A$5:$AN$26,MATCH(Drivers!$A47,DriversGams!$A$5:$A$26,0),MATCH(Drivers!X$3,DriversGams!$A$5:$AN$5,0))</f>
        <v>85.85</v>
      </c>
      <c r="Y47" s="6">
        <f>INDEX(DriversGams!$A$5:$AN$26,MATCH(Drivers!$A47,DriversGams!$A$5:$A$26,0),MATCH(Drivers!Y$3,DriversGams!$A$5:$AN$5,0))</f>
        <v>87.08</v>
      </c>
      <c r="Z47" s="6">
        <f>INDEX(DriversGams!$A$5:$AN$26,MATCH(Drivers!$A47,DriversGams!$A$5:$A$26,0),MATCH(Drivers!Z$3,DriversGams!$A$5:$AN$5,0))</f>
        <v>68.459999999999994</v>
      </c>
      <c r="AA47" s="6">
        <f>INDEX(DriversGams!$A$5:$AN$26,MATCH(Drivers!$A47,DriversGams!$A$5:$A$26,0),MATCH(Drivers!AA$3,DriversGams!$A$5:$AN$5,0))</f>
        <v>52.9</v>
      </c>
      <c r="AB47" s="6">
        <f>INDEX(DriversGams!$A$5:$AN$26,MATCH(Drivers!$A47,DriversGams!$A$5:$A$26,0),MATCH(Drivers!AB$3,DriversGams!$A$5:$AN$5,0))</f>
        <v>50.58</v>
      </c>
      <c r="AC47" s="6">
        <f>INDEX(DriversGams!$A$5:$AN$26,MATCH(Drivers!$A47,DriversGams!$A$5:$A$26,0),MATCH(Drivers!AC$3,DriversGams!$A$5:$AN$5,0))</f>
        <v>54.24</v>
      </c>
      <c r="AD47" s="6">
        <f>INDEX(DriversGams!$A$5:$AN$26,MATCH(Drivers!$A47,DriversGams!$A$5:$A$26,0),MATCH(Drivers!AD$3,DriversGams!$A$5:$AN$5,0))</f>
        <v>56.85</v>
      </c>
      <c r="AE47" s="6">
        <f>INDEX(DriversGams!$A$5:$AN$26,MATCH(Drivers!$A47,DriversGams!$A$5:$A$26,0),MATCH(Drivers!AE$3,DriversGams!$A$5:$AN$5,0))</f>
        <v>51.03</v>
      </c>
      <c r="AF47" s="6">
        <f>INDEX(DriversGams!$A$5:$AN$26,MATCH(Drivers!$A47,DriversGams!$A$5:$A$26,0),MATCH(Drivers!AF$3,DriversGams!$A$5:$AN$5,0))</f>
        <v>54.78</v>
      </c>
      <c r="AG47" s="6">
        <f>INDEX(DriversGams!$A$5:$AN$26,MATCH(Drivers!$A47,DriversGams!$A$5:$A$26,0),MATCH(Drivers!AG$3,DriversGams!$A$5:$AN$5,0))</f>
        <v>58.71</v>
      </c>
      <c r="AH47" s="112"/>
      <c r="AI47" s="112"/>
      <c r="AJ47" s="112"/>
      <c r="AK47" s="112"/>
      <c r="AL47" s="112"/>
      <c r="AM47" s="112"/>
      <c r="AO47">
        <f t="shared" ref="AO47:AO63" si="84">AO46+1</f>
        <v>3</v>
      </c>
    </row>
    <row r="48" spans="1:41">
      <c r="A48" s="120" t="s">
        <v>712</v>
      </c>
      <c r="B48">
        <f t="shared" si="83"/>
        <v>4</v>
      </c>
      <c r="C48" s="284">
        <v>2.4554419284149018</v>
      </c>
      <c r="D48" s="284">
        <v>2.4807404210106916</v>
      </c>
      <c r="E48" s="284">
        <v>2.5000863271133542</v>
      </c>
      <c r="F48" s="284">
        <v>2.4936376917457999</v>
      </c>
      <c r="G48" s="284">
        <v>2.4903306992496184</v>
      </c>
      <c r="H48" s="284">
        <v>2.5025665714854908</v>
      </c>
      <c r="I48" s="284">
        <v>2.5113301016003717</v>
      </c>
      <c r="J48" s="6">
        <f>INDEX(DriversGams!$A$5:$AN$26,MATCH(Drivers!$A48,DriversGams!$A$5:$A$26,0),MATCH(Drivers!J$3,DriversGams!$A$5:$AN$5,0))</f>
        <v>2.4900000000000002</v>
      </c>
      <c r="K48" s="6">
        <f>INDEX(DriversGams!$A$5:$AN$26,MATCH(Drivers!$A48,DriversGams!$A$5:$A$26,0),MATCH(Drivers!K$3,DriversGams!$A$5:$AN$5,0))</f>
        <v>2.35</v>
      </c>
      <c r="L48" s="6">
        <f>INDEX(DriversGams!$A$5:$AN$26,MATCH(Drivers!$A48,DriversGams!$A$5:$A$26,0),MATCH(Drivers!L$3,DriversGams!$A$5:$AN$5,0))</f>
        <v>2.35</v>
      </c>
      <c r="M48" s="6">
        <f>INDEX(DriversGams!$A$5:$AN$26,MATCH(Drivers!$A48,DriversGams!$A$5:$A$26,0),MATCH(Drivers!M$3,DriversGams!$A$5:$AN$5,0))</f>
        <v>2.39</v>
      </c>
      <c r="N48" s="6">
        <f>INDEX(DriversGams!$A$5:$AN$26,MATCH(Drivers!$A48,DriversGams!$A$5:$A$26,0),MATCH(Drivers!N$3,DriversGams!$A$5:$AN$5,0))</f>
        <v>2.42</v>
      </c>
      <c r="O48" s="6">
        <f>INDEX(DriversGams!$A$5:$AN$26,MATCH(Drivers!$A48,DriversGams!$A$5:$A$26,0),MATCH(Drivers!O$3,DriversGams!$A$5:$AN$5,0))</f>
        <v>2.4500000000000002</v>
      </c>
      <c r="P48" s="6">
        <f>INDEX(DriversGams!$A$5:$AN$26,MATCH(Drivers!$A48,DriversGams!$A$5:$A$26,0),MATCH(Drivers!P$3,DriversGams!$A$5:$AN$5,0))</f>
        <v>2.4700000000000002</v>
      </c>
      <c r="Q48" s="6">
        <f>INDEX(DriversGams!$A$5:$AN$26,MATCH(Drivers!$A48,DriversGams!$A$5:$A$26,0),MATCH(Drivers!Q$3,DriversGams!$A$5:$AN$5,0))</f>
        <v>2.5099999999999998</v>
      </c>
      <c r="R48" s="6">
        <f>INDEX(DriversGams!$A$5:$AN$26,MATCH(Drivers!$A48,DriversGams!$A$5:$A$26,0),MATCH(Drivers!R$3,DriversGams!$A$5:$AN$5,0))</f>
        <v>2.54</v>
      </c>
      <c r="S48" s="6">
        <f>INDEX(DriversGams!$A$5:$AN$26,MATCH(Drivers!$A48,DriversGams!$A$5:$A$26,0),MATCH(Drivers!S$3,DriversGams!$A$5:$AN$5,0))</f>
        <v>2.5</v>
      </c>
      <c r="T48" s="6">
        <f>INDEX(DriversGams!$A$5:$AN$26,MATCH(Drivers!$A48,DriversGams!$A$5:$A$26,0),MATCH(Drivers!T$3,DriversGams!$A$5:$AN$5,0))</f>
        <v>2.5</v>
      </c>
      <c r="U48" s="6">
        <f>INDEX(DriversGams!$A$5:$AN$26,MATCH(Drivers!$A48,DriversGams!$A$5:$A$26,0),MATCH(Drivers!U$3,DriversGams!$A$5:$AN$5,0))</f>
        <v>2.5299999999999998</v>
      </c>
      <c r="V48" s="6">
        <f>INDEX(DriversGams!$A$5:$AN$26,MATCH(Drivers!$A48,DriversGams!$A$5:$A$26,0),MATCH(Drivers!V$3,DriversGams!$A$5:$AN$5,0))</f>
        <v>2.56</v>
      </c>
      <c r="W48" s="6">
        <f>INDEX(DriversGams!$A$5:$AN$26,MATCH(Drivers!$A48,DriversGams!$A$5:$A$26,0),MATCH(Drivers!W$3,DriversGams!$A$5:$AN$5,0))</f>
        <v>2.59</v>
      </c>
      <c r="X48" s="6">
        <f>INDEX(DriversGams!$A$5:$AN$26,MATCH(Drivers!$A48,DriversGams!$A$5:$A$26,0),MATCH(Drivers!X$3,DriversGams!$A$5:$AN$5,0))</f>
        <v>2.64</v>
      </c>
      <c r="Y48" s="6">
        <f>INDEX(DriversGams!$A$5:$AN$26,MATCH(Drivers!$A48,DriversGams!$A$5:$A$26,0),MATCH(Drivers!Y$3,DriversGams!$A$5:$AN$5,0))</f>
        <v>2.68</v>
      </c>
      <c r="Z48" s="6">
        <f>INDEX(DriversGams!$A$5:$AN$26,MATCH(Drivers!$A48,DriversGams!$A$5:$A$26,0),MATCH(Drivers!Z$3,DriversGams!$A$5:$AN$5,0))</f>
        <v>2.23</v>
      </c>
      <c r="AA48" s="6">
        <f>INDEX(DriversGams!$A$5:$AN$26,MATCH(Drivers!$A48,DriversGams!$A$5:$A$26,0),MATCH(Drivers!AA$3,DriversGams!$A$5:$AN$5,0))</f>
        <v>1.86</v>
      </c>
      <c r="AB48" s="6">
        <f>INDEX(DriversGams!$A$5:$AN$26,MATCH(Drivers!$A48,DriversGams!$A$5:$A$26,0),MATCH(Drivers!AB$3,DriversGams!$A$5:$AN$5,0))</f>
        <v>1.8</v>
      </c>
      <c r="AC48" s="6">
        <f>INDEX(DriversGams!$A$5:$AN$26,MATCH(Drivers!$A48,DriversGams!$A$5:$A$26,0),MATCH(Drivers!AC$3,DriversGams!$A$5:$AN$5,0))</f>
        <v>1.9</v>
      </c>
      <c r="AD48" s="6">
        <f>INDEX(DriversGams!$A$5:$AN$26,MATCH(Drivers!$A48,DriversGams!$A$5:$A$26,0),MATCH(Drivers!AD$3,DriversGams!$A$5:$AN$5,0))</f>
        <v>1.97</v>
      </c>
      <c r="AE48" s="6">
        <f>INDEX(DriversGams!$A$5:$AN$26,MATCH(Drivers!$A48,DriversGams!$A$5:$A$26,0),MATCH(Drivers!AE$3,DriversGams!$A$5:$AN$5,0))</f>
        <v>1.85</v>
      </c>
      <c r="AF48" s="6">
        <f>INDEX(DriversGams!$A$5:$AN$26,MATCH(Drivers!$A48,DriversGams!$A$5:$A$26,0),MATCH(Drivers!AF$3,DriversGams!$A$5:$AN$5,0))</f>
        <v>1.98</v>
      </c>
      <c r="AG48" s="6">
        <f>INDEX(DriversGams!$A$5:$AN$26,MATCH(Drivers!$A48,DriversGams!$A$5:$A$26,0),MATCH(Drivers!AG$3,DriversGams!$A$5:$AN$5,0))</f>
        <v>2.11</v>
      </c>
      <c r="AH48" s="112"/>
      <c r="AI48" s="112"/>
      <c r="AJ48" s="112"/>
      <c r="AK48" s="112"/>
      <c r="AL48" s="112"/>
      <c r="AM48" s="112"/>
      <c r="AO48">
        <f t="shared" si="84"/>
        <v>4</v>
      </c>
    </row>
    <row r="49" spans="1:41">
      <c r="A49" s="120" t="s">
        <v>522</v>
      </c>
      <c r="B49">
        <f t="shared" si="83"/>
        <v>5</v>
      </c>
      <c r="C49" s="284">
        <v>138.08343097582718</v>
      </c>
      <c r="D49" s="284">
        <v>143.16360238477418</v>
      </c>
      <c r="E49" s="284">
        <v>146.98438355117329</v>
      </c>
      <c r="F49" s="284">
        <v>148.78204922418408</v>
      </c>
      <c r="G49" s="284">
        <v>151.86270236184362</v>
      </c>
      <c r="H49" s="284">
        <v>153.55950890468549</v>
      </c>
      <c r="I49" s="284">
        <v>155.74281242834212</v>
      </c>
      <c r="J49" s="6">
        <f>INDEX(DriversGams!$A$5:$AN$26,MATCH(Drivers!$A49,DriversGams!$A$5:$A$26,0),MATCH(Drivers!J$3,DriversGams!$A$5:$AN$5,0))</f>
        <v>155.19999999999999</v>
      </c>
      <c r="K49" s="6">
        <f>INDEX(DriversGams!$A$5:$AN$26,MATCH(Drivers!$A49,DriversGams!$A$5:$A$26,0),MATCH(Drivers!K$3,DriversGams!$A$5:$AN$5,0))</f>
        <v>154.51</v>
      </c>
      <c r="L49" s="6">
        <f>INDEX(DriversGams!$A$5:$AN$26,MATCH(Drivers!$A49,DriversGams!$A$5:$A$26,0),MATCH(Drivers!L$3,DriversGams!$A$5:$AN$5,0))</f>
        <v>161.34</v>
      </c>
      <c r="M49" s="6">
        <f>INDEX(DriversGams!$A$5:$AN$26,MATCH(Drivers!$A49,DriversGams!$A$5:$A$26,0),MATCH(Drivers!M$3,DriversGams!$A$5:$AN$5,0))</f>
        <v>167.36</v>
      </c>
      <c r="N49" s="6">
        <f>INDEX(DriversGams!$A$5:$AN$26,MATCH(Drivers!$A49,DriversGams!$A$5:$A$26,0),MATCH(Drivers!N$3,DriversGams!$A$5:$AN$5,0))</f>
        <v>172.82</v>
      </c>
      <c r="O49" s="6">
        <f>INDEX(DriversGams!$A$5:$AN$26,MATCH(Drivers!$A49,DriversGams!$A$5:$A$26,0),MATCH(Drivers!O$3,DriversGams!$A$5:$AN$5,0))</f>
        <v>178.36</v>
      </c>
      <c r="P49" s="6">
        <f>INDEX(DriversGams!$A$5:$AN$26,MATCH(Drivers!$A49,DriversGams!$A$5:$A$26,0),MATCH(Drivers!P$3,DriversGams!$A$5:$AN$5,0))</f>
        <v>183.29</v>
      </c>
      <c r="Q49" s="6">
        <f>INDEX(DriversGams!$A$5:$AN$26,MATCH(Drivers!$A49,DriversGams!$A$5:$A$26,0),MATCH(Drivers!Q$3,DriversGams!$A$5:$AN$5,0))</f>
        <v>187.41</v>
      </c>
      <c r="R49" s="6">
        <f>INDEX(DriversGams!$A$5:$AN$26,MATCH(Drivers!$A49,DriversGams!$A$5:$A$26,0),MATCH(Drivers!R$3,DriversGams!$A$5:$AN$5,0))</f>
        <v>191.52</v>
      </c>
      <c r="S49" s="6">
        <f>INDEX(DriversGams!$A$5:$AN$26,MATCH(Drivers!$A49,DriversGams!$A$5:$A$26,0),MATCH(Drivers!S$3,DriversGams!$A$5:$AN$5,0))</f>
        <v>198.84</v>
      </c>
      <c r="T49" s="6">
        <f>INDEX(DriversGams!$A$5:$AN$26,MATCH(Drivers!$A49,DriversGams!$A$5:$A$26,0),MATCH(Drivers!T$3,DriversGams!$A$5:$AN$5,0))</f>
        <v>205.18</v>
      </c>
      <c r="U49" s="6">
        <f>INDEX(DriversGams!$A$5:$AN$26,MATCH(Drivers!$A49,DriversGams!$A$5:$A$26,0),MATCH(Drivers!U$3,DriversGams!$A$5:$AN$5,0))</f>
        <v>209.75</v>
      </c>
      <c r="V49" s="6">
        <f>INDEX(DriversGams!$A$5:$AN$26,MATCH(Drivers!$A49,DriversGams!$A$5:$A$26,0),MATCH(Drivers!V$3,DriversGams!$A$5:$AN$5,0))</f>
        <v>214.9</v>
      </c>
      <c r="W49" s="6">
        <f>INDEX(DriversGams!$A$5:$AN$26,MATCH(Drivers!$A49,DriversGams!$A$5:$A$26,0),MATCH(Drivers!W$3,DriversGams!$A$5:$AN$5,0))</f>
        <v>219.47</v>
      </c>
      <c r="X49" s="6">
        <f>INDEX(DriversGams!$A$5:$AN$26,MATCH(Drivers!$A49,DriversGams!$A$5:$A$26,0),MATCH(Drivers!X$3,DriversGams!$A$5:$AN$5,0))</f>
        <v>225.07</v>
      </c>
      <c r="Y49" s="6">
        <f>INDEX(DriversGams!$A$5:$AN$26,MATCH(Drivers!$A49,DriversGams!$A$5:$A$26,0),MATCH(Drivers!Y$3,DriversGams!$A$5:$AN$5,0))</f>
        <v>230.49</v>
      </c>
      <c r="Z49" s="6">
        <f>INDEX(DriversGams!$A$5:$AN$26,MATCH(Drivers!$A49,DriversGams!$A$5:$A$26,0),MATCH(Drivers!Z$3,DriversGams!$A$5:$AN$5,0))</f>
        <v>241.08</v>
      </c>
      <c r="AA49" s="6">
        <f>INDEX(DriversGams!$A$5:$AN$26,MATCH(Drivers!$A49,DriversGams!$A$5:$A$26,0),MATCH(Drivers!AA$3,DriversGams!$A$5:$AN$5,0))</f>
        <v>251.92</v>
      </c>
      <c r="AB49" s="6">
        <f>INDEX(DriversGams!$A$5:$AN$26,MATCH(Drivers!$A49,DriversGams!$A$5:$A$26,0),MATCH(Drivers!AB$3,DriversGams!$A$5:$AN$5,0))</f>
        <v>255.45</v>
      </c>
      <c r="AC49" s="6">
        <f>INDEX(DriversGams!$A$5:$AN$26,MATCH(Drivers!$A49,DriversGams!$A$5:$A$26,0),MATCH(Drivers!AC$3,DriversGams!$A$5:$AN$5,0))</f>
        <v>259.19</v>
      </c>
      <c r="AD49" s="6">
        <f>INDEX(DriversGams!$A$5:$AN$26,MATCH(Drivers!$A49,DriversGams!$A$5:$A$26,0),MATCH(Drivers!AD$3,DriversGams!$A$5:$AN$5,0))</f>
        <v>261.45999999999998</v>
      </c>
      <c r="AE49" s="6">
        <f>INDEX(DriversGams!$A$5:$AN$26,MATCH(Drivers!$A49,DriversGams!$A$5:$A$26,0),MATCH(Drivers!AE$3,DriversGams!$A$5:$AN$5,0))</f>
        <v>266.93</v>
      </c>
      <c r="AF49" s="6">
        <f>INDEX(DriversGams!$A$5:$AN$26,MATCH(Drivers!$A49,DriversGams!$A$5:$A$26,0),MATCH(Drivers!AF$3,DriversGams!$A$5:$AN$5,0))</f>
        <v>287.97000000000003</v>
      </c>
      <c r="AG49" s="6">
        <f>INDEX(DriversGams!$A$5:$AN$26,MATCH(Drivers!$A49,DriversGams!$A$5:$A$26,0),MATCH(Drivers!AG$3,DriversGams!$A$5:$AN$5,0))</f>
        <v>293.94</v>
      </c>
      <c r="AH49" s="112"/>
      <c r="AI49" s="112"/>
      <c r="AJ49" s="112"/>
      <c r="AK49" s="112"/>
      <c r="AL49" s="112"/>
      <c r="AM49" s="112"/>
      <c r="AO49">
        <f>AO47+1</f>
        <v>4</v>
      </c>
    </row>
    <row r="50" spans="1:41">
      <c r="A50" s="120" t="s">
        <v>598</v>
      </c>
      <c r="B50">
        <f t="shared" si="83"/>
        <v>6</v>
      </c>
      <c r="C50" s="284">
        <v>0.14875454246747444</v>
      </c>
      <c r="D50" s="284">
        <v>0.12</v>
      </c>
      <c r="E50" s="284">
        <v>0.12</v>
      </c>
      <c r="F50" s="284">
        <v>0.12</v>
      </c>
      <c r="G50" s="284">
        <v>0.12</v>
      </c>
      <c r="H50" s="284">
        <v>0.12</v>
      </c>
      <c r="I50" s="284">
        <v>0.12</v>
      </c>
      <c r="J50" s="6">
        <f>INDEX(DriversGams!$A$5:$AN$26,MATCH(Drivers!$A50,DriversGams!$A$5:$A$26,0),MATCH(Drivers!J$3,DriversGams!$A$5:$AN$5,0))</f>
        <v>0.12</v>
      </c>
      <c r="K50" s="6">
        <f>INDEX(DriversGams!$A$5:$AN$26,MATCH(Drivers!$A50,DriversGams!$A$5:$A$26,0),MATCH(Drivers!K$3,DriversGams!$A$5:$AN$5,0))</f>
        <v>0.13</v>
      </c>
      <c r="L50" s="6">
        <f>INDEX(DriversGams!$A$5:$AN$26,MATCH(Drivers!$A50,DriversGams!$A$5:$A$26,0),MATCH(Drivers!L$3,DriversGams!$A$5:$AN$5,0))</f>
        <v>0.31</v>
      </c>
      <c r="M50" s="6">
        <f>INDEX(DriversGams!$A$5:$AN$26,MATCH(Drivers!$A50,DriversGams!$A$5:$A$26,0),MATCH(Drivers!M$3,DriversGams!$A$5:$AN$5,0))</f>
        <v>0.73</v>
      </c>
      <c r="N50" s="6">
        <f>INDEX(DriversGams!$A$5:$AN$26,MATCH(Drivers!$A50,DriversGams!$A$5:$A$26,0),MATCH(Drivers!N$3,DriversGams!$A$5:$AN$5,0))</f>
        <v>0.73</v>
      </c>
      <c r="O50" s="6">
        <f>INDEX(DriversGams!$A$5:$AN$26,MATCH(Drivers!$A50,DriversGams!$A$5:$A$26,0),MATCH(Drivers!O$3,DriversGams!$A$5:$AN$5,0))</f>
        <v>0.73</v>
      </c>
      <c r="P50" s="6">
        <f>INDEX(DriversGams!$A$5:$AN$26,MATCH(Drivers!$A50,DriversGams!$A$5:$A$26,0),MATCH(Drivers!P$3,DriversGams!$A$5:$AN$5,0))</f>
        <v>0.73</v>
      </c>
      <c r="Q50" s="6">
        <f>INDEX(DriversGams!$A$5:$AN$26,MATCH(Drivers!$A50,DriversGams!$A$5:$A$26,0),MATCH(Drivers!Q$3,DriversGams!$A$5:$AN$5,0))</f>
        <v>0.73</v>
      </c>
      <c r="R50" s="6">
        <f>INDEX(DriversGams!$A$5:$AN$26,MATCH(Drivers!$A50,DriversGams!$A$5:$A$26,0),MATCH(Drivers!R$3,DriversGams!$A$5:$AN$5,0))</f>
        <v>0.73</v>
      </c>
      <c r="S50" s="6">
        <f>INDEX(DriversGams!$A$5:$AN$26,MATCH(Drivers!$A50,DriversGams!$A$5:$A$26,0),MATCH(Drivers!S$3,DriversGams!$A$5:$AN$5,0))</f>
        <v>0.73</v>
      </c>
      <c r="T50" s="6">
        <f>INDEX(DriversGams!$A$5:$AN$26,MATCH(Drivers!$A50,DriversGams!$A$5:$A$26,0),MATCH(Drivers!T$3,DriversGams!$A$5:$AN$5,0))</f>
        <v>0.73</v>
      </c>
      <c r="U50" s="6">
        <f>INDEX(DriversGams!$A$5:$AN$26,MATCH(Drivers!$A50,DriversGams!$A$5:$A$26,0),MATCH(Drivers!U$3,DriversGams!$A$5:$AN$5,0))</f>
        <v>0.73</v>
      </c>
      <c r="V50" s="6">
        <f>INDEX(DriversGams!$A$5:$AN$26,MATCH(Drivers!$A50,DriversGams!$A$5:$A$26,0),MATCH(Drivers!V$3,DriversGams!$A$5:$AN$5,0))</f>
        <v>0.97</v>
      </c>
      <c r="W50" s="6">
        <f>INDEX(DriversGams!$A$5:$AN$26,MATCH(Drivers!$A50,DriversGams!$A$5:$A$26,0),MATCH(Drivers!W$3,DriversGams!$A$5:$AN$5,0))</f>
        <v>2.31</v>
      </c>
      <c r="X50" s="6">
        <f>INDEX(DriversGams!$A$5:$AN$26,MATCH(Drivers!$A50,DriversGams!$A$5:$A$26,0),MATCH(Drivers!X$3,DriversGams!$A$5:$AN$5,0))</f>
        <v>3.55</v>
      </c>
      <c r="Y50" s="6">
        <f>INDEX(DriversGams!$A$5:$AN$26,MATCH(Drivers!$A50,DriversGams!$A$5:$A$26,0),MATCH(Drivers!Y$3,DriversGams!$A$5:$AN$5,0))</f>
        <v>5</v>
      </c>
      <c r="Z50" s="6">
        <f>INDEX(DriversGams!$A$5:$AN$26,MATCH(Drivers!$A50,DriversGams!$A$5:$A$26,0),MATCH(Drivers!Z$3,DriversGams!$A$5:$AN$5,0))</f>
        <v>6.69</v>
      </c>
      <c r="AA50" s="6">
        <f>INDEX(DriversGams!$A$5:$AN$26,MATCH(Drivers!$A50,DriversGams!$A$5:$A$26,0),MATCH(Drivers!AA$3,DriversGams!$A$5:$AN$5,0))</f>
        <v>8.19</v>
      </c>
      <c r="AB50" s="6">
        <f>INDEX(DriversGams!$A$5:$AN$26,MATCH(Drivers!$A50,DriversGams!$A$5:$A$26,0),MATCH(Drivers!AB$3,DriversGams!$A$5:$AN$5,0))</f>
        <v>20.63</v>
      </c>
      <c r="AC50" s="6">
        <f>INDEX(DriversGams!$A$5:$AN$26,MATCH(Drivers!$A50,DriversGams!$A$5:$A$26,0),MATCH(Drivers!AC$3,DriversGams!$A$5:$AN$5,0))</f>
        <v>25.37</v>
      </c>
      <c r="AD50" s="6">
        <f>INDEX(DriversGams!$A$5:$AN$26,MATCH(Drivers!$A50,DriversGams!$A$5:$A$26,0),MATCH(Drivers!AD$3,DriversGams!$A$5:$AN$5,0))</f>
        <v>30.06</v>
      </c>
      <c r="AE50" s="6">
        <f>INDEX(DriversGams!$A$5:$AN$26,MATCH(Drivers!$A50,DriversGams!$A$5:$A$26,0),MATCH(Drivers!AE$3,DriversGams!$A$5:$AN$5,0))</f>
        <v>34.76</v>
      </c>
      <c r="AF50" s="6">
        <f>INDEX(DriversGams!$A$5:$AN$26,MATCH(Drivers!$A50,DriversGams!$A$5:$A$26,0),MATCH(Drivers!AF$3,DriversGams!$A$5:$AN$5,0))</f>
        <v>46.55</v>
      </c>
      <c r="AG50" s="6">
        <f>INDEX(DriversGams!$A$5:$AN$26,MATCH(Drivers!$A50,DriversGams!$A$5:$A$26,0),MATCH(Drivers!AG$3,DriversGams!$A$5:$AN$5,0))</f>
        <v>58.88</v>
      </c>
      <c r="AH50" s="112"/>
      <c r="AI50" s="112"/>
      <c r="AJ50" s="112"/>
      <c r="AK50" s="112"/>
      <c r="AL50" s="112"/>
      <c r="AM50" s="112"/>
      <c r="AO50">
        <f t="shared" si="84"/>
        <v>5</v>
      </c>
    </row>
    <row r="51" spans="1:41">
      <c r="A51" s="120" t="s">
        <v>720</v>
      </c>
      <c r="B51">
        <f t="shared" si="83"/>
        <v>7</v>
      </c>
      <c r="C51" s="284">
        <v>0.28999999999999998</v>
      </c>
      <c r="D51" s="284">
        <v>0.28999999999999998</v>
      </c>
      <c r="E51" s="284">
        <v>0.28999999999999998</v>
      </c>
      <c r="F51" s="284">
        <v>0.28999999999999998</v>
      </c>
      <c r="G51" s="284">
        <v>0.28999999999999998</v>
      </c>
      <c r="H51" s="284">
        <v>0.28999999999999998</v>
      </c>
      <c r="I51" s="284">
        <v>0.28999999999999998</v>
      </c>
      <c r="J51" s="6">
        <f>INDEX(DriversGams!$A$5:$AN$26,MATCH(Drivers!$A51,DriversGams!$A$5:$A$26,0),MATCH(Drivers!J$3,DriversGams!$A$5:$AN$5,0))</f>
        <v>0.28999999999999998</v>
      </c>
      <c r="K51" s="6">
        <f>INDEX(DriversGams!$A$5:$AN$26,MATCH(Drivers!$A51,DriversGams!$A$5:$A$26,0),MATCH(Drivers!K$3,DriversGams!$A$5:$AN$5,0))</f>
        <v>0.28999999999999998</v>
      </c>
      <c r="L51" s="6">
        <f>INDEX(DriversGams!$A$5:$AN$26,MATCH(Drivers!$A51,DriversGams!$A$5:$A$26,0),MATCH(Drivers!L$3,DriversGams!$A$5:$AN$5,0))</f>
        <v>0.28999999999999998</v>
      </c>
      <c r="M51" s="6">
        <f>INDEX(DriversGams!$A$5:$AN$26,MATCH(Drivers!$A51,DriversGams!$A$5:$A$26,0),MATCH(Drivers!M$3,DriversGams!$A$5:$AN$5,0))</f>
        <v>0.28999999999999998</v>
      </c>
      <c r="N51" s="6">
        <f>INDEX(DriversGams!$A$5:$AN$26,MATCH(Drivers!$A51,DriversGams!$A$5:$A$26,0),MATCH(Drivers!N$3,DriversGams!$A$5:$AN$5,0))</f>
        <v>0.28999999999999998</v>
      </c>
      <c r="O51" s="6">
        <f>INDEX(DriversGams!$A$5:$AN$26,MATCH(Drivers!$A51,DriversGams!$A$5:$A$26,0),MATCH(Drivers!O$3,DriversGams!$A$5:$AN$5,0))</f>
        <v>0.28999999999999998</v>
      </c>
      <c r="P51" s="6">
        <f>INDEX(DriversGams!$A$5:$AN$26,MATCH(Drivers!$A51,DriversGams!$A$5:$A$26,0),MATCH(Drivers!P$3,DriversGams!$A$5:$AN$5,0))</f>
        <v>0.28999999999999998</v>
      </c>
      <c r="Q51" s="6">
        <f>INDEX(DriversGams!$A$5:$AN$26,MATCH(Drivers!$A51,DriversGams!$A$5:$A$26,0),MATCH(Drivers!Q$3,DriversGams!$A$5:$AN$5,0))</f>
        <v>0.28999999999999998</v>
      </c>
      <c r="R51" s="6">
        <f>INDEX(DriversGams!$A$5:$AN$26,MATCH(Drivers!$A51,DriversGams!$A$5:$A$26,0),MATCH(Drivers!R$3,DriversGams!$A$5:$AN$5,0))</f>
        <v>0.28999999999999998</v>
      </c>
      <c r="S51" s="6">
        <f>INDEX(DriversGams!$A$5:$AN$26,MATCH(Drivers!$A51,DriversGams!$A$5:$A$26,0),MATCH(Drivers!S$3,DriversGams!$A$5:$AN$5,0))</f>
        <v>0.28999999999999998</v>
      </c>
      <c r="T51" s="6">
        <f>INDEX(DriversGams!$A$5:$AN$26,MATCH(Drivers!$A51,DriversGams!$A$5:$A$26,0),MATCH(Drivers!T$3,DriversGams!$A$5:$AN$5,0))</f>
        <v>0.28999999999999998</v>
      </c>
      <c r="U51" s="6">
        <f>INDEX(DriversGams!$A$5:$AN$26,MATCH(Drivers!$A51,DriversGams!$A$5:$A$26,0),MATCH(Drivers!U$3,DriversGams!$A$5:$AN$5,0))</f>
        <v>0.28999999999999998</v>
      </c>
      <c r="V51" s="6">
        <f>INDEX(DriversGams!$A$5:$AN$26,MATCH(Drivers!$A51,DriversGams!$A$5:$A$26,0),MATCH(Drivers!V$3,DriversGams!$A$5:$AN$5,0))</f>
        <v>1.63</v>
      </c>
      <c r="W51" s="6">
        <f>INDEX(DriversGams!$A$5:$AN$26,MATCH(Drivers!$A51,DriversGams!$A$5:$A$26,0),MATCH(Drivers!W$3,DriversGams!$A$5:$AN$5,0))</f>
        <v>1.77</v>
      </c>
      <c r="X51" s="6">
        <f>INDEX(DriversGams!$A$5:$AN$26,MATCH(Drivers!$A51,DriversGams!$A$5:$A$26,0),MATCH(Drivers!X$3,DriversGams!$A$5:$AN$5,0))</f>
        <v>1.5</v>
      </c>
      <c r="Y51" s="6">
        <f>INDEX(DriversGams!$A$5:$AN$26,MATCH(Drivers!$A51,DriversGams!$A$5:$A$26,0),MATCH(Drivers!Y$3,DriversGams!$A$5:$AN$5,0))</f>
        <v>1.96</v>
      </c>
      <c r="Z51" s="6">
        <f>INDEX(DriversGams!$A$5:$AN$26,MATCH(Drivers!$A51,DriversGams!$A$5:$A$26,0),MATCH(Drivers!Z$3,DriversGams!$A$5:$AN$5,0))</f>
        <v>2.0499999999999998</v>
      </c>
      <c r="AA51" s="6">
        <f>INDEX(DriversGams!$A$5:$AN$26,MATCH(Drivers!$A51,DriversGams!$A$5:$A$26,0),MATCH(Drivers!AA$3,DriversGams!$A$5:$AN$5,0))</f>
        <v>2.16</v>
      </c>
      <c r="AB51" s="6">
        <f>INDEX(DriversGams!$A$5:$AN$26,MATCH(Drivers!$A51,DriversGams!$A$5:$A$26,0),MATCH(Drivers!AB$3,DriversGams!$A$5:$AN$5,0))</f>
        <v>5.39</v>
      </c>
      <c r="AC51" s="6">
        <f>INDEX(DriversGams!$A$5:$AN$26,MATCH(Drivers!$A51,DriversGams!$A$5:$A$26,0),MATCH(Drivers!AC$3,DriversGams!$A$5:$AN$5,0))</f>
        <v>11.2</v>
      </c>
      <c r="AD51" s="6">
        <f>INDEX(DriversGams!$A$5:$AN$26,MATCH(Drivers!$A51,DriversGams!$A$5:$A$26,0),MATCH(Drivers!AD$3,DriversGams!$A$5:$AN$5,0))</f>
        <v>16.98</v>
      </c>
      <c r="AE51" s="6">
        <f>INDEX(DriversGams!$A$5:$AN$26,MATCH(Drivers!$A51,DriversGams!$A$5:$A$26,0),MATCH(Drivers!AE$3,DriversGams!$A$5:$AN$5,0))</f>
        <v>22.75</v>
      </c>
      <c r="AF51" s="6">
        <f>INDEX(DriversGams!$A$5:$AN$26,MATCH(Drivers!$A51,DriversGams!$A$5:$A$26,0),MATCH(Drivers!AF$3,DriversGams!$A$5:$AN$5,0))</f>
        <v>34.869999999999997</v>
      </c>
      <c r="AG51" s="6">
        <f>INDEX(DriversGams!$A$5:$AN$26,MATCH(Drivers!$A51,DriversGams!$A$5:$A$26,0),MATCH(Drivers!AG$3,DriversGams!$A$5:$AN$5,0))</f>
        <v>31.46</v>
      </c>
      <c r="AH51" s="112"/>
      <c r="AI51" s="112"/>
      <c r="AJ51" s="112"/>
      <c r="AK51" s="112"/>
      <c r="AL51" s="112"/>
      <c r="AM51" s="112"/>
      <c r="AO51">
        <f t="shared" si="84"/>
        <v>6</v>
      </c>
    </row>
    <row r="52" spans="1:41">
      <c r="A52" s="120" t="s">
        <v>721</v>
      </c>
      <c r="B52">
        <f t="shared" si="83"/>
        <v>8</v>
      </c>
      <c r="C52" s="284">
        <v>0.08</v>
      </c>
      <c r="D52" s="284">
        <v>0.08</v>
      </c>
      <c r="E52" s="284">
        <v>0.08</v>
      </c>
      <c r="F52" s="284">
        <v>0.08</v>
      </c>
      <c r="G52" s="284">
        <v>0.08</v>
      </c>
      <c r="H52" s="284">
        <v>0.08</v>
      </c>
      <c r="I52" s="284">
        <v>0.08</v>
      </c>
      <c r="J52" s="6">
        <f>INDEX(DriversGams!$A$5:$AN$26,MATCH(Drivers!$A52,DriversGams!$A$5:$A$26,0),MATCH(Drivers!J$3,DriversGams!$A$5:$AN$5,0))</f>
        <v>0.08</v>
      </c>
      <c r="K52" s="6">
        <f>INDEX(DriversGams!$A$5:$AN$26,MATCH(Drivers!$A52,DriversGams!$A$5:$A$26,0),MATCH(Drivers!K$3,DriversGams!$A$5:$AN$5,0))</f>
        <v>0.08</v>
      </c>
      <c r="L52" s="6">
        <f>INDEX(DriversGams!$A$5:$AN$26,MATCH(Drivers!$A52,DriversGams!$A$5:$A$26,0),MATCH(Drivers!L$3,DriversGams!$A$5:$AN$5,0))</f>
        <v>0.08</v>
      </c>
      <c r="M52" s="6">
        <f>INDEX(DriversGams!$A$5:$AN$26,MATCH(Drivers!$A52,DriversGams!$A$5:$A$26,0),MATCH(Drivers!M$3,DriversGams!$A$5:$AN$5,0))</f>
        <v>0.08</v>
      </c>
      <c r="N52" s="6">
        <f>INDEX(DriversGams!$A$5:$AN$26,MATCH(Drivers!$A52,DriversGams!$A$5:$A$26,0),MATCH(Drivers!N$3,DriversGams!$A$5:$AN$5,0))</f>
        <v>0.12</v>
      </c>
      <c r="O52" s="6">
        <f>INDEX(DriversGams!$A$5:$AN$26,MATCH(Drivers!$A52,DriversGams!$A$5:$A$26,0),MATCH(Drivers!O$3,DriversGams!$A$5:$AN$5,0))</f>
        <v>0.16</v>
      </c>
      <c r="P52" s="6">
        <f>INDEX(DriversGams!$A$5:$AN$26,MATCH(Drivers!$A52,DriversGams!$A$5:$A$26,0),MATCH(Drivers!P$3,DriversGams!$A$5:$AN$5,0))</f>
        <v>0.2</v>
      </c>
      <c r="Q52" s="6">
        <f>INDEX(DriversGams!$A$5:$AN$26,MATCH(Drivers!$A52,DriversGams!$A$5:$A$26,0),MATCH(Drivers!Q$3,DriversGams!$A$5:$AN$5,0))</f>
        <v>0.23</v>
      </c>
      <c r="R52" s="6">
        <f>INDEX(DriversGams!$A$5:$AN$26,MATCH(Drivers!$A52,DriversGams!$A$5:$A$26,0),MATCH(Drivers!R$3,DriversGams!$A$5:$AN$5,0))</f>
        <v>0.27</v>
      </c>
      <c r="S52" s="6">
        <f>INDEX(DriversGams!$A$5:$AN$26,MATCH(Drivers!$A52,DriversGams!$A$5:$A$26,0),MATCH(Drivers!S$3,DriversGams!$A$5:$AN$5,0))</f>
        <v>0.31</v>
      </c>
      <c r="T52" s="6">
        <f>INDEX(DriversGams!$A$5:$AN$26,MATCH(Drivers!$A52,DriversGams!$A$5:$A$26,0),MATCH(Drivers!T$3,DriversGams!$A$5:$AN$5,0))</f>
        <v>0.35</v>
      </c>
      <c r="U52" s="6">
        <f>INDEX(DriversGams!$A$5:$AN$26,MATCH(Drivers!$A52,DriversGams!$A$5:$A$26,0),MATCH(Drivers!U$3,DriversGams!$A$5:$AN$5,0))</f>
        <v>1.99</v>
      </c>
      <c r="V52" s="6">
        <f>INDEX(DriversGams!$A$5:$AN$26,MATCH(Drivers!$A52,DriversGams!$A$5:$A$26,0),MATCH(Drivers!V$3,DriversGams!$A$5:$AN$5,0))</f>
        <v>1.01</v>
      </c>
      <c r="W52" s="6">
        <f>INDEX(DriversGams!$A$5:$AN$26,MATCH(Drivers!$A52,DriversGams!$A$5:$A$26,0),MATCH(Drivers!W$3,DriversGams!$A$5:$AN$5,0))</f>
        <v>1.4</v>
      </c>
      <c r="X52" s="6">
        <f>INDEX(DriversGams!$A$5:$AN$26,MATCH(Drivers!$A52,DriversGams!$A$5:$A$26,0),MATCH(Drivers!X$3,DriversGams!$A$5:$AN$5,0))</f>
        <v>1.29</v>
      </c>
      <c r="Y52" s="6">
        <f>INDEX(DriversGams!$A$5:$AN$26,MATCH(Drivers!$A52,DriversGams!$A$5:$A$26,0),MATCH(Drivers!Y$3,DriversGams!$A$5:$AN$5,0))</f>
        <v>1.66</v>
      </c>
      <c r="Z52" s="6">
        <f>INDEX(DriversGams!$A$5:$AN$26,MATCH(Drivers!$A52,DriversGams!$A$5:$A$26,0),MATCH(Drivers!Z$3,DriversGams!$A$5:$AN$5,0))</f>
        <v>2.08</v>
      </c>
      <c r="AA52" s="6">
        <f>INDEX(DriversGams!$A$5:$AN$26,MATCH(Drivers!$A52,DriversGams!$A$5:$A$26,0),MATCH(Drivers!AA$3,DriversGams!$A$5:$AN$5,0))</f>
        <v>1.84</v>
      </c>
      <c r="AB52" s="6">
        <f>INDEX(DriversGams!$A$5:$AN$26,MATCH(Drivers!$A52,DriversGams!$A$5:$A$26,0),MATCH(Drivers!AB$3,DriversGams!$A$5:$AN$5,0))</f>
        <v>8.24</v>
      </c>
      <c r="AC52" s="6">
        <f>INDEX(DriversGams!$A$5:$AN$26,MATCH(Drivers!$A52,DriversGams!$A$5:$A$26,0),MATCH(Drivers!AC$3,DriversGams!$A$5:$AN$5,0))</f>
        <v>8.2200000000000006</v>
      </c>
      <c r="AD52" s="6">
        <f>INDEX(DriversGams!$A$5:$AN$26,MATCH(Drivers!$A52,DriversGams!$A$5:$A$26,0),MATCH(Drivers!AD$3,DriversGams!$A$5:$AN$5,0))</f>
        <v>4.18</v>
      </c>
      <c r="AE52" s="6">
        <f>INDEX(DriversGams!$A$5:$AN$26,MATCH(Drivers!$A52,DriversGams!$A$5:$A$26,0),MATCH(Drivers!AE$3,DriversGams!$A$5:$AN$5,0))</f>
        <v>4.18</v>
      </c>
      <c r="AF52" s="6">
        <f>INDEX(DriversGams!$A$5:$AN$26,MATCH(Drivers!$A52,DriversGams!$A$5:$A$26,0),MATCH(Drivers!AF$3,DriversGams!$A$5:$AN$5,0))</f>
        <v>3.29</v>
      </c>
      <c r="AG52" s="6">
        <f>INDEX(DriversGams!$A$5:$AN$26,MATCH(Drivers!$A52,DriversGams!$A$5:$A$26,0),MATCH(Drivers!AG$3,DriversGams!$A$5:$AN$5,0))</f>
        <v>6.49</v>
      </c>
      <c r="AH52" s="112"/>
      <c r="AI52" s="112"/>
      <c r="AJ52" s="112"/>
      <c r="AK52" s="112"/>
      <c r="AL52" s="112"/>
      <c r="AM52" s="112"/>
      <c r="AO52">
        <f t="shared" si="84"/>
        <v>7</v>
      </c>
    </row>
    <row r="53" spans="1:41">
      <c r="A53" s="120" t="s">
        <v>388</v>
      </c>
      <c r="B53">
        <f>B50+1</f>
        <v>7</v>
      </c>
      <c r="C53" s="284">
        <v>19.344853564503961</v>
      </c>
      <c r="D53" s="284">
        <v>19.93389877641825</v>
      </c>
      <c r="E53" s="284">
        <v>20.313674916573973</v>
      </c>
      <c r="F53" s="284">
        <v>20.822458982202448</v>
      </c>
      <c r="G53" s="284">
        <v>20.887687708565075</v>
      </c>
      <c r="H53" s="284">
        <v>21.03698901557286</v>
      </c>
      <c r="I53" s="284">
        <v>21.050034760845385</v>
      </c>
      <c r="J53" s="6">
        <f>INDEX(DriversGams!$A$5:$AN$26,MATCH(Drivers!$A53,DriversGams!$A$5:$A$26,0),MATCH(Drivers!J$3,DriversGams!$A$5:$AN$5,0))</f>
        <v>20.84</v>
      </c>
      <c r="K53" s="6">
        <f>INDEX(DriversGams!$A$5:$AN$26,MATCH(Drivers!$A53,DriversGams!$A$5:$A$26,0),MATCH(Drivers!K$3,DriversGams!$A$5:$AN$5,0))</f>
        <v>19.72</v>
      </c>
      <c r="L53" s="6">
        <f>INDEX(DriversGams!$A$5:$AN$26,MATCH(Drivers!$A53,DriversGams!$A$5:$A$26,0),MATCH(Drivers!L$3,DriversGams!$A$5:$AN$5,0))</f>
        <v>19.940000000000001</v>
      </c>
      <c r="M53" s="6">
        <f>INDEX(DriversGams!$A$5:$AN$26,MATCH(Drivers!$A53,DriversGams!$A$5:$A$26,0),MATCH(Drivers!M$3,DriversGams!$A$5:$AN$5,0))</f>
        <v>20.03</v>
      </c>
      <c r="N53" s="6">
        <f>INDEX(DriversGams!$A$5:$AN$26,MATCH(Drivers!$A53,DriversGams!$A$5:$A$26,0),MATCH(Drivers!N$3,DriversGams!$A$5:$AN$5,0))</f>
        <v>20.239999999999998</v>
      </c>
      <c r="O53" s="6">
        <f>INDEX(DriversGams!$A$5:$AN$26,MATCH(Drivers!$A53,DriversGams!$A$5:$A$26,0),MATCH(Drivers!O$3,DriversGams!$A$5:$AN$5,0))</f>
        <v>20.52</v>
      </c>
      <c r="P53" s="6">
        <f>INDEX(DriversGams!$A$5:$AN$26,MATCH(Drivers!$A53,DriversGams!$A$5:$A$26,0),MATCH(Drivers!P$3,DriversGams!$A$5:$AN$5,0))</f>
        <v>20.81</v>
      </c>
      <c r="Q53" s="6">
        <f>INDEX(DriversGams!$A$5:$AN$26,MATCH(Drivers!$A53,DriversGams!$A$5:$A$26,0),MATCH(Drivers!Q$3,DriversGams!$A$5:$AN$5,0))</f>
        <v>21.19</v>
      </c>
      <c r="R53" s="6">
        <f>INDEX(DriversGams!$A$5:$AN$26,MATCH(Drivers!$A53,DriversGams!$A$5:$A$26,0),MATCH(Drivers!R$3,DriversGams!$A$5:$AN$5,0))</f>
        <v>21.52</v>
      </c>
      <c r="S53" s="6">
        <f>INDEX(DriversGams!$A$5:$AN$26,MATCH(Drivers!$A53,DriversGams!$A$5:$A$26,0),MATCH(Drivers!S$3,DriversGams!$A$5:$AN$5,0))</f>
        <v>22.23</v>
      </c>
      <c r="T53" s="6">
        <f>INDEX(DriversGams!$A$5:$AN$26,MATCH(Drivers!$A53,DriversGams!$A$5:$A$26,0),MATCH(Drivers!T$3,DriversGams!$A$5:$AN$5,0))</f>
        <v>22.78</v>
      </c>
      <c r="U53" s="6">
        <f>INDEX(DriversGams!$A$5:$AN$26,MATCH(Drivers!$A53,DriversGams!$A$5:$A$26,0),MATCH(Drivers!U$3,DriversGams!$A$5:$AN$5,0))</f>
        <v>23.14</v>
      </c>
      <c r="V53" s="6">
        <f>INDEX(DriversGams!$A$5:$AN$26,MATCH(Drivers!$A53,DriversGams!$A$5:$A$26,0),MATCH(Drivers!V$3,DriversGams!$A$5:$AN$5,0))</f>
        <v>23.45</v>
      </c>
      <c r="W53" s="6">
        <f>INDEX(DriversGams!$A$5:$AN$26,MATCH(Drivers!$A53,DriversGams!$A$5:$A$26,0),MATCH(Drivers!W$3,DriversGams!$A$5:$AN$5,0))</f>
        <v>23.78</v>
      </c>
      <c r="X53" s="6">
        <f>INDEX(DriversGams!$A$5:$AN$26,MATCH(Drivers!$A53,DriversGams!$A$5:$A$26,0),MATCH(Drivers!X$3,DriversGams!$A$5:$AN$5,0))</f>
        <v>24.2</v>
      </c>
      <c r="Y53" s="6">
        <f>INDEX(DriversGams!$A$5:$AN$26,MATCH(Drivers!$A53,DriversGams!$A$5:$A$26,0),MATCH(Drivers!Y$3,DriversGams!$A$5:$AN$5,0))</f>
        <v>24.71</v>
      </c>
      <c r="Z53" s="6">
        <f>INDEX(DriversGams!$A$5:$AN$26,MATCH(Drivers!$A53,DriversGams!$A$5:$A$26,0),MATCH(Drivers!Z$3,DriversGams!$A$5:$AN$5,0))</f>
        <v>25.82</v>
      </c>
      <c r="AA53" s="6">
        <f>INDEX(DriversGams!$A$5:$AN$26,MATCH(Drivers!$A53,DriversGams!$A$5:$A$26,0),MATCH(Drivers!AA$3,DriversGams!$A$5:$AN$5,0))</f>
        <v>26.77</v>
      </c>
      <c r="AB53" s="6">
        <f>INDEX(DriversGams!$A$5:$AN$26,MATCH(Drivers!$A53,DriversGams!$A$5:$A$26,0),MATCH(Drivers!AB$3,DriversGams!$A$5:$AN$5,0))</f>
        <v>27.15</v>
      </c>
      <c r="AC53" s="6">
        <f>INDEX(DriversGams!$A$5:$AN$26,MATCH(Drivers!$A53,DriversGams!$A$5:$A$26,0),MATCH(Drivers!AC$3,DriversGams!$A$5:$AN$5,0))</f>
        <v>27.58</v>
      </c>
      <c r="AD53" s="6">
        <f>INDEX(DriversGams!$A$5:$AN$26,MATCH(Drivers!$A53,DriversGams!$A$5:$A$26,0),MATCH(Drivers!AD$3,DriversGams!$A$5:$AN$5,0))</f>
        <v>27.84</v>
      </c>
      <c r="AE53" s="6">
        <f>INDEX(DriversGams!$A$5:$AN$26,MATCH(Drivers!$A53,DriversGams!$A$5:$A$26,0),MATCH(Drivers!AE$3,DriversGams!$A$5:$AN$5,0))</f>
        <v>28.57</v>
      </c>
      <c r="AF53" s="6">
        <f>INDEX(DriversGams!$A$5:$AN$26,MATCH(Drivers!$A53,DriversGams!$A$5:$A$26,0),MATCH(Drivers!AF$3,DriversGams!$A$5:$AN$5,0))</f>
        <v>30.63</v>
      </c>
      <c r="AG53" s="6">
        <f>INDEX(DriversGams!$A$5:$AN$26,MATCH(Drivers!$A53,DriversGams!$A$5:$A$26,0),MATCH(Drivers!AG$3,DriversGams!$A$5:$AN$5,0))</f>
        <v>32.22</v>
      </c>
      <c r="AH53" s="112"/>
      <c r="AI53" s="112"/>
      <c r="AJ53" s="112"/>
      <c r="AK53" s="112"/>
      <c r="AL53" s="112"/>
      <c r="AM53" s="112"/>
      <c r="AO53">
        <f>AO50+1</f>
        <v>6</v>
      </c>
    </row>
    <row r="54" spans="1:41">
      <c r="A54" s="120" t="s">
        <v>387</v>
      </c>
      <c r="B54">
        <f t="shared" si="83"/>
        <v>8</v>
      </c>
      <c r="C54" s="284">
        <v>186.51301855651582</v>
      </c>
      <c r="D54" s="284">
        <v>191.20040429598868</v>
      </c>
      <c r="E54" s="284">
        <v>192.19084947996168</v>
      </c>
      <c r="F54" s="284">
        <v>198.3568473622208</v>
      </c>
      <c r="G54" s="284">
        <v>195.64424405359443</v>
      </c>
      <c r="H54" s="284">
        <v>201.78663829260577</v>
      </c>
      <c r="I54" s="284">
        <v>200.62824410860065</v>
      </c>
      <c r="J54" s="6">
        <f>INDEX(DriversGams!$A$5:$AN$26,MATCH(Drivers!$A54,DriversGams!$A$5:$A$26,0),MATCH(Drivers!J$3,DriversGams!$A$5:$AN$5,0))</f>
        <v>197.32</v>
      </c>
      <c r="K54" s="6">
        <f>INDEX(DriversGams!$A$5:$AN$26,MATCH(Drivers!$A54,DriversGams!$A$5:$A$26,0),MATCH(Drivers!K$3,DriversGams!$A$5:$AN$5,0))</f>
        <v>188.75</v>
      </c>
      <c r="L54" s="6">
        <f>INDEX(DriversGams!$A$5:$AN$26,MATCH(Drivers!$A54,DriversGams!$A$5:$A$26,0),MATCH(Drivers!L$3,DriversGams!$A$5:$AN$5,0))</f>
        <v>193.27</v>
      </c>
      <c r="M54" s="6">
        <f>INDEX(DriversGams!$A$5:$AN$26,MATCH(Drivers!$A54,DriversGams!$A$5:$A$26,0),MATCH(Drivers!M$3,DriversGams!$A$5:$AN$5,0))</f>
        <v>196.31</v>
      </c>
      <c r="N54" s="6">
        <f>INDEX(DriversGams!$A$5:$AN$26,MATCH(Drivers!$A54,DriversGams!$A$5:$A$26,0),MATCH(Drivers!N$3,DriversGams!$A$5:$AN$5,0))</f>
        <v>199.37</v>
      </c>
      <c r="O54" s="6">
        <f>INDEX(DriversGams!$A$5:$AN$26,MATCH(Drivers!$A54,DriversGams!$A$5:$A$26,0),MATCH(Drivers!O$3,DriversGams!$A$5:$AN$5,0))</f>
        <v>202.51</v>
      </c>
      <c r="P54" s="6">
        <f>INDEX(DriversGams!$A$5:$AN$26,MATCH(Drivers!$A54,DriversGams!$A$5:$A$26,0),MATCH(Drivers!P$3,DriversGams!$A$5:$AN$5,0))</f>
        <v>205.34</v>
      </c>
      <c r="Q54" s="6">
        <f>INDEX(DriversGams!$A$5:$AN$26,MATCH(Drivers!$A54,DriversGams!$A$5:$A$26,0),MATCH(Drivers!Q$3,DriversGams!$A$5:$AN$5,0))</f>
        <v>207.91</v>
      </c>
      <c r="R54" s="6">
        <f>INDEX(DriversGams!$A$5:$AN$26,MATCH(Drivers!$A54,DriversGams!$A$5:$A$26,0),MATCH(Drivers!R$3,DriversGams!$A$5:$AN$5,0))</f>
        <v>210.39</v>
      </c>
      <c r="S54" s="6">
        <f>INDEX(DriversGams!$A$5:$AN$26,MATCH(Drivers!$A54,DriversGams!$A$5:$A$26,0),MATCH(Drivers!S$3,DriversGams!$A$5:$AN$5,0))</f>
        <v>216.65</v>
      </c>
      <c r="T54" s="6">
        <f>INDEX(DriversGams!$A$5:$AN$26,MATCH(Drivers!$A54,DriversGams!$A$5:$A$26,0),MATCH(Drivers!T$3,DriversGams!$A$5:$AN$5,0))</f>
        <v>221.84</v>
      </c>
      <c r="U54" s="6">
        <f>INDEX(DriversGams!$A$5:$AN$26,MATCH(Drivers!$A54,DriversGams!$A$5:$A$26,0),MATCH(Drivers!U$3,DriversGams!$A$5:$AN$5,0))</f>
        <v>224.93</v>
      </c>
      <c r="V54" s="6">
        <f>INDEX(DriversGams!$A$5:$AN$26,MATCH(Drivers!$A54,DriversGams!$A$5:$A$26,0),MATCH(Drivers!V$3,DriversGams!$A$5:$AN$5,0))</f>
        <v>227.79</v>
      </c>
      <c r="W54" s="6">
        <f>INDEX(DriversGams!$A$5:$AN$26,MATCH(Drivers!$A54,DriversGams!$A$5:$A$26,0),MATCH(Drivers!W$3,DriversGams!$A$5:$AN$5,0))</f>
        <v>230</v>
      </c>
      <c r="X54" s="6">
        <f>INDEX(DriversGams!$A$5:$AN$26,MATCH(Drivers!$A54,DriversGams!$A$5:$A$26,0),MATCH(Drivers!X$3,DriversGams!$A$5:$AN$5,0))</f>
        <v>232.79</v>
      </c>
      <c r="Y54" s="6">
        <f>INDEX(DriversGams!$A$5:$AN$26,MATCH(Drivers!$A54,DriversGams!$A$5:$A$26,0),MATCH(Drivers!Y$3,DriversGams!$A$5:$AN$5,0))</f>
        <v>235.36</v>
      </c>
      <c r="Z54" s="6">
        <f>INDEX(DriversGams!$A$5:$AN$26,MATCH(Drivers!$A54,DriversGams!$A$5:$A$26,0),MATCH(Drivers!Z$3,DriversGams!$A$5:$AN$5,0))</f>
        <v>242.48</v>
      </c>
      <c r="AA54" s="6">
        <f>INDEX(DriversGams!$A$5:$AN$26,MATCH(Drivers!$A54,DriversGams!$A$5:$A$26,0),MATCH(Drivers!AA$3,DriversGams!$A$5:$AN$5,0))</f>
        <v>250.03</v>
      </c>
      <c r="AB54" s="6">
        <f>INDEX(DriversGams!$A$5:$AN$26,MATCH(Drivers!$A54,DriversGams!$A$5:$A$26,0),MATCH(Drivers!AB$3,DriversGams!$A$5:$AN$5,0))</f>
        <v>252.13</v>
      </c>
      <c r="AC54" s="6">
        <f>INDEX(DriversGams!$A$5:$AN$26,MATCH(Drivers!$A54,DriversGams!$A$5:$A$26,0),MATCH(Drivers!AC$3,DriversGams!$A$5:$AN$5,0))</f>
        <v>254.81</v>
      </c>
      <c r="AD54" s="6">
        <f>INDEX(DriversGams!$A$5:$AN$26,MATCH(Drivers!$A54,DriversGams!$A$5:$A$26,0),MATCH(Drivers!AD$3,DriversGams!$A$5:$AN$5,0))</f>
        <v>254.84</v>
      </c>
      <c r="AE54" s="6">
        <f>INDEX(DriversGams!$A$5:$AN$26,MATCH(Drivers!$A54,DriversGams!$A$5:$A$26,0),MATCH(Drivers!AE$3,DriversGams!$A$5:$AN$5,0))</f>
        <v>258.02</v>
      </c>
      <c r="AF54" s="6">
        <f>INDEX(DriversGams!$A$5:$AN$26,MATCH(Drivers!$A54,DriversGams!$A$5:$A$26,0),MATCH(Drivers!AF$3,DriversGams!$A$5:$AN$5,0))</f>
        <v>264.62</v>
      </c>
      <c r="AG54" s="6">
        <f>INDEX(DriversGams!$A$5:$AN$26,MATCH(Drivers!$A54,DriversGams!$A$5:$A$26,0),MATCH(Drivers!AG$3,DriversGams!$A$5:$AN$5,0))</f>
        <v>261.68</v>
      </c>
      <c r="AH54" s="112"/>
      <c r="AI54" s="112"/>
      <c r="AJ54" s="112"/>
      <c r="AK54" s="112"/>
      <c r="AL54" s="112"/>
      <c r="AM54" s="112"/>
      <c r="AO54">
        <f t="shared" si="84"/>
        <v>7</v>
      </c>
    </row>
    <row r="55" spans="1:41">
      <c r="A55" s="120" t="s">
        <v>718</v>
      </c>
      <c r="B55">
        <f t="shared" si="83"/>
        <v>9</v>
      </c>
      <c r="C55" s="284">
        <v>91.99927686334776</v>
      </c>
      <c r="D55" s="284">
        <v>94.311373368720652</v>
      </c>
      <c r="E55" s="284">
        <v>94.799919645026264</v>
      </c>
      <c r="F55" s="284">
        <v>97.841355308332979</v>
      </c>
      <c r="G55" s="284">
        <v>96.503338558927737</v>
      </c>
      <c r="H55" s="284">
        <v>99.533131506208818</v>
      </c>
      <c r="I55" s="284">
        <v>98.961742827413289</v>
      </c>
      <c r="J55" s="6">
        <f>INDEX(DriversGams!$A$5:$AN$26,MATCH(Drivers!$A55,DriversGams!$A$5:$A$26,0),MATCH(Drivers!J$3,DriversGams!$A$5:$AN$5,0))</f>
        <v>97.82</v>
      </c>
      <c r="K55" s="6">
        <f>INDEX(DriversGams!$A$5:$AN$26,MATCH(Drivers!$A55,DriversGams!$A$5:$A$26,0),MATCH(Drivers!K$3,DriversGams!$A$5:$AN$5,0))</f>
        <v>74.11</v>
      </c>
      <c r="L55" s="6">
        <f>INDEX(DriversGams!$A$5:$AN$26,MATCH(Drivers!$A55,DriversGams!$A$5:$A$26,0),MATCH(Drivers!L$3,DriversGams!$A$5:$AN$5,0))</f>
        <v>78.11</v>
      </c>
      <c r="M55" s="6">
        <f>INDEX(DriversGams!$A$5:$AN$26,MATCH(Drivers!$A55,DriversGams!$A$5:$A$26,0),MATCH(Drivers!M$3,DriversGams!$A$5:$AN$5,0))</f>
        <v>82.05</v>
      </c>
      <c r="N55" s="6">
        <f>INDEX(DriversGams!$A$5:$AN$26,MATCH(Drivers!$A55,DriversGams!$A$5:$A$26,0),MATCH(Drivers!N$3,DriversGams!$A$5:$AN$5,0))</f>
        <v>86.08</v>
      </c>
      <c r="O55" s="6">
        <f>INDEX(DriversGams!$A$5:$AN$26,MATCH(Drivers!$A55,DriversGams!$A$5:$A$26,0),MATCH(Drivers!O$3,DriversGams!$A$5:$AN$5,0))</f>
        <v>90.14</v>
      </c>
      <c r="P55" s="6">
        <f>INDEX(DriversGams!$A$5:$AN$26,MATCH(Drivers!$A55,DriversGams!$A$5:$A$26,0),MATCH(Drivers!P$3,DriversGams!$A$5:$AN$5,0))</f>
        <v>94.22</v>
      </c>
      <c r="Q55" s="6">
        <f>INDEX(DriversGams!$A$5:$AN$26,MATCH(Drivers!$A55,DriversGams!$A$5:$A$26,0),MATCH(Drivers!Q$3,DriversGams!$A$5:$AN$5,0))</f>
        <v>94.74</v>
      </c>
      <c r="R55" s="6">
        <f>INDEX(DriversGams!$A$5:$AN$26,MATCH(Drivers!$A55,DriversGams!$A$5:$A$26,0),MATCH(Drivers!R$3,DriversGams!$A$5:$AN$5,0))</f>
        <v>95.24</v>
      </c>
      <c r="S55" s="6">
        <f>INDEX(DriversGams!$A$5:$AN$26,MATCH(Drivers!$A55,DriversGams!$A$5:$A$26,0),MATCH(Drivers!S$3,DriversGams!$A$5:$AN$5,0))</f>
        <v>95.95</v>
      </c>
      <c r="T55" s="6">
        <f>INDEX(DriversGams!$A$5:$AN$26,MATCH(Drivers!$A55,DriversGams!$A$5:$A$26,0),MATCH(Drivers!T$3,DriversGams!$A$5:$AN$5,0))</f>
        <v>96.56</v>
      </c>
      <c r="U55" s="6">
        <f>INDEX(DriversGams!$A$5:$AN$26,MATCH(Drivers!$A55,DriversGams!$A$5:$A$26,0),MATCH(Drivers!U$3,DriversGams!$A$5:$AN$5,0))</f>
        <v>97.04</v>
      </c>
      <c r="V55" s="6">
        <f>INDEX(DriversGams!$A$5:$AN$26,MATCH(Drivers!$A55,DriversGams!$A$5:$A$26,0),MATCH(Drivers!V$3,DriversGams!$A$5:$AN$5,0))</f>
        <v>98.98</v>
      </c>
      <c r="W55" s="6">
        <f>INDEX(DriversGams!$A$5:$AN$26,MATCH(Drivers!$A55,DriversGams!$A$5:$A$26,0),MATCH(Drivers!W$3,DriversGams!$A$5:$AN$5,0))</f>
        <v>100.95</v>
      </c>
      <c r="X55" s="6">
        <f>INDEX(DriversGams!$A$5:$AN$26,MATCH(Drivers!$A55,DriversGams!$A$5:$A$26,0),MATCH(Drivers!X$3,DriversGams!$A$5:$AN$5,0))</f>
        <v>102.96</v>
      </c>
      <c r="Y55" s="6">
        <f>INDEX(DriversGams!$A$5:$AN$26,MATCH(Drivers!$A55,DriversGams!$A$5:$A$26,0),MATCH(Drivers!Y$3,DriversGams!$A$5:$AN$5,0))</f>
        <v>105</v>
      </c>
      <c r="Z55" s="6">
        <f>INDEX(DriversGams!$A$5:$AN$26,MATCH(Drivers!$A55,DriversGams!$A$5:$A$26,0),MATCH(Drivers!Z$3,DriversGams!$A$5:$AN$5,0))</f>
        <v>107.44</v>
      </c>
      <c r="AA55" s="6">
        <f>INDEX(DriversGams!$A$5:$AN$26,MATCH(Drivers!$A55,DriversGams!$A$5:$A$26,0),MATCH(Drivers!AA$3,DriversGams!$A$5:$AN$5,0))</f>
        <v>109.83</v>
      </c>
      <c r="AB55" s="6">
        <f>INDEX(DriversGams!$A$5:$AN$26,MATCH(Drivers!$A55,DriversGams!$A$5:$A$26,0),MATCH(Drivers!AB$3,DriversGams!$A$5:$AN$5,0))</f>
        <v>111.69</v>
      </c>
      <c r="AC55" s="6">
        <f>INDEX(DriversGams!$A$5:$AN$26,MATCH(Drivers!$A55,DriversGams!$A$5:$A$26,0),MATCH(Drivers!AC$3,DriversGams!$A$5:$AN$5,0))</f>
        <v>113.62</v>
      </c>
      <c r="AD55" s="6">
        <f>INDEX(DriversGams!$A$5:$AN$26,MATCH(Drivers!$A55,DriversGams!$A$5:$A$26,0),MATCH(Drivers!AD$3,DriversGams!$A$5:$AN$5,0))</f>
        <v>115.47</v>
      </c>
      <c r="AE55" s="6">
        <f>INDEX(DriversGams!$A$5:$AN$26,MATCH(Drivers!$A55,DriversGams!$A$5:$A$26,0),MATCH(Drivers!AE$3,DriversGams!$A$5:$AN$5,0))</f>
        <v>117.58</v>
      </c>
      <c r="AF55" s="6">
        <f>INDEX(DriversGams!$A$5:$AN$26,MATCH(Drivers!$A55,DriversGams!$A$5:$A$26,0),MATCH(Drivers!AF$3,DriversGams!$A$5:$AN$5,0))</f>
        <v>233.11</v>
      </c>
      <c r="AG55" s="6">
        <f>INDEX(DriversGams!$A$5:$AN$26,MATCH(Drivers!$A55,DriversGams!$A$5:$A$26,0),MATCH(Drivers!AG$3,DriversGams!$A$5:$AN$5,0))</f>
        <v>348.76</v>
      </c>
      <c r="AH55" s="112"/>
      <c r="AI55" s="112"/>
      <c r="AJ55" s="112"/>
      <c r="AK55" s="112"/>
      <c r="AL55" s="112"/>
      <c r="AM55" s="112"/>
      <c r="AO55">
        <f t="shared" si="84"/>
        <v>8</v>
      </c>
    </row>
    <row r="56" spans="1:41">
      <c r="A56" s="120" t="s">
        <v>527</v>
      </c>
      <c r="B56">
        <f t="shared" si="83"/>
        <v>10</v>
      </c>
      <c r="C56" s="284">
        <v>18.748363502594032</v>
      </c>
      <c r="D56" s="284">
        <v>15.909210489014884</v>
      </c>
      <c r="E56" s="284">
        <v>14.603991495393339</v>
      </c>
      <c r="F56" s="284">
        <v>14.80978596739901</v>
      </c>
      <c r="G56" s="284">
        <v>14.414883061658401</v>
      </c>
      <c r="H56" s="284">
        <v>13.877221828490436</v>
      </c>
      <c r="I56" s="284">
        <v>13.621369241672575</v>
      </c>
      <c r="J56" s="6">
        <f>INDEX(DriversGams!$A$5:$AN$26,MATCH(Drivers!$A56,DriversGams!$A$5:$A$26,0),MATCH(Drivers!J$3,DriversGams!$A$5:$AN$5,0))</f>
        <v>13.07</v>
      </c>
      <c r="K56" s="6">
        <f>INDEX(DriversGams!$A$5:$AN$26,MATCH(Drivers!$A56,DriversGams!$A$5:$A$26,0),MATCH(Drivers!K$3,DriversGams!$A$5:$AN$5,0))</f>
        <v>12</v>
      </c>
      <c r="L56" s="6">
        <f>INDEX(DriversGams!$A$5:$AN$26,MATCH(Drivers!$A56,DriversGams!$A$5:$A$26,0),MATCH(Drivers!L$3,DriversGams!$A$5:$AN$5,0))</f>
        <v>11.38</v>
      </c>
      <c r="M56" s="6">
        <f>INDEX(DriversGams!$A$5:$AN$26,MATCH(Drivers!$A56,DriversGams!$A$5:$A$26,0),MATCH(Drivers!M$3,DriversGams!$A$5:$AN$5,0))</f>
        <v>10.67</v>
      </c>
      <c r="N56" s="6">
        <f>INDEX(DriversGams!$A$5:$AN$26,MATCH(Drivers!$A56,DriversGams!$A$5:$A$26,0),MATCH(Drivers!N$3,DriversGams!$A$5:$AN$5,0))</f>
        <v>10.46</v>
      </c>
      <c r="O56" s="6">
        <f>INDEX(DriversGams!$A$5:$AN$26,MATCH(Drivers!$A56,DriversGams!$A$5:$A$26,0),MATCH(Drivers!O$3,DriversGams!$A$5:$AN$5,0))</f>
        <v>10.46</v>
      </c>
      <c r="P56" s="6">
        <f>INDEX(DriversGams!$A$5:$AN$26,MATCH(Drivers!$A56,DriversGams!$A$5:$A$26,0),MATCH(Drivers!P$3,DriversGams!$A$5:$AN$5,0))</f>
        <v>10.61</v>
      </c>
      <c r="Q56" s="6">
        <f>INDEX(DriversGams!$A$5:$AN$26,MATCH(Drivers!$A56,DriversGams!$A$5:$A$26,0),MATCH(Drivers!Q$3,DriversGams!$A$5:$AN$5,0))</f>
        <v>11.26</v>
      </c>
      <c r="R56" s="6">
        <f>INDEX(DriversGams!$A$5:$AN$26,MATCH(Drivers!$A56,DriversGams!$A$5:$A$26,0),MATCH(Drivers!R$3,DriversGams!$A$5:$AN$5,0))</f>
        <v>11.73</v>
      </c>
      <c r="S56" s="6">
        <f>INDEX(DriversGams!$A$5:$AN$26,MATCH(Drivers!$A56,DriversGams!$A$5:$A$26,0),MATCH(Drivers!S$3,DriversGams!$A$5:$AN$5,0))</f>
        <v>13.44</v>
      </c>
      <c r="T56" s="6">
        <f>INDEX(DriversGams!$A$5:$AN$26,MATCH(Drivers!$A56,DriversGams!$A$5:$A$26,0),MATCH(Drivers!T$3,DriversGams!$A$5:$AN$5,0))</f>
        <v>14.48</v>
      </c>
      <c r="U56" s="6">
        <f>INDEX(DriversGams!$A$5:$AN$26,MATCH(Drivers!$A56,DriversGams!$A$5:$A$26,0),MATCH(Drivers!U$3,DriversGams!$A$5:$AN$5,0))</f>
        <v>14.77</v>
      </c>
      <c r="V56" s="6">
        <f>INDEX(DriversGams!$A$5:$AN$26,MATCH(Drivers!$A56,DriversGams!$A$5:$A$26,0),MATCH(Drivers!V$3,DriversGams!$A$5:$AN$5,0))</f>
        <v>14.73</v>
      </c>
      <c r="W56" s="6">
        <f>INDEX(DriversGams!$A$5:$AN$26,MATCH(Drivers!$A56,DriversGams!$A$5:$A$26,0),MATCH(Drivers!W$3,DriversGams!$A$5:$AN$5,0))</f>
        <v>14.66</v>
      </c>
      <c r="X56" s="6">
        <f>INDEX(DriversGams!$A$5:$AN$26,MATCH(Drivers!$A56,DriversGams!$A$5:$A$26,0),MATCH(Drivers!X$3,DriversGams!$A$5:$AN$5,0))</f>
        <v>14.74</v>
      </c>
      <c r="Y56" s="6">
        <f>INDEX(DriversGams!$A$5:$AN$26,MATCH(Drivers!$A56,DriversGams!$A$5:$A$26,0),MATCH(Drivers!Y$3,DriversGams!$A$5:$AN$5,0))</f>
        <v>15.04</v>
      </c>
      <c r="Z56" s="6">
        <f>INDEX(DriversGams!$A$5:$AN$26,MATCH(Drivers!$A56,DriversGams!$A$5:$A$26,0),MATCH(Drivers!Z$3,DriversGams!$A$5:$AN$5,0))</f>
        <v>17.91</v>
      </c>
      <c r="AA56" s="6">
        <f>INDEX(DriversGams!$A$5:$AN$26,MATCH(Drivers!$A56,DriversGams!$A$5:$A$26,0),MATCH(Drivers!AA$3,DriversGams!$A$5:$AN$5,0))</f>
        <v>20.67</v>
      </c>
      <c r="AB56" s="6">
        <f>INDEX(DriversGams!$A$5:$AN$26,MATCH(Drivers!$A56,DriversGams!$A$5:$A$26,0),MATCH(Drivers!AB$3,DriversGams!$A$5:$AN$5,0))</f>
        <v>20.25</v>
      </c>
      <c r="AC56" s="6">
        <f>INDEX(DriversGams!$A$5:$AN$26,MATCH(Drivers!$A56,DriversGams!$A$5:$A$26,0),MATCH(Drivers!AC$3,DriversGams!$A$5:$AN$5,0))</f>
        <v>20.36</v>
      </c>
      <c r="AD56" s="6">
        <f>INDEX(DriversGams!$A$5:$AN$26,MATCH(Drivers!$A56,DriversGams!$A$5:$A$26,0),MATCH(Drivers!AD$3,DriversGams!$A$5:$AN$5,0))</f>
        <v>19.59</v>
      </c>
      <c r="AE56" s="6">
        <f>INDEX(DriversGams!$A$5:$AN$26,MATCH(Drivers!$A56,DriversGams!$A$5:$A$26,0),MATCH(Drivers!AE$3,DriversGams!$A$5:$AN$5,0))</f>
        <v>20.77</v>
      </c>
      <c r="AF56" s="6">
        <f>INDEX(DriversGams!$A$5:$AN$26,MATCH(Drivers!$A56,DriversGams!$A$5:$A$26,0),MATCH(Drivers!AF$3,DriversGams!$A$5:$AN$5,0))</f>
        <v>17.989999999999998</v>
      </c>
      <c r="AG56" s="6">
        <f>INDEX(DriversGams!$A$5:$AN$26,MATCH(Drivers!$A56,DriversGams!$A$5:$A$26,0),MATCH(Drivers!AG$3,DriversGams!$A$5:$AN$5,0))</f>
        <v>16.690000000000001</v>
      </c>
      <c r="AH56" s="112"/>
      <c r="AI56" s="112"/>
      <c r="AJ56" s="112"/>
      <c r="AK56" s="112"/>
      <c r="AL56" s="112"/>
      <c r="AM56" s="112"/>
      <c r="AO56">
        <f>AO54+1</f>
        <v>8</v>
      </c>
    </row>
    <row r="57" spans="1:41">
      <c r="A57" s="120" t="s">
        <v>526</v>
      </c>
      <c r="B57">
        <f t="shared" si="83"/>
        <v>11</v>
      </c>
      <c r="C57" s="284">
        <v>16.099074173411047</v>
      </c>
      <c r="D57" s="284">
        <v>16.518849146566016</v>
      </c>
      <c r="E57" s="284">
        <v>16.808536607755151</v>
      </c>
      <c r="F57" s="284">
        <v>17.0461507724374</v>
      </c>
      <c r="G57" s="284">
        <v>17.232929214387152</v>
      </c>
      <c r="H57" s="284">
        <v>17.424562753451802</v>
      </c>
      <c r="I57" s="284">
        <v>17.64894439854638</v>
      </c>
      <c r="J57" s="6">
        <f>INDEX(DriversGams!$A$5:$AN$26,MATCH(Drivers!$A57,DriversGams!$A$5:$A$26,0),MATCH(Drivers!J$3,DriversGams!$A$5:$AN$5,0))</f>
        <v>17.63</v>
      </c>
      <c r="K57" s="6">
        <f>INDEX(DriversGams!$A$5:$AN$26,MATCH(Drivers!$A57,DriversGams!$A$5:$A$26,0),MATCH(Drivers!K$3,DriversGams!$A$5:$AN$5,0))</f>
        <v>16.38</v>
      </c>
      <c r="L57" s="6">
        <f>INDEX(DriversGams!$A$5:$AN$26,MATCH(Drivers!$A57,DriversGams!$A$5:$A$26,0),MATCH(Drivers!L$3,DriversGams!$A$5:$AN$5,0))</f>
        <v>16.91</v>
      </c>
      <c r="M57" s="6">
        <f>INDEX(DriversGams!$A$5:$AN$26,MATCH(Drivers!$A57,DriversGams!$A$5:$A$26,0),MATCH(Drivers!M$3,DriversGams!$A$5:$AN$5,0))</f>
        <v>17.3</v>
      </c>
      <c r="N57" s="6">
        <f>INDEX(DriversGams!$A$5:$AN$26,MATCH(Drivers!$A57,DriversGams!$A$5:$A$26,0),MATCH(Drivers!N$3,DriversGams!$A$5:$AN$5,0))</f>
        <v>17.72</v>
      </c>
      <c r="O57" s="6">
        <f>INDEX(DriversGams!$A$5:$AN$26,MATCH(Drivers!$A57,DriversGams!$A$5:$A$26,0),MATCH(Drivers!O$3,DriversGams!$A$5:$AN$5,0))</f>
        <v>18.170000000000002</v>
      </c>
      <c r="P57" s="6">
        <f>INDEX(DriversGams!$A$5:$AN$26,MATCH(Drivers!$A57,DriversGams!$A$5:$A$26,0),MATCH(Drivers!P$3,DriversGams!$A$5:$AN$5,0))</f>
        <v>18.600000000000001</v>
      </c>
      <c r="Q57" s="6">
        <f>INDEX(DriversGams!$A$5:$AN$26,MATCH(Drivers!$A57,DriversGams!$A$5:$A$26,0),MATCH(Drivers!Q$3,DriversGams!$A$5:$AN$5,0))</f>
        <v>19</v>
      </c>
      <c r="R57" s="6">
        <f>INDEX(DriversGams!$A$5:$AN$26,MATCH(Drivers!$A57,DriversGams!$A$5:$A$26,0),MATCH(Drivers!R$3,DriversGams!$A$5:$AN$5,0))</f>
        <v>19.399999999999999</v>
      </c>
      <c r="S57" s="6">
        <f>INDEX(DriversGams!$A$5:$AN$26,MATCH(Drivers!$A57,DriversGams!$A$5:$A$26,0),MATCH(Drivers!S$3,DriversGams!$A$5:$AN$5,0))</f>
        <v>19.97</v>
      </c>
      <c r="T57" s="6">
        <f>INDEX(DriversGams!$A$5:$AN$26,MATCH(Drivers!$A57,DriversGams!$A$5:$A$26,0),MATCH(Drivers!T$3,DriversGams!$A$5:$AN$5,0))</f>
        <v>20.53</v>
      </c>
      <c r="U57" s="6">
        <f>INDEX(DriversGams!$A$5:$AN$26,MATCH(Drivers!$A57,DriversGams!$A$5:$A$26,0),MATCH(Drivers!U$3,DriversGams!$A$5:$AN$5,0))</f>
        <v>20.99</v>
      </c>
      <c r="V57" s="6">
        <f>INDEX(DriversGams!$A$5:$AN$26,MATCH(Drivers!$A57,DriversGams!$A$5:$A$26,0),MATCH(Drivers!V$3,DriversGams!$A$5:$AN$5,0))</f>
        <v>21.51</v>
      </c>
      <c r="W57" s="6">
        <f>INDEX(DriversGams!$A$5:$AN$26,MATCH(Drivers!$A57,DriversGams!$A$5:$A$26,0),MATCH(Drivers!W$3,DriversGams!$A$5:$AN$5,0))</f>
        <v>22.03</v>
      </c>
      <c r="X57" s="6">
        <f>INDEX(DriversGams!$A$5:$AN$26,MATCH(Drivers!$A57,DriversGams!$A$5:$A$26,0),MATCH(Drivers!X$3,DriversGams!$A$5:$AN$5,0))</f>
        <v>22.68</v>
      </c>
      <c r="Y57" s="6">
        <f>INDEX(DriversGams!$A$5:$AN$26,MATCH(Drivers!$A57,DriversGams!$A$5:$A$26,0),MATCH(Drivers!Y$3,DriversGams!$A$5:$AN$5,0))</f>
        <v>23.35</v>
      </c>
      <c r="Z57" s="6">
        <f>INDEX(DriversGams!$A$5:$AN$26,MATCH(Drivers!$A57,DriversGams!$A$5:$A$26,0),MATCH(Drivers!Z$3,DriversGams!$A$5:$AN$5,0))</f>
        <v>24.11</v>
      </c>
      <c r="AA57" s="6">
        <f>INDEX(DriversGams!$A$5:$AN$26,MATCH(Drivers!$A57,DriversGams!$A$5:$A$26,0),MATCH(Drivers!AA$3,DriversGams!$A$5:$AN$5,0))</f>
        <v>24.74</v>
      </c>
      <c r="AB57" s="6">
        <f>INDEX(DriversGams!$A$5:$AN$26,MATCH(Drivers!$A57,DriversGams!$A$5:$A$26,0),MATCH(Drivers!AB$3,DriversGams!$A$5:$AN$5,0))</f>
        <v>25.06</v>
      </c>
      <c r="AC57" s="6">
        <f>INDEX(DriversGams!$A$5:$AN$26,MATCH(Drivers!$A57,DriversGams!$A$5:$A$26,0),MATCH(Drivers!AC$3,DriversGams!$A$5:$AN$5,0))</f>
        <v>25.51</v>
      </c>
      <c r="AD57" s="6">
        <f>INDEX(DriversGams!$A$5:$AN$26,MATCH(Drivers!$A57,DriversGams!$A$5:$A$26,0),MATCH(Drivers!AD$3,DriversGams!$A$5:$AN$5,0))</f>
        <v>26.07</v>
      </c>
      <c r="AE57" s="6">
        <f>INDEX(DriversGams!$A$5:$AN$26,MATCH(Drivers!$A57,DriversGams!$A$5:$A$26,0),MATCH(Drivers!AE$3,DriversGams!$A$5:$AN$5,0))</f>
        <v>26.65</v>
      </c>
      <c r="AF57" s="6">
        <f>INDEX(DriversGams!$A$5:$AN$26,MATCH(Drivers!$A57,DriversGams!$A$5:$A$26,0),MATCH(Drivers!AF$3,DriversGams!$A$5:$AN$5,0))</f>
        <v>29.72</v>
      </c>
      <c r="AG57" s="6">
        <f>INDEX(DriversGams!$A$5:$AN$26,MATCH(Drivers!$A57,DriversGams!$A$5:$A$26,0),MATCH(Drivers!AG$3,DriversGams!$A$5:$AN$5,0))</f>
        <v>31.64</v>
      </c>
      <c r="AH57" s="112"/>
      <c r="AI57" s="112"/>
      <c r="AJ57" s="112"/>
      <c r="AK57" s="112"/>
      <c r="AL57" s="112"/>
      <c r="AM57" s="112"/>
      <c r="AO57">
        <f t="shared" si="84"/>
        <v>9</v>
      </c>
    </row>
    <row r="58" spans="1:41">
      <c r="A58" s="120" t="s">
        <v>523</v>
      </c>
      <c r="B58">
        <f t="shared" si="83"/>
        <v>12</v>
      </c>
      <c r="C58" s="284">
        <v>335.77331305186084</v>
      </c>
      <c r="D58" s="284">
        <v>345.12368336779264</v>
      </c>
      <c r="E58" s="284">
        <v>351.73654833895557</v>
      </c>
      <c r="F58" s="284">
        <v>356.62847152051233</v>
      </c>
      <c r="G58" s="284">
        <v>360.31274126727499</v>
      </c>
      <c r="H58" s="284">
        <v>363.08022098030375</v>
      </c>
      <c r="I58" s="284">
        <v>367.26352107202263</v>
      </c>
      <c r="J58" s="6">
        <f>INDEX(DriversGams!$A$5:$AN$26,MATCH(Drivers!$A58,DriversGams!$A$5:$A$26,0),MATCH(Drivers!J$3,DriversGams!$A$5:$AN$5,0))</f>
        <v>366.71</v>
      </c>
      <c r="K58" s="6">
        <f>INDEX(DriversGams!$A$5:$AN$26,MATCH(Drivers!$A58,DriversGams!$A$5:$A$26,0),MATCH(Drivers!K$3,DriversGams!$A$5:$AN$5,0))</f>
        <v>339.03</v>
      </c>
      <c r="L58" s="6">
        <f>INDEX(DriversGams!$A$5:$AN$26,MATCH(Drivers!$A58,DriversGams!$A$5:$A$26,0),MATCH(Drivers!L$3,DriversGams!$A$5:$AN$5,0))</f>
        <v>349.62</v>
      </c>
      <c r="M58" s="6">
        <f>INDEX(DriversGams!$A$5:$AN$26,MATCH(Drivers!$A58,DriversGams!$A$5:$A$26,0),MATCH(Drivers!M$3,DriversGams!$A$5:$AN$5,0))</f>
        <v>356.97</v>
      </c>
      <c r="N58" s="6">
        <f>INDEX(DriversGams!$A$5:$AN$26,MATCH(Drivers!$A58,DriversGams!$A$5:$A$26,0),MATCH(Drivers!N$3,DriversGams!$A$5:$AN$5,0))</f>
        <v>365</v>
      </c>
      <c r="O58" s="6">
        <f>INDEX(DriversGams!$A$5:$AN$26,MATCH(Drivers!$A58,DriversGams!$A$5:$A$26,0),MATCH(Drivers!O$3,DriversGams!$A$5:$AN$5,0))</f>
        <v>374.06</v>
      </c>
      <c r="P58" s="6">
        <f>INDEX(DriversGams!$A$5:$AN$26,MATCH(Drivers!$A58,DriversGams!$A$5:$A$26,0),MATCH(Drivers!P$3,DriversGams!$A$5:$AN$5,0))</f>
        <v>382.81</v>
      </c>
      <c r="Q58" s="6">
        <f>INDEX(DriversGams!$A$5:$AN$26,MATCH(Drivers!$A58,DriversGams!$A$5:$A$26,0),MATCH(Drivers!Q$3,DriversGams!$A$5:$AN$5,0))</f>
        <v>391.7</v>
      </c>
      <c r="R58" s="6">
        <f>INDEX(DriversGams!$A$5:$AN$26,MATCH(Drivers!$A58,DriversGams!$A$5:$A$26,0),MATCH(Drivers!R$3,DriversGams!$A$5:$AN$5,0))</f>
        <v>400.21</v>
      </c>
      <c r="S58" s="6">
        <f>INDEX(DriversGams!$A$5:$AN$26,MATCH(Drivers!$A58,DriversGams!$A$5:$A$26,0),MATCH(Drivers!S$3,DriversGams!$A$5:$AN$5,0))</f>
        <v>413.95</v>
      </c>
      <c r="T58" s="6">
        <f>INDEX(DriversGams!$A$5:$AN$26,MATCH(Drivers!$A58,DriversGams!$A$5:$A$26,0),MATCH(Drivers!T$3,DriversGams!$A$5:$AN$5,0))</f>
        <v>426.7</v>
      </c>
      <c r="U58" s="6">
        <f>INDEX(DriversGams!$A$5:$AN$26,MATCH(Drivers!$A58,DriversGams!$A$5:$A$26,0),MATCH(Drivers!U$3,DriversGams!$A$5:$AN$5,0))</f>
        <v>436.52</v>
      </c>
      <c r="V58" s="6">
        <f>INDEX(DriversGams!$A$5:$AN$26,MATCH(Drivers!$A58,DriversGams!$A$5:$A$26,0),MATCH(Drivers!V$3,DriversGams!$A$5:$AN$5,0))</f>
        <v>446.99</v>
      </c>
      <c r="W58" s="6">
        <f>INDEX(DriversGams!$A$5:$AN$26,MATCH(Drivers!$A58,DriversGams!$A$5:$A$26,0),MATCH(Drivers!W$3,DriversGams!$A$5:$AN$5,0))</f>
        <v>457.85</v>
      </c>
      <c r="X58" s="6">
        <f>INDEX(DriversGams!$A$5:$AN$26,MATCH(Drivers!$A58,DriversGams!$A$5:$A$26,0),MATCH(Drivers!X$3,DriversGams!$A$5:$AN$5,0))</f>
        <v>471.4</v>
      </c>
      <c r="Y58" s="6">
        <f>INDEX(DriversGams!$A$5:$AN$26,MATCH(Drivers!$A58,DriversGams!$A$5:$A$26,0),MATCH(Drivers!Y$3,DriversGams!$A$5:$AN$5,0))</f>
        <v>485.51</v>
      </c>
      <c r="Z58" s="6">
        <f>INDEX(DriversGams!$A$5:$AN$26,MATCH(Drivers!$A58,DriversGams!$A$5:$A$26,0),MATCH(Drivers!Z$3,DriversGams!$A$5:$AN$5,0))</f>
        <v>505.43</v>
      </c>
      <c r="AA58" s="6">
        <f>INDEX(DriversGams!$A$5:$AN$26,MATCH(Drivers!$A58,DriversGams!$A$5:$A$26,0),MATCH(Drivers!AA$3,DriversGams!$A$5:$AN$5,0))</f>
        <v>522.92999999999995</v>
      </c>
      <c r="AB58" s="6">
        <f>INDEX(DriversGams!$A$5:$AN$26,MATCH(Drivers!$A58,DriversGams!$A$5:$A$26,0),MATCH(Drivers!AB$3,DriversGams!$A$5:$AN$5,0))</f>
        <v>530.27</v>
      </c>
      <c r="AC58" s="6">
        <f>INDEX(DriversGams!$A$5:$AN$26,MATCH(Drivers!$A58,DriversGams!$A$5:$A$26,0),MATCH(Drivers!AC$3,DriversGams!$A$5:$AN$5,0))</f>
        <v>539.78</v>
      </c>
      <c r="AD58" s="6">
        <f>INDEX(DriversGams!$A$5:$AN$26,MATCH(Drivers!$A58,DriversGams!$A$5:$A$26,0),MATCH(Drivers!AD$3,DriversGams!$A$5:$AN$5,0))</f>
        <v>550.91</v>
      </c>
      <c r="AE58" s="6">
        <f>INDEX(DriversGams!$A$5:$AN$26,MATCH(Drivers!$A58,DriversGams!$A$5:$A$26,0),MATCH(Drivers!AE$3,DriversGams!$A$5:$AN$5,0))</f>
        <v>563.9</v>
      </c>
      <c r="AF58" s="6">
        <f>INDEX(DriversGams!$A$5:$AN$26,MATCH(Drivers!$A58,DriversGams!$A$5:$A$26,0),MATCH(Drivers!AF$3,DriversGams!$A$5:$AN$5,0))</f>
        <v>626.64</v>
      </c>
      <c r="AG58" s="6">
        <f>INDEX(DriversGams!$A$5:$AN$26,MATCH(Drivers!$A58,DriversGams!$A$5:$A$26,0),MATCH(Drivers!AG$3,DriversGams!$A$5:$AN$5,0))</f>
        <v>670.82</v>
      </c>
      <c r="AH58" s="112"/>
      <c r="AI58" s="112"/>
      <c r="AJ58" s="112"/>
      <c r="AK58" s="112"/>
      <c r="AL58" s="112"/>
      <c r="AM58" s="112"/>
      <c r="AO58">
        <f>AO57+1</f>
        <v>10</v>
      </c>
    </row>
    <row r="59" spans="1:41">
      <c r="A59" s="120" t="s">
        <v>529</v>
      </c>
      <c r="B59">
        <f t="shared" si="83"/>
        <v>13</v>
      </c>
      <c r="C59" s="284">
        <v>49.680584563226056</v>
      </c>
      <c r="D59" s="284">
        <v>48.564231533814059</v>
      </c>
      <c r="E59" s="284">
        <v>47.459267978951466</v>
      </c>
      <c r="F59" s="284">
        <v>46.356109920093544</v>
      </c>
      <c r="G59" s="284">
        <v>46.356109920093544</v>
      </c>
      <c r="H59" s="284">
        <v>46.356109920093544</v>
      </c>
      <c r="I59" s="284">
        <v>46.327221984018706</v>
      </c>
      <c r="J59" s="6">
        <f>INDEX(DriversGams!$A$5:$AN$26,MATCH(Drivers!$A59,DriversGams!$A$5:$A$26,0),MATCH(Drivers!J$3,DriversGams!$A$5:$AN$5,0))</f>
        <v>46.32</v>
      </c>
      <c r="K59" s="6">
        <f>INDEX(DriversGams!$A$5:$AN$26,MATCH(Drivers!$A59,DriversGams!$A$5:$A$26,0),MATCH(Drivers!K$3,DriversGams!$A$5:$AN$5,0))</f>
        <v>29.08</v>
      </c>
      <c r="L59" s="6">
        <f>INDEX(DriversGams!$A$5:$AN$26,MATCH(Drivers!$A59,DriversGams!$A$5:$A$26,0),MATCH(Drivers!L$3,DriversGams!$A$5:$AN$5,0))</f>
        <v>33.340000000000003</v>
      </c>
      <c r="M59" s="6">
        <f>INDEX(DriversGams!$A$5:$AN$26,MATCH(Drivers!$A59,DriversGams!$A$5:$A$26,0),MATCH(Drivers!M$3,DriversGams!$A$5:$AN$5,0))</f>
        <v>38.270000000000003</v>
      </c>
      <c r="N59" s="6">
        <f>INDEX(DriversGams!$A$5:$AN$26,MATCH(Drivers!$A59,DriversGams!$A$5:$A$26,0),MATCH(Drivers!N$3,DriversGams!$A$5:$AN$5,0))</f>
        <v>38.229999999999997</v>
      </c>
      <c r="O59" s="6">
        <f>INDEX(DriversGams!$A$5:$AN$26,MATCH(Drivers!$A59,DriversGams!$A$5:$A$26,0),MATCH(Drivers!O$3,DriversGams!$A$5:$AN$5,0))</f>
        <v>38.19</v>
      </c>
      <c r="P59" s="6">
        <f>INDEX(DriversGams!$A$5:$AN$26,MATCH(Drivers!$A59,DriversGams!$A$5:$A$26,0),MATCH(Drivers!P$3,DriversGams!$A$5:$AN$5,0))</f>
        <v>38.159999999999997</v>
      </c>
      <c r="Q59" s="6">
        <f>INDEX(DriversGams!$A$5:$AN$26,MATCH(Drivers!$A59,DriversGams!$A$5:$A$26,0),MATCH(Drivers!Q$3,DriversGams!$A$5:$AN$5,0))</f>
        <v>38.119999999999997</v>
      </c>
      <c r="R59" s="6">
        <f>INDEX(DriversGams!$A$5:$AN$26,MATCH(Drivers!$A59,DriversGams!$A$5:$A$26,0),MATCH(Drivers!R$3,DriversGams!$A$5:$AN$5,0))</f>
        <v>38.08</v>
      </c>
      <c r="S59" s="6">
        <f>INDEX(DriversGams!$A$5:$AN$26,MATCH(Drivers!$A59,DriversGams!$A$5:$A$26,0),MATCH(Drivers!S$3,DriversGams!$A$5:$AN$5,0))</f>
        <v>16.8</v>
      </c>
      <c r="T59" s="6">
        <f>INDEX(DriversGams!$A$5:$AN$26,MATCH(Drivers!$A59,DriversGams!$A$5:$A$26,0),MATCH(Drivers!T$3,DriversGams!$A$5:$AN$5,0))</f>
        <v>10.85</v>
      </c>
      <c r="U59" s="6">
        <f>INDEX(DriversGams!$A$5:$AN$26,MATCH(Drivers!$A59,DriversGams!$A$5:$A$26,0),MATCH(Drivers!U$3,DriversGams!$A$5:$AN$5,0))</f>
        <v>10.81</v>
      </c>
      <c r="V59" s="6">
        <f>INDEX(DriversGams!$A$5:$AN$26,MATCH(Drivers!$A59,DriversGams!$A$5:$A$26,0),MATCH(Drivers!V$3,DriversGams!$A$5:$AN$5,0))</f>
        <v>10.81</v>
      </c>
      <c r="W59" s="6">
        <f>INDEX(DriversGams!$A$5:$AN$26,MATCH(Drivers!$A59,DriversGams!$A$5:$A$26,0),MATCH(Drivers!W$3,DriversGams!$A$5:$AN$5,0))</f>
        <v>10.81</v>
      </c>
      <c r="X59" s="6">
        <f>INDEX(DriversGams!$A$5:$AN$26,MATCH(Drivers!$A59,DriversGams!$A$5:$A$26,0),MATCH(Drivers!X$3,DriversGams!$A$5:$AN$5,0))</f>
        <v>10.81</v>
      </c>
      <c r="Y59" s="6">
        <f>INDEX(DriversGams!$A$5:$AN$26,MATCH(Drivers!$A59,DriversGams!$A$5:$A$26,0),MATCH(Drivers!Y$3,DriversGams!$A$5:$AN$5,0))</f>
        <v>10.79</v>
      </c>
      <c r="Z59" s="6">
        <f>INDEX(DriversGams!$A$5:$AN$26,MATCH(Drivers!$A59,DriversGams!$A$5:$A$26,0),MATCH(Drivers!Z$3,DriversGams!$A$5:$AN$5,0))</f>
        <v>6.07</v>
      </c>
      <c r="AA59" s="6">
        <f>INDEX(DriversGams!$A$5:$AN$26,MATCH(Drivers!$A59,DriversGams!$A$5:$A$26,0),MATCH(Drivers!AA$3,DriversGams!$A$5:$AN$5,0))</f>
        <v>1.4</v>
      </c>
      <c r="AB59" s="6">
        <f>INDEX(DriversGams!$A$5:$AN$26,MATCH(Drivers!$A59,DriversGams!$A$5:$A$26,0),MATCH(Drivers!AB$3,DriversGams!$A$5:$AN$5,0))</f>
        <v>1.38</v>
      </c>
      <c r="AC59" s="6">
        <f>INDEX(DriversGams!$A$5:$AN$26,MATCH(Drivers!$A59,DriversGams!$A$5:$A$26,0),MATCH(Drivers!AC$3,DriversGams!$A$5:$AN$5,0))</f>
        <v>1.28</v>
      </c>
      <c r="AD59" s="6">
        <f>INDEX(DriversGams!$A$5:$AN$26,MATCH(Drivers!$A59,DriversGams!$A$5:$A$26,0),MATCH(Drivers!AD$3,DriversGams!$A$5:$AN$5,0))</f>
        <v>1.17</v>
      </c>
      <c r="AE59" s="6">
        <f>INDEX(DriversGams!$A$5:$AN$26,MATCH(Drivers!$A59,DriversGams!$A$5:$A$26,0),MATCH(Drivers!AE$3,DriversGams!$A$5:$AN$5,0))</f>
        <v>1.06</v>
      </c>
      <c r="AF59" s="6">
        <f>INDEX(DriversGams!$A$5:$AN$26,MATCH(Drivers!$A59,DriversGams!$A$5:$A$26,0),MATCH(Drivers!AF$3,DriversGams!$A$5:$AN$5,0))</f>
        <v>0.61</v>
      </c>
      <c r="AG59" s="6">
        <f>INDEX(DriversGams!$A$5:$AN$26,MATCH(Drivers!$A59,DriversGams!$A$5:$A$26,0),MATCH(Drivers!AG$3,DriversGams!$A$5:$AN$5,0))</f>
        <v>0.65</v>
      </c>
      <c r="AH59" s="112"/>
      <c r="AI59" s="112"/>
      <c r="AJ59" s="112"/>
      <c r="AK59" s="112"/>
      <c r="AL59" s="112"/>
      <c r="AM59" s="112"/>
      <c r="AO59">
        <f t="shared" si="84"/>
        <v>11</v>
      </c>
    </row>
    <row r="60" spans="1:41">
      <c r="A60" s="120" t="s">
        <v>524</v>
      </c>
      <c r="B60">
        <f t="shared" si="83"/>
        <v>14</v>
      </c>
      <c r="C60" s="284">
        <v>21.771602125906632</v>
      </c>
      <c r="D60" s="284">
        <v>22.321967288291042</v>
      </c>
      <c r="E60" s="284">
        <v>22.799481809844082</v>
      </c>
      <c r="F60" s="284">
        <v>23.061502598593702</v>
      </c>
      <c r="G60" s="284">
        <v>23.492490064200549</v>
      </c>
      <c r="H60" s="284">
        <v>23.649212778966675</v>
      </c>
      <c r="I60" s="284">
        <v>24.045917150718431</v>
      </c>
      <c r="J60" s="6">
        <f>INDEX(DriversGams!$A$5:$AN$26,MATCH(Drivers!$A60,DriversGams!$A$5:$A$26,0),MATCH(Drivers!J$3,DriversGams!$A$5:$AN$5,0))</f>
        <v>24.02</v>
      </c>
      <c r="K60" s="6">
        <f>INDEX(DriversGams!$A$5:$AN$26,MATCH(Drivers!$A60,DriversGams!$A$5:$A$26,0),MATCH(Drivers!K$3,DriversGams!$A$5:$AN$5,0))</f>
        <v>22.83</v>
      </c>
      <c r="L60" s="6">
        <f>INDEX(DriversGams!$A$5:$AN$26,MATCH(Drivers!$A60,DriversGams!$A$5:$A$26,0),MATCH(Drivers!L$3,DriversGams!$A$5:$AN$5,0))</f>
        <v>23.64</v>
      </c>
      <c r="M60" s="6">
        <f>INDEX(DriversGams!$A$5:$AN$26,MATCH(Drivers!$A60,DriversGams!$A$5:$A$26,0),MATCH(Drivers!M$3,DriversGams!$A$5:$AN$5,0))</f>
        <v>24.06</v>
      </c>
      <c r="N60" s="6">
        <f>INDEX(DriversGams!$A$5:$AN$26,MATCH(Drivers!$A60,DriversGams!$A$5:$A$26,0),MATCH(Drivers!N$3,DriversGams!$A$5:$AN$5,0))</f>
        <v>24.57</v>
      </c>
      <c r="O60" s="6">
        <f>INDEX(DriversGams!$A$5:$AN$26,MATCH(Drivers!$A60,DriversGams!$A$5:$A$26,0),MATCH(Drivers!O$3,DriversGams!$A$5:$AN$5,0))</f>
        <v>25.29</v>
      </c>
      <c r="P60" s="6">
        <f>INDEX(DriversGams!$A$5:$AN$26,MATCH(Drivers!$A60,DriversGams!$A$5:$A$26,0),MATCH(Drivers!P$3,DriversGams!$A$5:$AN$5,0))</f>
        <v>25.8</v>
      </c>
      <c r="Q60" s="6">
        <f>INDEX(DriversGams!$A$5:$AN$26,MATCH(Drivers!$A60,DriversGams!$A$5:$A$26,0),MATCH(Drivers!Q$3,DriversGams!$A$5:$AN$5,0))</f>
        <v>26.15</v>
      </c>
      <c r="R60" s="6">
        <f>INDEX(DriversGams!$A$5:$AN$26,MATCH(Drivers!$A60,DriversGams!$A$5:$A$26,0),MATCH(Drivers!R$3,DriversGams!$A$5:$AN$5,0))</f>
        <v>26.59</v>
      </c>
      <c r="S60" s="6">
        <f>INDEX(DriversGams!$A$5:$AN$26,MATCH(Drivers!$A60,DriversGams!$A$5:$A$26,0),MATCH(Drivers!S$3,DriversGams!$A$5:$AN$5,0))</f>
        <v>27.06</v>
      </c>
      <c r="T60" s="6">
        <f>INDEX(DriversGams!$A$5:$AN$26,MATCH(Drivers!$A60,DriversGams!$A$5:$A$26,0),MATCH(Drivers!T$3,DriversGams!$A$5:$AN$5,0))</f>
        <v>27.52</v>
      </c>
      <c r="U60" s="6">
        <f>INDEX(DriversGams!$A$5:$AN$26,MATCH(Drivers!$A60,DriversGams!$A$5:$A$26,0),MATCH(Drivers!U$3,DriversGams!$A$5:$AN$5,0))</f>
        <v>27.94</v>
      </c>
      <c r="V60" s="6">
        <f>INDEX(DriversGams!$A$5:$AN$26,MATCH(Drivers!$A60,DriversGams!$A$5:$A$26,0),MATCH(Drivers!V$3,DriversGams!$A$5:$AN$5,0))</f>
        <v>28.91</v>
      </c>
      <c r="W60" s="6">
        <f>INDEX(DriversGams!$A$5:$AN$26,MATCH(Drivers!$A60,DriversGams!$A$5:$A$26,0),MATCH(Drivers!W$3,DriversGams!$A$5:$AN$5,0))</f>
        <v>29.53</v>
      </c>
      <c r="X60" s="6">
        <f>INDEX(DriversGams!$A$5:$AN$26,MATCH(Drivers!$A60,DriversGams!$A$5:$A$26,0),MATCH(Drivers!X$3,DriversGams!$A$5:$AN$5,0))</f>
        <v>30.31</v>
      </c>
      <c r="Y60" s="6">
        <f>INDEX(DriversGams!$A$5:$AN$26,MATCH(Drivers!$A60,DriversGams!$A$5:$A$26,0),MATCH(Drivers!Y$3,DriversGams!$A$5:$AN$5,0))</f>
        <v>31.13</v>
      </c>
      <c r="Z60" s="6">
        <f>INDEX(DriversGams!$A$5:$AN$26,MATCH(Drivers!$A60,DriversGams!$A$5:$A$26,0),MATCH(Drivers!Z$3,DriversGams!$A$5:$AN$5,0))</f>
        <v>31.92</v>
      </c>
      <c r="AA60" s="6">
        <f>INDEX(DriversGams!$A$5:$AN$26,MATCH(Drivers!$A60,DriversGams!$A$5:$A$26,0),MATCH(Drivers!AA$3,DriversGams!$A$5:$AN$5,0))</f>
        <v>32.54</v>
      </c>
      <c r="AB60" s="6">
        <f>INDEX(DriversGams!$A$5:$AN$26,MATCH(Drivers!$A60,DriversGams!$A$5:$A$26,0),MATCH(Drivers!AB$3,DriversGams!$A$5:$AN$5,0))</f>
        <v>32.880000000000003</v>
      </c>
      <c r="AC60" s="6">
        <f>INDEX(DriversGams!$A$5:$AN$26,MATCH(Drivers!$A60,DriversGams!$A$5:$A$26,0),MATCH(Drivers!AC$3,DriversGams!$A$5:$AN$5,0))</f>
        <v>33.47</v>
      </c>
      <c r="AD60" s="6">
        <f>INDEX(DriversGams!$A$5:$AN$26,MATCH(Drivers!$A60,DriversGams!$A$5:$A$26,0),MATCH(Drivers!AD$3,DriversGams!$A$5:$AN$5,0))</f>
        <v>33.89</v>
      </c>
      <c r="AE60" s="6">
        <f>INDEX(DriversGams!$A$5:$AN$26,MATCH(Drivers!$A60,DriversGams!$A$5:$A$26,0),MATCH(Drivers!AE$3,DriversGams!$A$5:$AN$5,0))</f>
        <v>34.57</v>
      </c>
      <c r="AF60" s="6">
        <f>INDEX(DriversGams!$A$5:$AN$26,MATCH(Drivers!$A60,DriversGams!$A$5:$A$26,0),MATCH(Drivers!AF$3,DriversGams!$A$5:$AN$5,0))</f>
        <v>38.1</v>
      </c>
      <c r="AG60" s="6">
        <f>INDEX(DriversGams!$A$5:$AN$26,MATCH(Drivers!$A60,DriversGams!$A$5:$A$26,0),MATCH(Drivers!AG$3,DriversGams!$A$5:$AN$5,0))</f>
        <v>40.26</v>
      </c>
      <c r="AH60" s="112"/>
      <c r="AI60" s="112"/>
      <c r="AJ60" s="112"/>
      <c r="AK60" s="112"/>
      <c r="AL60" s="112"/>
      <c r="AM60" s="112"/>
      <c r="AO60">
        <f t="shared" si="84"/>
        <v>12</v>
      </c>
    </row>
    <row r="61" spans="1:41">
      <c r="A61" s="120" t="s">
        <v>594</v>
      </c>
      <c r="B61">
        <f t="shared" si="83"/>
        <v>15</v>
      </c>
      <c r="C61" s="284">
        <v>234.64829421512601</v>
      </c>
      <c r="D61" s="284">
        <v>241.75157173268613</v>
      </c>
      <c r="E61" s="284">
        <v>247.49716491255998</v>
      </c>
      <c r="F61" s="284">
        <v>250.49509082227485</v>
      </c>
      <c r="G61" s="284">
        <v>252.5592931181983</v>
      </c>
      <c r="H61" s="284">
        <v>256.25966914032193</v>
      </c>
      <c r="I61" s="284">
        <v>259.56135726080817</v>
      </c>
      <c r="J61" s="6">
        <f>INDEX(DriversGams!$A$5:$AN$26,MATCH(Drivers!$A61,DriversGams!$A$5:$A$26,0),MATCH(Drivers!J$3,DriversGams!$A$5:$AN$5,0))</f>
        <v>247.43</v>
      </c>
      <c r="K61" s="6">
        <f>INDEX(DriversGams!$A$5:$AN$26,MATCH(Drivers!$A61,DriversGams!$A$5:$A$26,0),MATCH(Drivers!K$3,DriversGams!$A$5:$AN$5,0))</f>
        <v>235.95</v>
      </c>
      <c r="L61" s="6">
        <f>INDEX(DriversGams!$A$5:$AN$26,MATCH(Drivers!$A61,DriversGams!$A$5:$A$26,0),MATCH(Drivers!L$3,DriversGams!$A$5:$AN$5,0))</f>
        <v>242.5</v>
      </c>
      <c r="M61" s="6">
        <f>INDEX(DriversGams!$A$5:$AN$26,MATCH(Drivers!$A61,DriversGams!$A$5:$A$26,0),MATCH(Drivers!M$3,DriversGams!$A$5:$AN$5,0))</f>
        <v>248.63</v>
      </c>
      <c r="N61" s="6">
        <f>INDEX(DriversGams!$A$5:$AN$26,MATCH(Drivers!$A61,DriversGams!$A$5:$A$26,0),MATCH(Drivers!N$3,DriversGams!$A$5:$AN$5,0))</f>
        <v>253.33</v>
      </c>
      <c r="O61" s="6">
        <f>INDEX(DriversGams!$A$5:$AN$26,MATCH(Drivers!$A61,DriversGams!$A$5:$A$26,0),MATCH(Drivers!O$3,DriversGams!$A$5:$AN$5,0))</f>
        <v>258.23</v>
      </c>
      <c r="P61" s="6">
        <f>INDEX(DriversGams!$A$5:$AN$26,MATCH(Drivers!$A61,DriversGams!$A$5:$A$26,0),MATCH(Drivers!P$3,DriversGams!$A$5:$AN$5,0))</f>
        <v>263.17</v>
      </c>
      <c r="Q61" s="6">
        <f>INDEX(DriversGams!$A$5:$AN$26,MATCH(Drivers!$A61,DriversGams!$A$5:$A$26,0),MATCH(Drivers!Q$3,DriversGams!$A$5:$AN$5,0))</f>
        <v>268.76</v>
      </c>
      <c r="R61" s="6">
        <f>INDEX(DriversGams!$A$5:$AN$26,MATCH(Drivers!$A61,DriversGams!$A$5:$A$26,0),MATCH(Drivers!R$3,DriversGams!$A$5:$AN$5,0))</f>
        <v>274.67</v>
      </c>
      <c r="S61" s="6">
        <f>INDEX(DriversGams!$A$5:$AN$26,MATCH(Drivers!$A61,DriversGams!$A$5:$A$26,0),MATCH(Drivers!S$3,DriversGams!$A$5:$AN$5,0))</f>
        <v>282.06</v>
      </c>
      <c r="T61" s="6">
        <f>INDEX(DriversGams!$A$5:$AN$26,MATCH(Drivers!$A61,DriversGams!$A$5:$A$26,0),MATCH(Drivers!T$3,DriversGams!$A$5:$AN$5,0))</f>
        <v>291.58999999999997</v>
      </c>
      <c r="U61" s="6">
        <f>INDEX(DriversGams!$A$5:$AN$26,MATCH(Drivers!$A61,DriversGams!$A$5:$A$26,0),MATCH(Drivers!U$3,DriversGams!$A$5:$AN$5,0))</f>
        <v>299.91000000000003</v>
      </c>
      <c r="V61" s="6">
        <f>INDEX(DriversGams!$A$5:$AN$26,MATCH(Drivers!$A61,DriversGams!$A$5:$A$26,0),MATCH(Drivers!V$3,DriversGams!$A$5:$AN$5,0))</f>
        <v>308.88</v>
      </c>
      <c r="W61" s="6">
        <f>INDEX(DriversGams!$A$5:$AN$26,MATCH(Drivers!$A61,DriversGams!$A$5:$A$26,0),MATCH(Drivers!W$3,DriversGams!$A$5:$AN$5,0))</f>
        <v>317.89</v>
      </c>
      <c r="X61" s="6">
        <f>INDEX(DriversGams!$A$5:$AN$26,MATCH(Drivers!$A61,DriversGams!$A$5:$A$26,0),MATCH(Drivers!X$3,DriversGams!$A$5:$AN$5,0))</f>
        <v>330.19</v>
      </c>
      <c r="Y61" s="6">
        <f>INDEX(DriversGams!$A$5:$AN$26,MATCH(Drivers!$A61,DriversGams!$A$5:$A$26,0),MATCH(Drivers!Y$3,DriversGams!$A$5:$AN$5,0))</f>
        <v>343.29</v>
      </c>
      <c r="Z61" s="6">
        <f>INDEX(DriversGams!$A$5:$AN$26,MATCH(Drivers!$A61,DriversGams!$A$5:$A$26,0),MATCH(Drivers!Z$3,DriversGams!$A$5:$AN$5,0))</f>
        <v>353.76</v>
      </c>
      <c r="AA61" s="6">
        <f>INDEX(DriversGams!$A$5:$AN$26,MATCH(Drivers!$A61,DriversGams!$A$5:$A$26,0),MATCH(Drivers!AA$3,DriversGams!$A$5:$AN$5,0))</f>
        <v>364</v>
      </c>
      <c r="AB61" s="6">
        <f>INDEX(DriversGams!$A$5:$AN$26,MATCH(Drivers!$A61,DriversGams!$A$5:$A$26,0),MATCH(Drivers!AB$3,DriversGams!$A$5:$AN$5,0))</f>
        <v>373.36</v>
      </c>
      <c r="AC61" s="6">
        <f>INDEX(DriversGams!$A$5:$AN$26,MATCH(Drivers!$A61,DriversGams!$A$5:$A$26,0),MATCH(Drivers!AC$3,DriversGams!$A$5:$AN$5,0))</f>
        <v>384.36</v>
      </c>
      <c r="AD61" s="6">
        <f>INDEX(DriversGams!$A$5:$AN$26,MATCH(Drivers!$A61,DriversGams!$A$5:$A$26,0),MATCH(Drivers!AD$3,DriversGams!$A$5:$AN$5,0))</f>
        <v>395.7</v>
      </c>
      <c r="AE61" s="6">
        <f>INDEX(DriversGams!$A$5:$AN$26,MATCH(Drivers!$A61,DriversGams!$A$5:$A$26,0),MATCH(Drivers!AE$3,DriversGams!$A$5:$AN$5,0))</f>
        <v>407.99</v>
      </c>
      <c r="AF61" s="6">
        <f>INDEX(DriversGams!$A$5:$AN$26,MATCH(Drivers!$A61,DriversGams!$A$5:$A$26,0),MATCH(Drivers!AF$3,DriversGams!$A$5:$AN$5,0))</f>
        <v>470.64</v>
      </c>
      <c r="AG61" s="6">
        <f>INDEX(DriversGams!$A$5:$AN$26,MATCH(Drivers!$A61,DriversGams!$A$5:$A$26,0),MATCH(Drivers!AG$3,DriversGams!$A$5:$AN$5,0))</f>
        <v>497.65</v>
      </c>
      <c r="AH61" s="112"/>
      <c r="AI61" s="112"/>
      <c r="AJ61" s="112"/>
      <c r="AK61" s="112"/>
      <c r="AL61" s="112"/>
      <c r="AM61" s="112"/>
      <c r="AO61" t="e">
        <f>#REF!+1</f>
        <v>#REF!</v>
      </c>
    </row>
    <row r="62" spans="1:41">
      <c r="A62" s="120" t="s">
        <v>593</v>
      </c>
      <c r="B62">
        <f t="shared" si="83"/>
        <v>16</v>
      </c>
      <c r="C62" s="284">
        <v>40.911909200944407</v>
      </c>
      <c r="D62" s="284">
        <v>43.472466890059046</v>
      </c>
      <c r="E62" s="284">
        <v>46.683336524652951</v>
      </c>
      <c r="F62" s="284">
        <v>48.977367480453168</v>
      </c>
      <c r="G62" s="284">
        <v>50.507366203925315</v>
      </c>
      <c r="H62" s="284">
        <v>54.114758895803412</v>
      </c>
      <c r="I62" s="284">
        <v>58.020027445348646</v>
      </c>
      <c r="J62" s="6">
        <f>INDEX(DriversGams!$A$5:$AN$26,MATCH(Drivers!$A62,DriversGams!$A$5:$A$26,0),MATCH(Drivers!J$3,DriversGams!$A$5:$AN$5,0))</f>
        <v>60.68</v>
      </c>
      <c r="K62" s="6">
        <f>INDEX(DriversGams!$A$5:$AN$26,MATCH(Drivers!$A62,DriversGams!$A$5:$A$26,0),MATCH(Drivers!K$3,DriversGams!$A$5:$AN$5,0))</f>
        <v>58.58</v>
      </c>
      <c r="L62" s="6">
        <f>INDEX(DriversGams!$A$5:$AN$26,MATCH(Drivers!$A62,DriversGams!$A$5:$A$26,0),MATCH(Drivers!L$3,DriversGams!$A$5:$AN$5,0))</f>
        <v>60.09</v>
      </c>
      <c r="M62" s="6">
        <f>INDEX(DriversGams!$A$5:$AN$26,MATCH(Drivers!$A62,DriversGams!$A$5:$A$26,0),MATCH(Drivers!M$3,DriversGams!$A$5:$AN$5,0))</f>
        <v>61.48</v>
      </c>
      <c r="N62" s="6">
        <f>INDEX(DriversGams!$A$5:$AN$26,MATCH(Drivers!$A62,DriversGams!$A$5:$A$26,0),MATCH(Drivers!N$3,DriversGams!$A$5:$AN$5,0))</f>
        <v>62.68</v>
      </c>
      <c r="O62" s="6">
        <f>INDEX(DriversGams!$A$5:$AN$26,MATCH(Drivers!$A62,DriversGams!$A$5:$A$26,0),MATCH(Drivers!O$3,DriversGams!$A$5:$AN$5,0))</f>
        <v>64.05</v>
      </c>
      <c r="P62" s="6">
        <f>INDEX(DriversGams!$A$5:$AN$26,MATCH(Drivers!$A62,DriversGams!$A$5:$A$26,0),MATCH(Drivers!P$3,DriversGams!$A$5:$AN$5,0))</f>
        <v>65.23</v>
      </c>
      <c r="Q62" s="6">
        <f>INDEX(DriversGams!$A$5:$AN$26,MATCH(Drivers!$A62,DriversGams!$A$5:$A$26,0),MATCH(Drivers!Q$3,DriversGams!$A$5:$AN$5,0))</f>
        <v>66.2</v>
      </c>
      <c r="R62" s="6">
        <f>INDEX(DriversGams!$A$5:$AN$26,MATCH(Drivers!$A62,DriversGams!$A$5:$A$26,0),MATCH(Drivers!R$3,DriversGams!$A$5:$AN$5,0))</f>
        <v>67.41</v>
      </c>
      <c r="S62" s="6">
        <f>INDEX(DriversGams!$A$5:$AN$26,MATCH(Drivers!$A62,DriversGams!$A$5:$A$26,0),MATCH(Drivers!S$3,DriversGams!$A$5:$AN$5,0))</f>
        <v>69.67</v>
      </c>
      <c r="T62" s="6">
        <f>INDEX(DriversGams!$A$5:$AN$26,MATCH(Drivers!$A62,DriversGams!$A$5:$A$26,0),MATCH(Drivers!T$3,DriversGams!$A$5:$AN$5,0))</f>
        <v>72.37</v>
      </c>
      <c r="U62" s="6">
        <f>INDEX(DriversGams!$A$5:$AN$26,MATCH(Drivers!$A62,DriversGams!$A$5:$A$26,0),MATCH(Drivers!U$3,DriversGams!$A$5:$AN$5,0))</f>
        <v>74.66</v>
      </c>
      <c r="V62" s="6">
        <f>INDEX(DriversGams!$A$5:$AN$26,MATCH(Drivers!$A62,DriversGams!$A$5:$A$26,0),MATCH(Drivers!V$3,DriversGams!$A$5:$AN$5,0))</f>
        <v>77.239999999999995</v>
      </c>
      <c r="W62" s="6">
        <f>INDEX(DriversGams!$A$5:$AN$26,MATCH(Drivers!$A62,DriversGams!$A$5:$A$26,0),MATCH(Drivers!W$3,DriversGams!$A$5:$AN$5,0))</f>
        <v>79.61</v>
      </c>
      <c r="X62" s="6">
        <f>INDEX(DriversGams!$A$5:$AN$26,MATCH(Drivers!$A62,DriversGams!$A$5:$A$26,0),MATCH(Drivers!X$3,DriversGams!$A$5:$AN$5,0))</f>
        <v>82.52</v>
      </c>
      <c r="Y62" s="6">
        <f>INDEX(DriversGams!$A$5:$AN$26,MATCH(Drivers!$A62,DriversGams!$A$5:$A$26,0),MATCH(Drivers!Y$3,DriversGams!$A$5:$AN$5,0))</f>
        <v>85.37</v>
      </c>
      <c r="Z62" s="6">
        <f>INDEX(DriversGams!$A$5:$AN$26,MATCH(Drivers!$A62,DriversGams!$A$5:$A$26,0),MATCH(Drivers!Z$3,DriversGams!$A$5:$AN$5,0))</f>
        <v>89.15</v>
      </c>
      <c r="AA62" s="6">
        <f>INDEX(DriversGams!$A$5:$AN$26,MATCH(Drivers!$A62,DriversGams!$A$5:$A$26,0),MATCH(Drivers!AA$3,DriversGams!$A$5:$AN$5,0))</f>
        <v>93.56</v>
      </c>
      <c r="AB62" s="6">
        <f>INDEX(DriversGams!$A$5:$AN$26,MATCH(Drivers!$A62,DriversGams!$A$5:$A$26,0),MATCH(Drivers!AB$3,DriversGams!$A$5:$AN$5,0))</f>
        <v>96.22</v>
      </c>
      <c r="AC62" s="6">
        <f>INDEX(DriversGams!$A$5:$AN$26,MATCH(Drivers!$A62,DriversGams!$A$5:$A$26,0),MATCH(Drivers!AC$3,DriversGams!$A$5:$AN$5,0))</f>
        <v>99.16</v>
      </c>
      <c r="AD62" s="6">
        <f>INDEX(DriversGams!$A$5:$AN$26,MATCH(Drivers!$A62,DriversGams!$A$5:$A$26,0),MATCH(Drivers!AD$3,DriversGams!$A$5:$AN$5,0))</f>
        <v>101.85</v>
      </c>
      <c r="AE62" s="6">
        <f>INDEX(DriversGams!$A$5:$AN$26,MATCH(Drivers!$A62,DriversGams!$A$5:$A$26,0),MATCH(Drivers!AE$3,DriversGams!$A$5:$AN$5,0))</f>
        <v>104.7</v>
      </c>
      <c r="AF62" s="6">
        <f>INDEX(DriversGams!$A$5:$AN$26,MATCH(Drivers!$A62,DriversGams!$A$5:$A$26,0),MATCH(Drivers!AF$3,DriversGams!$A$5:$AN$5,0))</f>
        <v>116.38</v>
      </c>
      <c r="AG62" s="6">
        <f>INDEX(DriversGams!$A$5:$AN$26,MATCH(Drivers!$A62,DriversGams!$A$5:$A$26,0),MATCH(Drivers!AG$3,DriversGams!$A$5:$AN$5,0))</f>
        <v>118.36</v>
      </c>
      <c r="AH62" s="112"/>
      <c r="AI62" s="112"/>
      <c r="AJ62" s="112"/>
      <c r="AK62" s="112"/>
      <c r="AL62" s="112"/>
      <c r="AM62" s="112"/>
      <c r="AO62" t="e">
        <f t="shared" si="84"/>
        <v>#REF!</v>
      </c>
    </row>
    <row r="63" spans="1:41">
      <c r="A63" s="120" t="s">
        <v>595</v>
      </c>
      <c r="B63">
        <f t="shared" si="83"/>
        <v>17</v>
      </c>
      <c r="C63" s="284">
        <v>6.4158612357306808</v>
      </c>
      <c r="D63" s="284">
        <v>6.604363287904599</v>
      </c>
      <c r="E63" s="284">
        <v>6.7999637989778527</v>
      </c>
      <c r="F63" s="284">
        <v>6.9251895229982949</v>
      </c>
      <c r="G63" s="284">
        <v>6.9893547700170355</v>
      </c>
      <c r="H63" s="284">
        <v>7.0969867972742753</v>
      </c>
      <c r="I63" s="284">
        <v>7.234631601362862</v>
      </c>
      <c r="J63" s="6">
        <f>INDEX(DriversGams!$A$5:$AN$26,MATCH(Drivers!$A63,DriversGams!$A$5:$A$26,0),MATCH(Drivers!J$3,DriversGams!$A$5:$AN$5,0))</f>
        <v>7.29</v>
      </c>
      <c r="K63" s="6">
        <f>INDEX(DriversGams!$A$5:$AN$26,MATCH(Drivers!$A63,DriversGams!$A$5:$A$26,0),MATCH(Drivers!K$3,DriversGams!$A$5:$AN$5,0))</f>
        <v>7.02</v>
      </c>
      <c r="L63" s="6">
        <f>INDEX(DriversGams!$A$5:$AN$26,MATCH(Drivers!$A63,DriversGams!$A$5:$A$26,0),MATCH(Drivers!L$3,DriversGams!$A$5:$AN$5,0))</f>
        <v>7.35</v>
      </c>
      <c r="M63" s="6">
        <f>INDEX(DriversGams!$A$5:$AN$26,MATCH(Drivers!$A63,DriversGams!$A$5:$A$26,0),MATCH(Drivers!M$3,DriversGams!$A$5:$AN$5,0))</f>
        <v>7.62</v>
      </c>
      <c r="N63" s="6">
        <f>INDEX(DriversGams!$A$5:$AN$26,MATCH(Drivers!$A63,DriversGams!$A$5:$A$26,0),MATCH(Drivers!N$3,DriversGams!$A$5:$AN$5,0))</f>
        <v>7.82</v>
      </c>
      <c r="O63" s="6">
        <f>INDEX(DriversGams!$A$5:$AN$26,MATCH(Drivers!$A63,DriversGams!$A$5:$A$26,0),MATCH(Drivers!O$3,DriversGams!$A$5:$AN$5,0))</f>
        <v>8.02</v>
      </c>
      <c r="P63" s="6">
        <f>INDEX(DriversGams!$A$5:$AN$26,MATCH(Drivers!$A63,DriversGams!$A$5:$A$26,0),MATCH(Drivers!P$3,DriversGams!$A$5:$AN$5,0))</f>
        <v>8.2200000000000006</v>
      </c>
      <c r="Q63" s="6">
        <f>INDEX(DriversGams!$A$5:$AN$26,MATCH(Drivers!$A63,DriversGams!$A$5:$A$26,0),MATCH(Drivers!Q$3,DriversGams!$A$5:$AN$5,0))</f>
        <v>8.42</v>
      </c>
      <c r="R63" s="6">
        <f>INDEX(DriversGams!$A$5:$AN$26,MATCH(Drivers!$A63,DriversGams!$A$5:$A$26,0),MATCH(Drivers!R$3,DriversGams!$A$5:$AN$5,0))</f>
        <v>8.6199999999999992</v>
      </c>
      <c r="S63" s="6">
        <f>INDEX(DriversGams!$A$5:$AN$26,MATCH(Drivers!$A63,DriversGams!$A$5:$A$26,0),MATCH(Drivers!S$3,DriversGams!$A$5:$AN$5,0))</f>
        <v>8.77</v>
      </c>
      <c r="T63" s="6">
        <f>INDEX(DriversGams!$A$5:$AN$26,MATCH(Drivers!$A63,DriversGams!$A$5:$A$26,0),MATCH(Drivers!T$3,DriversGams!$A$5:$AN$5,0))</f>
        <v>9</v>
      </c>
      <c r="U63" s="6">
        <f>INDEX(DriversGams!$A$5:$AN$26,MATCH(Drivers!$A63,DriversGams!$A$5:$A$26,0),MATCH(Drivers!U$3,DriversGams!$A$5:$AN$5,0))</f>
        <v>9.2200000000000006</v>
      </c>
      <c r="V63" s="6">
        <f>INDEX(DriversGams!$A$5:$AN$26,MATCH(Drivers!$A63,DriversGams!$A$5:$A$26,0),MATCH(Drivers!V$3,DriversGams!$A$5:$AN$5,0))</f>
        <v>9.42</v>
      </c>
      <c r="W63" s="6">
        <f>INDEX(DriversGams!$A$5:$AN$26,MATCH(Drivers!$A63,DriversGams!$A$5:$A$26,0),MATCH(Drivers!W$3,DriversGams!$A$5:$AN$5,0))</f>
        <v>9.61</v>
      </c>
      <c r="X63" s="6">
        <f>INDEX(DriversGams!$A$5:$AN$26,MATCH(Drivers!$A63,DriversGams!$A$5:$A$26,0),MATCH(Drivers!X$3,DriversGams!$A$5:$AN$5,0))</f>
        <v>9.89</v>
      </c>
      <c r="Y63" s="6">
        <f>INDEX(DriversGams!$A$5:$AN$26,MATCH(Drivers!$A63,DriversGams!$A$5:$A$26,0),MATCH(Drivers!Y$3,DriversGams!$A$5:$AN$5,0))</f>
        <v>10.19</v>
      </c>
      <c r="Z63" s="6">
        <f>INDEX(DriversGams!$A$5:$AN$26,MATCH(Drivers!$A63,DriversGams!$A$5:$A$26,0),MATCH(Drivers!Z$3,DriversGams!$A$5:$AN$5,0))</f>
        <v>10.35</v>
      </c>
      <c r="AA63" s="6">
        <f>INDEX(DriversGams!$A$5:$AN$26,MATCH(Drivers!$A63,DriversGams!$A$5:$A$26,0),MATCH(Drivers!AA$3,DriversGams!$A$5:$AN$5,0))</f>
        <v>10.48</v>
      </c>
      <c r="AB63" s="6">
        <f>INDEX(DriversGams!$A$5:$AN$26,MATCH(Drivers!$A63,DriversGams!$A$5:$A$26,0),MATCH(Drivers!AB$3,DriversGams!$A$5:$AN$5,0))</f>
        <v>10.64</v>
      </c>
      <c r="AC63" s="6">
        <f>INDEX(DriversGams!$A$5:$AN$26,MATCH(Drivers!$A63,DriversGams!$A$5:$A$26,0),MATCH(Drivers!AC$3,DriversGams!$A$5:$AN$5,0))</f>
        <v>10.89</v>
      </c>
      <c r="AD63" s="6">
        <f>INDEX(DriversGams!$A$5:$AN$26,MATCH(Drivers!$A63,DriversGams!$A$5:$A$26,0),MATCH(Drivers!AD$3,DriversGams!$A$5:$AN$5,0))</f>
        <v>11.16</v>
      </c>
      <c r="AE63" s="6">
        <f>INDEX(DriversGams!$A$5:$AN$26,MATCH(Drivers!$A63,DriversGams!$A$5:$A$26,0),MATCH(Drivers!AE$3,DriversGams!$A$5:$AN$5,0))</f>
        <v>11.43</v>
      </c>
      <c r="AF63" s="6">
        <f>INDEX(DriversGams!$A$5:$AN$26,MATCH(Drivers!$A63,DriversGams!$A$5:$A$26,0),MATCH(Drivers!AF$3,DriversGams!$A$5:$AN$5,0))</f>
        <v>12.88</v>
      </c>
      <c r="AG63" s="6">
        <f>INDEX(DriversGams!$A$5:$AN$26,MATCH(Drivers!$A63,DriversGams!$A$5:$A$26,0),MATCH(Drivers!AG$3,DriversGams!$A$5:$AN$5,0))</f>
        <v>13.61</v>
      </c>
      <c r="AH63" s="112"/>
      <c r="AI63" s="112"/>
      <c r="AJ63" s="112"/>
      <c r="AK63" s="112"/>
      <c r="AL63" s="112"/>
      <c r="AM63" s="112"/>
      <c r="AO63" t="e">
        <f t="shared" si="84"/>
        <v>#REF!</v>
      </c>
    </row>
    <row r="64" spans="1:41">
      <c r="A64" s="120" t="s">
        <v>599</v>
      </c>
      <c r="B64">
        <f t="shared" si="83"/>
        <v>18</v>
      </c>
      <c r="C64" s="284">
        <v>125.48003402211921</v>
      </c>
      <c r="D64" s="284">
        <v>127.1852732099033</v>
      </c>
      <c r="E64" s="284">
        <v>121.33259319855085</v>
      </c>
      <c r="F64" s="284">
        <v>115.48558072755804</v>
      </c>
      <c r="G64" s="284">
        <v>115.29855189569106</v>
      </c>
      <c r="H64" s="284">
        <v>115.15875256682079</v>
      </c>
      <c r="I64" s="284">
        <v>113.64929765104591</v>
      </c>
      <c r="J64" s="6">
        <f>INDEX(DriversGams!$A$5:$AN$26,MATCH(Drivers!$A64,DriversGams!$A$5:$A$26,0),MATCH(Drivers!J$3,DriversGams!$A$5:$AN$5,0))</f>
        <v>112.99</v>
      </c>
      <c r="K64" s="6">
        <f>INDEX(DriversGams!$A$5:$AN$26,MATCH(Drivers!$A64,DriversGams!$A$5:$A$26,0),MATCH(Drivers!K$3,DriversGams!$A$5:$AN$5,0))</f>
        <v>109.03</v>
      </c>
      <c r="L64" s="6">
        <f>INDEX(DriversGams!$A$5:$AN$26,MATCH(Drivers!$A64,DriversGams!$A$5:$A$26,0),MATCH(Drivers!L$3,DriversGams!$A$5:$AN$5,0))</f>
        <v>107.81</v>
      </c>
      <c r="M64" s="6">
        <f>INDEX(DriversGams!$A$5:$AN$26,MATCH(Drivers!$A64,DriversGams!$A$5:$A$26,0),MATCH(Drivers!M$3,DriversGams!$A$5:$AN$5,0))</f>
        <v>106.54</v>
      </c>
      <c r="N64" s="6">
        <f>INDEX(DriversGams!$A$5:$AN$26,MATCH(Drivers!$A64,DriversGams!$A$5:$A$26,0),MATCH(Drivers!N$3,DriversGams!$A$5:$AN$5,0))</f>
        <v>104.86</v>
      </c>
      <c r="O64" s="6">
        <f>INDEX(DriversGams!$A$5:$AN$26,MATCH(Drivers!$A64,DriversGams!$A$5:$A$26,0),MATCH(Drivers!O$3,DriversGams!$A$5:$AN$5,0))</f>
        <v>103.71</v>
      </c>
      <c r="P64" s="6">
        <f>INDEX(DriversGams!$A$5:$AN$26,MATCH(Drivers!$A64,DriversGams!$A$5:$A$26,0),MATCH(Drivers!P$3,DriversGams!$A$5:$AN$5,0))</f>
        <v>102.26</v>
      </c>
      <c r="Q64" s="6">
        <f>INDEX(DriversGams!$A$5:$AN$26,MATCH(Drivers!$A64,DriversGams!$A$5:$A$26,0),MATCH(Drivers!Q$3,DriversGams!$A$5:$AN$5,0))</f>
        <v>99.81</v>
      </c>
      <c r="R64" s="6">
        <f>INDEX(DriversGams!$A$5:$AN$26,MATCH(Drivers!$A64,DriversGams!$A$5:$A$26,0),MATCH(Drivers!R$3,DriversGams!$A$5:$AN$5,0))</f>
        <v>96.7</v>
      </c>
      <c r="S64" s="6">
        <f>INDEX(DriversGams!$A$5:$AN$26,MATCH(Drivers!$A64,DriversGams!$A$5:$A$26,0),MATCH(Drivers!S$3,DriversGams!$A$5:$AN$5,0))</f>
        <v>94.63</v>
      </c>
      <c r="T64" s="6">
        <f>INDEX(DriversGams!$A$5:$AN$26,MATCH(Drivers!$A64,DriversGams!$A$5:$A$26,0),MATCH(Drivers!T$3,DriversGams!$A$5:$AN$5,0))</f>
        <v>92.91</v>
      </c>
      <c r="U64" s="6">
        <f>INDEX(DriversGams!$A$5:$AN$26,MATCH(Drivers!$A64,DriversGams!$A$5:$A$26,0),MATCH(Drivers!U$3,DriversGams!$A$5:$AN$5,0))</f>
        <v>88.38</v>
      </c>
      <c r="V64" s="6">
        <f>INDEX(DriversGams!$A$5:$AN$26,MATCH(Drivers!$A64,DriversGams!$A$5:$A$26,0),MATCH(Drivers!V$3,DriversGams!$A$5:$AN$5,0))</f>
        <v>84.01</v>
      </c>
      <c r="W64" s="6">
        <f>INDEX(DriversGams!$A$5:$AN$26,MATCH(Drivers!$A64,DriversGams!$A$5:$A$26,0),MATCH(Drivers!W$3,DriversGams!$A$5:$AN$5,0))</f>
        <v>81.599999999999994</v>
      </c>
      <c r="X64" s="6">
        <f>INDEX(DriversGams!$A$5:$AN$26,MATCH(Drivers!$A64,DriversGams!$A$5:$A$26,0),MATCH(Drivers!X$3,DriversGams!$A$5:$AN$5,0))</f>
        <v>77.55</v>
      </c>
      <c r="Y64" s="6">
        <f>INDEX(DriversGams!$A$5:$AN$26,MATCH(Drivers!$A64,DriversGams!$A$5:$A$26,0),MATCH(Drivers!Y$3,DriversGams!$A$5:$AN$5,0))</f>
        <v>77.3</v>
      </c>
      <c r="Z64" s="6">
        <f>INDEX(DriversGams!$A$5:$AN$26,MATCH(Drivers!$A64,DriversGams!$A$5:$A$26,0),MATCH(Drivers!Z$3,DriversGams!$A$5:$AN$5,0))</f>
        <v>63.1</v>
      </c>
      <c r="AA64" s="6">
        <f>INDEX(DriversGams!$A$5:$AN$26,MATCH(Drivers!$A64,DriversGams!$A$5:$A$26,0),MATCH(Drivers!AA$3,DriversGams!$A$5:$AN$5,0))</f>
        <v>49.91</v>
      </c>
      <c r="AB64" s="6">
        <f>INDEX(DriversGams!$A$5:$AN$26,MATCH(Drivers!$A64,DriversGams!$A$5:$A$26,0),MATCH(Drivers!AB$3,DriversGams!$A$5:$AN$5,0))</f>
        <v>42.41</v>
      </c>
      <c r="AC64" s="6">
        <f>INDEX(DriversGams!$A$5:$AN$26,MATCH(Drivers!$A64,DriversGams!$A$5:$A$26,0),MATCH(Drivers!AC$3,DriversGams!$A$5:$AN$5,0))</f>
        <v>38.44</v>
      </c>
      <c r="AD64" s="6">
        <f>INDEX(DriversGams!$A$5:$AN$26,MATCH(Drivers!$A64,DriversGams!$A$5:$A$26,0),MATCH(Drivers!AD$3,DriversGams!$A$5:$AN$5,0))</f>
        <v>34.46</v>
      </c>
      <c r="AE64" s="6">
        <f>INDEX(DriversGams!$A$5:$AN$26,MATCH(Drivers!$A64,DriversGams!$A$5:$A$26,0),MATCH(Drivers!AE$3,DriversGams!$A$5:$AN$5,0))</f>
        <v>30.51</v>
      </c>
      <c r="AF64" s="6">
        <f>INDEX(DriversGams!$A$5:$AN$26,MATCH(Drivers!$A64,DriversGams!$A$5:$A$26,0),MATCH(Drivers!AF$3,DriversGams!$A$5:$AN$5,0))</f>
        <v>23.86</v>
      </c>
      <c r="AG64" s="6">
        <f>INDEX(DriversGams!$A$5:$AN$26,MATCH(Drivers!$A64,DriversGams!$A$5:$A$26,0),MATCH(Drivers!AG$3,DriversGams!$A$5:$AN$5,0))</f>
        <v>13.64</v>
      </c>
      <c r="AH64" s="112"/>
      <c r="AI64" s="112"/>
      <c r="AJ64" s="112"/>
      <c r="AK64" s="112"/>
      <c r="AL64" s="112"/>
      <c r="AM64" s="112"/>
    </row>
    <row r="65" spans="1:39">
      <c r="A65" s="120" t="s">
        <v>528</v>
      </c>
      <c r="B65">
        <f t="shared" si="83"/>
        <v>19</v>
      </c>
      <c r="C65" s="284">
        <v>154.18842101590053</v>
      </c>
      <c r="D65" s="284">
        <v>151.87047226763119</v>
      </c>
      <c r="E65" s="284">
        <v>148.71168942836181</v>
      </c>
      <c r="F65" s="284">
        <v>145.49800306349678</v>
      </c>
      <c r="G65" s="284">
        <v>142.32274916654868</v>
      </c>
      <c r="H65" s="284">
        <v>141.64560568420242</v>
      </c>
      <c r="I65" s="284">
        <v>143.22499710383713</v>
      </c>
      <c r="J65" s="6">
        <f>INDEX(DriversGams!$A$5:$AN$26,MATCH(Drivers!$A65,DriversGams!$A$5:$A$26,0),MATCH(Drivers!J$3,DriversGams!$A$5:$AN$5,0))</f>
        <v>142.19999999999999</v>
      </c>
      <c r="K65" s="6">
        <f>INDEX(DriversGams!$A$5:$AN$26,MATCH(Drivers!$A65,DriversGams!$A$5:$A$26,0),MATCH(Drivers!K$3,DriversGams!$A$5:$AN$5,0))</f>
        <v>137.66999999999999</v>
      </c>
      <c r="L65" s="6">
        <f>INDEX(DriversGams!$A$5:$AN$26,MATCH(Drivers!$A65,DriversGams!$A$5:$A$26,0),MATCH(Drivers!L$3,DriversGams!$A$5:$AN$5,0))</f>
        <v>143.4</v>
      </c>
      <c r="M65" s="6">
        <f>INDEX(DriversGams!$A$5:$AN$26,MATCH(Drivers!$A65,DriversGams!$A$5:$A$26,0),MATCH(Drivers!M$3,DriversGams!$A$5:$AN$5,0))</f>
        <v>144.38999999999999</v>
      </c>
      <c r="N65" s="6">
        <f>INDEX(DriversGams!$A$5:$AN$26,MATCH(Drivers!$A65,DriversGams!$A$5:$A$26,0),MATCH(Drivers!N$3,DriversGams!$A$5:$AN$5,0))</f>
        <v>144.57</v>
      </c>
      <c r="O65" s="6">
        <f>INDEX(DriversGams!$A$5:$AN$26,MATCH(Drivers!$A65,DriversGams!$A$5:$A$26,0),MATCH(Drivers!O$3,DriversGams!$A$5:$AN$5,0))</f>
        <v>145.81</v>
      </c>
      <c r="P65" s="6">
        <f>INDEX(DriversGams!$A$5:$AN$26,MATCH(Drivers!$A65,DriversGams!$A$5:$A$26,0),MATCH(Drivers!P$3,DriversGams!$A$5:$AN$5,0))</f>
        <v>147.94999999999999</v>
      </c>
      <c r="Q65" s="6">
        <f>INDEX(DriversGams!$A$5:$AN$26,MATCH(Drivers!$A65,DriversGams!$A$5:$A$26,0),MATCH(Drivers!Q$3,DriversGams!$A$5:$AN$5,0))</f>
        <v>149.13</v>
      </c>
      <c r="R65" s="6">
        <f>INDEX(DriversGams!$A$5:$AN$26,MATCH(Drivers!$A65,DriversGams!$A$5:$A$26,0),MATCH(Drivers!R$3,DriversGams!$A$5:$AN$5,0))</f>
        <v>150.59</v>
      </c>
      <c r="S65" s="6">
        <f>INDEX(DriversGams!$A$5:$AN$26,MATCH(Drivers!$A65,DriversGams!$A$5:$A$26,0),MATCH(Drivers!S$3,DriversGams!$A$5:$AN$5,0))</f>
        <v>152.97</v>
      </c>
      <c r="T65" s="6">
        <f>INDEX(DriversGams!$A$5:$AN$26,MATCH(Drivers!$A65,DriversGams!$A$5:$A$26,0),MATCH(Drivers!T$3,DriversGams!$A$5:$AN$5,0))</f>
        <v>156.79</v>
      </c>
      <c r="U65" s="6">
        <f>INDEX(DriversGams!$A$5:$AN$26,MATCH(Drivers!$A65,DriversGams!$A$5:$A$26,0),MATCH(Drivers!U$3,DriversGams!$A$5:$AN$5,0))</f>
        <v>158.83000000000001</v>
      </c>
      <c r="V65" s="6">
        <f>INDEX(DriversGams!$A$5:$AN$26,MATCH(Drivers!$A65,DriversGams!$A$5:$A$26,0),MATCH(Drivers!V$3,DriversGams!$A$5:$AN$5,0))</f>
        <v>165.7</v>
      </c>
      <c r="W65" s="6">
        <f>INDEX(DriversGams!$A$5:$AN$26,MATCH(Drivers!$A65,DriversGams!$A$5:$A$26,0),MATCH(Drivers!W$3,DriversGams!$A$5:$AN$5,0))</f>
        <v>174.21</v>
      </c>
      <c r="X65" s="6">
        <f>INDEX(DriversGams!$A$5:$AN$26,MATCH(Drivers!$A65,DriversGams!$A$5:$A$26,0),MATCH(Drivers!X$3,DriversGams!$A$5:$AN$5,0))</f>
        <v>181.55</v>
      </c>
      <c r="Y65" s="6">
        <f>INDEX(DriversGams!$A$5:$AN$26,MATCH(Drivers!$A65,DriversGams!$A$5:$A$26,0),MATCH(Drivers!Y$3,DriversGams!$A$5:$AN$5,0))</f>
        <v>191.62</v>
      </c>
      <c r="Z65" s="6">
        <f>INDEX(DriversGams!$A$5:$AN$26,MATCH(Drivers!$A65,DriversGams!$A$5:$A$26,0),MATCH(Drivers!Z$3,DriversGams!$A$5:$AN$5,0))</f>
        <v>191.16</v>
      </c>
      <c r="AA65" s="6">
        <f>INDEX(DriversGams!$A$5:$AN$26,MATCH(Drivers!$A65,DriversGams!$A$5:$A$26,0),MATCH(Drivers!AA$3,DriversGams!$A$5:$AN$5,0))</f>
        <v>195.15</v>
      </c>
      <c r="AB65" s="6">
        <f>INDEX(DriversGams!$A$5:$AN$26,MATCH(Drivers!$A65,DriversGams!$A$5:$A$26,0),MATCH(Drivers!AB$3,DriversGams!$A$5:$AN$5,0))</f>
        <v>233.38</v>
      </c>
      <c r="AC65" s="6">
        <f>INDEX(DriversGams!$A$5:$AN$26,MATCH(Drivers!$A65,DriversGams!$A$5:$A$26,0),MATCH(Drivers!AC$3,DriversGams!$A$5:$AN$5,0))</f>
        <v>246.79</v>
      </c>
      <c r="AD65" s="6">
        <f>INDEX(DriversGams!$A$5:$AN$26,MATCH(Drivers!$A65,DriversGams!$A$5:$A$26,0),MATCH(Drivers!AD$3,DriversGams!$A$5:$AN$5,0))</f>
        <v>262.18</v>
      </c>
      <c r="AE65" s="6">
        <f>INDEX(DriversGams!$A$5:$AN$26,MATCH(Drivers!$A65,DriversGams!$A$5:$A$26,0),MATCH(Drivers!AE$3,DriversGams!$A$5:$AN$5,0))</f>
        <v>276.33</v>
      </c>
      <c r="AF65" s="6">
        <f>INDEX(DriversGams!$A$5:$AN$26,MATCH(Drivers!$A65,DriversGams!$A$5:$A$26,0),MATCH(Drivers!AF$3,DriversGams!$A$5:$AN$5,0))</f>
        <v>325.05</v>
      </c>
      <c r="AG65" s="6">
        <f>INDEX(DriversGams!$A$5:$AN$26,MATCH(Drivers!$A65,DriversGams!$A$5:$A$26,0),MATCH(Drivers!AG$3,DriversGams!$A$5:$AN$5,0))</f>
        <v>402.21</v>
      </c>
      <c r="AH65" s="112"/>
      <c r="AI65" s="112"/>
      <c r="AJ65" s="112"/>
      <c r="AK65" s="112"/>
      <c r="AL65" s="112"/>
      <c r="AM65" s="112"/>
    </row>
    <row r="66" spans="1:39">
      <c r="A66" s="2" t="s">
        <v>5</v>
      </c>
      <c r="B66">
        <f t="shared" si="83"/>
        <v>20</v>
      </c>
      <c r="C66" s="310">
        <f>SUM(C45:C65)</f>
        <v>4032.0433682922144</v>
      </c>
      <c r="D66" s="310">
        <f t="shared" ref="D66:I66" si="85">SUM(D45:D65)</f>
        <v>4135.6011269326036</v>
      </c>
      <c r="E66" s="310">
        <f t="shared" si="85"/>
        <v>4214.5620530894539</v>
      </c>
      <c r="F66" s="310">
        <f t="shared" si="85"/>
        <v>4269.9104508291794</v>
      </c>
      <c r="G66" s="310">
        <f t="shared" si="85"/>
        <v>4306.3530098044157</v>
      </c>
      <c r="H66" s="310">
        <f t="shared" si="85"/>
        <v>4369.2882721535752</v>
      </c>
      <c r="I66" s="310">
        <f t="shared" si="85"/>
        <v>4424.2547121291227</v>
      </c>
      <c r="J66" s="113">
        <f t="shared" ref="J66:AG66" si="86">SUM(J45:J65)</f>
        <v>4436.7700000000004</v>
      </c>
      <c r="K66" s="113">
        <f t="shared" si="86"/>
        <v>4157.24</v>
      </c>
      <c r="L66" s="113">
        <f t="shared" si="86"/>
        <v>4296.6099999999997</v>
      </c>
      <c r="M66" s="113">
        <f t="shared" si="86"/>
        <v>4408.51</v>
      </c>
      <c r="N66" s="113">
        <f t="shared" si="86"/>
        <v>4511.7199999999993</v>
      </c>
      <c r="O66" s="113">
        <f t="shared" si="86"/>
        <v>4622.4800000000014</v>
      </c>
      <c r="P66" s="113">
        <f t="shared" si="86"/>
        <v>4727.3099999999995</v>
      </c>
      <c r="Q66" s="113">
        <f t="shared" si="86"/>
        <v>4818.42</v>
      </c>
      <c r="R66" s="113">
        <f t="shared" si="86"/>
        <v>4908.8799999999992</v>
      </c>
      <c r="S66" s="113">
        <f t="shared" si="86"/>
        <v>5001.340000000002</v>
      </c>
      <c r="T66" s="113">
        <f t="shared" si="86"/>
        <v>5124.1600000000008</v>
      </c>
      <c r="U66" s="113">
        <f t="shared" si="86"/>
        <v>5234.6499999999996</v>
      </c>
      <c r="V66" s="113">
        <f t="shared" si="86"/>
        <v>5365.44</v>
      </c>
      <c r="W66" s="113">
        <f t="shared" si="86"/>
        <v>5502.3000000000011</v>
      </c>
      <c r="X66" s="113">
        <f t="shared" si="86"/>
        <v>5663.2600000000011</v>
      </c>
      <c r="Y66" s="113">
        <f t="shared" si="86"/>
        <v>5838.79</v>
      </c>
      <c r="Z66" s="113">
        <f t="shared" si="86"/>
        <v>5978.869999999999</v>
      </c>
      <c r="AA66" s="113">
        <f t="shared" si="86"/>
        <v>6119.1299999999983</v>
      </c>
      <c r="AB66" s="113">
        <f t="shared" si="86"/>
        <v>6283.24</v>
      </c>
      <c r="AC66" s="113">
        <f t="shared" si="86"/>
        <v>6443.4999999999982</v>
      </c>
      <c r="AD66" s="113">
        <f t="shared" si="86"/>
        <v>6615.260000000002</v>
      </c>
      <c r="AE66" s="113">
        <f t="shared" si="86"/>
        <v>6787.6</v>
      </c>
      <c r="AF66" s="113">
        <f t="shared" si="86"/>
        <v>7808.4800000000005</v>
      </c>
      <c r="AG66" s="113">
        <f t="shared" si="86"/>
        <v>8589.119999999999</v>
      </c>
      <c r="AH66" s="113"/>
      <c r="AI66" s="113"/>
      <c r="AJ66" s="113"/>
      <c r="AK66" s="113"/>
      <c r="AL66" s="113"/>
      <c r="AM66" s="113"/>
    </row>
    <row r="67" spans="1:39" s="27" customFormat="1">
      <c r="A67" s="220" t="s">
        <v>279</v>
      </c>
      <c r="B67">
        <f t="shared" si="83"/>
        <v>21</v>
      </c>
      <c r="C67" s="286"/>
      <c r="D67" s="221">
        <v>2.6436281887547874E-2</v>
      </c>
      <c r="E67" s="221">
        <v>2.0165921894981231E-2</v>
      </c>
      <c r="F67" s="221">
        <v>1.407744097509589E-2</v>
      </c>
      <c r="G67" s="221">
        <v>8.9337784405372211E-3</v>
      </c>
      <c r="H67" s="221">
        <v>1.4827464040109817E-2</v>
      </c>
      <c r="I67" s="221">
        <v>1.2732896737821964E-2</v>
      </c>
      <c r="J67" s="221">
        <v>7.2531087632679014E-3</v>
      </c>
      <c r="K67" s="221">
        <v>-7.2462496857853442E-2</v>
      </c>
      <c r="L67" s="221">
        <f t="shared" ref="L67" si="87">L66/K66-1</f>
        <v>3.352464615947115E-2</v>
      </c>
      <c r="M67" s="221">
        <f t="shared" ref="M67" si="88">M66/L66-1</f>
        <v>2.6043788009616931E-2</v>
      </c>
      <c r="N67" s="221">
        <f t="shared" ref="N67" si="89">N66/M66-1</f>
        <v>2.3411538138736088E-2</v>
      </c>
      <c r="O67" s="221">
        <f t="shared" ref="O67" si="90">O66/N66-1</f>
        <v>2.4549395795838924E-2</v>
      </c>
      <c r="P67" s="221">
        <f t="shared" ref="P67" si="91">P66/O66-1</f>
        <v>2.2678302556203178E-2</v>
      </c>
      <c r="Q67" s="221">
        <f t="shared" ref="Q67" si="92">Q66/P66-1</f>
        <v>1.9273117269652529E-2</v>
      </c>
      <c r="R67" s="221">
        <f t="shared" ref="R67" si="93">R66/Q66-1</f>
        <v>1.8773788918359013E-2</v>
      </c>
      <c r="S67" s="221">
        <f t="shared" ref="S67" si="94">S66/R66-1</f>
        <v>1.8835253662750517E-2</v>
      </c>
      <c r="T67" s="221">
        <f t="shared" ref="T67" si="95">T66/S66-1</f>
        <v>2.4557418611811821E-2</v>
      </c>
      <c r="U67" s="221">
        <f t="shared" ref="U67" si="96">U66/T66-1</f>
        <v>2.1562558546180943E-2</v>
      </c>
      <c r="V67" s="221">
        <f t="shared" ref="V67" si="97">V66/U66-1</f>
        <v>2.4985433601100393E-2</v>
      </c>
      <c r="W67" s="221">
        <f t="shared" ref="W67" si="98">W66/V66-1</f>
        <v>2.5507693684022392E-2</v>
      </c>
      <c r="X67" s="221">
        <f t="shared" ref="X67" si="99">X66/W66-1</f>
        <v>2.9253221380150185E-2</v>
      </c>
      <c r="Y67" s="221">
        <f t="shared" ref="Y67" si="100">Y66/X66-1</f>
        <v>3.0994515526392652E-2</v>
      </c>
      <c r="Z67" s="221">
        <f t="shared" ref="Z67" si="101">Z66/Y66-1</f>
        <v>2.3991272164266775E-2</v>
      </c>
      <c r="AA67" s="221">
        <f t="shared" ref="AA67" si="102">AA66/Z66-1</f>
        <v>2.3459282439658224E-2</v>
      </c>
      <c r="AB67" s="221">
        <f t="shared" ref="AB67" si="103">AB66/AA66-1</f>
        <v>2.681917200647832E-2</v>
      </c>
      <c r="AC67" s="221">
        <f t="shared" ref="AC67" si="104">AC66/AB66-1</f>
        <v>2.5505949159987162E-2</v>
      </c>
      <c r="AD67" s="221">
        <f t="shared" ref="AD67" si="105">AD66/AC66-1</f>
        <v>2.6656320322806515E-2</v>
      </c>
      <c r="AE67" s="221">
        <f t="shared" ref="AE67" si="106">AE66/AD66-1</f>
        <v>2.6051886093668042E-2</v>
      </c>
      <c r="AF67" s="221">
        <f>(AF66/AE66)^(1/5)-1</f>
        <v>2.8418906786719544E-2</v>
      </c>
      <c r="AG67" s="221">
        <f>(AG66/AF66)^(1/5)-1</f>
        <v>1.9239940017080626E-2</v>
      </c>
      <c r="AH67" s="220"/>
      <c r="AI67" s="220"/>
      <c r="AJ67" s="220"/>
      <c r="AK67" s="220"/>
      <c r="AL67" s="220"/>
      <c r="AM67" s="220"/>
    </row>
    <row r="68" spans="1:39">
      <c r="A68" t="s">
        <v>610</v>
      </c>
      <c r="B68">
        <f t="shared" si="83"/>
        <v>22</v>
      </c>
      <c r="C68" s="285">
        <v>52.325432882070082</v>
      </c>
      <c r="D68" s="284">
        <v>53.104386458423342</v>
      </c>
      <c r="E68" s="284">
        <v>53.912365691429272</v>
      </c>
      <c r="F68" s="284">
        <v>54.750491457321111</v>
      </c>
      <c r="G68" s="284">
        <v>55.619940469824826</v>
      </c>
      <c r="H68" s="284">
        <v>56.521948041648095</v>
      </c>
      <c r="I68" s="284">
        <v>57.436000617299655</v>
      </c>
      <c r="J68" s="112">
        <f>INDEX(DriversGams!$A$44:$AN$44,1,MATCH(Drivers!J$3,DriversGams!$A$43:$AN$43,0))/1000</f>
        <v>58.364834921819444</v>
      </c>
      <c r="K68" s="112">
        <f>INDEX(DriversGams!$A$44:$AN$44,1,MATCH(Drivers!K$3,DriversGams!$A$43:$AN$43,0))/1000</f>
        <v>59.308690000000006</v>
      </c>
      <c r="L68" s="112">
        <f>INDEX(DriversGams!$A$44:$AN$44,1,MATCH(Drivers!L$3,DriversGams!$A$43:$AN$43,0))/1000</f>
        <v>60.158036186957922</v>
      </c>
      <c r="M68" s="112">
        <f>INDEX(DriversGams!$A$44:$AN$44,1,MATCH(Drivers!M$3,DriversGams!$A$43:$AN$43,0))/1000</f>
        <v>60.963559588769527</v>
      </c>
      <c r="N68" s="112">
        <f>INDEX(DriversGams!$A$44:$AN$44,1,MATCH(Drivers!N$3,DriversGams!$A$43:$AN$43,0))/1000</f>
        <v>61.723133308607778</v>
      </c>
      <c r="O68" s="112">
        <f>INDEX(DriversGams!$A$44:$AN$44,1,MATCH(Drivers!O$3,DriversGams!$A$43:$AN$43,0))/1000</f>
        <v>62.434728280060035</v>
      </c>
      <c r="P68" s="112">
        <f>INDEX(DriversGams!$A$44:$AN$44,1,MATCH(Drivers!P$3,DriversGams!$A$43:$AN$43,0))/1000</f>
        <v>63.096422221537942</v>
      </c>
      <c r="Q68" s="112">
        <f>INDEX(DriversGams!$A$44:$AN$44,1,MATCH(Drivers!Q$3,DriversGams!$A$43:$AN$43,0))/1000</f>
        <v>63.744102485123491</v>
      </c>
      <c r="R68" s="112">
        <f>INDEX(DriversGams!$A$44:$AN$44,1,MATCH(Drivers!R$3,DriversGams!$A$43:$AN$43,0))/1000</f>
        <v>64.377188881988602</v>
      </c>
      <c r="S68" s="112">
        <f>INDEX(DriversGams!$A$44:$AN$44,1,MATCH(Drivers!S$3,DriversGams!$A$43:$AN$43,0))/1000</f>
        <v>64.995109664264291</v>
      </c>
      <c r="T68" s="112">
        <f>INDEX(DriversGams!$A$44:$AN$44,1,MATCH(Drivers!T$3,DriversGams!$A$43:$AN$43,0))/1000</f>
        <v>65.59730237662275</v>
      </c>
      <c r="U68" s="112">
        <f>INDEX(DriversGams!$A$44:$AN$44,1,MATCH(Drivers!U$3,DriversGams!$A$43:$AN$43,0))/1000</f>
        <v>66.183214701401099</v>
      </c>
      <c r="V68" s="112">
        <f>INDEX(DriversGams!$A$44:$AN$44,1,MATCH(Drivers!V$3,DriversGams!$A$43:$AN$43,0))/1000</f>
        <v>66.757007289602299</v>
      </c>
      <c r="W68" s="112">
        <f>INDEX(DriversGams!$A$44:$AN$44,1,MATCH(Drivers!W$3,DriversGams!$A$43:$AN$43,0))/1000</f>
        <v>67.318270994163854</v>
      </c>
      <c r="X68" s="112">
        <f>INDEX(DriversGams!$A$44:$AN$44,1,MATCH(Drivers!X$3,DriversGams!$A$43:$AN$43,0))/1000</f>
        <v>67.86660286866902</v>
      </c>
      <c r="Y68" s="112">
        <f>INDEX(DriversGams!$A$44:$AN$44,1,MATCH(Drivers!Y$3,DriversGams!$A$43:$AN$43,0))/1000</f>
        <v>68.401606645337111</v>
      </c>
      <c r="Z68" s="112">
        <f>INDEX(DriversGams!$A$44:$AN$44,1,MATCH(Drivers!Z$3,DriversGams!$A$43:$AN$43,0))/1000</f>
        <v>68.922893208527455</v>
      </c>
      <c r="AA68" s="112">
        <f>INDEX(DriversGams!$A$44:$AN$44,1,MATCH(Drivers!AA$3,DriversGams!$A$43:$AN$43,0))/1000</f>
        <v>69.431445341664755</v>
      </c>
      <c r="AB68" s="112">
        <f>INDEX(DriversGams!$A$44:$AN$44,1,MATCH(Drivers!AB$3,DriversGams!$A$43:$AN$43,0))/1000</f>
        <v>69.92691944658003</v>
      </c>
      <c r="AC68" s="112">
        <f>INDEX(DriversGams!$A$44:$AN$44,1,MATCH(Drivers!AC$3,DriversGams!$A$43:$AN$43,0))/1000</f>
        <v>70.408978817025954</v>
      </c>
      <c r="AD68" s="112">
        <f>INDEX(DriversGams!$A$44:$AN$44,1,MATCH(Drivers!AD$3,DriversGams!$A$43:$AN$43,0))/1000</f>
        <v>70.877294017675013</v>
      </c>
      <c r="AE68" s="112">
        <f>INDEX(DriversGams!$A$44:$AN$44,1,MATCH(Drivers!AE$3,DriversGams!$A$43:$AN$43,0))/1000</f>
        <v>71.331543257193218</v>
      </c>
      <c r="AF68" s="112">
        <f>INDEX(DriversGams!$A$44:$AN$44,1,MATCH(Drivers!AF$3,DriversGams!$A$43:$AN$43,0))/1000</f>
        <v>73.40362603426334</v>
      </c>
      <c r="AG68" s="112">
        <f>INDEX(DriversGams!$A$44:$AN$44,1,MATCH(Drivers!AG$3,DriversGams!$A$43:$AN$43,0))/1000</f>
        <v>75.121207211856714</v>
      </c>
      <c r="AH68" s="112"/>
      <c r="AI68" s="112"/>
      <c r="AJ68" s="112"/>
      <c r="AK68" s="112"/>
      <c r="AL68" s="112"/>
      <c r="AM68" s="112"/>
    </row>
    <row r="69" spans="1:39">
      <c r="A69" t="s">
        <v>396</v>
      </c>
      <c r="B69">
        <f t="shared" si="83"/>
        <v>23</v>
      </c>
      <c r="C69" s="287">
        <v>0.5</v>
      </c>
      <c r="D69" s="287">
        <v>0.5</v>
      </c>
      <c r="E69" s="287">
        <v>0.5</v>
      </c>
      <c r="F69" s="287">
        <v>0.5</v>
      </c>
      <c r="G69" s="287">
        <v>0.5</v>
      </c>
      <c r="H69" s="287">
        <v>0.5</v>
      </c>
      <c r="I69" s="287">
        <v>0.5</v>
      </c>
      <c r="J69" s="18">
        <f>INDEX(DriversGams!$B62:$AN62,1,MATCH(Drivers!J$3,DriversGams!$B$61:$AN$61,0))</f>
        <v>0.5</v>
      </c>
      <c r="K69" s="18">
        <f>INDEX(DriversGams!$B62:$AN62,1,MATCH(Drivers!K$3,DriversGams!$B$61:$AN$61,0))</f>
        <v>0.51400000000000001</v>
      </c>
      <c r="L69" s="18">
        <f>INDEX(DriversGams!$B62:$AN62,1,MATCH(Drivers!L$3,DriversGams!$B$61:$AN$61,0))</f>
        <v>0.52100000000000002</v>
      </c>
      <c r="M69" s="18">
        <f>INDEX(DriversGams!$B62:$AN62,1,MATCH(Drivers!M$3,DriversGams!$B$61:$AN$61,0))</f>
        <v>0.50900000000000001</v>
      </c>
      <c r="N69" s="18">
        <f>INDEX(DriversGams!$B62:$AN62,1,MATCH(Drivers!N$3,DriversGams!$B$61:$AN$61,0))</f>
        <v>0.5</v>
      </c>
      <c r="O69" s="18">
        <f>INDEX(DriversGams!$B62:$AN62,1,MATCH(Drivers!O$3,DriversGams!$B$61:$AN$61,0))</f>
        <v>0.49099999999999999</v>
      </c>
      <c r="P69" s="18">
        <f>INDEX(DriversGams!$B62:$AN62,1,MATCH(Drivers!P$3,DriversGams!$B$61:$AN$61,0))</f>
        <v>0.48199999999999998</v>
      </c>
      <c r="Q69" s="18">
        <f>INDEX(DriversGams!$B62:$AN62,1,MATCH(Drivers!Q$3,DriversGams!$B$61:$AN$61,0))</f>
        <v>0.47499999999999998</v>
      </c>
      <c r="R69" s="18">
        <f>INDEX(DriversGams!$B62:$AN62,1,MATCH(Drivers!R$3,DriversGams!$B$61:$AN$61,0))</f>
        <v>0.46800000000000003</v>
      </c>
      <c r="S69" s="18">
        <f>INDEX(DriversGams!$B62:$AN62,1,MATCH(Drivers!S$3,DriversGams!$B$61:$AN$61,0))</f>
        <v>0.46400000000000002</v>
      </c>
      <c r="T69" s="18">
        <f>INDEX(DriversGams!$B62:$AN62,1,MATCH(Drivers!T$3,DriversGams!$B$61:$AN$61,0))</f>
        <v>0.45700000000000002</v>
      </c>
      <c r="U69" s="18">
        <f>INDEX(DriversGams!$B62:$AN62,1,MATCH(Drivers!U$3,DriversGams!$B$61:$AN$61,0))</f>
        <v>0.44900000000000001</v>
      </c>
      <c r="V69" s="18">
        <f>INDEX(DriversGams!$B62:$AN62,1,MATCH(Drivers!V$3,DriversGams!$B$61:$AN$61,0))</f>
        <v>0.439</v>
      </c>
      <c r="W69" s="18">
        <f>INDEX(DriversGams!$B62:$AN62,1,MATCH(Drivers!W$3,DriversGams!$B$61:$AN$61,0))</f>
        <v>0.42799999999999999</v>
      </c>
      <c r="X69" s="18">
        <f>INDEX(DriversGams!$B62:$AN62,1,MATCH(Drivers!X$3,DriversGams!$B$61:$AN$61,0))</f>
        <v>0.41699999999999998</v>
      </c>
      <c r="Y69" s="18">
        <f>INDEX(DriversGams!$B62:$AN62,1,MATCH(Drivers!Y$3,DriversGams!$B$61:$AN$61,0))</f>
        <v>0.40500000000000003</v>
      </c>
      <c r="Z69" s="18">
        <f>INDEX(DriversGams!$B62:$AN62,1,MATCH(Drivers!Z$3,DriversGams!$B$61:$AN$61,0))</f>
        <v>0.39600000000000002</v>
      </c>
      <c r="AA69" s="18">
        <f>INDEX(DriversGams!$B62:$AN62,1,MATCH(Drivers!AA$3,DriversGams!$B$61:$AN$61,0))</f>
        <v>0.39100000000000001</v>
      </c>
      <c r="AB69" s="18">
        <f>INDEX(DriversGams!$B62:$AN62,1,MATCH(Drivers!AB$3,DriversGams!$B$61:$AN$61,0))</f>
        <v>0.38400000000000001</v>
      </c>
      <c r="AC69" s="18">
        <f>INDEX(DriversGams!$B62:$AN62,1,MATCH(Drivers!AC$3,DriversGams!$B$61:$AN$61,0))</f>
        <v>0.377</v>
      </c>
      <c r="AD69" s="18">
        <f>INDEX(DriversGams!$B62:$AN62,1,MATCH(Drivers!AD$3,DriversGams!$B$61:$AN$61,0))</f>
        <v>0.36799999999999999</v>
      </c>
      <c r="AE69" s="18">
        <f>INDEX(DriversGams!$B62:$AN62,1,MATCH(Drivers!AE$3,DriversGams!$B$61:$AN$61,0))</f>
        <v>0.35899999999999999</v>
      </c>
      <c r="AF69" s="18">
        <f>INDEX(DriversGams!$B62:$AN62,1,MATCH(Drivers!AF$3,DriversGams!$B$61:$AN$61,0))</f>
        <v>0.32</v>
      </c>
      <c r="AG69" s="18">
        <f>INDEX(DriversGams!$B62:$AN62,1,MATCH(Drivers!AG$3,DriversGams!$B$61:$AN$61,0))</f>
        <v>0.29599999999999999</v>
      </c>
      <c r="AH69" s="112"/>
      <c r="AI69" s="112"/>
      <c r="AJ69" s="112"/>
      <c r="AK69" s="112"/>
      <c r="AL69" s="112"/>
      <c r="AM69" s="112"/>
    </row>
    <row r="70" spans="1:39">
      <c r="A70" t="s">
        <v>397</v>
      </c>
      <c r="B70">
        <f t="shared" si="83"/>
        <v>24</v>
      </c>
      <c r="C70" s="287">
        <v>0.3</v>
      </c>
      <c r="D70" s="287">
        <v>0.3</v>
      </c>
      <c r="E70" s="287">
        <v>0.3</v>
      </c>
      <c r="F70" s="287">
        <v>0.3</v>
      </c>
      <c r="G70" s="287">
        <v>0.3</v>
      </c>
      <c r="H70" s="287">
        <v>0.3</v>
      </c>
      <c r="I70" s="287">
        <v>0.3</v>
      </c>
      <c r="J70" s="18">
        <f>INDEX(DriversGams!$B63:$AN63,1,MATCH(Drivers!J$3,DriversGams!$B$61:$AN$61,0))</f>
        <v>0.3</v>
      </c>
      <c r="K70" s="18">
        <f>INDEX(DriversGams!$B63:$AN63,1,MATCH(Drivers!K$3,DriversGams!$B$61:$AN$61,0))</f>
        <v>0.28599999999999998</v>
      </c>
      <c r="L70" s="18">
        <f>INDEX(DriversGams!$B63:$AN63,1,MATCH(Drivers!L$3,DriversGams!$B$61:$AN$61,0))</f>
        <v>0.27900000000000003</v>
      </c>
      <c r="M70" s="18">
        <f>INDEX(DriversGams!$B63:$AN63,1,MATCH(Drivers!M$3,DriversGams!$B$61:$AN$61,0))</f>
        <v>0.29099999999999998</v>
      </c>
      <c r="N70" s="18">
        <f>INDEX(DriversGams!$B63:$AN63,1,MATCH(Drivers!N$3,DriversGams!$B$61:$AN$61,0))</f>
        <v>0.29899999999999999</v>
      </c>
      <c r="O70" s="18">
        <f>INDEX(DriversGams!$B63:$AN63,1,MATCH(Drivers!O$3,DriversGams!$B$61:$AN$61,0))</f>
        <v>0.30199999999999999</v>
      </c>
      <c r="P70" s="18">
        <f>INDEX(DriversGams!$B63:$AN63,1,MATCH(Drivers!P$3,DriversGams!$B$61:$AN$61,0))</f>
        <v>0.30499999999999999</v>
      </c>
      <c r="Q70" s="18">
        <f>INDEX(DriversGams!$B63:$AN63,1,MATCH(Drivers!Q$3,DriversGams!$B$61:$AN$61,0))</f>
        <v>0.307</v>
      </c>
      <c r="R70" s="18">
        <f>INDEX(DriversGams!$B63:$AN63,1,MATCH(Drivers!R$3,DriversGams!$B$61:$AN$61,0))</f>
        <v>0.31</v>
      </c>
      <c r="S70" s="18">
        <f>INDEX(DriversGams!$B63:$AN63,1,MATCH(Drivers!S$3,DriversGams!$B$61:$AN$61,0))</f>
        <v>0.312</v>
      </c>
      <c r="T70" s="18">
        <f>INDEX(DriversGams!$B63:$AN63,1,MATCH(Drivers!T$3,DriversGams!$B$61:$AN$61,0))</f>
        <v>0.313</v>
      </c>
      <c r="U70" s="18">
        <f>INDEX(DriversGams!$B63:$AN63,1,MATCH(Drivers!U$3,DriversGams!$B$61:$AN$61,0))</f>
        <v>0.316</v>
      </c>
      <c r="V70" s="18">
        <f>INDEX(DriversGams!$B63:$AN63,1,MATCH(Drivers!V$3,DriversGams!$B$61:$AN$61,0))</f>
        <v>0.318</v>
      </c>
      <c r="W70" s="18">
        <f>INDEX(DriversGams!$B63:$AN63,1,MATCH(Drivers!W$3,DriversGams!$B$61:$AN$61,0))</f>
        <v>0.32</v>
      </c>
      <c r="X70" s="18">
        <f>INDEX(DriversGams!$B63:$AN63,1,MATCH(Drivers!X$3,DriversGams!$B$61:$AN$61,0))</f>
        <v>0.32300000000000001</v>
      </c>
      <c r="Y70" s="18">
        <f>INDEX(DriversGams!$B63:$AN63,1,MATCH(Drivers!Y$3,DriversGams!$B$61:$AN$61,0))</f>
        <v>0.32600000000000001</v>
      </c>
      <c r="Z70" s="18">
        <f>INDEX(DriversGams!$B63:$AN63,1,MATCH(Drivers!Z$3,DriversGams!$B$61:$AN$61,0))</f>
        <v>0.33</v>
      </c>
      <c r="AA70" s="18">
        <f>INDEX(DriversGams!$B63:$AN63,1,MATCH(Drivers!AA$3,DriversGams!$B$61:$AN$61,0))</f>
        <v>0.33200000000000002</v>
      </c>
      <c r="AB70" s="18">
        <f>INDEX(DriversGams!$B63:$AN63,1,MATCH(Drivers!AB$3,DriversGams!$B$61:$AN$61,0))</f>
        <v>0.33400000000000002</v>
      </c>
      <c r="AC70" s="18">
        <f>INDEX(DriversGams!$B63:$AN63,1,MATCH(Drivers!AC$3,DriversGams!$B$61:$AN$61,0))</f>
        <v>0.33700000000000002</v>
      </c>
      <c r="AD70" s="18">
        <f>INDEX(DriversGams!$B63:$AN63,1,MATCH(Drivers!AD$3,DriversGams!$B$61:$AN$61,0))</f>
        <v>0.33700000000000002</v>
      </c>
      <c r="AE70" s="18">
        <f>INDEX(DriversGams!$B63:$AN63,1,MATCH(Drivers!AE$3,DriversGams!$B$61:$AN$61,0))</f>
        <v>0.34100000000000003</v>
      </c>
      <c r="AF70" s="18">
        <f>INDEX(DriversGams!$B63:$AN63,1,MATCH(Drivers!AF$3,DriversGams!$B$61:$AN$61,0))</f>
        <v>0.35</v>
      </c>
      <c r="AG70" s="18">
        <f>INDEX(DriversGams!$B63:$AN63,1,MATCH(Drivers!AG$3,DriversGams!$B$61:$AN$61,0))</f>
        <v>0.35899999999999999</v>
      </c>
      <c r="AH70" s="112"/>
      <c r="AI70" s="112"/>
      <c r="AJ70" s="112"/>
      <c r="AK70" s="112"/>
      <c r="AL70" s="112"/>
      <c r="AM70" s="112"/>
    </row>
    <row r="71" spans="1:39">
      <c r="A71" t="s">
        <v>398</v>
      </c>
      <c r="B71">
        <f t="shared" si="83"/>
        <v>25</v>
      </c>
      <c r="C71" s="287">
        <v>0.19999999999999996</v>
      </c>
      <c r="D71" s="287">
        <v>0.19999999999999996</v>
      </c>
      <c r="E71" s="287">
        <v>0.19999999999999996</v>
      </c>
      <c r="F71" s="287">
        <v>0.19999999999999996</v>
      </c>
      <c r="G71" s="287">
        <v>0.19999999999999996</v>
      </c>
      <c r="H71" s="287">
        <v>0.19999999999999996</v>
      </c>
      <c r="I71" s="287">
        <v>0.19999999999999996</v>
      </c>
      <c r="J71" s="18">
        <f>INDEX(DriversGams!$B64:$AN64,1,MATCH(Drivers!J$3,DriversGams!$B$61:$AN$61,0))</f>
        <v>0.2</v>
      </c>
      <c r="K71" s="18">
        <f>INDEX(DriversGams!$B64:$AN64,1,MATCH(Drivers!K$3,DriversGams!$B$61:$AN$61,0))</f>
        <v>0.2</v>
      </c>
      <c r="L71" s="18">
        <f>INDEX(DriversGams!$B64:$AN64,1,MATCH(Drivers!L$3,DriversGams!$B$61:$AN$61,0))</f>
        <v>0.2</v>
      </c>
      <c r="M71" s="18">
        <f>INDEX(DriversGams!$B64:$AN64,1,MATCH(Drivers!M$3,DriversGams!$B$61:$AN$61,0))</f>
        <v>0.2</v>
      </c>
      <c r="N71" s="18">
        <f>INDEX(DriversGams!$B64:$AN64,1,MATCH(Drivers!N$3,DriversGams!$B$61:$AN$61,0))</f>
        <v>0.20100000000000001</v>
      </c>
      <c r="O71" s="18">
        <f>INDEX(DriversGams!$B64:$AN64,1,MATCH(Drivers!O$3,DriversGams!$B$61:$AN$61,0))</f>
        <v>0.20699999999999999</v>
      </c>
      <c r="P71" s="18">
        <f>INDEX(DriversGams!$B64:$AN64,1,MATCH(Drivers!P$3,DriversGams!$B$61:$AN$61,0))</f>
        <v>0.21299999999999999</v>
      </c>
      <c r="Q71" s="18">
        <f>INDEX(DriversGams!$B64:$AN64,1,MATCH(Drivers!Q$3,DriversGams!$B$61:$AN$61,0))</f>
        <v>0.218</v>
      </c>
      <c r="R71" s="18">
        <f>INDEX(DriversGams!$B64:$AN64,1,MATCH(Drivers!R$3,DriversGams!$B$61:$AN$61,0))</f>
        <v>0.222</v>
      </c>
      <c r="S71" s="18">
        <f>INDEX(DriversGams!$B64:$AN64,1,MATCH(Drivers!S$3,DriversGams!$B$61:$AN$61,0))</f>
        <v>0.224</v>
      </c>
      <c r="T71" s="18">
        <f>INDEX(DriversGams!$B64:$AN64,1,MATCH(Drivers!T$3,DriversGams!$B$61:$AN$61,0))</f>
        <v>0.23</v>
      </c>
      <c r="U71" s="18">
        <f>INDEX(DriversGams!$B64:$AN64,1,MATCH(Drivers!U$3,DriversGams!$B$61:$AN$61,0))</f>
        <v>0.23599999999999999</v>
      </c>
      <c r="V71" s="18">
        <f>INDEX(DriversGams!$B64:$AN64,1,MATCH(Drivers!V$3,DriversGams!$B$61:$AN$61,0))</f>
        <v>0.24399999999999999</v>
      </c>
      <c r="W71" s="18">
        <f>INDEX(DriversGams!$B64:$AN64,1,MATCH(Drivers!W$3,DriversGams!$B$61:$AN$61,0))</f>
        <v>0.251</v>
      </c>
      <c r="X71" s="18">
        <f>INDEX(DriversGams!$B64:$AN64,1,MATCH(Drivers!X$3,DriversGams!$B$61:$AN$61,0))</f>
        <v>0.26</v>
      </c>
      <c r="Y71" s="18">
        <f>INDEX(DriversGams!$B64:$AN64,1,MATCH(Drivers!Y$3,DriversGams!$B$61:$AN$61,0))</f>
        <v>0.26900000000000002</v>
      </c>
      <c r="Z71" s="18">
        <f>INDEX(DriversGams!$B64:$AN64,1,MATCH(Drivers!Z$3,DriversGams!$B$61:$AN$61,0))</f>
        <v>0.27400000000000002</v>
      </c>
      <c r="AA71" s="18">
        <f>INDEX(DriversGams!$B64:$AN64,1,MATCH(Drivers!AA$3,DriversGams!$B$61:$AN$61,0))</f>
        <v>0.27700000000000002</v>
      </c>
      <c r="AB71" s="18">
        <f>INDEX(DriversGams!$B64:$AN64,1,MATCH(Drivers!AB$3,DriversGams!$B$61:$AN$61,0))</f>
        <v>0.28199999999999997</v>
      </c>
      <c r="AC71" s="18">
        <f>INDEX(DriversGams!$B64:$AN64,1,MATCH(Drivers!AC$3,DriversGams!$B$61:$AN$61,0))</f>
        <v>0.28699999999999998</v>
      </c>
      <c r="AD71" s="18">
        <f>INDEX(DriversGams!$B64:$AN64,1,MATCH(Drivers!AD$3,DriversGams!$B$61:$AN$61,0))</f>
        <v>0.29399999999999998</v>
      </c>
      <c r="AE71" s="18">
        <f>INDEX(DriversGams!$B64:$AN64,1,MATCH(Drivers!AE$3,DriversGams!$B$61:$AN$61,0))</f>
        <v>0.29899999999999999</v>
      </c>
      <c r="AF71" s="18">
        <f>INDEX(DriversGams!$B64:$AN64,1,MATCH(Drivers!AF$3,DriversGams!$B$61:$AN$61,0))</f>
        <v>0.33</v>
      </c>
      <c r="AG71" s="18">
        <f>INDEX(DriversGams!$B64:$AN64,1,MATCH(Drivers!AG$3,DriversGams!$B$61:$AN$61,0))</f>
        <v>0.34499999999999997</v>
      </c>
      <c r="AH71" s="112"/>
      <c r="AI71" s="112"/>
      <c r="AJ71" s="112"/>
      <c r="AK71" s="112"/>
      <c r="AL71" s="112"/>
      <c r="AM71" s="112"/>
    </row>
    <row r="72" spans="1:39">
      <c r="A72" t="s">
        <v>399</v>
      </c>
      <c r="B72">
        <f t="shared" si="83"/>
        <v>26</v>
      </c>
      <c r="C72" s="284">
        <f>C69*C$68</f>
        <v>26.162716441035041</v>
      </c>
      <c r="D72" s="284">
        <f t="shared" ref="D72:I72" si="107">D69*D$68</f>
        <v>26.552193229211671</v>
      </c>
      <c r="E72" s="284">
        <f t="shared" si="107"/>
        <v>26.956182845714636</v>
      </c>
      <c r="F72" s="284">
        <f t="shared" si="107"/>
        <v>27.375245728660555</v>
      </c>
      <c r="G72" s="284">
        <f t="shared" si="107"/>
        <v>27.809970234912413</v>
      </c>
      <c r="H72" s="284">
        <f t="shared" si="107"/>
        <v>28.260974020824047</v>
      </c>
      <c r="I72" s="284">
        <f t="shared" si="107"/>
        <v>28.718000308649827</v>
      </c>
      <c r="J72" s="6">
        <f t="shared" ref="J72:K72" si="108">J69*J$30</f>
        <v>29.182417460909722</v>
      </c>
      <c r="K72" s="6">
        <f t="shared" si="108"/>
        <v>30.484666660000002</v>
      </c>
      <c r="L72" s="6">
        <f t="shared" ref="L72:L74" si="109">L69*L$30</f>
        <v>31.342336853405079</v>
      </c>
      <c r="M72" s="6">
        <f t="shared" ref="M72:AG72" si="110">M69*M$30</f>
        <v>31.030451830683688</v>
      </c>
      <c r="N72" s="6">
        <f t="shared" si="110"/>
        <v>30.861566654303889</v>
      </c>
      <c r="O72" s="6">
        <f t="shared" si="110"/>
        <v>30.655451585509478</v>
      </c>
      <c r="P72" s="6">
        <f t="shared" si="110"/>
        <v>30.412475510781288</v>
      </c>
      <c r="Q72" s="6">
        <f t="shared" si="110"/>
        <v>30.278448680433659</v>
      </c>
      <c r="R72" s="6">
        <f t="shared" si="110"/>
        <v>30.128524396770668</v>
      </c>
      <c r="S72" s="6">
        <f t="shared" si="110"/>
        <v>30.157730884218633</v>
      </c>
      <c r="T72" s="6">
        <f t="shared" si="110"/>
        <v>29.977967186116597</v>
      </c>
      <c r="U72" s="6">
        <f t="shared" si="110"/>
        <v>29.716263400929094</v>
      </c>
      <c r="V72" s="6">
        <f t="shared" si="110"/>
        <v>29.306326200135409</v>
      </c>
      <c r="W72" s="6">
        <f t="shared" si="110"/>
        <v>28.812219985502129</v>
      </c>
      <c r="X72" s="6">
        <f t="shared" si="110"/>
        <v>28.300373396234981</v>
      </c>
      <c r="Y72" s="6">
        <f t="shared" si="110"/>
        <v>27.70265069136153</v>
      </c>
      <c r="Z72" s="6">
        <f t="shared" si="110"/>
        <v>27.293465710576875</v>
      </c>
      <c r="AA72" s="6">
        <f t="shared" si="110"/>
        <v>27.147695128590922</v>
      </c>
      <c r="AB72" s="6">
        <f t="shared" si="110"/>
        <v>26.85193706748673</v>
      </c>
      <c r="AC72" s="6">
        <f t="shared" si="110"/>
        <v>26.544185014018783</v>
      </c>
      <c r="AD72" s="6">
        <f t="shared" si="110"/>
        <v>26.082844198504404</v>
      </c>
      <c r="AE72" s="6">
        <f t="shared" si="110"/>
        <v>25.608024029332363</v>
      </c>
      <c r="AF72" s="6">
        <f t="shared" si="110"/>
        <v>23.489160330964268</v>
      </c>
      <c r="AG72" s="6">
        <f t="shared" si="110"/>
        <v>22.235877334709585</v>
      </c>
      <c r="AH72" s="6"/>
      <c r="AI72" s="6"/>
      <c r="AJ72" s="6"/>
      <c r="AK72" s="6"/>
      <c r="AL72" s="6"/>
      <c r="AM72" s="6"/>
    </row>
    <row r="73" spans="1:39">
      <c r="A73" t="s">
        <v>400</v>
      </c>
      <c r="B73">
        <f t="shared" si="83"/>
        <v>27</v>
      </c>
      <c r="C73" s="284">
        <f t="shared" ref="C73:I74" si="111">C70*C$68</f>
        <v>15.697629864621025</v>
      </c>
      <c r="D73" s="284">
        <f t="shared" si="111"/>
        <v>15.931315937527001</v>
      </c>
      <c r="E73" s="284">
        <f t="shared" si="111"/>
        <v>16.173709707428781</v>
      </c>
      <c r="F73" s="284">
        <f t="shared" si="111"/>
        <v>16.425147437196333</v>
      </c>
      <c r="G73" s="284">
        <f t="shared" si="111"/>
        <v>16.685982140947448</v>
      </c>
      <c r="H73" s="284">
        <f t="shared" si="111"/>
        <v>16.956584412494429</v>
      </c>
      <c r="I73" s="284">
        <f t="shared" si="111"/>
        <v>17.230800185189896</v>
      </c>
      <c r="J73" s="6">
        <f t="shared" ref="J73:K73" si="112">J70*J$30</f>
        <v>17.509450476545833</v>
      </c>
      <c r="K73" s="6">
        <f t="shared" si="112"/>
        <v>16.962285340000001</v>
      </c>
      <c r="L73" s="6">
        <f t="shared" si="109"/>
        <v>16.784092096161263</v>
      </c>
      <c r="M73" s="6">
        <f t="shared" ref="M73:AG73" si="113">M70*M$30</f>
        <v>17.740395840331932</v>
      </c>
      <c r="N73" s="6">
        <f t="shared" si="113"/>
        <v>18.455216859273726</v>
      </c>
      <c r="O73" s="6">
        <f t="shared" si="113"/>
        <v>18.85528794057813</v>
      </c>
      <c r="P73" s="6">
        <f t="shared" si="113"/>
        <v>19.24440877756907</v>
      </c>
      <c r="Q73" s="6">
        <f t="shared" si="113"/>
        <v>19.569439462932912</v>
      </c>
      <c r="R73" s="6">
        <f t="shared" si="113"/>
        <v>19.956928553416468</v>
      </c>
      <c r="S73" s="6">
        <f t="shared" si="113"/>
        <v>20.278474215250458</v>
      </c>
      <c r="T73" s="6">
        <f t="shared" si="113"/>
        <v>20.53195564388292</v>
      </c>
      <c r="U73" s="6">
        <f t="shared" si="113"/>
        <v>20.913895845642749</v>
      </c>
      <c r="V73" s="6">
        <f t="shared" si="113"/>
        <v>21.22872831809353</v>
      </c>
      <c r="W73" s="6">
        <f t="shared" si="113"/>
        <v>21.541846718132433</v>
      </c>
      <c r="X73" s="6">
        <f t="shared" si="113"/>
        <v>21.920912726580095</v>
      </c>
      <c r="Y73" s="6">
        <f t="shared" si="113"/>
        <v>22.2989237663799</v>
      </c>
      <c r="Z73" s="6">
        <f t="shared" si="113"/>
        <v>22.744554758814061</v>
      </c>
      <c r="AA73" s="6">
        <f t="shared" si="113"/>
        <v>23.051239853432701</v>
      </c>
      <c r="AB73" s="6">
        <f t="shared" si="113"/>
        <v>23.355591095157731</v>
      </c>
      <c r="AC73" s="6">
        <f t="shared" si="113"/>
        <v>23.727825861337749</v>
      </c>
      <c r="AD73" s="6">
        <f t="shared" si="113"/>
        <v>23.885648083956482</v>
      </c>
      <c r="AE73" s="6">
        <f t="shared" si="113"/>
        <v>24.324056250702888</v>
      </c>
      <c r="AF73" s="6">
        <f t="shared" si="113"/>
        <v>25.691269111992167</v>
      </c>
      <c r="AG73" s="6">
        <f t="shared" si="113"/>
        <v>26.968513389056557</v>
      </c>
      <c r="AH73" s="6"/>
      <c r="AI73" s="6"/>
      <c r="AJ73" s="6"/>
      <c r="AK73" s="6"/>
      <c r="AL73" s="6"/>
      <c r="AM73" s="6"/>
    </row>
    <row r="74" spans="1:39">
      <c r="A74" t="s">
        <v>401</v>
      </c>
      <c r="B74">
        <f t="shared" si="83"/>
        <v>28</v>
      </c>
      <c r="C74" s="284">
        <f t="shared" si="111"/>
        <v>10.465086576414015</v>
      </c>
      <c r="D74" s="284">
        <f t="shared" si="111"/>
        <v>10.620877291684666</v>
      </c>
      <c r="E74" s="284">
        <f t="shared" si="111"/>
        <v>10.782473138285852</v>
      </c>
      <c r="F74" s="284">
        <f t="shared" si="111"/>
        <v>10.95009829146422</v>
      </c>
      <c r="G74" s="284">
        <f t="shared" si="111"/>
        <v>11.123988093964963</v>
      </c>
      <c r="H74" s="284">
        <f t="shared" si="111"/>
        <v>11.304389608329616</v>
      </c>
      <c r="I74" s="284">
        <f t="shared" si="111"/>
        <v>11.487200123459928</v>
      </c>
      <c r="J74" s="6">
        <f t="shared" ref="J74:K74" si="114">J71*J$30</f>
        <v>11.672966984363889</v>
      </c>
      <c r="K74" s="6">
        <f t="shared" si="114"/>
        <v>11.861738000000003</v>
      </c>
      <c r="L74" s="6">
        <f t="shared" si="109"/>
        <v>12.031607237391585</v>
      </c>
      <c r="M74" s="6">
        <f t="shared" ref="M74:AG74" si="115">M71*M$30</f>
        <v>12.192711917753906</v>
      </c>
      <c r="N74" s="6">
        <f t="shared" si="115"/>
        <v>12.406349795030165</v>
      </c>
      <c r="O74" s="6">
        <f t="shared" si="115"/>
        <v>12.923988753972427</v>
      </c>
      <c r="P74" s="6">
        <f t="shared" si="115"/>
        <v>13.439537933187582</v>
      </c>
      <c r="Q74" s="6">
        <f t="shared" si="115"/>
        <v>13.896214341756922</v>
      </c>
      <c r="R74" s="6">
        <f t="shared" si="115"/>
        <v>14.291735931801469</v>
      </c>
      <c r="S74" s="6">
        <f t="shared" si="115"/>
        <v>14.558904564795201</v>
      </c>
      <c r="T74" s="6">
        <f t="shared" si="115"/>
        <v>15.087379546623232</v>
      </c>
      <c r="U74" s="6">
        <f t="shared" si="115"/>
        <v>15.619238669530658</v>
      </c>
      <c r="V74" s="6">
        <f t="shared" si="115"/>
        <v>16.288709778662962</v>
      </c>
      <c r="W74" s="6">
        <f t="shared" si="115"/>
        <v>16.896886019535128</v>
      </c>
      <c r="X74" s="6">
        <f t="shared" si="115"/>
        <v>17.645316745853947</v>
      </c>
      <c r="Y74" s="6">
        <f t="shared" si="115"/>
        <v>18.400032187595684</v>
      </c>
      <c r="Z74" s="6">
        <f t="shared" si="115"/>
        <v>18.884872739136526</v>
      </c>
      <c r="AA74" s="6">
        <f t="shared" si="115"/>
        <v>19.23251035964114</v>
      </c>
      <c r="AB74" s="6">
        <f t="shared" si="115"/>
        <v>19.719391283935565</v>
      </c>
      <c r="AC74" s="6">
        <f t="shared" si="115"/>
        <v>20.207376920486446</v>
      </c>
      <c r="AD74" s="6">
        <f t="shared" si="115"/>
        <v>20.837924441196453</v>
      </c>
      <c r="AE74" s="6">
        <f t="shared" si="115"/>
        <v>21.328131433900772</v>
      </c>
      <c r="AF74" s="6">
        <f t="shared" si="115"/>
        <v>24.223196591306902</v>
      </c>
      <c r="AG74" s="6">
        <f t="shared" si="115"/>
        <v>25.916816488090564</v>
      </c>
      <c r="AH74" s="6"/>
      <c r="AI74" s="6"/>
      <c r="AJ74" s="6"/>
      <c r="AK74" s="6"/>
      <c r="AL74" s="6"/>
      <c r="AM74" s="6"/>
    </row>
    <row r="75" spans="1:39">
      <c r="A75" t="s">
        <v>402</v>
      </c>
      <c r="B75">
        <f t="shared" si="83"/>
        <v>29</v>
      </c>
      <c r="C75" s="288">
        <v>0.33936777226430637</v>
      </c>
      <c r="D75" s="287">
        <v>0.34922378908645002</v>
      </c>
      <c r="E75" s="287">
        <v>0.35473666462293074</v>
      </c>
      <c r="F75" s="287">
        <v>0.35856192519926422</v>
      </c>
      <c r="G75" s="287">
        <v>0.35979950950337214</v>
      </c>
      <c r="H75" s="287">
        <v>0.36519987737584303</v>
      </c>
      <c r="I75" s="287">
        <v>0.36857510729613735</v>
      </c>
      <c r="J75">
        <f>INDEX(DriversGams!$A72:$AN72,1,MATCH(Drivers!J$3,DriversGams!$A$71:$AN$71,0))</f>
        <v>0.36699999999999999</v>
      </c>
      <c r="K75">
        <f>INDEX(DriversGams!$A72:$AN72,1,MATCH(Drivers!K$3,DriversGams!$A$71:$AN$71,0))</f>
        <v>0.34200000000000003</v>
      </c>
      <c r="L75" s="189">
        <f>(K75+M75)/2</f>
        <v>0.35150000000000003</v>
      </c>
      <c r="M75">
        <f>INDEX(DriversGams!$A72:$AN72,1,MATCH(Drivers!M$3,DriversGams!$A$71:$AN$71,0))</f>
        <v>0.36099999999999999</v>
      </c>
      <c r="N75">
        <f>INDEX(DriversGams!$A72:$AN72,1,MATCH(Drivers!N$3,DriversGams!$A$71:$AN$71,0))</f>
        <v>0.42599999999999999</v>
      </c>
      <c r="O75">
        <f>INDEX(DriversGams!$A72:$AN72,1,MATCH(Drivers!O$3,DriversGams!$A$71:$AN$71,0))</f>
        <v>0.432</v>
      </c>
      <c r="P75" s="189">
        <f>(O75+Q75)/2</f>
        <v>0.437</v>
      </c>
      <c r="Q75">
        <f>INDEX(DriversGams!$A72:$AN72,1,MATCH(Drivers!Q$3,DriversGams!$A$71:$AN$71,0))</f>
        <v>0.442</v>
      </c>
      <c r="R75">
        <f>INDEX(DriversGams!$A72:$AN72,1,MATCH(Drivers!R$3,DriversGams!$A$71:$AN$71,0))</f>
        <v>0.44700000000000001</v>
      </c>
      <c r="S75">
        <f>INDEX(DriversGams!$A72:$AN72,1,MATCH(Drivers!S$3,DriversGams!$A$71:$AN$71,0))</f>
        <v>0.44800000000000001</v>
      </c>
      <c r="T75">
        <f>INDEX(DriversGams!$A72:$AN72,1,MATCH(Drivers!T$3,DriversGams!$A$71:$AN$71,0))</f>
        <v>0.45600000000000002</v>
      </c>
      <c r="U75">
        <f>INDEX(DriversGams!$A72:$AN72,1,MATCH(Drivers!U$3,DriversGams!$A$71:$AN$71,0))</f>
        <v>0.46300000000000002</v>
      </c>
      <c r="V75">
        <f>INDEX(DriversGams!$A72:$AN72,1,MATCH(Drivers!V$3,DriversGams!$A$71:$AN$71,0))</f>
        <v>0.47299999999999998</v>
      </c>
      <c r="W75">
        <f>INDEX(DriversGams!$A72:$AN72,1,MATCH(Drivers!W$3,DriversGams!$A$71:$AN$71,0))</f>
        <v>0.48299999999999998</v>
      </c>
      <c r="X75">
        <f>INDEX(DriversGams!$A72:$AN72,1,MATCH(Drivers!X$3,DriversGams!$A$71:$AN$71,0))</f>
        <v>0.496</v>
      </c>
      <c r="Y75">
        <f>INDEX(DriversGams!$A72:$AN72,1,MATCH(Drivers!Y$3,DriversGams!$A$71:$AN$71,0))</f>
        <v>0.50900000000000001</v>
      </c>
      <c r="Z75">
        <f>INDEX(DriversGams!$A72:$AN72,1,MATCH(Drivers!Z$3,DriversGams!$A$71:$AN$71,0))</f>
        <v>0.51400000000000001</v>
      </c>
      <c r="AA75">
        <f>INDEX(DriversGams!$A72:$AN72,1,MATCH(Drivers!AA$3,DriversGams!$A$71:$AN$71,0))</f>
        <v>0.51800000000000002</v>
      </c>
      <c r="AB75">
        <f>INDEX(DriversGams!$A72:$AN72,1,MATCH(Drivers!AB$3,DriversGams!$A$71:$AN$71,0))</f>
        <v>0.52500000000000002</v>
      </c>
      <c r="AC75">
        <f>INDEX(DriversGams!$A72:$AN72,1,MATCH(Drivers!AC$3,DriversGams!$A$71:$AN$71,0))</f>
        <v>0.53300000000000003</v>
      </c>
      <c r="AD75">
        <f>INDEX(DriversGams!$A72:$AN72,1,MATCH(Drivers!AD$3,DriversGams!$A$71:$AN$71,0))</f>
        <v>0.54800000000000004</v>
      </c>
      <c r="AE75">
        <f>INDEX(DriversGams!$A72:$AN72,1,MATCH(Drivers!AE$3,DriversGams!$A$71:$AN$71,0))</f>
        <v>0.55400000000000005</v>
      </c>
      <c r="AF75">
        <f>INDEX(DriversGams!$A72:$AN72,1,MATCH(Drivers!AF$3,DriversGams!$A$71:$AN$71,0))</f>
        <v>0.67600000000000005</v>
      </c>
      <c r="AG75">
        <f>INDEX(DriversGams!$A72:$AN72,1,MATCH(Drivers!AG$3,DriversGams!$A$71:$AN$71,0))</f>
        <v>0.70599999999999996</v>
      </c>
      <c r="AH75" s="112"/>
      <c r="AI75" s="112"/>
      <c r="AJ75" s="112"/>
      <c r="AK75" s="112"/>
      <c r="AL75" s="112"/>
      <c r="AM75" s="112"/>
    </row>
    <row r="76" spans="1:39">
      <c r="A76" t="s">
        <v>279</v>
      </c>
      <c r="C76" s="97"/>
      <c r="D76" s="293">
        <f>(D75/C75)^(1/(D$5-C$5))-1</f>
        <v>2.9042288713459818E-2</v>
      </c>
      <c r="E76" s="293">
        <f t="shared" ref="E76" si="116">(E75/D75)^(1/(E$5-D$5))-1</f>
        <v>1.5786082474226859E-2</v>
      </c>
      <c r="F76" s="293">
        <f t="shared" ref="F76" si="117">(F75/E75)^(1/(F$5-E$5))-1</f>
        <v>1.0783380907072537E-2</v>
      </c>
      <c r="G76" s="293">
        <f t="shared" ref="G76" si="118">(G75/F75)^(1/(G$5-F$5))-1</f>
        <v>3.4515218073423171E-3</v>
      </c>
      <c r="H76" s="293">
        <f t="shared" ref="H76" si="119">(H75/G75)^(1/(H$5-G$5))-1</f>
        <v>1.5009380863039379E-2</v>
      </c>
      <c r="I76" s="293">
        <f t="shared" ref="I76" si="120">(I75/H75)^(1/(I$5-H$5))-1</f>
        <v>9.2421441774492852E-3</v>
      </c>
      <c r="J76" s="97">
        <f t="shared" ref="J76" si="121">(J75/I75)^(1/(J$5-I$5))-1</f>
        <v>-4.2735042735043693E-3</v>
      </c>
      <c r="K76" s="97">
        <f t="shared" ref="K76" si="122">(K75/J75)^(1/(K$5-J$5))-1</f>
        <v>-6.8119891008174283E-2</v>
      </c>
      <c r="L76" s="97">
        <f t="shared" ref="L76" si="123">(L75/K75)^(1/(L$5-K$5))-1</f>
        <v>2.7777777777777901E-2</v>
      </c>
      <c r="M76" s="97">
        <f t="shared" ref="M76" si="124">(M75/L75)^(1/(M$5-L$5))-1</f>
        <v>2.7027027027026973E-2</v>
      </c>
      <c r="N76" s="97">
        <f t="shared" ref="N76" si="125">(N75/M75)^(1/(N$5-M$5))-1</f>
        <v>0.18005540166204992</v>
      </c>
      <c r="O76" s="97">
        <f t="shared" ref="O76" si="126">(O75/N75)^(1/(O$5-N$5))-1</f>
        <v>1.4084507042253502E-2</v>
      </c>
      <c r="P76" s="97">
        <f t="shared" ref="P76" si="127">(P75/O75)^(1/(P$5-O$5))-1</f>
        <v>1.1574074074074181E-2</v>
      </c>
      <c r="Q76" s="97">
        <f t="shared" ref="Q76" si="128">(Q75/P75)^(1/(Q$5-P$5))-1</f>
        <v>1.1441647597254079E-2</v>
      </c>
      <c r="R76" s="97">
        <f t="shared" ref="R76" si="129">(R75/Q75)^(1/(R$5-Q$5))-1</f>
        <v>1.1312217194570096E-2</v>
      </c>
      <c r="S76" s="97">
        <f t="shared" ref="S76" si="130">(S75/R75)^(1/(S$5-R$5))-1</f>
        <v>2.2371364653244186E-3</v>
      </c>
      <c r="T76" s="97">
        <f t="shared" ref="T76" si="131">(T75/S75)^(1/(T$5-S$5))-1</f>
        <v>1.7857142857142794E-2</v>
      </c>
      <c r="U76" s="97">
        <f t="shared" ref="U76" si="132">(U75/T75)^(1/(U$5-T$5))-1</f>
        <v>1.5350877192982448E-2</v>
      </c>
      <c r="V76" s="97">
        <f t="shared" ref="V76" si="133">(V75/U75)^(1/(V$5-U$5))-1</f>
        <v>2.1598272138228847E-2</v>
      </c>
      <c r="W76" s="97">
        <f t="shared" ref="W76" si="134">(W75/V75)^(1/(W$5-V$5))-1</f>
        <v>2.114164904862581E-2</v>
      </c>
      <c r="X76" s="97">
        <f t="shared" ref="X76" si="135">(X75/W75)^(1/(X$5-W$5))-1</f>
        <v>2.6915113871635699E-2</v>
      </c>
      <c r="Y76" s="97">
        <f t="shared" ref="Y76" si="136">(Y75/X75)^(1/(Y$5-X$5))-1</f>
        <v>2.620967741935476E-2</v>
      </c>
      <c r="Z76" s="97">
        <f t="shared" ref="Z76" si="137">(Z75/Y75)^(1/(Z$5-Y$5))-1</f>
        <v>9.8231827111985304E-3</v>
      </c>
      <c r="AA76" s="97">
        <f t="shared" ref="AA76" si="138">(AA75/Z75)^(1/(AA$5-Z$5))-1</f>
        <v>7.7821011673151474E-3</v>
      </c>
      <c r="AB76" s="97">
        <f t="shared" ref="AB76" si="139">(AB75/AA75)^(1/(AB$5-AA$5))-1</f>
        <v>1.3513513513513598E-2</v>
      </c>
      <c r="AC76" s="97">
        <f t="shared" ref="AC76" si="140">(AC75/AB75)^(1/(AC$5-AB$5))-1</f>
        <v>1.5238095238095273E-2</v>
      </c>
      <c r="AD76" s="97">
        <f t="shared" ref="AD76" si="141">(AD75/AC75)^(1/(AD$5-AC$5))-1</f>
        <v>2.8142589118199002E-2</v>
      </c>
      <c r="AE76" s="97">
        <f t="shared" ref="AE76" si="142">(AE75/AD75)^(1/(AE$5-AD$5))-1</f>
        <v>1.0948905109489093E-2</v>
      </c>
      <c r="AF76" s="97">
        <f t="shared" ref="AF76" si="143">(AF75/AE75)^(1/(AF$5-AE$5))-1</f>
        <v>4.0608541264317122E-2</v>
      </c>
      <c r="AG76" s="97">
        <f t="shared" ref="AG76" si="144">(AG75/AF75)^(1/(AG$5-AF$5))-1</f>
        <v>8.7222513719651396E-3</v>
      </c>
      <c r="AH76" s="97"/>
      <c r="AI76" s="97"/>
      <c r="AJ76" s="97"/>
      <c r="AK76" s="97"/>
      <c r="AL76" s="97"/>
      <c r="AM76" s="97"/>
    </row>
    <row r="78" spans="1:39">
      <c r="A78" t="s">
        <v>655</v>
      </c>
      <c r="L78">
        <f>L69/K69</f>
        <v>1.0136186770428015</v>
      </c>
      <c r="M78">
        <f t="shared" ref="M78:AG80" si="145">M69/L69</f>
        <v>0.97696737044145876</v>
      </c>
      <c r="N78">
        <f t="shared" si="145"/>
        <v>0.98231827111984282</v>
      </c>
      <c r="O78">
        <f t="shared" si="145"/>
        <v>0.98199999999999998</v>
      </c>
      <c r="P78">
        <f t="shared" si="145"/>
        <v>0.98167006109979627</v>
      </c>
      <c r="Q78">
        <f t="shared" si="145"/>
        <v>0.98547717842323646</v>
      </c>
      <c r="R78">
        <f t="shared" si="145"/>
        <v>0.98526315789473695</v>
      </c>
      <c r="S78">
        <f t="shared" si="145"/>
        <v>0.99145299145299148</v>
      </c>
      <c r="T78">
        <f t="shared" si="145"/>
        <v>0.98491379310344829</v>
      </c>
      <c r="U78">
        <f t="shared" si="145"/>
        <v>0.98249452954048133</v>
      </c>
      <c r="V78">
        <f t="shared" si="145"/>
        <v>0.97772828507795095</v>
      </c>
      <c r="W78">
        <f t="shared" si="145"/>
        <v>0.97494305239179957</v>
      </c>
      <c r="X78">
        <f t="shared" si="145"/>
        <v>0.97429906542056077</v>
      </c>
      <c r="Y78">
        <f t="shared" si="145"/>
        <v>0.97122302158273388</v>
      </c>
      <c r="Z78">
        <f t="shared" si="145"/>
        <v>0.97777777777777775</v>
      </c>
      <c r="AA78">
        <f t="shared" si="145"/>
        <v>0.98737373737373735</v>
      </c>
      <c r="AB78">
        <f t="shared" si="145"/>
        <v>0.98209718670076729</v>
      </c>
      <c r="AC78">
        <f t="shared" si="145"/>
        <v>0.98177083333333337</v>
      </c>
      <c r="AD78">
        <f t="shared" si="145"/>
        <v>0.97612732095490717</v>
      </c>
      <c r="AE78">
        <f t="shared" si="145"/>
        <v>0.97554347826086951</v>
      </c>
      <c r="AF78">
        <f t="shared" si="145"/>
        <v>0.89136490250696387</v>
      </c>
      <c r="AG78">
        <f t="shared" si="145"/>
        <v>0.92499999999999993</v>
      </c>
    </row>
    <row r="79" spans="1:39">
      <c r="A79" t="s">
        <v>656</v>
      </c>
      <c r="L79">
        <f t="shared" ref="L79:AA80" si="146">L70/K70</f>
        <v>0.97552447552447574</v>
      </c>
      <c r="M79">
        <f t="shared" si="146"/>
        <v>1.0430107526881718</v>
      </c>
      <c r="N79">
        <f t="shared" si="146"/>
        <v>1.027491408934708</v>
      </c>
      <c r="O79">
        <f t="shared" si="146"/>
        <v>1.0100334448160535</v>
      </c>
      <c r="P79">
        <f t="shared" si="146"/>
        <v>1.009933774834437</v>
      </c>
      <c r="Q79">
        <f t="shared" si="146"/>
        <v>1.0065573770491802</v>
      </c>
      <c r="R79">
        <f t="shared" si="146"/>
        <v>1.009771986970684</v>
      </c>
      <c r="S79">
        <f t="shared" si="146"/>
        <v>1.0064516129032257</v>
      </c>
      <c r="T79">
        <f t="shared" si="146"/>
        <v>1.0032051282051282</v>
      </c>
      <c r="U79">
        <f t="shared" si="146"/>
        <v>1.0095846645367412</v>
      </c>
      <c r="V79">
        <f t="shared" si="146"/>
        <v>1.0063291139240507</v>
      </c>
      <c r="W79">
        <f t="shared" si="146"/>
        <v>1.0062893081761006</v>
      </c>
      <c r="X79">
        <f t="shared" si="146"/>
        <v>1.0093749999999999</v>
      </c>
      <c r="Y79">
        <f t="shared" si="146"/>
        <v>1.0092879256965945</v>
      </c>
      <c r="Z79">
        <f t="shared" si="146"/>
        <v>1.0122699386503067</v>
      </c>
      <c r="AA79">
        <f t="shared" si="146"/>
        <v>1.0060606060606061</v>
      </c>
      <c r="AB79">
        <f t="shared" si="145"/>
        <v>1.0060240963855422</v>
      </c>
      <c r="AC79">
        <f t="shared" si="145"/>
        <v>1.0089820359281436</v>
      </c>
      <c r="AD79">
        <f t="shared" si="145"/>
        <v>1</v>
      </c>
      <c r="AE79">
        <f t="shared" si="145"/>
        <v>1.0118694362017804</v>
      </c>
      <c r="AF79">
        <f t="shared" si="145"/>
        <v>1.0263929618768326</v>
      </c>
      <c r="AG79">
        <f t="shared" si="145"/>
        <v>1.0257142857142858</v>
      </c>
    </row>
    <row r="80" spans="1:39">
      <c r="A80" t="s">
        <v>657</v>
      </c>
      <c r="L80">
        <f t="shared" si="146"/>
        <v>1</v>
      </c>
      <c r="M80">
        <f t="shared" si="145"/>
        <v>1</v>
      </c>
      <c r="N80">
        <f t="shared" si="145"/>
        <v>1.0049999999999999</v>
      </c>
      <c r="O80">
        <f t="shared" si="145"/>
        <v>1.0298507462686566</v>
      </c>
      <c r="P80">
        <f t="shared" si="145"/>
        <v>1.0289855072463769</v>
      </c>
      <c r="Q80">
        <f t="shared" si="145"/>
        <v>1.023474178403756</v>
      </c>
      <c r="R80">
        <f t="shared" si="145"/>
        <v>1.0183486238532111</v>
      </c>
      <c r="S80">
        <f t="shared" si="145"/>
        <v>1.0090090090090089</v>
      </c>
      <c r="T80">
        <f t="shared" si="145"/>
        <v>1.0267857142857144</v>
      </c>
      <c r="U80">
        <f t="shared" si="145"/>
        <v>1.026086956521739</v>
      </c>
      <c r="V80">
        <f t="shared" si="145"/>
        <v>1.0338983050847459</v>
      </c>
      <c r="W80">
        <f t="shared" si="145"/>
        <v>1.028688524590164</v>
      </c>
      <c r="X80">
        <f t="shared" si="145"/>
        <v>1.0358565737051793</v>
      </c>
      <c r="Y80">
        <f t="shared" si="145"/>
        <v>1.0346153846153847</v>
      </c>
      <c r="Z80">
        <f t="shared" si="145"/>
        <v>1.0185873605947955</v>
      </c>
      <c r="AA80">
        <f t="shared" si="145"/>
        <v>1.0109489051094891</v>
      </c>
      <c r="AB80">
        <f t="shared" si="145"/>
        <v>1.0180505415162453</v>
      </c>
      <c r="AC80">
        <f t="shared" si="145"/>
        <v>1.0177304964539007</v>
      </c>
      <c r="AD80">
        <f t="shared" si="145"/>
        <v>1.024390243902439</v>
      </c>
      <c r="AE80">
        <f t="shared" si="145"/>
        <v>1.0170068027210883</v>
      </c>
      <c r="AF80">
        <f t="shared" si="145"/>
        <v>1.1036789297658864</v>
      </c>
      <c r="AG80">
        <f t="shared" si="145"/>
        <v>1.0454545454545454</v>
      </c>
    </row>
    <row r="81" spans="1:33">
      <c r="A81" t="s">
        <v>396</v>
      </c>
      <c r="K81" s="18">
        <f>K69</f>
        <v>0.51400000000000001</v>
      </c>
      <c r="L81">
        <f>K81*L78</f>
        <v>0.52100000000000002</v>
      </c>
      <c r="M81">
        <f t="shared" ref="M81:AG83" si="147">L81*M78</f>
        <v>0.50900000000000001</v>
      </c>
      <c r="N81">
        <f t="shared" si="147"/>
        <v>0.5</v>
      </c>
      <c r="O81">
        <f t="shared" si="147"/>
        <v>0.49099999999999999</v>
      </c>
      <c r="P81">
        <f t="shared" si="147"/>
        <v>0.48199999999999998</v>
      </c>
      <c r="Q81">
        <f t="shared" si="147"/>
        <v>0.47499999999999998</v>
      </c>
      <c r="R81">
        <f t="shared" si="147"/>
        <v>0.46800000000000003</v>
      </c>
      <c r="S81">
        <f t="shared" si="147"/>
        <v>0.46400000000000002</v>
      </c>
      <c r="T81">
        <f t="shared" si="147"/>
        <v>0.45700000000000002</v>
      </c>
      <c r="U81">
        <f t="shared" si="147"/>
        <v>0.44900000000000001</v>
      </c>
      <c r="V81">
        <f t="shared" si="147"/>
        <v>0.439</v>
      </c>
      <c r="W81">
        <f t="shared" si="147"/>
        <v>0.42799999999999999</v>
      </c>
      <c r="X81">
        <f t="shared" si="147"/>
        <v>0.41699999999999998</v>
      </c>
      <c r="Y81">
        <f t="shared" si="147"/>
        <v>0.40500000000000003</v>
      </c>
      <c r="Z81">
        <f t="shared" si="147"/>
        <v>0.39600000000000002</v>
      </c>
      <c r="AA81">
        <f t="shared" si="147"/>
        <v>0.39100000000000001</v>
      </c>
      <c r="AB81">
        <f t="shared" si="147"/>
        <v>0.38400000000000001</v>
      </c>
      <c r="AC81">
        <f t="shared" si="147"/>
        <v>0.377</v>
      </c>
      <c r="AD81">
        <f t="shared" si="147"/>
        <v>0.36799999999999999</v>
      </c>
      <c r="AE81">
        <f t="shared" si="147"/>
        <v>0.35899999999999999</v>
      </c>
      <c r="AF81">
        <f t="shared" si="147"/>
        <v>0.32</v>
      </c>
      <c r="AG81">
        <f t="shared" si="147"/>
        <v>0.29599999999999999</v>
      </c>
    </row>
    <row r="82" spans="1:33">
      <c r="A82" t="s">
        <v>397</v>
      </c>
      <c r="K82" s="18">
        <f t="shared" ref="K82:K83" si="148">K70</f>
        <v>0.28599999999999998</v>
      </c>
      <c r="L82">
        <f t="shared" ref="L82:AA83" si="149">K82*L79</f>
        <v>0.27900000000000003</v>
      </c>
      <c r="M82">
        <f t="shared" si="149"/>
        <v>0.29099999999999998</v>
      </c>
      <c r="N82">
        <f t="shared" si="149"/>
        <v>0.29900000000000004</v>
      </c>
      <c r="O82">
        <f t="shared" si="149"/>
        <v>0.30200000000000005</v>
      </c>
      <c r="P82">
        <f t="shared" si="149"/>
        <v>0.30500000000000005</v>
      </c>
      <c r="Q82">
        <f t="shared" si="149"/>
        <v>0.30700000000000005</v>
      </c>
      <c r="R82">
        <f t="shared" si="149"/>
        <v>0.31000000000000005</v>
      </c>
      <c r="S82">
        <f t="shared" si="149"/>
        <v>0.312</v>
      </c>
      <c r="T82">
        <f t="shared" si="149"/>
        <v>0.313</v>
      </c>
      <c r="U82">
        <f t="shared" si="149"/>
        <v>0.316</v>
      </c>
      <c r="V82">
        <f t="shared" si="149"/>
        <v>0.318</v>
      </c>
      <c r="W82">
        <f t="shared" si="149"/>
        <v>0.32</v>
      </c>
      <c r="X82">
        <f t="shared" si="149"/>
        <v>0.32299999999999995</v>
      </c>
      <c r="Y82">
        <f t="shared" si="149"/>
        <v>0.32600000000000001</v>
      </c>
      <c r="Z82">
        <f t="shared" si="149"/>
        <v>0.33</v>
      </c>
      <c r="AA82">
        <f t="shared" si="149"/>
        <v>0.33200000000000002</v>
      </c>
      <c r="AB82">
        <f t="shared" si="147"/>
        <v>0.33400000000000002</v>
      </c>
      <c r="AC82">
        <f t="shared" si="147"/>
        <v>0.33699999999999997</v>
      </c>
      <c r="AD82">
        <f t="shared" si="147"/>
        <v>0.33699999999999997</v>
      </c>
      <c r="AE82">
        <f t="shared" si="147"/>
        <v>0.34099999999999997</v>
      </c>
      <c r="AF82">
        <f t="shared" si="147"/>
        <v>0.34999999999999987</v>
      </c>
      <c r="AG82">
        <f t="shared" si="147"/>
        <v>0.35899999999999987</v>
      </c>
    </row>
    <row r="83" spans="1:33">
      <c r="A83" t="s">
        <v>398</v>
      </c>
      <c r="K83" s="18">
        <f t="shared" si="148"/>
        <v>0.2</v>
      </c>
      <c r="L83">
        <f t="shared" si="149"/>
        <v>0.2</v>
      </c>
      <c r="M83">
        <f t="shared" si="147"/>
        <v>0.2</v>
      </c>
      <c r="N83">
        <f t="shared" si="147"/>
        <v>0.20099999999999998</v>
      </c>
      <c r="O83">
        <f t="shared" si="147"/>
        <v>0.20699999999999996</v>
      </c>
      <c r="P83">
        <f t="shared" si="147"/>
        <v>0.21299999999999999</v>
      </c>
      <c r="Q83">
        <f t="shared" si="147"/>
        <v>0.21800000000000003</v>
      </c>
      <c r="R83">
        <f t="shared" si="147"/>
        <v>0.22200000000000006</v>
      </c>
      <c r="S83">
        <f t="shared" si="147"/>
        <v>0.22400000000000003</v>
      </c>
      <c r="T83">
        <f t="shared" si="147"/>
        <v>0.23000000000000007</v>
      </c>
      <c r="U83">
        <f t="shared" si="147"/>
        <v>0.23600000000000004</v>
      </c>
      <c r="V83">
        <f t="shared" si="147"/>
        <v>0.24400000000000008</v>
      </c>
      <c r="W83">
        <f t="shared" si="147"/>
        <v>0.25100000000000011</v>
      </c>
      <c r="X83">
        <f t="shared" si="147"/>
        <v>0.26000000000000012</v>
      </c>
      <c r="Y83">
        <f t="shared" si="147"/>
        <v>0.26900000000000013</v>
      </c>
      <c r="Z83">
        <f t="shared" si="147"/>
        <v>0.27400000000000013</v>
      </c>
      <c r="AA83">
        <f t="shared" si="147"/>
        <v>0.27700000000000014</v>
      </c>
      <c r="AB83">
        <f t="shared" si="147"/>
        <v>0.28200000000000008</v>
      </c>
      <c r="AC83">
        <f t="shared" si="147"/>
        <v>0.28700000000000009</v>
      </c>
      <c r="AD83">
        <f t="shared" si="147"/>
        <v>0.29400000000000009</v>
      </c>
      <c r="AE83">
        <f t="shared" si="147"/>
        <v>0.29900000000000004</v>
      </c>
      <c r="AF83">
        <f t="shared" si="147"/>
        <v>0.33000000000000007</v>
      </c>
      <c r="AG83">
        <f t="shared" si="147"/>
        <v>0.34500000000000008</v>
      </c>
    </row>
    <row r="86" spans="1:33">
      <c r="A86" t="s">
        <v>714</v>
      </c>
    </row>
    <row r="87" spans="1:33">
      <c r="C87">
        <f>C5</f>
        <v>2012</v>
      </c>
      <c r="D87">
        <f>D5</f>
        <v>2013</v>
      </c>
      <c r="E87">
        <f t="shared" ref="E87:AG87" si="150">E5</f>
        <v>2014</v>
      </c>
      <c r="F87">
        <f t="shared" si="150"/>
        <v>2015</v>
      </c>
      <c r="G87">
        <f t="shared" si="150"/>
        <v>2016</v>
      </c>
      <c r="H87">
        <f t="shared" si="150"/>
        <v>2017</v>
      </c>
      <c r="I87">
        <f t="shared" si="150"/>
        <v>2018</v>
      </c>
      <c r="J87">
        <f t="shared" si="150"/>
        <v>2019</v>
      </c>
      <c r="K87">
        <f t="shared" si="150"/>
        <v>2020</v>
      </c>
      <c r="L87">
        <f t="shared" si="150"/>
        <v>2021</v>
      </c>
      <c r="M87">
        <f t="shared" si="150"/>
        <v>2022</v>
      </c>
      <c r="N87">
        <f t="shared" si="150"/>
        <v>2023</v>
      </c>
      <c r="O87">
        <f t="shared" si="150"/>
        <v>2024</v>
      </c>
      <c r="P87">
        <f t="shared" si="150"/>
        <v>2025</v>
      </c>
      <c r="Q87">
        <f t="shared" si="150"/>
        <v>2026</v>
      </c>
      <c r="R87">
        <f t="shared" si="150"/>
        <v>2027</v>
      </c>
      <c r="S87">
        <f t="shared" si="150"/>
        <v>2028</v>
      </c>
      <c r="T87">
        <f t="shared" si="150"/>
        <v>2029</v>
      </c>
      <c r="U87">
        <f t="shared" si="150"/>
        <v>2030</v>
      </c>
      <c r="V87">
        <f t="shared" si="150"/>
        <v>2031</v>
      </c>
      <c r="W87">
        <f t="shared" si="150"/>
        <v>2032</v>
      </c>
      <c r="X87">
        <f t="shared" si="150"/>
        <v>2033</v>
      </c>
      <c r="Y87">
        <f t="shared" si="150"/>
        <v>2034</v>
      </c>
      <c r="Z87">
        <f t="shared" si="150"/>
        <v>2035</v>
      </c>
      <c r="AA87">
        <f t="shared" si="150"/>
        <v>2036</v>
      </c>
      <c r="AB87">
        <f t="shared" si="150"/>
        <v>2037</v>
      </c>
      <c r="AC87">
        <f t="shared" si="150"/>
        <v>2038</v>
      </c>
      <c r="AD87">
        <f t="shared" si="150"/>
        <v>2039</v>
      </c>
      <c r="AE87">
        <f t="shared" si="150"/>
        <v>2040</v>
      </c>
      <c r="AF87">
        <f t="shared" si="150"/>
        <v>2045</v>
      </c>
      <c r="AG87">
        <f t="shared" si="150"/>
        <v>2050</v>
      </c>
    </row>
    <row r="88" spans="1:33">
      <c r="A88" t="s">
        <v>388</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row>
    <row r="89" spans="1:33">
      <c r="A89" t="s">
        <v>712</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AM147"/>
  <sheetViews>
    <sheetView topLeftCell="A121" workbookViewId="0">
      <selection activeCell="M130" sqref="M130"/>
    </sheetView>
  </sheetViews>
  <sheetFormatPr defaultColWidth="8.85546875" defaultRowHeight="15"/>
  <cols>
    <col min="6" max="6" width="11.85546875" customWidth="1"/>
    <col min="7" max="7" width="9.85546875" customWidth="1"/>
    <col min="15" max="15" width="8.85546875" style="171"/>
    <col min="20" max="20" width="10.140625" style="171" customWidth="1"/>
  </cols>
  <sheetData>
    <row r="4" spans="1:39">
      <c r="B4">
        <v>2006</v>
      </c>
      <c r="G4">
        <f>AGR!J21</f>
        <v>2012</v>
      </c>
      <c r="H4">
        <f>AGR!K21</f>
        <v>2013</v>
      </c>
      <c r="I4">
        <f>AGR!L21</f>
        <v>2014</v>
      </c>
      <c r="J4">
        <f>AGR!M21</f>
        <v>2015</v>
      </c>
      <c r="K4">
        <f>AGR!N21</f>
        <v>2016</v>
      </c>
      <c r="L4">
        <f>AGR!O21</f>
        <v>2017</v>
      </c>
      <c r="M4">
        <f>AGR!P21</f>
        <v>2018</v>
      </c>
      <c r="N4">
        <f>AGR!Q21</f>
        <v>2019</v>
      </c>
      <c r="O4" s="171">
        <f>AGR!R21</f>
        <v>2020</v>
      </c>
      <c r="P4">
        <f>AGR!S21</f>
        <v>2021</v>
      </c>
      <c r="Q4">
        <f>AGR!T21</f>
        <v>2022</v>
      </c>
      <c r="R4">
        <f>AGR!U21</f>
        <v>2023</v>
      </c>
      <c r="S4">
        <f>AGR!V21</f>
        <v>2024</v>
      </c>
      <c r="T4" s="171">
        <f>AGR!W21</f>
        <v>2025</v>
      </c>
      <c r="U4">
        <f>AGR!X21</f>
        <v>2026</v>
      </c>
      <c r="V4">
        <f>AGR!Y21</f>
        <v>2027</v>
      </c>
      <c r="W4">
        <f>AGR!Z21</f>
        <v>2028</v>
      </c>
      <c r="X4">
        <f>AGR!AA21</f>
        <v>2029</v>
      </c>
      <c r="Y4">
        <f>AGR!AB21</f>
        <v>2030</v>
      </c>
      <c r="Z4">
        <f>AGR!AC21</f>
        <v>2031</v>
      </c>
      <c r="AA4">
        <f>AGR!AD21</f>
        <v>2032</v>
      </c>
      <c r="AB4">
        <f>AGR!AE21</f>
        <v>2033</v>
      </c>
      <c r="AC4">
        <f>AGR!AF21</f>
        <v>2034</v>
      </c>
      <c r="AD4">
        <f>AGR!AG21</f>
        <v>2035</v>
      </c>
      <c r="AE4">
        <f>AGR!AH21</f>
        <v>2036</v>
      </c>
      <c r="AF4">
        <f>AGR!AI21</f>
        <v>2037</v>
      </c>
      <c r="AG4">
        <f>AGR!AJ21</f>
        <v>2038</v>
      </c>
      <c r="AH4">
        <f>AGR!AK21</f>
        <v>2039</v>
      </c>
      <c r="AI4">
        <f>AGR!AL21</f>
        <v>2040</v>
      </c>
      <c r="AJ4">
        <f>AGR!AM21</f>
        <v>2045</v>
      </c>
      <c r="AK4">
        <f>AGR!AN21</f>
        <v>2050</v>
      </c>
      <c r="AL4">
        <f>AGR!AO21</f>
        <v>2060</v>
      </c>
      <c r="AM4">
        <f>AGR!AP21</f>
        <v>2070</v>
      </c>
    </row>
    <row r="5" spans="1:39">
      <c r="A5" s="29" t="s">
        <v>305</v>
      </c>
      <c r="B5">
        <v>3.4886478690149998</v>
      </c>
      <c r="E5" s="114">
        <f>MATCH(F5,AGR!$D$22:$D$26,0)</f>
        <v>1</v>
      </c>
      <c r="F5" t="str">
        <f>A5</f>
        <v>AH</v>
      </c>
      <c r="G5" s="112">
        <f ca="1">OFFSET(AGR!J$21,$E5,0)</f>
        <v>2.5043970166379772</v>
      </c>
      <c r="H5" s="112">
        <f ca="1">OFFSET(AGR!K$21,$E5,0)</f>
        <v>2.6216187866956937</v>
      </c>
      <c r="I5" s="112">
        <f ca="1">OFFSET(AGR!L$21,$E5,0)</f>
        <v>2.7443272840111796</v>
      </c>
      <c r="J5" s="112">
        <f ca="1">OFFSET(AGR!M$21,$E5,0)</f>
        <v>2.8560003953561792</v>
      </c>
      <c r="K5" s="112">
        <f ca="1">OFFSET(AGR!N$21,$E5,0)</f>
        <v>2.8175869478424151</v>
      </c>
      <c r="L5" s="112">
        <f ca="1">OFFSET(AGR!O$21,$E5,0)</f>
        <v>2.7860826639088394</v>
      </c>
      <c r="M5" s="112">
        <f ca="1">OFFSET(AGR!P$21,$E5,0)</f>
        <v>2.8831489022500709</v>
      </c>
      <c r="N5" s="112">
        <f ca="1">OFFSET(AGR!Q$21,$E5,0)</f>
        <v>2.8392531836346362</v>
      </c>
      <c r="O5" s="181">
        <f ca="1">OFFSET(AGR!R$21,$E5,0)</f>
        <v>2.7947566681861411</v>
      </c>
      <c r="P5" s="112">
        <f ca="1">OFFSET(AGR!S$21,$E5,0)</f>
        <v>2.7619855123715737</v>
      </c>
      <c r="Q5" s="112">
        <f ca="1">OFFSET(AGR!T$21,$E5,0)</f>
        <v>2.8387299306338378</v>
      </c>
      <c r="R5" s="112">
        <f ca="1">OFFSET(AGR!U$21,$E5,0)</f>
        <v>2.9062541714370305</v>
      </c>
      <c r="S5" s="112">
        <f ca="1">OFFSET(AGR!V$21,$E5,0)</f>
        <v>2.9653717798510706</v>
      </c>
      <c r="T5" s="181">
        <f ca="1">OFFSET(AGR!W$21,$E5,0)</f>
        <v>3.0261164784049472</v>
      </c>
      <c r="U5" s="112">
        <f ca="1">OFFSET(AGR!X$21,$E5,0)</f>
        <v>3.0808951797794251</v>
      </c>
      <c r="V5" s="112">
        <f ca="1">OFFSET(AGR!Y$21,$E5,0)</f>
        <v>3.1267248853848049</v>
      </c>
      <c r="W5" s="112">
        <f ca="1">OFFSET(AGR!Z$21,$E5,0)</f>
        <v>3.1711986825403216</v>
      </c>
      <c r="X5" s="112">
        <f ca="1">OFFSET(AGR!AA$21,$E5,0)</f>
        <v>3.2631292754410541</v>
      </c>
      <c r="Y5" s="112">
        <f ca="1">OFFSET(AGR!AB$21,$E5,0)</f>
        <v>3.3545175049618421</v>
      </c>
      <c r="Z5" s="112">
        <f ca="1">OFFSET(AGR!AC$21,$E5,0)</f>
        <v>3.4177028387254724</v>
      </c>
      <c r="AA5" s="112">
        <f ca="1">OFFSET(AGR!AD$21,$E5,0)</f>
        <v>3.4865829879785286</v>
      </c>
      <c r="AB5" s="112">
        <f ca="1">OFFSET(AGR!AE$21,$E5,0)</f>
        <v>3.5454294147025971</v>
      </c>
      <c r="AC5" s="112">
        <f ca="1">OFFSET(AGR!AF$21,$E5,0)</f>
        <v>3.6197331977551057</v>
      </c>
      <c r="AD5" s="112">
        <f ca="1">OFFSET(AGR!AG$21,$E5,0)</f>
        <v>3.6894268920780808</v>
      </c>
      <c r="AE5" s="112">
        <f ca="1">OFFSET(AGR!AH$21,$E5,0)</f>
        <v>3.8128145610156419</v>
      </c>
      <c r="AF5" s="112">
        <f ca="1">OFFSET(AGR!AI$21,$E5,0)</f>
        <v>3.9459647707922199</v>
      </c>
      <c r="AG5" s="112">
        <f ca="1">OFFSET(AGR!AJ$21,$E5,0)</f>
        <v>3.9977604735769989</v>
      </c>
      <c r="AH5" s="112">
        <f ca="1">OFFSET(AGR!AK$21,$E5,0)</f>
        <v>4.0604034439606842</v>
      </c>
      <c r="AI5" s="112">
        <f ca="1">OFFSET(AGR!AL$21,$E5,0)</f>
        <v>4.1092161481557632</v>
      </c>
      <c r="AJ5" s="112">
        <f ca="1">OFFSET(AGR!AM$21,$E5,0)</f>
        <v>4.1832487495182997</v>
      </c>
      <c r="AK5" s="112">
        <f ca="1">OFFSET(AGR!AN$21,$E5,0)</f>
        <v>4.5119209577651676</v>
      </c>
      <c r="AL5" s="112">
        <f ca="1">OFFSET(AGR!AO$21,$E5,0)</f>
        <v>4.6149699999547806</v>
      </c>
      <c r="AM5" s="112">
        <f ca="1">OFFSET(AGR!AP$21,$E5,0)</f>
        <v>4.6149699999547806</v>
      </c>
    </row>
    <row r="6" spans="1:39">
      <c r="A6" s="29" t="s">
        <v>306</v>
      </c>
      <c r="B6">
        <v>6.8942225938929997</v>
      </c>
      <c r="E6" s="115">
        <f>MATCH(F6,AGR!$D$22:$D$26,0)</f>
        <v>4</v>
      </c>
      <c r="F6" t="str">
        <f t="shared" ref="F6:F68" si="0">A6</f>
        <v>AI</v>
      </c>
      <c r="G6" s="112">
        <f ca="1">OFFSET(AGR!J$21,$E6,0)</f>
        <v>5.0203080915278155</v>
      </c>
      <c r="H6" s="112">
        <f ca="1">OFFSET(AGR!K$21,$E6,0)</f>
        <v>5.2552905630825792</v>
      </c>
      <c r="I6" s="112">
        <f ca="1">OFFSET(AGR!L$21,$E6,0)</f>
        <v>5.5012717145851271</v>
      </c>
      <c r="J6" s="112">
        <f ca="1">OFFSET(AGR!M$21,$E6,0)</f>
        <v>5.7251313585500476</v>
      </c>
      <c r="K6" s="112">
        <f ca="1">OFFSET(AGR!N$21,$E6,0)</f>
        <v>5.6481278562715964</v>
      </c>
      <c r="L6" s="112">
        <f ca="1">OFFSET(AGR!O$21,$E6,0)</f>
        <v>5.5849744462895625</v>
      </c>
      <c r="M6" s="112">
        <f ca="1">OFFSET(AGR!P$21,$E6,0)</f>
        <v>5.7795531886060783</v>
      </c>
      <c r="N6" s="112">
        <f ca="1">OFFSET(AGR!Q$21,$E6,0)</f>
        <v>5.6915599391793839</v>
      </c>
      <c r="O6" s="181">
        <f ca="1">OFFSET(AGR!R$21,$E6,0)</f>
        <v>5.6023623339008255</v>
      </c>
      <c r="P6" s="112">
        <f ca="1">OFFSET(AGR!S$21,$E6,0)</f>
        <v>5.5366693556663069</v>
      </c>
      <c r="Q6" s="112">
        <f ca="1">OFFSET(AGR!T$21,$E6,0)</f>
        <v>5.6905110275026907</v>
      </c>
      <c r="R6" s="112">
        <f ca="1">OFFSET(AGR!U$21,$E6,0)</f>
        <v>5.8258699543127941</v>
      </c>
      <c r="S6" s="112">
        <f ca="1">OFFSET(AGR!V$21,$E6,0)</f>
        <v>5.9443769665401129</v>
      </c>
      <c r="T6" s="181">
        <f ca="1">OFFSET(AGR!W$21,$E6,0)</f>
        <v>6.0661456396544233</v>
      </c>
      <c r="U6" s="112">
        <f ca="1">OFFSET(AGR!X$21,$E6,0)</f>
        <v>6.1759548895164356</v>
      </c>
      <c r="V6" s="112">
        <f ca="1">OFFSET(AGR!Y$21,$E6,0)</f>
        <v>6.2678250044999997</v>
      </c>
      <c r="W6" s="112">
        <f ca="1">OFFSET(AGR!Z$21,$E6,0)</f>
        <v>6.3569770687444054</v>
      </c>
      <c r="X6" s="112">
        <f ca="1">OFFSET(AGR!AA$21,$E6,0)</f>
        <v>6.5412609088593667</v>
      </c>
      <c r="Y6" s="112">
        <f ca="1">OFFSET(AGR!AB$21,$E6,0)</f>
        <v>6.7244575286786645</v>
      </c>
      <c r="Z6" s="112">
        <f ca="1">OFFSET(AGR!AC$21,$E6,0)</f>
        <v>6.8511186931234604</v>
      </c>
      <c r="AA6" s="112">
        <f ca="1">OFFSET(AGR!AD$21,$E6,0)</f>
        <v>6.9891956706727223</v>
      </c>
      <c r="AB6" s="112">
        <f ca="1">OFFSET(AGR!AE$21,$E6,0)</f>
        <v>7.1071590727522116</v>
      </c>
      <c r="AC6" s="112">
        <f ca="1">OFFSET(AGR!AF$21,$E6,0)</f>
        <v>7.2561082532581072</v>
      </c>
      <c r="AD6" s="112">
        <f ca="1">OFFSET(AGR!AG$21,$E6,0)</f>
        <v>7.3958160612508665</v>
      </c>
      <c r="AE6" s="112">
        <f ca="1">OFFSET(AGR!AH$21,$E6,0)</f>
        <v>7.6431586785143084</v>
      </c>
      <c r="AF6" s="112">
        <f ca="1">OFFSET(AGR!AI$21,$E6,0)</f>
        <v>7.9100712610996951</v>
      </c>
      <c r="AG6" s="112">
        <f ca="1">OFFSET(AGR!AJ$21,$E6,0)</f>
        <v>8.0139007993355591</v>
      </c>
      <c r="AH6" s="112">
        <f ca="1">OFFSET(AGR!AK$21,$E6,0)</f>
        <v>8.1394747434846924</v>
      </c>
      <c r="AI6" s="112">
        <f ca="1">OFFSET(AGR!AL$21,$E6,0)</f>
        <v>8.2373245700944064</v>
      </c>
      <c r="AJ6" s="112">
        <f ca="1">OFFSET(AGR!AM$21,$E6,0)</f>
        <v>8.3857301404524716</v>
      </c>
      <c r="AK6" s="112">
        <f ca="1">OFFSET(AGR!AN$21,$E6,0)</f>
        <v>9.044585639624545</v>
      </c>
      <c r="AL6" s="112">
        <f ca="1">OFFSET(AGR!AO$21,$E6,0)</f>
        <v>9.2511574958006086</v>
      </c>
      <c r="AM6" s="112">
        <f ca="1">OFFSET(AGR!AP$21,$E6,0)</f>
        <v>9.2511574958006086</v>
      </c>
    </row>
    <row r="7" spans="1:39">
      <c r="A7" s="29" t="s">
        <v>307</v>
      </c>
      <c r="B7">
        <v>8.6660070567129992</v>
      </c>
      <c r="E7" s="115">
        <f>MATCH(F7,AGR!$D$22:$D$26,0)</f>
        <v>5</v>
      </c>
      <c r="F7" t="str">
        <f t="shared" si="0"/>
        <v>AO</v>
      </c>
      <c r="G7" s="112">
        <f ca="1">OFFSET(AGR!J$21,$E7,0)</f>
        <v>8.4310585921569263</v>
      </c>
      <c r="H7" s="112">
        <f ca="1">OFFSET(AGR!K$21,$E7,0)</f>
        <v>8.8256859635629592</v>
      </c>
      <c r="I7" s="112">
        <f ca="1">OFFSET(AGR!L$21,$E7,0)</f>
        <v>9.2387844155053909</v>
      </c>
      <c r="J7" s="112">
        <f ca="1">OFFSET(AGR!M$21,$E7,0)</f>
        <v>9.6147322139826858</v>
      </c>
      <c r="K7" s="112">
        <f ca="1">OFFSET(AGR!N$21,$E7,0)</f>
        <v>9.4854132503504491</v>
      </c>
      <c r="L7" s="112">
        <f ca="1">OFFSET(AGR!O$21,$E7,0)</f>
        <v>9.3793540025621347</v>
      </c>
      <c r="M7" s="112">
        <f ca="1">OFFSET(AGR!P$21,$E7,0)</f>
        <v>9.7061277278693989</v>
      </c>
      <c r="N7" s="112">
        <f ca="1">OFFSET(AGR!Q$21,$E7,0)</f>
        <v>9.5583526853610081</v>
      </c>
      <c r="O7" s="181">
        <f ca="1">OFFSET(AGR!R$21,$E7,0)</f>
        <v>9.4085550588661881</v>
      </c>
      <c r="P7" s="112">
        <f ca="1">OFFSET(AGR!S$21,$E7,0)</f>
        <v>9.2982308838373289</v>
      </c>
      <c r="Q7" s="112">
        <f ca="1">OFFSET(AGR!T$21,$E7,0)</f>
        <v>9.5565911528727714</v>
      </c>
      <c r="R7" s="112">
        <f ca="1">OFFSET(AGR!U$21,$E7,0)</f>
        <v>9.7839116722714436</v>
      </c>
      <c r="S7" s="112">
        <f ca="1">OFFSET(AGR!V$21,$E7,0)</f>
        <v>9.9829312434718869</v>
      </c>
      <c r="T7" s="181">
        <f ca="1">OFFSET(AGR!W$21,$E7,0)</f>
        <v>10.187428417549409</v>
      </c>
      <c r="U7" s="112">
        <f ca="1">OFFSET(AGR!X$21,$E7,0)</f>
        <v>10.371841047744317</v>
      </c>
      <c r="V7" s="112">
        <f ca="1">OFFSET(AGR!Y$21,$E7,0)</f>
        <v>10.526126862115305</v>
      </c>
      <c r="W7" s="112">
        <f ca="1">OFFSET(AGR!Z$21,$E7,0)</f>
        <v>10.675848007422061</v>
      </c>
      <c r="X7" s="112">
        <f ca="1">OFFSET(AGR!AA$21,$E7,0)</f>
        <v>10.985332569976883</v>
      </c>
      <c r="Y7" s="112">
        <f ca="1">OFFSET(AGR!AB$21,$E7,0)</f>
        <v>11.292991264906014</v>
      </c>
      <c r="Z7" s="112">
        <f ca="1">OFFSET(AGR!AC$21,$E7,0)</f>
        <v>11.505704843299149</v>
      </c>
      <c r="AA7" s="112">
        <f ca="1">OFFSET(AGR!AD$21,$E7,0)</f>
        <v>11.737590031762053</v>
      </c>
      <c r="AB7" s="112">
        <f ca="1">OFFSET(AGR!AE$21,$E7,0)</f>
        <v>11.935696669149655</v>
      </c>
      <c r="AC7" s="112">
        <f ca="1">OFFSET(AGR!AF$21,$E7,0)</f>
        <v>12.185840533869477</v>
      </c>
      <c r="AD7" s="112">
        <f ca="1">OFFSET(AGR!AG$21,$E7,0)</f>
        <v>12.420464523770923</v>
      </c>
      <c r="AE7" s="112">
        <f ca="1">OFFSET(AGR!AH$21,$E7,0)</f>
        <v>12.835849408615886</v>
      </c>
      <c r="AF7" s="112">
        <f ca="1">OFFSET(AGR!AI$21,$E7,0)</f>
        <v>13.284099910723311</v>
      </c>
      <c r="AG7" s="112">
        <f ca="1">OFFSET(AGR!AJ$21,$E7,0)</f>
        <v>13.458470268976914</v>
      </c>
      <c r="AH7" s="112">
        <f ca="1">OFFSET(AGR!AK$21,$E7,0)</f>
        <v>13.669357979744358</v>
      </c>
      <c r="AI7" s="112">
        <f ca="1">OFFSET(AGR!AL$21,$E7,0)</f>
        <v>13.833686066056654</v>
      </c>
      <c r="AJ7" s="112">
        <f ca="1">OFFSET(AGR!AM$21,$E7,0)</f>
        <v>14.082916996963631</v>
      </c>
      <c r="AK7" s="112">
        <f ca="1">OFFSET(AGR!AN$21,$E7,0)</f>
        <v>15.18939277813308</v>
      </c>
      <c r="AL7" s="112">
        <f ca="1">OFFSET(AGR!AO$21,$E7,0)</f>
        <v>15.536307627014592</v>
      </c>
      <c r="AM7" s="112">
        <f ca="1">OFFSET(AGR!AP$21,$E7,0)</f>
        <v>15.536307627014592</v>
      </c>
    </row>
    <row r="8" spans="1:39">
      <c r="A8" s="29" t="s">
        <v>308</v>
      </c>
      <c r="B8">
        <v>5.4851590254799998</v>
      </c>
      <c r="E8" s="115">
        <f>MATCH(F8,AGR!$D$22:$D$26,0)</f>
        <v>2</v>
      </c>
      <c r="F8" t="str">
        <f t="shared" si="0"/>
        <v>AP</v>
      </c>
      <c r="G8" s="112">
        <f ca="1">OFFSET(AGR!J$21,$E8,0)</f>
        <v>3.8349683201390801</v>
      </c>
      <c r="H8" s="112">
        <f ca="1">OFFSET(AGR!K$21,$E8,0)</f>
        <v>4.014469322422439</v>
      </c>
      <c r="I8" s="112">
        <f ca="1">OFFSET(AGR!L$21,$E8,0)</f>
        <v>4.2023721176623461</v>
      </c>
      <c r="J8" s="112">
        <f ca="1">OFFSET(AGR!M$21,$E8,0)</f>
        <v>4.3733764917189628</v>
      </c>
      <c r="K8" s="112">
        <f ca="1">OFFSET(AGR!N$21,$E8,0)</f>
        <v>4.3145542070317005</v>
      </c>
      <c r="L8" s="112">
        <f ca="1">OFFSET(AGR!O$21,$E8,0)</f>
        <v>4.266311883617611</v>
      </c>
      <c r="M8" s="112">
        <f ca="1">OFFSET(AGR!P$21,$E8,0)</f>
        <v>4.4149488395477903</v>
      </c>
      <c r="N8" s="112">
        <f ca="1">OFFSET(AGR!Q$21,$E8,0)</f>
        <v>4.3477315855894236</v>
      </c>
      <c r="O8" s="181">
        <f ca="1">OFFSET(AGR!R$21,$E8,0)</f>
        <v>4.2795943349986061</v>
      </c>
      <c r="P8" s="112">
        <f ca="1">OFFSET(AGR!S$21,$E8,0)</f>
        <v>4.2294120581757717</v>
      </c>
      <c r="Q8" s="112">
        <f ca="1">OFFSET(AGR!T$21,$E8,0)</f>
        <v>4.3469303313680889</v>
      </c>
      <c r="R8" s="112">
        <f ca="1">OFFSET(AGR!U$21,$E8,0)</f>
        <v>4.4503298014206916</v>
      </c>
      <c r="S8" s="112">
        <f ca="1">OFFSET(AGR!V$21,$E8,0)</f>
        <v>4.5408562450812031</v>
      </c>
      <c r="T8" s="181">
        <f ca="1">OFFSET(AGR!W$21,$E8,0)</f>
        <v>4.633874242236959</v>
      </c>
      <c r="U8" s="112">
        <f ca="1">OFFSET(AGR!X$21,$E8,0)</f>
        <v>4.7177565432434889</v>
      </c>
      <c r="V8" s="112">
        <f ca="1">OFFSET(AGR!Y$21,$E8,0)</f>
        <v>4.78793530002618</v>
      </c>
      <c r="W8" s="112">
        <f ca="1">OFFSET(AGR!Z$21,$E8,0)</f>
        <v>4.8560377622295006</v>
      </c>
      <c r="X8" s="112">
        <f ca="1">OFFSET(AGR!AA$21,$E8,0)</f>
        <v>4.9968105347107556</v>
      </c>
      <c r="Y8" s="112">
        <f ca="1">OFFSET(AGR!AB$21,$E8,0)</f>
        <v>5.1367527893602638</v>
      </c>
      <c r="Z8" s="112">
        <f ca="1">OFFSET(AGR!AC$21,$E8,0)</f>
        <v>5.2335081167588839</v>
      </c>
      <c r="AA8" s="112">
        <f ca="1">OFFSET(AGR!AD$21,$E8,0)</f>
        <v>5.3389838813908561</v>
      </c>
      <c r="AB8" s="112">
        <f ca="1">OFFSET(AGR!AE$21,$E8,0)</f>
        <v>5.4290950661354955</v>
      </c>
      <c r="AC8" s="112">
        <f ca="1">OFFSET(AGR!AF$21,$E8,0)</f>
        <v>5.5428760090849458</v>
      </c>
      <c r="AD8" s="112">
        <f ca="1">OFFSET(AGR!AG$21,$E8,0)</f>
        <v>5.6495975504645415</v>
      </c>
      <c r="AE8" s="112">
        <f ca="1">OFFSET(AGR!AH$21,$E8,0)</f>
        <v>5.8385403571871688</v>
      </c>
      <c r="AF8" s="112">
        <f ca="1">OFFSET(AGR!AI$21,$E8,0)</f>
        <v>6.0424324848812585</v>
      </c>
      <c r="AG8" s="112">
        <f ca="1">OFFSET(AGR!AJ$21,$E8,0)</f>
        <v>6.1217469378131755</v>
      </c>
      <c r="AH8" s="112">
        <f ca="1">OFFSET(AGR!AK$21,$E8,0)</f>
        <v>6.2176717473800487</v>
      </c>
      <c r="AI8" s="112">
        <f ca="1">OFFSET(AGR!AL$21,$E8,0)</f>
        <v>6.2924183522373527</v>
      </c>
      <c r="AJ8" s="112">
        <f ca="1">OFFSET(AGR!AM$21,$E8,0)</f>
        <v>6.4057840362709291</v>
      </c>
      <c r="AK8" s="112">
        <f ca="1">OFFSET(AGR!AN$21,$E8,0)</f>
        <v>6.9090778423101078</v>
      </c>
      <c r="AL8" s="112">
        <f ca="1">OFFSET(AGR!AO$21,$E8,0)</f>
        <v>7.0668762303421948</v>
      </c>
      <c r="AM8" s="112">
        <f ca="1">OFFSET(AGR!AP$21,$E8,0)</f>
        <v>7.0668762303421948</v>
      </c>
    </row>
    <row r="9" spans="1:39">
      <c r="A9" s="29" t="s">
        <v>309</v>
      </c>
      <c r="B9">
        <v>14.26028349219</v>
      </c>
      <c r="E9" s="116">
        <f>MATCH(F9,AGR!$D$22:$D$26,0)</f>
        <v>3</v>
      </c>
      <c r="F9" t="str">
        <f t="shared" si="0"/>
        <v>AT</v>
      </c>
      <c r="G9" s="112">
        <f ca="1">OFFSET(AGR!J$21,$E9,0)</f>
        <v>14.570390350961301</v>
      </c>
      <c r="H9" s="112">
        <f ca="1">OFFSET(AGR!K$21,$E9,0)</f>
        <v>15.25237764611645</v>
      </c>
      <c r="I9" s="112">
        <f ca="1">OFFSET(AGR!L$21,$E9,0)</f>
        <v>15.966286300929774</v>
      </c>
      <c r="J9" s="112">
        <f ca="1">OFFSET(AGR!M$21,$E9,0)</f>
        <v>16.615991923957282</v>
      </c>
      <c r="K9" s="112">
        <f ca="1">OFFSET(AGR!N$21,$E9,0)</f>
        <v>16.392505423500946</v>
      </c>
      <c r="L9" s="112">
        <f ca="1">OFFSET(AGR!O$21,$E9,0)</f>
        <v>16.209215908463932</v>
      </c>
      <c r="M9" s="112">
        <f ca="1">OFFSET(AGR!P$21,$E9,0)</f>
        <v>16.773939861229938</v>
      </c>
      <c r="N9" s="112">
        <f ca="1">OFFSET(AGR!Q$21,$E9,0)</f>
        <v>16.518557926690885</v>
      </c>
      <c r="O9" s="181">
        <f ca="1">OFFSET(AGR!R$21,$E9,0)</f>
        <v>16.259680602115363</v>
      </c>
      <c r="P9" s="112">
        <f ca="1">OFFSET(AGR!S$21,$E9,0)</f>
        <v>16.069020523342619</v>
      </c>
      <c r="Q9" s="112">
        <f ca="1">OFFSET(AGR!T$21,$E9,0)</f>
        <v>16.515513680741339</v>
      </c>
      <c r="R9" s="112">
        <f ca="1">OFFSET(AGR!U$21,$E9,0)</f>
        <v>16.908364550678726</v>
      </c>
      <c r="S9" s="112">
        <f ca="1">OFFSET(AGR!V$21,$E9,0)</f>
        <v>17.252306276166077</v>
      </c>
      <c r="T9" s="181">
        <f ca="1">OFFSET(AGR!W$21,$E9,0)</f>
        <v>17.605714287676019</v>
      </c>
      <c r="U9" s="112">
        <f ca="1">OFFSET(AGR!X$21,$E9,0)</f>
        <v>17.924412583769804</v>
      </c>
      <c r="V9" s="112">
        <f ca="1">OFFSET(AGR!Y$21,$E9,0)</f>
        <v>18.191046306739359</v>
      </c>
      <c r="W9" s="112">
        <f ca="1">OFFSET(AGR!Z$21,$E9,0)</f>
        <v>18.449791458023423</v>
      </c>
      <c r="X9" s="112">
        <f ca="1">OFFSET(AGR!AA$21,$E9,0)</f>
        <v>18.984636618299628</v>
      </c>
      <c r="Y9" s="112">
        <f ca="1">OFFSET(AGR!AB$21,$E9,0)</f>
        <v>19.51632634990164</v>
      </c>
      <c r="Z9" s="112">
        <f ca="1">OFFSET(AGR!AC$21,$E9,0)</f>
        <v>19.883933790445461</v>
      </c>
      <c r="AA9" s="112">
        <f ca="1">OFFSET(AGR!AD$21,$E9,0)</f>
        <v>20.284673232068339</v>
      </c>
      <c r="AB9" s="112">
        <f ca="1">OFFSET(AGR!AE$21,$E9,0)</f>
        <v>20.627037243218599</v>
      </c>
      <c r="AC9" s="112">
        <f ca="1">OFFSET(AGR!AF$21,$E9,0)</f>
        <v>21.059330971583432</v>
      </c>
      <c r="AD9" s="112">
        <f ca="1">OFFSET(AGR!AG$21,$E9,0)</f>
        <v>21.464803556217607</v>
      </c>
      <c r="AE9" s="112">
        <f ca="1">OFFSET(AGR!AH$21,$E9,0)</f>
        <v>22.182663579597168</v>
      </c>
      <c r="AF9" s="112">
        <f ca="1">OFFSET(AGR!AI$21,$E9,0)</f>
        <v>22.957321319112264</v>
      </c>
      <c r="AG9" s="112">
        <f ca="1">OFFSET(AGR!AJ$21,$E9,0)</f>
        <v>23.258664757497975</v>
      </c>
      <c r="AH9" s="112">
        <f ca="1">OFFSET(AGR!AK$21,$E9,0)</f>
        <v>23.623116769367602</v>
      </c>
      <c r="AI9" s="112">
        <f ca="1">OFFSET(AGR!AL$21,$E9,0)</f>
        <v>23.907105350045235</v>
      </c>
      <c r="AJ9" s="112">
        <f ca="1">OFFSET(AGR!AM$21,$E9,0)</f>
        <v>24.337821364072973</v>
      </c>
      <c r="AK9" s="112">
        <f ca="1">OFFSET(AGR!AN$21,$E9,0)</f>
        <v>26.250011140635689</v>
      </c>
      <c r="AL9" s="112">
        <f ca="1">OFFSET(AGR!AO$21,$E9,0)</f>
        <v>26.849542588732913</v>
      </c>
      <c r="AM9" s="112">
        <f ca="1">OFFSET(AGR!AP$21,$E9,0)</f>
        <v>26.849542588732913</v>
      </c>
    </row>
    <row r="10" spans="1:39">
      <c r="A10" s="29" t="s">
        <v>310</v>
      </c>
      <c r="B10">
        <v>0.39719718710289997</v>
      </c>
      <c r="E10" s="115">
        <f ca="1">MATCH(F10,IND!$D$29:$D$264,0)</f>
        <v>116</v>
      </c>
      <c r="F10" t="str">
        <f t="shared" si="0"/>
        <v>ICPA</v>
      </c>
      <c r="G10" s="112">
        <f ca="1">OFFSET(IND!J$28,$E10,0)</f>
        <v>0.2086787369811067</v>
      </c>
      <c r="H10" s="112">
        <f ca="1">OFFSET(IND!K$28,$E10,0)</f>
        <v>0.21492511919609003</v>
      </c>
      <c r="I10" s="112">
        <f ca="1">OFFSET(IND!L$28,$E10,0)</f>
        <v>0.21936658623983632</v>
      </c>
      <c r="J10" s="112">
        <f ca="1">OFFSET(IND!M$28,$E10,0)</f>
        <v>0.30344250000000006</v>
      </c>
      <c r="K10" s="112">
        <f ca="1">OFFSET(IND!N$28,$E10,0)</f>
        <v>0.30344250000000006</v>
      </c>
      <c r="L10" s="112">
        <f ca="1">OFFSET(IND!O$28,$E10,0)</f>
        <v>0.30344250000000006</v>
      </c>
      <c r="M10" s="112">
        <f ca="1">OFFSET(IND!P$28,$E10,0)</f>
        <v>0.30687877870399505</v>
      </c>
      <c r="N10" s="112">
        <f ca="1">OFFSET(IND!Q$28,$E10,0)</f>
        <v>0.30623182499737872</v>
      </c>
      <c r="O10" s="181">
        <f ca="1">OFFSET(IND!R$28,$E10,0)</f>
        <v>0.30176553966133579</v>
      </c>
      <c r="P10" s="112">
        <f ca="1">OFFSET(IND!S$28,$E10,0)</f>
        <v>0.31412863870451696</v>
      </c>
      <c r="Q10" s="112">
        <f ca="1">OFFSET(IND!T$28,$E10,0)</f>
        <v>0.3122078514951761</v>
      </c>
      <c r="R10" s="112">
        <f ca="1">OFFSET(IND!U$28,$E10,0)</f>
        <v>0.31174914067130066</v>
      </c>
      <c r="S10" s="112">
        <f ca="1">OFFSET(IND!V$28,$E10,0)</f>
        <v>0.3107627384913027</v>
      </c>
      <c r="T10" s="181">
        <f ca="1">OFFSET(IND!W$28,$E10,0)</f>
        <v>0.30949913172735055</v>
      </c>
      <c r="U10" s="112">
        <f ca="1">OFFSET(IND!X$28,$E10,0)</f>
        <v>0.31214176620216966</v>
      </c>
      <c r="V10" s="112">
        <f ca="1">OFFSET(IND!Y$28,$E10,0)</f>
        <v>0.31478440067698887</v>
      </c>
      <c r="W10" s="112">
        <f ca="1">OFFSET(IND!Z$28,$E10,0)</f>
        <v>0.31870949011752908</v>
      </c>
      <c r="X10" s="112">
        <f ca="1">OFFSET(IND!AA$28,$E10,0)</f>
        <v>0.32045829234351231</v>
      </c>
      <c r="Y10" s="112">
        <f ca="1">OFFSET(IND!AB$28,$E10,0)</f>
        <v>0.32271230410144636</v>
      </c>
      <c r="Z10" s="112">
        <f ca="1">OFFSET(IND!AC$28,$E10,0)</f>
        <v>0.32578242356483916</v>
      </c>
      <c r="AA10" s="112">
        <f ca="1">OFFSET(IND!AD$28,$E10,0)</f>
        <v>0.32904685438667464</v>
      </c>
      <c r="AB10" s="112">
        <f ca="1">OFFSET(IND!AE$28,$E10,0)</f>
        <v>0.33363260244591969</v>
      </c>
      <c r="AC10" s="112">
        <f ca="1">OFFSET(IND!AF$28,$E10,0)</f>
        <v>0.3384126618636073</v>
      </c>
      <c r="AD10" s="112">
        <f ca="1">OFFSET(IND!AG$28,$E10,0)</f>
        <v>0.26605111197958831</v>
      </c>
      <c r="AE10" s="112">
        <f ca="1">OFFSET(IND!AH$28,$E10,0)</f>
        <v>0.20558141723225565</v>
      </c>
      <c r="AF10" s="112">
        <f ca="1">OFFSET(IND!AI$28,$E10,0)</f>
        <v>0.19656537020051965</v>
      </c>
      <c r="AG10" s="112">
        <f ca="1">OFFSET(IND!AJ$28,$E10,0)</f>
        <v>0.21078896163851693</v>
      </c>
      <c r="AH10" s="112">
        <f ca="1">OFFSET(IND!AK$28,$E10,0)</f>
        <v>0.2209320145492199</v>
      </c>
      <c r="AI10" s="112">
        <f ca="1">OFFSET(IND!AL$28,$E10,0)</f>
        <v>0.19831417242650293</v>
      </c>
      <c r="AJ10" s="112">
        <f ca="1">OFFSET(IND!AM$28,$E10,0)</f>
        <v>0.21288752430969685</v>
      </c>
      <c r="AK10" s="112">
        <f ca="1">OFFSET(IND!AN$28,$E10,0)</f>
        <v>0.22816039708328406</v>
      </c>
      <c r="AL10" s="112">
        <f ca="1">OFFSET(IND!AO$28,$E10,0)</f>
        <v>0.25789003492499984</v>
      </c>
      <c r="AM10" s="112">
        <f ca="1">OFFSET(IND!AP$28,$E10,0)</f>
        <v>0.28773625958178112</v>
      </c>
    </row>
    <row r="11" spans="1:39">
      <c r="A11" s="29" t="s">
        <v>311</v>
      </c>
      <c r="B11">
        <v>5.295962494706</v>
      </c>
      <c r="E11" s="115">
        <f ca="1">MATCH(F11,IND!$D$29:$D$264,0)</f>
        <v>118</v>
      </c>
      <c r="F11" t="str">
        <f t="shared" si="0"/>
        <v>ICPC</v>
      </c>
      <c r="G11" s="112">
        <f ca="1">OFFSET(IND!J$28,$E11,0)</f>
        <v>2.7823831597480893</v>
      </c>
      <c r="H11" s="112">
        <f ca="1">OFFSET(IND!K$28,$E11,0)</f>
        <v>2.8656682559478672</v>
      </c>
      <c r="I11" s="112">
        <f ca="1">OFFSET(IND!L$28,$E11,0)</f>
        <v>2.9248878165311512</v>
      </c>
      <c r="J11" s="112">
        <f ca="1">OFFSET(IND!M$28,$E11,0)</f>
        <v>4.0459000000000005</v>
      </c>
      <c r="K11" s="112">
        <f ca="1">OFFSET(IND!N$28,$E11,0)</f>
        <v>4.0459000000000005</v>
      </c>
      <c r="L11" s="112">
        <f ca="1">OFFSET(IND!O$28,$E11,0)</f>
        <v>4.0459000000000005</v>
      </c>
      <c r="M11" s="112">
        <f ca="1">OFFSET(IND!P$28,$E11,0)</f>
        <v>4.0917170493866006</v>
      </c>
      <c r="N11" s="112">
        <f ca="1">OFFSET(IND!Q$28,$E11,0)</f>
        <v>4.0830909999650498</v>
      </c>
      <c r="O11" s="181">
        <f ca="1">OFFSET(IND!R$28,$E11,0)</f>
        <v>4.0235405288178114</v>
      </c>
      <c r="P11" s="112">
        <f ca="1">OFFSET(IND!S$28,$E11,0)</f>
        <v>4.1883818493935605</v>
      </c>
      <c r="Q11" s="112">
        <f ca="1">OFFSET(IND!T$28,$E11,0)</f>
        <v>4.162771353269016</v>
      </c>
      <c r="R11" s="112">
        <f ca="1">OFFSET(IND!U$28,$E11,0)</f>
        <v>4.156655208950677</v>
      </c>
      <c r="S11" s="112">
        <f ca="1">OFFSET(IND!V$28,$E11,0)</f>
        <v>4.1435031798840374</v>
      </c>
      <c r="T11" s="181">
        <f ca="1">OFFSET(IND!W$28,$E11,0)</f>
        <v>4.1266550896980085</v>
      </c>
      <c r="U11" s="112">
        <f ca="1">OFFSET(IND!X$28,$E11,0)</f>
        <v>4.1618902160289304</v>
      </c>
      <c r="V11" s="112">
        <f ca="1">OFFSET(IND!Y$28,$E11,0)</f>
        <v>4.1971253423598531</v>
      </c>
      <c r="W11" s="112">
        <f ca="1">OFFSET(IND!Z$28,$E11,0)</f>
        <v>4.249459868233723</v>
      </c>
      <c r="X11" s="112">
        <f ca="1">OFFSET(IND!AA$28,$E11,0)</f>
        <v>4.272777231246832</v>
      </c>
      <c r="Y11" s="112">
        <f ca="1">OFFSET(IND!AB$28,$E11,0)</f>
        <v>4.3028307213526196</v>
      </c>
      <c r="Z11" s="112">
        <f ca="1">OFFSET(IND!AC$28,$E11,0)</f>
        <v>4.3437656475311908</v>
      </c>
      <c r="AA11" s="112">
        <f ca="1">OFFSET(IND!AD$28,$E11,0)</f>
        <v>4.3872913918223304</v>
      </c>
      <c r="AB11" s="112">
        <f ca="1">OFFSET(IND!AE$28,$E11,0)</f>
        <v>4.4484346992789305</v>
      </c>
      <c r="AC11" s="112">
        <f ca="1">OFFSET(IND!AF$28,$E11,0)</f>
        <v>4.5121688248480991</v>
      </c>
      <c r="AD11" s="112">
        <f ca="1">OFFSET(IND!AG$28,$E11,0)</f>
        <v>3.5473481597278456</v>
      </c>
      <c r="AE11" s="112">
        <f ca="1">OFFSET(IND!AH$28,$E11,0)</f>
        <v>2.741085563096743</v>
      </c>
      <c r="AF11" s="112">
        <f ca="1">OFFSET(IND!AI$28,$E11,0)</f>
        <v>2.6208716026735961</v>
      </c>
      <c r="AG11" s="112">
        <f ca="1">OFFSET(IND!AJ$28,$E11,0)</f>
        <v>2.81051948851356</v>
      </c>
      <c r="AH11" s="112">
        <f ca="1">OFFSET(IND!AK$28,$E11,0)</f>
        <v>2.9457601939895999</v>
      </c>
      <c r="AI11" s="112">
        <f ca="1">OFFSET(IND!AL$28,$E11,0)</f>
        <v>2.6441889656867068</v>
      </c>
      <c r="AJ11" s="112">
        <f ca="1">OFFSET(IND!AM$28,$E11,0)</f>
        <v>2.8385003241292921</v>
      </c>
      <c r="AK11" s="112">
        <f ca="1">OFFSET(IND!AN$28,$E11,0)</f>
        <v>3.0421386277771214</v>
      </c>
      <c r="AL11" s="112">
        <f ca="1">OFFSET(IND!AO$28,$E11,0)</f>
        <v>3.4385337989999987</v>
      </c>
      <c r="AM11" s="112">
        <f ca="1">OFFSET(IND!AP$28,$E11,0)</f>
        <v>3.8364834610904159</v>
      </c>
    </row>
    <row r="12" spans="1:39">
      <c r="A12" s="29" t="s">
        <v>312</v>
      </c>
      <c r="B12">
        <v>3.219945196781</v>
      </c>
      <c r="E12" s="115">
        <f ca="1">MATCH(F12,IND!$D$29:$D$264,0)</f>
        <v>123</v>
      </c>
      <c r="F12" t="str">
        <f t="shared" si="0"/>
        <v>ICPE</v>
      </c>
      <c r="G12" s="112">
        <f ca="1">OFFSET(IND!J$28,$E12,0)</f>
        <v>1.6916889611268384</v>
      </c>
      <c r="H12" s="112">
        <f ca="1">OFFSET(IND!K$28,$E12,0)</f>
        <v>1.7423262996163034</v>
      </c>
      <c r="I12" s="112">
        <f ca="1">OFFSET(IND!L$28,$E12,0)</f>
        <v>1.7783317924509401</v>
      </c>
      <c r="J12" s="112">
        <f ca="1">OFFSET(IND!M$28,$E12,0)</f>
        <v>2.4599072000000004</v>
      </c>
      <c r="K12" s="112">
        <f ca="1">OFFSET(IND!N$28,$E12,0)</f>
        <v>2.4599072000000004</v>
      </c>
      <c r="L12" s="112">
        <f ca="1">OFFSET(IND!O$28,$E12,0)</f>
        <v>2.4599072000000004</v>
      </c>
      <c r="M12" s="112">
        <f ca="1">OFFSET(IND!P$28,$E12,0)</f>
        <v>2.4877639660270532</v>
      </c>
      <c r="N12" s="112">
        <f ca="1">OFFSET(IND!Q$28,$E12,0)</f>
        <v>2.4825193279787503</v>
      </c>
      <c r="O12" s="181">
        <f ca="1">OFFSET(IND!R$28,$E12,0)</f>
        <v>2.4463126415212293</v>
      </c>
      <c r="P12" s="112">
        <f ca="1">OFFSET(IND!S$28,$E12,0)</f>
        <v>2.5465361644312847</v>
      </c>
      <c r="Q12" s="112">
        <f ca="1">OFFSET(IND!T$28,$E12,0)</f>
        <v>2.5309649827875615</v>
      </c>
      <c r="R12" s="112">
        <f ca="1">OFFSET(IND!U$28,$E12,0)</f>
        <v>2.5272463670420113</v>
      </c>
      <c r="S12" s="112">
        <f ca="1">OFFSET(IND!V$28,$E12,0)</f>
        <v>2.5192499333694944</v>
      </c>
      <c r="T12" s="181">
        <f ca="1">OFFSET(IND!W$28,$E12,0)</f>
        <v>2.5090062945363889</v>
      </c>
      <c r="U12" s="112">
        <f ca="1">OFFSET(IND!X$28,$E12,0)</f>
        <v>2.530429251345589</v>
      </c>
      <c r="V12" s="112">
        <f ca="1">OFFSET(IND!Y$28,$E12,0)</f>
        <v>2.5518522081547901</v>
      </c>
      <c r="W12" s="112">
        <f ca="1">OFFSET(IND!Z$28,$E12,0)</f>
        <v>2.5836715998861028</v>
      </c>
      <c r="X12" s="112">
        <f ca="1">OFFSET(IND!AA$28,$E12,0)</f>
        <v>2.5978485565980733</v>
      </c>
      <c r="Y12" s="112">
        <f ca="1">OFFSET(IND!AB$28,$E12,0)</f>
        <v>2.6161210785823923</v>
      </c>
      <c r="Z12" s="112">
        <f ca="1">OFFSET(IND!AC$28,$E12,0)</f>
        <v>2.6410095136989633</v>
      </c>
      <c r="AA12" s="112">
        <f ca="1">OFFSET(IND!AD$28,$E12,0)</f>
        <v>2.6674731662279765</v>
      </c>
      <c r="AB12" s="112">
        <f ca="1">OFFSET(IND!AE$28,$E12,0)</f>
        <v>2.7046482971615897</v>
      </c>
      <c r="AC12" s="112">
        <f ca="1">OFFSET(IND!AF$28,$E12,0)</f>
        <v>2.7433986455076438</v>
      </c>
      <c r="AD12" s="112">
        <f ca="1">OFFSET(IND!AG$28,$E12,0)</f>
        <v>2.1567876811145297</v>
      </c>
      <c r="AE12" s="112">
        <f ca="1">OFFSET(IND!AH$28,$E12,0)</f>
        <v>1.6665800223628195</v>
      </c>
      <c r="AF12" s="112">
        <f ca="1">OFFSET(IND!AI$28,$E12,0)</f>
        <v>1.5934899344255462</v>
      </c>
      <c r="AG12" s="112">
        <f ca="1">OFFSET(IND!AJ$28,$E12,0)</f>
        <v>1.7087958490162443</v>
      </c>
      <c r="AH12" s="112">
        <f ca="1">OFFSET(IND!AK$28,$E12,0)</f>
        <v>1.7910221979456764</v>
      </c>
      <c r="AI12" s="112">
        <f ca="1">OFFSET(IND!AL$28,$E12,0)</f>
        <v>1.6076668911375174</v>
      </c>
      <c r="AJ12" s="112">
        <f ca="1">OFFSET(IND!AM$28,$E12,0)</f>
        <v>1.7258081970706094</v>
      </c>
      <c r="AK12" s="112">
        <f ca="1">OFFSET(IND!AN$28,$E12,0)</f>
        <v>1.8496202856884898</v>
      </c>
      <c r="AL12" s="112">
        <f ca="1">OFFSET(IND!AO$28,$E12,0)</f>
        <v>2.0906285497919992</v>
      </c>
      <c r="AM12" s="112">
        <f ca="1">OFFSET(IND!AP$28,$E12,0)</f>
        <v>2.3325819443429729</v>
      </c>
    </row>
    <row r="13" spans="1:39">
      <c r="A13" s="29" t="s">
        <v>313</v>
      </c>
      <c r="B13">
        <v>3.389415996611</v>
      </c>
      <c r="E13" s="115">
        <f ca="1">MATCH(F13,IND!$D$29:$D$264,0)</f>
        <v>121</v>
      </c>
      <c r="F13" t="str">
        <f t="shared" si="0"/>
        <v>ICPF</v>
      </c>
      <c r="G13" s="112">
        <f ca="1">OFFSET(IND!J$28,$E13,0)</f>
        <v>1.7807252222387775</v>
      </c>
      <c r="H13" s="112">
        <f ca="1">OFFSET(IND!K$28,$E13,0)</f>
        <v>1.8340276838066354</v>
      </c>
      <c r="I13" s="112">
        <f ca="1">OFFSET(IND!L$28,$E13,0)</f>
        <v>1.8719282025799371</v>
      </c>
      <c r="J13" s="112">
        <f ca="1">OFFSET(IND!M$28,$E13,0)</f>
        <v>2.5893760000000006</v>
      </c>
      <c r="K13" s="112">
        <f ca="1">OFFSET(IND!N$28,$E13,0)</f>
        <v>2.5893760000000006</v>
      </c>
      <c r="L13" s="112">
        <f ca="1">OFFSET(IND!O$28,$E13,0)</f>
        <v>2.5893760000000006</v>
      </c>
      <c r="M13" s="112">
        <f ca="1">OFFSET(IND!P$28,$E13,0)</f>
        <v>2.6186989116074244</v>
      </c>
      <c r="N13" s="112">
        <f ca="1">OFFSET(IND!Q$28,$E13,0)</f>
        <v>2.613178239977632</v>
      </c>
      <c r="O13" s="181">
        <f ca="1">OFFSET(IND!R$28,$E13,0)</f>
        <v>2.5750659384433994</v>
      </c>
      <c r="P13" s="112">
        <f ca="1">OFFSET(IND!S$28,$E13,0)</f>
        <v>2.6805643836118791</v>
      </c>
      <c r="Q13" s="112">
        <f ca="1">OFFSET(IND!T$28,$E13,0)</f>
        <v>2.6641736660921707</v>
      </c>
      <c r="R13" s="112">
        <f ca="1">OFFSET(IND!U$28,$E13,0)</f>
        <v>2.6602593337284337</v>
      </c>
      <c r="S13" s="112">
        <f ca="1">OFFSET(IND!V$28,$E13,0)</f>
        <v>2.6518420351257843</v>
      </c>
      <c r="T13" s="181">
        <f ca="1">OFFSET(IND!W$28,$E13,0)</f>
        <v>2.641059257406726</v>
      </c>
      <c r="U13" s="112">
        <f ca="1">OFFSET(IND!X$28,$E13,0)</f>
        <v>2.6636097382585158</v>
      </c>
      <c r="V13" s="112">
        <f ca="1">OFFSET(IND!Y$28,$E13,0)</f>
        <v>2.6861602191103064</v>
      </c>
      <c r="W13" s="112">
        <f ca="1">OFFSET(IND!Z$28,$E13,0)</f>
        <v>2.7196543156695832</v>
      </c>
      <c r="X13" s="112">
        <f ca="1">OFFSET(IND!AA$28,$E13,0)</f>
        <v>2.7345774279979733</v>
      </c>
      <c r="Y13" s="112">
        <f ca="1">OFFSET(IND!AB$28,$E13,0)</f>
        <v>2.7538116616656771</v>
      </c>
      <c r="Z13" s="112">
        <f ca="1">OFFSET(IND!AC$28,$E13,0)</f>
        <v>2.7800100144199624</v>
      </c>
      <c r="AA13" s="112">
        <f ca="1">OFFSET(IND!AD$28,$E13,0)</f>
        <v>2.8078664907662918</v>
      </c>
      <c r="AB13" s="112">
        <f ca="1">OFFSET(IND!AE$28,$E13,0)</f>
        <v>2.8469982075385158</v>
      </c>
      <c r="AC13" s="112">
        <f ca="1">OFFSET(IND!AF$28,$E13,0)</f>
        <v>2.8877880479027835</v>
      </c>
      <c r="AD13" s="112">
        <f ca="1">OFFSET(IND!AG$28,$E13,0)</f>
        <v>2.2703028222258212</v>
      </c>
      <c r="AE13" s="112">
        <f ca="1">OFFSET(IND!AH$28,$E13,0)</f>
        <v>1.7542947603819157</v>
      </c>
      <c r="AF13" s="112">
        <f ca="1">OFFSET(IND!AI$28,$E13,0)</f>
        <v>1.6773578257111017</v>
      </c>
      <c r="AG13" s="112">
        <f ca="1">OFFSET(IND!AJ$28,$E13,0)</f>
        <v>1.7987324726486786</v>
      </c>
      <c r="AH13" s="112">
        <f ca="1">OFFSET(IND!AK$28,$E13,0)</f>
        <v>1.8852865241533441</v>
      </c>
      <c r="AI13" s="112">
        <f ca="1">OFFSET(IND!AL$28,$E13,0)</f>
        <v>1.6922809380394925</v>
      </c>
      <c r="AJ13" s="112">
        <f ca="1">OFFSET(IND!AM$28,$E13,0)</f>
        <v>1.8166402074427472</v>
      </c>
      <c r="AK13" s="112">
        <f ca="1">OFFSET(IND!AN$28,$E13,0)</f>
        <v>1.9469687217773581</v>
      </c>
      <c r="AL13" s="112">
        <f ca="1">OFFSET(IND!AO$28,$E13,0)</f>
        <v>2.2006616313599996</v>
      </c>
      <c r="AM13" s="112">
        <f ca="1">OFFSET(IND!AP$28,$E13,0)</f>
        <v>2.4553494150978667</v>
      </c>
    </row>
    <row r="14" spans="1:39">
      <c r="A14" s="29" t="s">
        <v>314</v>
      </c>
      <c r="B14">
        <v>0.95327324904709998</v>
      </c>
      <c r="E14" s="115">
        <f ca="1">MATCH(F14,IND!$D$29:$D$264,0)</f>
        <v>119</v>
      </c>
      <c r="F14" t="str">
        <f t="shared" si="0"/>
        <v>ICPH</v>
      </c>
      <c r="G14" s="112">
        <f ca="1">OFFSET(IND!J$28,$E14,0)</f>
        <v>0.5008289687546561</v>
      </c>
      <c r="H14" s="112">
        <f ca="1">OFFSET(IND!K$28,$E14,0)</f>
        <v>0.51582028607061614</v>
      </c>
      <c r="I14" s="112">
        <f ca="1">OFFSET(IND!L$28,$E14,0)</f>
        <v>0.52647980697560726</v>
      </c>
      <c r="J14" s="112">
        <f ca="1">OFFSET(IND!M$28,$E14,0)</f>
        <v>0.72826200000000008</v>
      </c>
      <c r="K14" s="112">
        <f ca="1">OFFSET(IND!N$28,$E14,0)</f>
        <v>0.72826200000000008</v>
      </c>
      <c r="L14" s="112">
        <f ca="1">OFFSET(IND!O$28,$E14,0)</f>
        <v>0.72826200000000008</v>
      </c>
      <c r="M14" s="112">
        <f ca="1">OFFSET(IND!P$28,$E14,0)</f>
        <v>0.736509068889588</v>
      </c>
      <c r="N14" s="112">
        <f ca="1">OFFSET(IND!Q$28,$E14,0)</f>
        <v>0.73495637999370889</v>
      </c>
      <c r="O14" s="181">
        <f ca="1">OFFSET(IND!R$28,$E14,0)</f>
        <v>0.72423729518720592</v>
      </c>
      <c r="P14" s="112">
        <f ca="1">OFFSET(IND!S$28,$E14,0)</f>
        <v>0.75390873289084082</v>
      </c>
      <c r="Q14" s="112">
        <f ca="1">OFFSET(IND!T$28,$E14,0)</f>
        <v>0.7492988435884228</v>
      </c>
      <c r="R14" s="112">
        <f ca="1">OFFSET(IND!U$28,$E14,0)</f>
        <v>0.74819793761112174</v>
      </c>
      <c r="S14" s="112">
        <f ca="1">OFFSET(IND!V$28,$E14,0)</f>
        <v>0.74583057237912664</v>
      </c>
      <c r="T14" s="181">
        <f ca="1">OFFSET(IND!W$28,$E14,0)</f>
        <v>0.74279791614564139</v>
      </c>
      <c r="U14" s="112">
        <f ca="1">OFFSET(IND!X$28,$E14,0)</f>
        <v>0.74914023888520731</v>
      </c>
      <c r="V14" s="112">
        <f ca="1">OFFSET(IND!Y$28,$E14,0)</f>
        <v>0.75548256162477334</v>
      </c>
      <c r="W14" s="112">
        <f ca="1">OFFSET(IND!Z$28,$E14,0)</f>
        <v>0.76490277628206993</v>
      </c>
      <c r="X14" s="112">
        <f ca="1">OFFSET(IND!AA$28,$E14,0)</f>
        <v>0.76909990162442965</v>
      </c>
      <c r="Y14" s="112">
        <f ca="1">OFFSET(IND!AB$28,$E14,0)</f>
        <v>0.77450952984347143</v>
      </c>
      <c r="Z14" s="112">
        <f ca="1">OFFSET(IND!AC$28,$E14,0)</f>
        <v>0.78187781655561417</v>
      </c>
      <c r="AA14" s="112">
        <f ca="1">OFFSET(IND!AD$28,$E14,0)</f>
        <v>0.78971245052801931</v>
      </c>
      <c r="AB14" s="112">
        <f ca="1">OFFSET(IND!AE$28,$E14,0)</f>
        <v>0.80071824587020735</v>
      </c>
      <c r="AC14" s="112">
        <f ca="1">OFFSET(IND!AF$28,$E14,0)</f>
        <v>0.81219038847265757</v>
      </c>
      <c r="AD14" s="112">
        <f ca="1">OFFSET(IND!AG$28,$E14,0)</f>
        <v>0.63852266875101193</v>
      </c>
      <c r="AE14" s="112">
        <f ca="1">OFFSET(IND!AH$28,$E14,0)</f>
        <v>0.49339540135741355</v>
      </c>
      <c r="AF14" s="112">
        <f ca="1">OFFSET(IND!AI$28,$E14,0)</f>
        <v>0.47175688848124714</v>
      </c>
      <c r="AG14" s="112">
        <f ca="1">OFFSET(IND!AJ$28,$E14,0)</f>
        <v>0.50589350793244059</v>
      </c>
      <c r="AH14" s="112">
        <f ca="1">OFFSET(IND!AK$28,$E14,0)</f>
        <v>0.53023683491812779</v>
      </c>
      <c r="AI14" s="112">
        <f ca="1">OFFSET(IND!AL$28,$E14,0)</f>
        <v>0.47595401382360703</v>
      </c>
      <c r="AJ14" s="112">
        <f ca="1">OFFSET(IND!AM$28,$E14,0)</f>
        <v>0.51093005834327243</v>
      </c>
      <c r="AK14" s="112">
        <f ca="1">OFFSET(IND!AN$28,$E14,0)</f>
        <v>0.54758495299988175</v>
      </c>
      <c r="AL14" s="112">
        <f ca="1">OFFSET(IND!AO$28,$E14,0)</f>
        <v>0.61893608381999965</v>
      </c>
      <c r="AM14" s="112">
        <f ca="1">OFFSET(IND!AP$28,$E14,0)</f>
        <v>0.6905670229962747</v>
      </c>
    </row>
    <row r="15" spans="1:39">
      <c r="A15" s="29" t="s">
        <v>315</v>
      </c>
      <c r="B15">
        <v>1.059192498941</v>
      </c>
      <c r="E15" s="115">
        <f ca="1">MATCH(F15,IND!$D$29:$D$264,0)</f>
        <v>115</v>
      </c>
      <c r="F15" t="str">
        <f t="shared" si="0"/>
        <v>ICPK</v>
      </c>
      <c r="G15" s="112">
        <f ca="1">OFFSET(IND!J$28,$E15,0)</f>
        <v>0.55647663194961794</v>
      </c>
      <c r="H15" s="112">
        <f ca="1">OFFSET(IND!K$28,$E15,0)</f>
        <v>0.57313365118957349</v>
      </c>
      <c r="I15" s="112">
        <f ca="1">OFFSET(IND!L$28,$E15,0)</f>
        <v>0.5849775633062303</v>
      </c>
      <c r="J15" s="112">
        <f ca="1">OFFSET(IND!M$28,$E15,0)</f>
        <v>0.80918000000000012</v>
      </c>
      <c r="K15" s="112">
        <f ca="1">OFFSET(IND!N$28,$E15,0)</f>
        <v>0.80918000000000012</v>
      </c>
      <c r="L15" s="112">
        <f ca="1">OFFSET(IND!O$28,$E15,0)</f>
        <v>0.80918000000000012</v>
      </c>
      <c r="M15" s="112">
        <f ca="1">OFFSET(IND!P$28,$E15,0)</f>
        <v>0.81834340987732002</v>
      </c>
      <c r="N15" s="112">
        <f ca="1">OFFSET(IND!Q$28,$E15,0)</f>
        <v>0.81661819999300989</v>
      </c>
      <c r="O15" s="181">
        <f ca="1">OFFSET(IND!R$28,$E15,0)</f>
        <v>0.80470810576356211</v>
      </c>
      <c r="P15" s="112">
        <f ca="1">OFFSET(IND!S$28,$E15,0)</f>
        <v>0.83767636987871197</v>
      </c>
      <c r="Q15" s="112">
        <f ca="1">OFFSET(IND!T$28,$E15,0)</f>
        <v>0.83255427065380305</v>
      </c>
      <c r="R15" s="112">
        <f ca="1">OFFSET(IND!U$28,$E15,0)</f>
        <v>0.83133104179013517</v>
      </c>
      <c r="S15" s="112">
        <f ca="1">OFFSET(IND!V$28,$E15,0)</f>
        <v>0.82870063597680721</v>
      </c>
      <c r="T15" s="181">
        <f ca="1">OFFSET(IND!W$28,$E15,0)</f>
        <v>0.8253310179396014</v>
      </c>
      <c r="U15" s="112">
        <f ca="1">OFFSET(IND!X$28,$E15,0)</f>
        <v>0.83237804320578568</v>
      </c>
      <c r="V15" s="112">
        <f ca="1">OFFSET(IND!Y$28,$E15,0)</f>
        <v>0.83942506847197018</v>
      </c>
      <c r="W15" s="112">
        <f ca="1">OFFSET(IND!Z$28,$E15,0)</f>
        <v>0.84989197364674407</v>
      </c>
      <c r="X15" s="112">
        <f ca="1">OFFSET(IND!AA$28,$E15,0)</f>
        <v>0.85455544624936597</v>
      </c>
      <c r="Y15" s="112">
        <f ca="1">OFFSET(IND!AB$28,$E15,0)</f>
        <v>0.86056614427052347</v>
      </c>
      <c r="Z15" s="112">
        <f ca="1">OFFSET(IND!AC$28,$E15,0)</f>
        <v>0.86875312950623762</v>
      </c>
      <c r="AA15" s="112">
        <f ca="1">OFFSET(IND!AD$28,$E15,0)</f>
        <v>0.87745827836446555</v>
      </c>
      <c r="AB15" s="112">
        <f ca="1">OFFSET(IND!AE$28,$E15,0)</f>
        <v>0.88968693985578562</v>
      </c>
      <c r="AC15" s="112">
        <f ca="1">OFFSET(IND!AF$28,$E15,0)</f>
        <v>0.90243376496961925</v>
      </c>
      <c r="AD15" s="112">
        <f ca="1">OFFSET(IND!AG$28,$E15,0)</f>
        <v>0.70946963194556867</v>
      </c>
      <c r="AE15" s="112">
        <f ca="1">OFFSET(IND!AH$28,$E15,0)</f>
        <v>0.54821711261934825</v>
      </c>
      <c r="AF15" s="112">
        <f ca="1">OFFSET(IND!AI$28,$E15,0)</f>
        <v>0.52417432053471891</v>
      </c>
      <c r="AG15" s="112">
        <f ca="1">OFFSET(IND!AJ$28,$E15,0)</f>
        <v>0.56210389770271163</v>
      </c>
      <c r="AH15" s="112">
        <f ca="1">OFFSET(IND!AK$28,$E15,0)</f>
        <v>0.58915203879791955</v>
      </c>
      <c r="AI15" s="112">
        <f ca="1">OFFSET(IND!AL$28,$E15,0)</f>
        <v>0.52883779313734092</v>
      </c>
      <c r="AJ15" s="112">
        <f ca="1">OFFSET(IND!AM$28,$E15,0)</f>
        <v>0.567700064825858</v>
      </c>
      <c r="AK15" s="112">
        <f ca="1">OFFSET(IND!AN$28,$E15,0)</f>
        <v>0.6084277255554239</v>
      </c>
      <c r="AL15" s="112">
        <f ca="1">OFFSET(IND!AO$28,$E15,0)</f>
        <v>0.68770675979999929</v>
      </c>
      <c r="AM15" s="112">
        <f ca="1">OFFSET(IND!AP$28,$E15,0)</f>
        <v>0.76729669221808272</v>
      </c>
    </row>
    <row r="16" spans="1:39">
      <c r="A16" s="29" t="s">
        <v>316</v>
      </c>
      <c r="B16">
        <v>0.63551549936469998</v>
      </c>
      <c r="E16" s="115">
        <f ca="1">MATCH(F16,IND!$D$29:$D$264,0)</f>
        <v>117</v>
      </c>
      <c r="F16" t="str">
        <f t="shared" si="0"/>
        <v>ICPL</v>
      </c>
      <c r="G16" s="112">
        <f ca="1">OFFSET(IND!J$28,$E16,0)</f>
        <v>0.3338859791697707</v>
      </c>
      <c r="H16" s="112">
        <f ca="1">OFFSET(IND!K$28,$E16,0)</f>
        <v>0.34388019071374404</v>
      </c>
      <c r="I16" s="112">
        <f ca="1">OFFSET(IND!L$28,$E16,0)</f>
        <v>0.35098653798373813</v>
      </c>
      <c r="J16" s="112">
        <f ca="1">OFFSET(IND!M$28,$E16,0)</f>
        <v>0.48550800000000005</v>
      </c>
      <c r="K16" s="112">
        <f ca="1">OFFSET(IND!N$28,$E16,0)</f>
        <v>0.48550800000000005</v>
      </c>
      <c r="L16" s="112">
        <f ca="1">OFFSET(IND!O$28,$E16,0)</f>
        <v>0.48550800000000005</v>
      </c>
      <c r="M16" s="112">
        <f ca="1">OFFSET(IND!P$28,$E16,0)</f>
        <v>0.49100604592639202</v>
      </c>
      <c r="N16" s="112">
        <f ca="1">OFFSET(IND!Q$28,$E16,0)</f>
        <v>0.48997091999580589</v>
      </c>
      <c r="O16" s="181">
        <f ca="1">OFFSET(IND!R$28,$E16,0)</f>
        <v>0.48282486345813724</v>
      </c>
      <c r="P16" s="112">
        <f ca="1">OFFSET(IND!S$28,$E16,0)</f>
        <v>0.50260582192722714</v>
      </c>
      <c r="Q16" s="112">
        <f ca="1">OFFSET(IND!T$28,$E16,0)</f>
        <v>0.49953256239228178</v>
      </c>
      <c r="R16" s="112">
        <f ca="1">OFFSET(IND!U$28,$E16,0)</f>
        <v>0.49879862507408107</v>
      </c>
      <c r="S16" s="112">
        <f ca="1">OFFSET(IND!V$28,$E16,0)</f>
        <v>0.49722038158608428</v>
      </c>
      <c r="T16" s="181">
        <f ca="1">OFFSET(IND!W$28,$E16,0)</f>
        <v>0.49519861076376082</v>
      </c>
      <c r="U16" s="112">
        <f ca="1">OFFSET(IND!X$28,$E16,0)</f>
        <v>0.49942682592347137</v>
      </c>
      <c r="V16" s="112">
        <f ca="1">OFFSET(IND!Y$28,$E16,0)</f>
        <v>0.50365504108318204</v>
      </c>
      <c r="W16" s="112">
        <f ca="1">OFFSET(IND!Z$28,$E16,0)</f>
        <v>0.5099351841880464</v>
      </c>
      <c r="X16" s="112">
        <f ca="1">OFFSET(IND!AA$28,$E16,0)</f>
        <v>0.51273326774961947</v>
      </c>
      <c r="Y16" s="112">
        <f ca="1">OFFSET(IND!AB$28,$E16,0)</f>
        <v>0.51633968656231399</v>
      </c>
      <c r="Z16" s="112">
        <f ca="1">OFFSET(IND!AC$28,$E16,0)</f>
        <v>0.52125187770374248</v>
      </c>
      <c r="AA16" s="112">
        <f ca="1">OFFSET(IND!AD$28,$E16,0)</f>
        <v>0.52647496701867924</v>
      </c>
      <c r="AB16" s="112">
        <f ca="1">OFFSET(IND!AE$28,$E16,0)</f>
        <v>0.5338121639134713</v>
      </c>
      <c r="AC16" s="112">
        <f ca="1">OFFSET(IND!AF$28,$E16,0)</f>
        <v>0.54146025898177153</v>
      </c>
      <c r="AD16" s="112">
        <f ca="1">OFFSET(IND!AG$28,$E16,0)</f>
        <v>0.42568177916734118</v>
      </c>
      <c r="AE16" s="112">
        <f ca="1">OFFSET(IND!AH$28,$E16,0)</f>
        <v>0.32893026757160893</v>
      </c>
      <c r="AF16" s="112">
        <f ca="1">OFFSET(IND!AI$28,$E16,0)</f>
        <v>0.31450459232083133</v>
      </c>
      <c r="AG16" s="112">
        <f ca="1">OFFSET(IND!AJ$28,$E16,0)</f>
        <v>0.33726233862162697</v>
      </c>
      <c r="AH16" s="112">
        <f ca="1">OFFSET(IND!AK$28,$E16,0)</f>
        <v>0.35349122327875171</v>
      </c>
      <c r="AI16" s="112">
        <f ca="1">OFFSET(IND!AL$28,$E16,0)</f>
        <v>0.31730267588240457</v>
      </c>
      <c r="AJ16" s="112">
        <f ca="1">OFFSET(IND!AM$28,$E16,0)</f>
        <v>0.34062003889551479</v>
      </c>
      <c r="AK16" s="112">
        <f ca="1">OFFSET(IND!AN$28,$E16,0)</f>
        <v>0.36505663533325433</v>
      </c>
      <c r="AL16" s="112">
        <f ca="1">OFFSET(IND!AO$28,$E16,0)</f>
        <v>0.41262405587999956</v>
      </c>
      <c r="AM16" s="112">
        <f ca="1">OFFSET(IND!AP$28,$E16,0)</f>
        <v>0.4603780153308496</v>
      </c>
    </row>
    <row r="17" spans="1:39">
      <c r="A17" s="29" t="s">
        <v>317</v>
      </c>
      <c r="B17">
        <v>8.4735399915289999</v>
      </c>
      <c r="E17" s="115">
        <f ca="1">MATCH(F17,IND!$D$29:$D$264,0)</f>
        <v>122</v>
      </c>
      <c r="F17" t="str">
        <f t="shared" si="0"/>
        <v>ICPO</v>
      </c>
      <c r="G17" s="112">
        <f ca="1">OFFSET(IND!J$28,$E17,0)</f>
        <v>4.4518130555969435</v>
      </c>
      <c r="H17" s="112">
        <f ca="1">OFFSET(IND!K$28,$E17,0)</f>
        <v>4.5850692095165879</v>
      </c>
      <c r="I17" s="112">
        <f ca="1">OFFSET(IND!L$28,$E17,0)</f>
        <v>4.6798205064498424</v>
      </c>
      <c r="J17" s="112">
        <f ca="1">OFFSET(IND!M$28,$E17,0)</f>
        <v>6.473440000000001</v>
      </c>
      <c r="K17" s="112">
        <f ca="1">OFFSET(IND!N$28,$E17,0)</f>
        <v>6.473440000000001</v>
      </c>
      <c r="L17" s="112">
        <f ca="1">OFFSET(IND!O$28,$E17,0)</f>
        <v>6.473440000000001</v>
      </c>
      <c r="M17" s="112">
        <f ca="1">OFFSET(IND!P$28,$E17,0)</f>
        <v>6.5467472790185601</v>
      </c>
      <c r="N17" s="112">
        <f ca="1">OFFSET(IND!Q$28,$E17,0)</f>
        <v>6.5329455999440791</v>
      </c>
      <c r="O17" s="181">
        <f ca="1">OFFSET(IND!R$28,$E17,0)</f>
        <v>6.4376648461084969</v>
      </c>
      <c r="P17" s="112">
        <f ca="1">OFFSET(IND!S$28,$E17,0)</f>
        <v>6.7014109590296957</v>
      </c>
      <c r="Q17" s="112">
        <f ca="1">OFFSET(IND!T$28,$E17,0)</f>
        <v>6.6604341652304244</v>
      </c>
      <c r="R17" s="112">
        <f ca="1">OFFSET(IND!U$28,$E17,0)</f>
        <v>6.6506483343210814</v>
      </c>
      <c r="S17" s="112">
        <f ca="1">OFFSET(IND!V$28,$E17,0)</f>
        <v>6.6296050878144577</v>
      </c>
      <c r="T17" s="181">
        <f ca="1">OFFSET(IND!W$28,$E17,0)</f>
        <v>6.6026481435168112</v>
      </c>
      <c r="U17" s="112">
        <f ca="1">OFFSET(IND!X$28,$E17,0)</f>
        <v>6.6590243456462854</v>
      </c>
      <c r="V17" s="112">
        <f ca="1">OFFSET(IND!Y$28,$E17,0)</f>
        <v>6.7154005477757615</v>
      </c>
      <c r="W17" s="112">
        <f ca="1">OFFSET(IND!Z$28,$E17,0)</f>
        <v>6.7991357891739526</v>
      </c>
      <c r="X17" s="112">
        <f ca="1">OFFSET(IND!AA$28,$E17,0)</f>
        <v>6.8364435699949277</v>
      </c>
      <c r="Y17" s="112">
        <f ca="1">OFFSET(IND!AB$28,$E17,0)</f>
        <v>6.8845291541641878</v>
      </c>
      <c r="Z17" s="112">
        <f ca="1">OFFSET(IND!AC$28,$E17,0)</f>
        <v>6.950025036049901</v>
      </c>
      <c r="AA17" s="112">
        <f ca="1">OFFSET(IND!AD$28,$E17,0)</f>
        <v>7.0196662269157244</v>
      </c>
      <c r="AB17" s="112">
        <f ca="1">OFFSET(IND!AE$28,$E17,0)</f>
        <v>7.117495518846285</v>
      </c>
      <c r="AC17" s="112">
        <f ca="1">OFFSET(IND!AF$28,$E17,0)</f>
        <v>7.219470119756954</v>
      </c>
      <c r="AD17" s="112">
        <f ca="1">OFFSET(IND!AG$28,$E17,0)</f>
        <v>5.6757570555645493</v>
      </c>
      <c r="AE17" s="112">
        <f ca="1">OFFSET(IND!AH$28,$E17,0)</f>
        <v>4.385736900954786</v>
      </c>
      <c r="AF17" s="112">
        <f ca="1">OFFSET(IND!AI$28,$E17,0)</f>
        <v>4.1933945642777513</v>
      </c>
      <c r="AG17" s="112">
        <f ca="1">OFFSET(IND!AJ$28,$E17,0)</f>
        <v>4.496831181621693</v>
      </c>
      <c r="AH17" s="112">
        <f ca="1">OFFSET(IND!AK$28,$E17,0)</f>
        <v>4.7132163103833564</v>
      </c>
      <c r="AI17" s="112">
        <f ca="1">OFFSET(IND!AL$28,$E17,0)</f>
        <v>4.2307023450987273</v>
      </c>
      <c r="AJ17" s="112">
        <f ca="1">OFFSET(IND!AM$28,$E17,0)</f>
        <v>4.541600518606864</v>
      </c>
      <c r="AK17" s="112">
        <f ca="1">OFFSET(IND!AN$28,$E17,0)</f>
        <v>4.8674218044433912</v>
      </c>
      <c r="AL17" s="112">
        <f ca="1">OFFSET(IND!AO$28,$E17,0)</f>
        <v>5.5016540783999943</v>
      </c>
      <c r="AM17" s="112">
        <f ca="1">OFFSET(IND!AP$28,$E17,0)</f>
        <v>6.1383735377446618</v>
      </c>
    </row>
    <row r="18" spans="1:39">
      <c r="A18" s="29" t="s">
        <v>318</v>
      </c>
      <c r="B18">
        <v>14.828694985169999</v>
      </c>
      <c r="E18" s="115">
        <f ca="1">MATCH(F18,IND!$D$29:$D$264,0)</f>
        <v>120</v>
      </c>
      <c r="F18" t="str">
        <f t="shared" si="0"/>
        <v>ICPP</v>
      </c>
      <c r="G18" s="112">
        <f ca="1">OFFSET(IND!J$28,$E18,0)</f>
        <v>7.7906728472946494</v>
      </c>
      <c r="H18" s="112">
        <f ca="1">OFFSET(IND!K$28,$E18,0)</f>
        <v>8.0238711166540284</v>
      </c>
      <c r="I18" s="112">
        <f ca="1">OFFSET(IND!L$28,$E18,0)</f>
        <v>8.1896858862872239</v>
      </c>
      <c r="J18" s="112">
        <f ca="1">OFFSET(IND!M$28,$E18,0)</f>
        <v>11.328520000000001</v>
      </c>
      <c r="K18" s="112">
        <f ca="1">OFFSET(IND!N$28,$E18,0)</f>
        <v>11.328520000000001</v>
      </c>
      <c r="L18" s="112">
        <f ca="1">OFFSET(IND!O$28,$E18,0)</f>
        <v>11.328520000000001</v>
      </c>
      <c r="M18" s="112">
        <f ca="1">OFFSET(IND!P$28,$E18,0)</f>
        <v>11.45680773828248</v>
      </c>
      <c r="N18" s="112">
        <f ca="1">OFFSET(IND!Q$28,$E18,0)</f>
        <v>11.432654799902137</v>
      </c>
      <c r="O18" s="181">
        <f ca="1">OFFSET(IND!R$28,$E18,0)</f>
        <v>11.265913480689868</v>
      </c>
      <c r="P18" s="112">
        <f ca="1">OFFSET(IND!S$28,$E18,0)</f>
        <v>11.727469178301966</v>
      </c>
      <c r="Q18" s="112">
        <f ca="1">OFFSET(IND!T$28,$E18,0)</f>
        <v>11.655759789153242</v>
      </c>
      <c r="R18" s="112">
        <f ca="1">OFFSET(IND!U$28,$E18,0)</f>
        <v>11.638634585061892</v>
      </c>
      <c r="S18" s="112">
        <f ca="1">OFFSET(IND!V$28,$E18,0)</f>
        <v>11.6018089036753</v>
      </c>
      <c r="T18" s="181">
        <f ca="1">OFFSET(IND!W$28,$E18,0)</f>
        <v>11.554634251154418</v>
      </c>
      <c r="U18" s="112">
        <f ca="1">OFFSET(IND!X$28,$E18,0)</f>
        <v>11.653292604880999</v>
      </c>
      <c r="V18" s="112">
        <f ca="1">OFFSET(IND!Y$28,$E18,0)</f>
        <v>11.751950958607582</v>
      </c>
      <c r="W18" s="112">
        <f ca="1">OFFSET(IND!Z$28,$E18,0)</f>
        <v>11.898487631054417</v>
      </c>
      <c r="X18" s="112">
        <f ca="1">OFFSET(IND!AA$28,$E18,0)</f>
        <v>11.963776247491124</v>
      </c>
      <c r="Y18" s="112">
        <f ca="1">OFFSET(IND!AB$28,$E18,0)</f>
        <v>12.047926019787329</v>
      </c>
      <c r="Z18" s="112">
        <f ca="1">OFFSET(IND!AC$28,$E18,0)</f>
        <v>12.162543813087327</v>
      </c>
      <c r="AA18" s="112">
        <f ca="1">OFFSET(IND!AD$28,$E18,0)</f>
        <v>12.284415897102518</v>
      </c>
      <c r="AB18" s="112">
        <f ca="1">OFFSET(IND!AE$28,$E18,0)</f>
        <v>12.455617157980999</v>
      </c>
      <c r="AC18" s="112">
        <f ca="1">OFFSET(IND!AF$28,$E18,0)</f>
        <v>12.634072709574669</v>
      </c>
      <c r="AD18" s="112">
        <f ca="1">OFFSET(IND!AG$28,$E18,0)</f>
        <v>9.9325748472379605</v>
      </c>
      <c r="AE18" s="112">
        <f ca="1">OFFSET(IND!AH$28,$E18,0)</f>
        <v>7.6750395766708754</v>
      </c>
      <c r="AF18" s="112">
        <f ca="1">OFFSET(IND!AI$28,$E18,0)</f>
        <v>7.3384404874860643</v>
      </c>
      <c r="AG18" s="112">
        <f ca="1">OFFSET(IND!AJ$28,$E18,0)</f>
        <v>7.8694545678379626</v>
      </c>
      <c r="AH18" s="112">
        <f ca="1">OFFSET(IND!AK$28,$E18,0)</f>
        <v>8.2481285431708731</v>
      </c>
      <c r="AI18" s="112">
        <f ca="1">OFFSET(IND!AL$28,$E18,0)</f>
        <v>7.4037291039227728</v>
      </c>
      <c r="AJ18" s="112">
        <f ca="1">OFFSET(IND!AM$28,$E18,0)</f>
        <v>7.9478009075620122</v>
      </c>
      <c r="AK18" s="112">
        <f ca="1">OFFSET(IND!AN$28,$E18,0)</f>
        <v>8.5179881577759335</v>
      </c>
      <c r="AL18" s="112">
        <f ca="1">OFFSET(IND!AO$28,$E18,0)</f>
        <v>9.6278946371999883</v>
      </c>
      <c r="AM18" s="112">
        <f ca="1">OFFSET(IND!AP$28,$E18,0)</f>
        <v>10.742153691053156</v>
      </c>
    </row>
    <row r="19" spans="1:39">
      <c r="A19" s="29" t="s">
        <v>319</v>
      </c>
      <c r="B19">
        <v>32.941303389589997</v>
      </c>
      <c r="E19" s="115">
        <f ca="1">MATCH(F19,IND!$D$29:$D$264,0)</f>
        <v>125</v>
      </c>
      <c r="F19" t="str">
        <f t="shared" si="0"/>
        <v>ICPS</v>
      </c>
      <c r="G19" s="112">
        <f ca="1">OFFSET(IND!J$28,$E19,0)</f>
        <v>27.288197120140854</v>
      </c>
      <c r="H19" s="112">
        <f ca="1">OFFSET(IND!K$28,$E19,0)</f>
        <v>28.105014931270503</v>
      </c>
      <c r="I19" s="112">
        <f ca="1">OFFSET(IND!L$28,$E19,0)</f>
        <v>28.68581022429229</v>
      </c>
      <c r="J19" s="112">
        <f ca="1">OFFSET(IND!M$28,$E19,0)</f>
        <v>19.307168400000002</v>
      </c>
      <c r="K19" s="112">
        <f ca="1">OFFSET(IND!N$28,$E19,0)</f>
        <v>19.307168400000002</v>
      </c>
      <c r="L19" s="112">
        <f ca="1">OFFSET(IND!O$28,$E19,0)</f>
        <v>19.307168400000002</v>
      </c>
      <c r="M19" s="112">
        <f ca="1">OFFSET(IND!P$28,$E19,0)</f>
        <v>19.525808872601448</v>
      </c>
      <c r="N19" s="112">
        <f ca="1">OFFSET(IND!Q$28,$E19,0)</f>
        <v>19.484645079920313</v>
      </c>
      <c r="O19" s="181">
        <f ca="1">OFFSET(IND!R$28,$E19,0)</f>
        <v>19.200468265184636</v>
      </c>
      <c r="P19" s="112">
        <f ca="1">OFFSET(IND!S$28,$E19,0)</f>
        <v>19.987096490211052</v>
      </c>
      <c r="Q19" s="112">
        <f ca="1">OFFSET(IND!T$28,$E19,0)</f>
        <v>19.864882357018406</v>
      </c>
      <c r="R19" s="112">
        <f ca="1">OFFSET(IND!U$28,$E19,0)</f>
        <v>19.83569591436958</v>
      </c>
      <c r="S19" s="112">
        <f ca="1">OFFSET(IND!V$28,$E19,0)</f>
        <v>19.772933997369332</v>
      </c>
      <c r="T19" s="181">
        <f ca="1">OFFSET(IND!W$28,$E19,0)</f>
        <v>19.692534354659415</v>
      </c>
      <c r="U19" s="112">
        <f ca="1">OFFSET(IND!X$28,$E19,0)</f>
        <v>19.860677541012606</v>
      </c>
      <c r="V19" s="112">
        <f ca="1">OFFSET(IND!Y$28,$E19,0)</f>
        <v>20.028820727365801</v>
      </c>
      <c r="W19" s="112">
        <f ca="1">OFFSET(IND!Z$28,$E19,0)</f>
        <v>20.278562812978635</v>
      </c>
      <c r="X19" s="112">
        <f ca="1">OFFSET(IND!AA$28,$E19,0)</f>
        <v>20.389834039241773</v>
      </c>
      <c r="Y19" s="112">
        <f ca="1">OFFSET(IND!AB$28,$E19,0)</f>
        <v>20.533250286425385</v>
      </c>
      <c r="Z19" s="112">
        <f ca="1">OFFSET(IND!AC$28,$E19,0)</f>
        <v>20.728593105865123</v>
      </c>
      <c r="AA19" s="112">
        <f ca="1">OFFSET(IND!AD$28,$E19,0)</f>
        <v>20.936299394889659</v>
      </c>
      <c r="AB19" s="112">
        <f ca="1">OFFSET(IND!AE$28,$E19,0)</f>
        <v>21.22807727709079</v>
      </c>
      <c r="AC19" s="112">
        <f ca="1">OFFSET(IND!AF$28,$E19,0)</f>
        <v>21.532218628876716</v>
      </c>
      <c r="AD19" s="112">
        <f ca="1">OFFSET(IND!AG$28,$E19,0)</f>
        <v>16.928062555499537</v>
      </c>
      <c r="AE19" s="112">
        <f ca="1">OFFSET(IND!AH$28,$E19,0)</f>
        <v>13.080550820711737</v>
      </c>
      <c r="AF19" s="112">
        <f ca="1">OFFSET(IND!AI$28,$E19,0)</f>
        <v>12.506885831977307</v>
      </c>
      <c r="AG19" s="112">
        <f ca="1">OFFSET(IND!AJ$28,$E19,0)</f>
        <v>13.411891805584208</v>
      </c>
      <c r="AH19" s="112">
        <f ca="1">OFFSET(IND!AK$28,$E19,0)</f>
        <v>14.057264917910439</v>
      </c>
      <c r="AI19" s="112">
        <f ca="1">OFFSET(IND!AL$28,$E19,0)</f>
        <v>12.618157058240453</v>
      </c>
      <c r="AJ19" s="112">
        <f ca="1">OFFSET(IND!AM$28,$E19,0)</f>
        <v>13.545417277099979</v>
      </c>
      <c r="AK19" s="112">
        <f ca="1">OFFSET(IND!AN$28,$E19,0)</f>
        <v>14.517185986464762</v>
      </c>
      <c r="AL19" s="112">
        <f ca="1">OFFSET(IND!AO$28,$E19,0)</f>
        <v>16.408796832938208</v>
      </c>
      <c r="AM19" s="112">
        <f ca="1">OFFSET(IND!AP$28,$E19,0)</f>
        <v>18.30782576116253</v>
      </c>
    </row>
    <row r="20" spans="1:39">
      <c r="A20" s="29" t="s">
        <v>320</v>
      </c>
      <c r="B20">
        <v>39.685391397639997</v>
      </c>
      <c r="E20" s="115">
        <f ca="1">MATCH(F20,IND!$D$29:$D$264,0)</f>
        <v>132</v>
      </c>
      <c r="F20" t="str">
        <f t="shared" si="0"/>
        <v>ICPT</v>
      </c>
      <c r="G20" s="112">
        <f ca="1">OFFSET(IND!J$28,$E20,0)</f>
        <v>26.6</v>
      </c>
      <c r="H20" s="112">
        <f ca="1">OFFSET(IND!K$28,$E20,0)</f>
        <v>27.396218001518768</v>
      </c>
      <c r="I20" s="112">
        <f ca="1">OFFSET(IND!L$28,$E20,0)</f>
        <v>27.962365875867597</v>
      </c>
      <c r="J20" s="112">
        <f ca="1">OFFSET(IND!M$28,$E20,0)</f>
        <v>26.6</v>
      </c>
      <c r="K20" s="112">
        <f ca="1">OFFSET(IND!N$28,$E20,0)</f>
        <v>26.6</v>
      </c>
      <c r="L20" s="112">
        <f ca="1">OFFSET(IND!O$28,$E20,0)</f>
        <v>26.6</v>
      </c>
      <c r="M20" s="112">
        <f ca="1">OFFSET(IND!P$28,$E20,0)</f>
        <v>26.901226800880782</v>
      </c>
      <c r="N20" s="112">
        <f ca="1">OFFSET(IND!Q$28,$E20,0)</f>
        <v>26.844514347628536</v>
      </c>
      <c r="O20" s="181">
        <f ca="1">OFFSET(IND!R$28,$E20,0)</f>
        <v>26.452996383141883</v>
      </c>
      <c r="P20" s="112">
        <f ca="1">OFFSET(IND!S$28,$E20,0)</f>
        <v>27.536755034446891</v>
      </c>
      <c r="Q20" s="112">
        <f ca="1">OFFSET(IND!T$28,$E20,0)</f>
        <v>27.368377368930471</v>
      </c>
      <c r="R20" s="112">
        <f ca="1">OFFSET(IND!U$28,$E20,0)</f>
        <v>27.328166429740715</v>
      </c>
      <c r="S20" s="112">
        <f ca="1">OFFSET(IND!V$28,$E20,0)</f>
        <v>27.241697665517027</v>
      </c>
      <c r="T20" s="181">
        <f ca="1">OFFSET(IND!W$28,$E20,0)</f>
        <v>27.13092893694035</v>
      </c>
      <c r="U20" s="112">
        <f ca="1">OFFSET(IND!X$28,$E20,0)</f>
        <v>27.362584281956913</v>
      </c>
      <c r="V20" s="112">
        <f ca="1">OFFSET(IND!Y$28,$E20,0)</f>
        <v>27.594239626973483</v>
      </c>
      <c r="W20" s="112">
        <f ca="1">OFFSET(IND!Z$28,$E20,0)</f>
        <v>27.938315948248089</v>
      </c>
      <c r="X20" s="112">
        <f ca="1">OFFSET(IND!AA$28,$E20,0)</f>
        <v>28.091617279509048</v>
      </c>
      <c r="Y20" s="112">
        <f ca="1">OFFSET(IND!AB$28,$E20,0)</f>
        <v>28.289205662023186</v>
      </c>
      <c r="Z20" s="112">
        <f ca="1">OFFSET(IND!AC$28,$E20,0)</f>
        <v>28.55833466579243</v>
      </c>
      <c r="AA20" s="112">
        <f ca="1">OFFSET(IND!AD$28,$E20,0)</f>
        <v>28.844497150812899</v>
      </c>
      <c r="AB20" s="112">
        <f ca="1">OFFSET(IND!AE$28,$E20,0)</f>
        <v>29.246487308341649</v>
      </c>
      <c r="AC20" s="112">
        <f ca="1">OFFSET(IND!AF$28,$E20,0)</f>
        <v>29.665510947121618</v>
      </c>
      <c r="AD20" s="112">
        <f ca="1">OFFSET(IND!AG$28,$E20,0)</f>
        <v>23.322242529167955</v>
      </c>
      <c r="AE20" s="112">
        <f ca="1">OFFSET(IND!AH$28,$E20,0)</f>
        <v>18.021423163788853</v>
      </c>
      <c r="AF20" s="112">
        <f ca="1">OFFSET(IND!AI$28,$E20,0)</f>
        <v>17.231069633732325</v>
      </c>
      <c r="AG20" s="112">
        <f ca="1">OFFSET(IND!AJ$28,$E20,0)</f>
        <v>18.477920461321499</v>
      </c>
      <c r="AH20" s="112">
        <f ca="1">OFFSET(IND!AK$28,$E20,0)</f>
        <v>19.367068182635091</v>
      </c>
      <c r="AI20" s="112">
        <f ca="1">OFFSET(IND!AL$28,$E20,0)</f>
        <v>17.384370964993291</v>
      </c>
      <c r="AJ20" s="112">
        <f ca="1">OFFSET(IND!AM$28,$E20,0)</f>
        <v>18.661882058834653</v>
      </c>
      <c r="AK20" s="112">
        <f ca="1">OFFSET(IND!AN$28,$E20,0)</f>
        <v>20.000713685180401</v>
      </c>
      <c r="AL20" s="112">
        <f ca="1">OFFSET(IND!AO$28,$E20,0)</f>
        <v>22.6068363166168</v>
      </c>
      <c r="AM20" s="112">
        <f ca="1">OFFSET(IND!AP$28,$E20,0)</f>
        <v>25.223179036803927</v>
      </c>
    </row>
    <row r="21" spans="1:39">
      <c r="A21" s="29" t="s">
        <v>321</v>
      </c>
      <c r="B21">
        <v>5.3061366499999998E-2</v>
      </c>
      <c r="E21" s="115">
        <f ca="1">MATCH(F21,IND!$D$29:$D$264,0)</f>
        <v>175</v>
      </c>
      <c r="F21" t="str">
        <f t="shared" si="0"/>
        <v>IFBA</v>
      </c>
      <c r="G21" s="112">
        <f ca="1">OFFSET(IND!J$28,$E21,0)</f>
        <v>3.1931633262906718E-2</v>
      </c>
      <c r="H21" s="112">
        <f ca="1">OFFSET(IND!K$28,$E21,0)</f>
        <v>3.3106417009202811E-2</v>
      </c>
      <c r="I21" s="112">
        <f ca="1">OFFSET(IND!L$28,$E21,0)</f>
        <v>3.3989968222560452E-2</v>
      </c>
      <c r="J21" s="112">
        <f ca="1">OFFSET(IND!M$28,$E21,0)</f>
        <v>2.9904000000000003E-2</v>
      </c>
      <c r="K21" s="112">
        <f ca="1">OFFSET(IND!N$28,$E21,0)</f>
        <v>2.9904000000000003E-2</v>
      </c>
      <c r="L21" s="112">
        <f ca="1">OFFSET(IND!O$28,$E21,0)</f>
        <v>2.9904000000000003E-2</v>
      </c>
      <c r="M21" s="112">
        <f ca="1">OFFSET(IND!P$28,$E21,0)</f>
        <v>3.0329173986535431E-2</v>
      </c>
      <c r="N21" s="112">
        <f ca="1">OFFSET(IND!Q$28,$E21,0)</f>
        <v>3.0231256879581961E-2</v>
      </c>
      <c r="O21" s="181">
        <f ca="1">OFFSET(IND!R$28,$E21,0)</f>
        <v>2.9773620615300728E-2</v>
      </c>
      <c r="P21" s="112">
        <f ca="1">OFFSET(IND!S$28,$E21,0)</f>
        <v>3.1804805494299981E-2</v>
      </c>
      <c r="Q21" s="112">
        <f ca="1">OFFSET(IND!T$28,$E21,0)</f>
        <v>3.2806086324174998E-2</v>
      </c>
      <c r="R21" s="112">
        <f ca="1">OFFSET(IND!U$28,$E21,0)</f>
        <v>3.3684875422663511E-2</v>
      </c>
      <c r="S21" s="112">
        <f ca="1">OFFSET(IND!V$28,$E21,0)</f>
        <v>3.4567069477959178E-2</v>
      </c>
      <c r="T21" s="181">
        <f ca="1">OFFSET(IND!W$28,$E21,0)</f>
        <v>3.5319441606229178E-2</v>
      </c>
      <c r="U21" s="112">
        <f ca="1">OFFSET(IND!X$28,$E21,0)</f>
        <v>3.6113353436758193E-2</v>
      </c>
      <c r="V21" s="112">
        <f ca="1">OFFSET(IND!Y$28,$E21,0)</f>
        <v>3.6905338296824769E-2</v>
      </c>
      <c r="W21" s="112">
        <f ca="1">OFFSET(IND!Z$28,$E21,0)</f>
        <v>3.8315880675337498E-2</v>
      </c>
      <c r="X21" s="112">
        <f ca="1">OFFSET(IND!AA$28,$E21,0)</f>
        <v>3.9537579948530216E-2</v>
      </c>
      <c r="Y21" s="112">
        <f ca="1">OFFSET(IND!AB$28,$E21,0)</f>
        <v>4.0418205449869439E-2</v>
      </c>
      <c r="Z21" s="112">
        <f ca="1">OFFSET(IND!AC$28,$E21,0)</f>
        <v>4.1410595238030722E-2</v>
      </c>
      <c r="AA21" s="112">
        <f ca="1">OFFSET(IND!AD$28,$E21,0)</f>
        <v>4.2291220739369945E-2</v>
      </c>
      <c r="AB21" s="112">
        <f ca="1">OFFSET(IND!AE$28,$E21,0)</f>
        <v>4.3370324198341428E-2</v>
      </c>
      <c r="AC21" s="112">
        <f ca="1">OFFSET(IND!AF$28,$E21,0)</f>
        <v>4.4414742188988839E-2</v>
      </c>
      <c r="AD21" s="112">
        <f ca="1">OFFSET(IND!AG$28,$E21,0)</f>
        <v>4.6455403908722416E-2</v>
      </c>
      <c r="AE21" s="112">
        <f ca="1">OFFSET(IND!AH$28,$E21,0)</f>
        <v>4.8544239890017216E-2</v>
      </c>
      <c r="AF21" s="112">
        <f ca="1">OFFSET(IND!AI$28,$E21,0)</f>
        <v>4.9224460463261746E-2</v>
      </c>
      <c r="AG21" s="112">
        <f ca="1">OFFSET(IND!AJ$28,$E21,0)</f>
        <v>4.9945147416217701E-2</v>
      </c>
      <c r="AH21" s="112">
        <f ca="1">OFFSET(IND!AK$28,$E21,0)</f>
        <v>5.0382569711193641E-2</v>
      </c>
      <c r="AI21" s="112">
        <f ca="1">OFFSET(IND!AL$28,$E21,0)</f>
        <v>5.1436622554153294E-2</v>
      </c>
      <c r="AJ21" s="112">
        <f ca="1">OFFSET(IND!AM$28,$E21,0)</f>
        <v>5.5490968407146159E-2</v>
      </c>
      <c r="AK21" s="112">
        <f ca="1">OFFSET(IND!AN$28,$E21,0)</f>
        <v>5.6641369773228256E-2</v>
      </c>
      <c r="AL21" s="112">
        <f ca="1">OFFSET(IND!AO$28,$E21,0)</f>
        <v>6.2330107740121848E-2</v>
      </c>
      <c r="AM21" s="112">
        <f ca="1">OFFSET(IND!AP$28,$E21,0)</f>
        <v>6.7534854959196824E-2</v>
      </c>
    </row>
    <row r="22" spans="1:39">
      <c r="A22" s="29" t="s">
        <v>322</v>
      </c>
      <c r="B22">
        <v>12.204114317089999</v>
      </c>
      <c r="E22" s="115">
        <f ca="1">MATCH(F22,IND!$D$29:$D$264,0)</f>
        <v>177</v>
      </c>
      <c r="F22" t="str">
        <f t="shared" si="0"/>
        <v>IFBC</v>
      </c>
      <c r="G22" s="112">
        <f ca="1">OFFSET(IND!J$28,$E22,0)</f>
        <v>7.3442756504685454</v>
      </c>
      <c r="H22" s="112">
        <f ca="1">OFFSET(IND!K$28,$E22,0)</f>
        <v>7.6144759121166459</v>
      </c>
      <c r="I22" s="112">
        <f ca="1">OFFSET(IND!L$28,$E22,0)</f>
        <v>7.8176926911889026</v>
      </c>
      <c r="J22" s="112">
        <f ca="1">OFFSET(IND!M$28,$E22,0)</f>
        <v>6.8779200000000005</v>
      </c>
      <c r="K22" s="112">
        <f ca="1">OFFSET(IND!N$28,$E22,0)</f>
        <v>6.8779200000000005</v>
      </c>
      <c r="L22" s="112">
        <f ca="1">OFFSET(IND!O$28,$E22,0)</f>
        <v>6.8779200000000005</v>
      </c>
      <c r="M22" s="112">
        <f ca="1">OFFSET(IND!P$28,$E22,0)</f>
        <v>6.9757100169031494</v>
      </c>
      <c r="N22" s="112">
        <f ca="1">OFFSET(IND!Q$28,$E22,0)</f>
        <v>6.9531890823038509</v>
      </c>
      <c r="O22" s="181">
        <f ca="1">OFFSET(IND!R$28,$E22,0)</f>
        <v>6.847932741519168</v>
      </c>
      <c r="P22" s="112">
        <f ca="1">OFFSET(IND!S$28,$E22,0)</f>
        <v>7.3151052636889959</v>
      </c>
      <c r="Q22" s="112">
        <f ca="1">OFFSET(IND!T$28,$E22,0)</f>
        <v>7.5453998545602499</v>
      </c>
      <c r="R22" s="112">
        <f ca="1">OFFSET(IND!U$28,$E22,0)</f>
        <v>7.7475213472126088</v>
      </c>
      <c r="S22" s="112">
        <f ca="1">OFFSET(IND!V$28,$E22,0)</f>
        <v>7.9504259799306123</v>
      </c>
      <c r="T22" s="181">
        <f ca="1">OFFSET(IND!W$28,$E22,0)</f>
        <v>8.1234715694327129</v>
      </c>
      <c r="U22" s="112">
        <f ca="1">OFFSET(IND!X$28,$E22,0)</f>
        <v>8.306071290454387</v>
      </c>
      <c r="V22" s="112">
        <f ca="1">OFFSET(IND!Y$28,$E22,0)</f>
        <v>8.4882278082696985</v>
      </c>
      <c r="W22" s="112">
        <f ca="1">OFFSET(IND!Z$28,$E22,0)</f>
        <v>8.8126525553276256</v>
      </c>
      <c r="X22" s="112">
        <f ca="1">OFFSET(IND!AA$28,$E22,0)</f>
        <v>9.0936433881619507</v>
      </c>
      <c r="Y22" s="112">
        <f ca="1">OFFSET(IND!AB$28,$E22,0)</f>
        <v>9.2961872534699719</v>
      </c>
      <c r="Z22" s="112">
        <f ca="1">OFFSET(IND!AC$28,$E22,0)</f>
        <v>9.5244369047470663</v>
      </c>
      <c r="AA22" s="112">
        <f ca="1">OFFSET(IND!AD$28,$E22,0)</f>
        <v>9.7269807700550874</v>
      </c>
      <c r="AB22" s="112">
        <f ca="1">OFFSET(IND!AE$28,$E22,0)</f>
        <v>9.9751745656185271</v>
      </c>
      <c r="AC22" s="112">
        <f ca="1">OFFSET(IND!AF$28,$E22,0)</f>
        <v>10.215390703467431</v>
      </c>
      <c r="AD22" s="112">
        <f ca="1">OFFSET(IND!AG$28,$E22,0)</f>
        <v>10.684742899006153</v>
      </c>
      <c r="AE22" s="112">
        <f ca="1">OFFSET(IND!AH$28,$E22,0)</f>
        <v>11.165175174703958</v>
      </c>
      <c r="AF22" s="112">
        <f ca="1">OFFSET(IND!AI$28,$E22,0)</f>
        <v>11.321625906550199</v>
      </c>
      <c r="AG22" s="112">
        <f ca="1">OFFSET(IND!AJ$28,$E22,0)</f>
        <v>11.487383905730068</v>
      </c>
      <c r="AH22" s="112">
        <f ca="1">OFFSET(IND!AK$28,$E22,0)</f>
        <v>11.587991033574534</v>
      </c>
      <c r="AI22" s="112">
        <f ca="1">OFFSET(IND!AL$28,$E22,0)</f>
        <v>11.830423187455255</v>
      </c>
      <c r="AJ22" s="112">
        <f ca="1">OFFSET(IND!AM$28,$E22,0)</f>
        <v>12.762922733643613</v>
      </c>
      <c r="AK22" s="112">
        <f ca="1">OFFSET(IND!AN$28,$E22,0)</f>
        <v>13.027515047842495</v>
      </c>
      <c r="AL22" s="112">
        <f ca="1">OFFSET(IND!AO$28,$E22,0)</f>
        <v>14.335924780228021</v>
      </c>
      <c r="AM22" s="112">
        <f ca="1">OFFSET(IND!AP$28,$E22,0)</f>
        <v>15.533016640615266</v>
      </c>
    </row>
    <row r="23" spans="1:39">
      <c r="A23" s="29" t="s">
        <v>323</v>
      </c>
      <c r="B23" t="s">
        <v>386</v>
      </c>
      <c r="E23" s="115">
        <f ca="1">MATCH(F23,IND!$D$29:$D$264,0)</f>
        <v>182</v>
      </c>
      <c r="F23" t="str">
        <f t="shared" si="0"/>
        <v>IFBE</v>
      </c>
      <c r="G23" s="112">
        <f ca="1">OFFSET(IND!J$28,$E23,0)</f>
        <v>0</v>
      </c>
      <c r="H23" s="112">
        <f ca="1">OFFSET(IND!K$28,$E23,0)</f>
        <v>0</v>
      </c>
      <c r="I23" s="112">
        <f ca="1">OFFSET(IND!L$28,$E23,0)</f>
        <v>0</v>
      </c>
      <c r="J23" s="112">
        <f ca="1">OFFSET(IND!M$28,$E23,0)</f>
        <v>0</v>
      </c>
      <c r="K23" s="112">
        <f ca="1">OFFSET(IND!N$28,$E23,0)</f>
        <v>0</v>
      </c>
      <c r="L23" s="112">
        <f ca="1">OFFSET(IND!O$28,$E23,0)</f>
        <v>0</v>
      </c>
      <c r="M23" s="112">
        <f ca="1">OFFSET(IND!P$28,$E23,0)</f>
        <v>0</v>
      </c>
      <c r="N23" s="112">
        <f ca="1">OFFSET(IND!Q$28,$E23,0)</f>
        <v>0</v>
      </c>
      <c r="O23" s="181">
        <f ca="1">OFFSET(IND!R$28,$E23,0)</f>
        <v>0</v>
      </c>
      <c r="P23" s="112">
        <f ca="1">OFFSET(IND!S$28,$E23,0)</f>
        <v>0</v>
      </c>
      <c r="Q23" s="112">
        <f ca="1">OFFSET(IND!T$28,$E23,0)</f>
        <v>0</v>
      </c>
      <c r="R23" s="112">
        <f ca="1">OFFSET(IND!U$28,$E23,0)</f>
        <v>0</v>
      </c>
      <c r="S23" s="112">
        <f ca="1">OFFSET(IND!V$28,$E23,0)</f>
        <v>0</v>
      </c>
      <c r="T23" s="181">
        <f ca="1">OFFSET(IND!W$28,$E23,0)</f>
        <v>0</v>
      </c>
      <c r="U23" s="112">
        <f ca="1">OFFSET(IND!X$28,$E23,0)</f>
        <v>0</v>
      </c>
      <c r="V23" s="112">
        <f ca="1">OFFSET(IND!Y$28,$E23,0)</f>
        <v>0</v>
      </c>
      <c r="W23" s="112">
        <f ca="1">OFFSET(IND!Z$28,$E23,0)</f>
        <v>0</v>
      </c>
      <c r="X23" s="112">
        <f ca="1">OFFSET(IND!AA$28,$E23,0)</f>
        <v>0</v>
      </c>
      <c r="Y23" s="112">
        <f ca="1">OFFSET(IND!AB$28,$E23,0)</f>
        <v>0</v>
      </c>
      <c r="Z23" s="112">
        <f ca="1">OFFSET(IND!AC$28,$E23,0)</f>
        <v>0</v>
      </c>
      <c r="AA23" s="112">
        <f ca="1">OFFSET(IND!AD$28,$E23,0)</f>
        <v>0</v>
      </c>
      <c r="AB23" s="112">
        <f ca="1">OFFSET(IND!AE$28,$E23,0)</f>
        <v>0</v>
      </c>
      <c r="AC23" s="112">
        <f ca="1">OFFSET(IND!AF$28,$E23,0)</f>
        <v>0</v>
      </c>
      <c r="AD23" s="112">
        <f ca="1">OFFSET(IND!AG$28,$E23,0)</f>
        <v>0</v>
      </c>
      <c r="AE23" s="112">
        <f ca="1">OFFSET(IND!AH$28,$E23,0)</f>
        <v>0</v>
      </c>
      <c r="AF23" s="112">
        <f ca="1">OFFSET(IND!AI$28,$E23,0)</f>
        <v>0</v>
      </c>
      <c r="AG23" s="112">
        <f ca="1">OFFSET(IND!AJ$28,$E23,0)</f>
        <v>0</v>
      </c>
      <c r="AH23" s="112">
        <f ca="1">OFFSET(IND!AK$28,$E23,0)</f>
        <v>0</v>
      </c>
      <c r="AI23" s="112">
        <f ca="1">OFFSET(IND!AL$28,$E23,0)</f>
        <v>0</v>
      </c>
      <c r="AJ23" s="112">
        <f ca="1">OFFSET(IND!AM$28,$E23,0)</f>
        <v>0</v>
      </c>
      <c r="AK23" s="112">
        <f ca="1">OFFSET(IND!AN$28,$E23,0)</f>
        <v>0</v>
      </c>
      <c r="AL23" s="112">
        <f ca="1">OFFSET(IND!AO$28,$E23,0)</f>
        <v>0</v>
      </c>
      <c r="AM23" s="112">
        <f ca="1">OFFSET(IND!AP$28,$E23,0)</f>
        <v>0</v>
      </c>
    </row>
    <row r="24" spans="1:39">
      <c r="A24" s="29" t="s">
        <v>324</v>
      </c>
      <c r="B24">
        <v>0.84898186553730004</v>
      </c>
      <c r="E24" s="115">
        <f ca="1">MATCH(F24,IND!$D$29:$D$264,0)</f>
        <v>180</v>
      </c>
      <c r="F24" t="str">
        <f t="shared" si="0"/>
        <v>IFBF</v>
      </c>
      <c r="G24" s="112">
        <f ca="1">OFFSET(IND!J$28,$E24,0)</f>
        <v>0.51090613220650749</v>
      </c>
      <c r="H24" s="112">
        <f ca="1">OFFSET(IND!K$28,$E24,0)</f>
        <v>0.52970267214724498</v>
      </c>
      <c r="I24" s="112">
        <f ca="1">OFFSET(IND!L$28,$E24,0)</f>
        <v>0.54383949156096723</v>
      </c>
      <c r="J24" s="112">
        <f ca="1">OFFSET(IND!M$28,$E24,0)</f>
        <v>0.47846400000000006</v>
      </c>
      <c r="K24" s="112">
        <f ca="1">OFFSET(IND!N$28,$E24,0)</f>
        <v>0.47846400000000006</v>
      </c>
      <c r="L24" s="112">
        <f ca="1">OFFSET(IND!O$28,$E24,0)</f>
        <v>0.47846400000000006</v>
      </c>
      <c r="M24" s="112">
        <f ca="1">OFFSET(IND!P$28,$E24,0)</f>
        <v>0.48526678378456689</v>
      </c>
      <c r="N24" s="112">
        <f ca="1">OFFSET(IND!Q$28,$E24,0)</f>
        <v>0.48370011007331137</v>
      </c>
      <c r="O24" s="181">
        <f ca="1">OFFSET(IND!R$28,$E24,0)</f>
        <v>0.47637792984481164</v>
      </c>
      <c r="P24" s="112">
        <f ca="1">OFFSET(IND!S$28,$E24,0)</f>
        <v>0.5088768879087997</v>
      </c>
      <c r="Q24" s="112">
        <f ca="1">OFFSET(IND!T$28,$E24,0)</f>
        <v>0.52489738118679996</v>
      </c>
      <c r="R24" s="112">
        <f ca="1">OFFSET(IND!U$28,$E24,0)</f>
        <v>0.53895800676261618</v>
      </c>
      <c r="S24" s="112">
        <f ca="1">OFFSET(IND!V$28,$E24,0)</f>
        <v>0.55307311164734685</v>
      </c>
      <c r="T24" s="181">
        <f ca="1">OFFSET(IND!W$28,$E24,0)</f>
        <v>0.56511106569966685</v>
      </c>
      <c r="U24" s="112">
        <f ca="1">OFFSET(IND!X$28,$E24,0)</f>
        <v>0.57781365498813109</v>
      </c>
      <c r="V24" s="112">
        <f ca="1">OFFSET(IND!Y$28,$E24,0)</f>
        <v>0.5904854127491963</v>
      </c>
      <c r="W24" s="112">
        <f ca="1">OFFSET(IND!Z$28,$E24,0)</f>
        <v>0.61305409080539996</v>
      </c>
      <c r="X24" s="112">
        <f ca="1">OFFSET(IND!AA$28,$E24,0)</f>
        <v>0.63260127917648346</v>
      </c>
      <c r="Y24" s="112">
        <f ca="1">OFFSET(IND!AB$28,$E24,0)</f>
        <v>0.64669128719791102</v>
      </c>
      <c r="Z24" s="112">
        <f ca="1">OFFSET(IND!AC$28,$E24,0)</f>
        <v>0.66256952380849155</v>
      </c>
      <c r="AA24" s="112">
        <f ca="1">OFFSET(IND!AD$28,$E24,0)</f>
        <v>0.67665953182991911</v>
      </c>
      <c r="AB24" s="112">
        <f ca="1">OFFSET(IND!AE$28,$E24,0)</f>
        <v>0.69392518717346285</v>
      </c>
      <c r="AC24" s="112">
        <f ca="1">OFFSET(IND!AF$28,$E24,0)</f>
        <v>0.71063587502382142</v>
      </c>
      <c r="AD24" s="112">
        <f ca="1">OFFSET(IND!AG$28,$E24,0)</f>
        <v>0.74328646253955866</v>
      </c>
      <c r="AE24" s="112">
        <f ca="1">OFFSET(IND!AH$28,$E24,0)</f>
        <v>0.77670783824027545</v>
      </c>
      <c r="AF24" s="112">
        <f ca="1">OFFSET(IND!AI$28,$E24,0)</f>
        <v>0.78759136741218794</v>
      </c>
      <c r="AG24" s="112">
        <f ca="1">OFFSET(IND!AJ$28,$E24,0)</f>
        <v>0.79912235865948322</v>
      </c>
      <c r="AH24" s="112">
        <f ca="1">OFFSET(IND!AK$28,$E24,0)</f>
        <v>0.80612111537909825</v>
      </c>
      <c r="AI24" s="112">
        <f ca="1">OFFSET(IND!AL$28,$E24,0)</f>
        <v>0.8229859608664527</v>
      </c>
      <c r="AJ24" s="112">
        <f ca="1">OFFSET(IND!AM$28,$E24,0)</f>
        <v>0.88785549451433854</v>
      </c>
      <c r="AK24" s="112">
        <f ca="1">OFFSET(IND!AN$28,$E24,0)</f>
        <v>0.9062619163716521</v>
      </c>
      <c r="AL24" s="112">
        <f ca="1">OFFSET(IND!AO$28,$E24,0)</f>
        <v>0.99728172384194957</v>
      </c>
      <c r="AM24" s="112">
        <f ca="1">OFFSET(IND!AP$28,$E24,0)</f>
        <v>1.0805576793471492</v>
      </c>
    </row>
    <row r="25" spans="1:39">
      <c r="A25" s="29" t="s">
        <v>325</v>
      </c>
      <c r="B25">
        <v>1.432656898094</v>
      </c>
      <c r="E25" s="115">
        <f ca="1">MATCH(F25,IND!$D$29:$D$264,0)</f>
        <v>178</v>
      </c>
      <c r="F25" t="str">
        <f t="shared" si="0"/>
        <v>IFBH</v>
      </c>
      <c r="G25" s="112">
        <f ca="1">OFFSET(IND!J$28,$E25,0)</f>
        <v>0.86215409809848131</v>
      </c>
      <c r="H25" s="112">
        <f ca="1">OFFSET(IND!K$28,$E25,0)</f>
        <v>0.89387325924847572</v>
      </c>
      <c r="I25" s="112">
        <f ca="1">OFFSET(IND!L$28,$E25,0)</f>
        <v>0.91772914200913203</v>
      </c>
      <c r="J25" s="112">
        <f ca="1">OFFSET(IND!M$28,$E25,0)</f>
        <v>0.8074079999999999</v>
      </c>
      <c r="K25" s="112">
        <f ca="1">OFFSET(IND!N$28,$E25,0)</f>
        <v>0.8074079999999999</v>
      </c>
      <c r="L25" s="112">
        <f ca="1">OFFSET(IND!O$28,$E25,0)</f>
        <v>0.8074079999999999</v>
      </c>
      <c r="M25" s="112">
        <f ca="1">OFFSET(IND!P$28,$E25,0)</f>
        <v>0.81888769763645652</v>
      </c>
      <c r="N25" s="112">
        <f ca="1">OFFSET(IND!Q$28,$E25,0)</f>
        <v>0.81624393574871279</v>
      </c>
      <c r="O25" s="181">
        <f ca="1">OFFSET(IND!R$28,$E25,0)</f>
        <v>0.80388775661311951</v>
      </c>
      <c r="P25" s="112">
        <f ca="1">OFFSET(IND!S$28,$E25,0)</f>
        <v>0.85872974834609928</v>
      </c>
      <c r="Q25" s="112">
        <f ca="1">OFFSET(IND!T$28,$E25,0)</f>
        <v>0.88576433075272476</v>
      </c>
      <c r="R25" s="112">
        <f ca="1">OFFSET(IND!U$28,$E25,0)</f>
        <v>0.90949163641191466</v>
      </c>
      <c r="S25" s="112">
        <f ca="1">OFFSET(IND!V$28,$E25,0)</f>
        <v>0.9333108759048977</v>
      </c>
      <c r="T25" s="181">
        <f ca="1">OFFSET(IND!W$28,$E25,0)</f>
        <v>0.95362492336818772</v>
      </c>
      <c r="U25" s="112">
        <f ca="1">OFFSET(IND!X$28,$E25,0)</f>
        <v>0.97506054279247112</v>
      </c>
      <c r="V25" s="112">
        <f ca="1">OFFSET(IND!Y$28,$E25,0)</f>
        <v>0.99644413401426857</v>
      </c>
      <c r="W25" s="112">
        <f ca="1">OFFSET(IND!Z$28,$E25,0)</f>
        <v>1.0345287782341122</v>
      </c>
      <c r="X25" s="112">
        <f ca="1">OFFSET(IND!AA$28,$E25,0)</f>
        <v>1.0675146586103155</v>
      </c>
      <c r="Y25" s="112">
        <f ca="1">OFFSET(IND!AB$28,$E25,0)</f>
        <v>1.0912915471464746</v>
      </c>
      <c r="Z25" s="112">
        <f ca="1">OFFSET(IND!AC$28,$E25,0)</f>
        <v>1.118086071426829</v>
      </c>
      <c r="AA25" s="112">
        <f ca="1">OFFSET(IND!AD$28,$E25,0)</f>
        <v>1.1418629599629881</v>
      </c>
      <c r="AB25" s="112">
        <f ca="1">OFFSET(IND!AE$28,$E25,0)</f>
        <v>1.1709987533552182</v>
      </c>
      <c r="AC25" s="112">
        <f ca="1">OFFSET(IND!AF$28,$E25,0)</f>
        <v>1.1991980391026982</v>
      </c>
      <c r="AD25" s="112">
        <f ca="1">OFFSET(IND!AG$28,$E25,0)</f>
        <v>1.2542959055355047</v>
      </c>
      <c r="AE25" s="112">
        <f ca="1">OFFSET(IND!AH$28,$E25,0)</f>
        <v>1.3106944770304643</v>
      </c>
      <c r="AF25" s="112">
        <f ca="1">OFFSET(IND!AI$28,$E25,0)</f>
        <v>1.3290604325080666</v>
      </c>
      <c r="AG25" s="112">
        <f ca="1">OFFSET(IND!AJ$28,$E25,0)</f>
        <v>1.3485189802378774</v>
      </c>
      <c r="AH25" s="112">
        <f ca="1">OFFSET(IND!AK$28,$E25,0)</f>
        <v>1.3603293822022278</v>
      </c>
      <c r="AI25" s="112">
        <f ca="1">OFFSET(IND!AL$28,$E25,0)</f>
        <v>1.3887888089621385</v>
      </c>
      <c r="AJ25" s="112">
        <f ca="1">OFFSET(IND!AM$28,$E25,0)</f>
        <v>1.4982561469929458</v>
      </c>
      <c r="AK25" s="112">
        <f ca="1">OFFSET(IND!AN$28,$E25,0)</f>
        <v>1.5293169838771625</v>
      </c>
      <c r="AL25" s="112">
        <f ca="1">OFFSET(IND!AO$28,$E25,0)</f>
        <v>1.6829129089832895</v>
      </c>
      <c r="AM25" s="112">
        <f ca="1">OFFSET(IND!AP$28,$E25,0)</f>
        <v>1.8234410838983139</v>
      </c>
    </row>
    <row r="26" spans="1:39">
      <c r="A26" s="29" t="s">
        <v>326</v>
      </c>
      <c r="B26">
        <v>1.857147830862</v>
      </c>
      <c r="E26" s="115">
        <f ca="1">MATCH(F26,IND!$D$29:$D$264,0)</f>
        <v>174</v>
      </c>
      <c r="F26" t="str">
        <f t="shared" si="0"/>
        <v>IFBK</v>
      </c>
      <c r="G26" s="112">
        <f ca="1">OFFSET(IND!J$28,$E26,0)</f>
        <v>1.1176071642017353</v>
      </c>
      <c r="H26" s="112">
        <f ca="1">OFFSET(IND!K$28,$E26,0)</f>
        <v>1.1587245953220986</v>
      </c>
      <c r="I26" s="112">
        <f ca="1">OFFSET(IND!L$28,$E26,0)</f>
        <v>1.1896488877896161</v>
      </c>
      <c r="J26" s="112">
        <f ca="1">OFFSET(IND!M$28,$E26,0)</f>
        <v>1.04664</v>
      </c>
      <c r="K26" s="112">
        <f ca="1">OFFSET(IND!N$28,$E26,0)</f>
        <v>1.04664</v>
      </c>
      <c r="L26" s="112">
        <f ca="1">OFFSET(IND!O$28,$E26,0)</f>
        <v>1.04664</v>
      </c>
      <c r="M26" s="112">
        <f ca="1">OFFSET(IND!P$28,$E26,0)</f>
        <v>1.0615210895287399</v>
      </c>
      <c r="N26" s="112">
        <f ca="1">OFFSET(IND!Q$28,$E26,0)</f>
        <v>1.0580939907853684</v>
      </c>
      <c r="O26" s="181">
        <f ca="1">OFFSET(IND!R$28,$E26,0)</f>
        <v>1.0420767215355253</v>
      </c>
      <c r="P26" s="112">
        <f ca="1">OFFSET(IND!S$28,$E26,0)</f>
        <v>1.113168192300499</v>
      </c>
      <c r="Q26" s="112">
        <f ca="1">OFFSET(IND!T$28,$E26,0)</f>
        <v>1.1482130213461246</v>
      </c>
      <c r="R26" s="112">
        <f ca="1">OFFSET(IND!U$28,$E26,0)</f>
        <v>1.1789706397932227</v>
      </c>
      <c r="S26" s="112">
        <f ca="1">OFFSET(IND!V$28,$E26,0)</f>
        <v>1.209847431728571</v>
      </c>
      <c r="T26" s="181">
        <f ca="1">OFFSET(IND!W$28,$E26,0)</f>
        <v>1.236180456218021</v>
      </c>
      <c r="U26" s="112">
        <f ca="1">OFFSET(IND!X$28,$E26,0)</f>
        <v>1.2639673702865366</v>
      </c>
      <c r="V26" s="112">
        <f ca="1">OFFSET(IND!Y$28,$E26,0)</f>
        <v>1.2916868403888666</v>
      </c>
      <c r="W26" s="112">
        <f ca="1">OFFSET(IND!Z$28,$E26,0)</f>
        <v>1.341055823636812</v>
      </c>
      <c r="X26" s="112">
        <f ca="1">OFFSET(IND!AA$28,$E26,0)</f>
        <v>1.3838152981985572</v>
      </c>
      <c r="Y26" s="112">
        <f ca="1">OFFSET(IND!AB$28,$E26,0)</f>
        <v>1.41463719074543</v>
      </c>
      <c r="Z26" s="112">
        <f ca="1">OFFSET(IND!AC$28,$E26,0)</f>
        <v>1.4493708333310749</v>
      </c>
      <c r="AA26" s="112">
        <f ca="1">OFFSET(IND!AD$28,$E26,0)</f>
        <v>1.4801927258779477</v>
      </c>
      <c r="AB26" s="112">
        <f ca="1">OFFSET(IND!AE$28,$E26,0)</f>
        <v>1.5179613469419495</v>
      </c>
      <c r="AC26" s="112">
        <f ca="1">OFFSET(IND!AF$28,$E26,0)</f>
        <v>1.5545159766146088</v>
      </c>
      <c r="AD26" s="112">
        <f ca="1">OFFSET(IND!AG$28,$E26,0)</f>
        <v>1.6259391368052838</v>
      </c>
      <c r="AE26" s="112">
        <f ca="1">OFFSET(IND!AH$28,$E26,0)</f>
        <v>1.6990483961506018</v>
      </c>
      <c r="AF26" s="112">
        <f ca="1">OFFSET(IND!AI$28,$E26,0)</f>
        <v>1.7228561162141602</v>
      </c>
      <c r="AG26" s="112">
        <f ca="1">OFFSET(IND!AJ$28,$E26,0)</f>
        <v>1.7480801595676185</v>
      </c>
      <c r="AH26" s="112">
        <f ca="1">OFFSET(IND!AK$28,$E26,0)</f>
        <v>1.7633899398917763</v>
      </c>
      <c r="AI26" s="112">
        <f ca="1">OFFSET(IND!AL$28,$E26,0)</f>
        <v>1.8002817893953642</v>
      </c>
      <c r="AJ26" s="112">
        <f ca="1">OFFSET(IND!AM$28,$E26,0)</f>
        <v>1.9421838942501144</v>
      </c>
      <c r="AK26" s="112">
        <f ca="1">OFFSET(IND!AN$28,$E26,0)</f>
        <v>1.9824479420629877</v>
      </c>
      <c r="AL26" s="112">
        <f ca="1">OFFSET(IND!AO$28,$E26,0)</f>
        <v>2.1815537709042632</v>
      </c>
      <c r="AM26" s="112">
        <f ca="1">OFFSET(IND!AP$28,$E26,0)</f>
        <v>2.3637199235718875</v>
      </c>
    </row>
    <row r="27" spans="1:39">
      <c r="A27" s="29" t="s">
        <v>327</v>
      </c>
      <c r="B27">
        <v>0.39796024947059999</v>
      </c>
      <c r="E27" s="115">
        <f ca="1">MATCH(F27,IND!$D$29:$D$264,0)</f>
        <v>176</v>
      </c>
      <c r="F27" t="str">
        <f t="shared" si="0"/>
        <v>IFBL</v>
      </c>
      <c r="G27" s="112">
        <f ca="1">OFFSET(IND!J$28,$E27,0)</f>
        <v>0.23948724947180039</v>
      </c>
      <c r="H27" s="112">
        <f ca="1">OFFSET(IND!K$28,$E27,0)</f>
        <v>0.24829812756902106</v>
      </c>
      <c r="I27" s="112">
        <f ca="1">OFFSET(IND!L$28,$E27,0)</f>
        <v>0.25492476166920336</v>
      </c>
      <c r="J27" s="112">
        <f ca="1">OFFSET(IND!M$28,$E27,0)</f>
        <v>0.22428000000000001</v>
      </c>
      <c r="K27" s="112">
        <f ca="1">OFFSET(IND!N$28,$E27,0)</f>
        <v>0.22428000000000001</v>
      </c>
      <c r="L27" s="112">
        <f ca="1">OFFSET(IND!O$28,$E27,0)</f>
        <v>0.22428000000000001</v>
      </c>
      <c r="M27" s="112">
        <f ca="1">OFFSET(IND!P$28,$E27,0)</f>
        <v>0.22746880489901572</v>
      </c>
      <c r="N27" s="112">
        <f ca="1">OFFSET(IND!Q$28,$E27,0)</f>
        <v>0.22673442659686469</v>
      </c>
      <c r="O27" s="181">
        <f ca="1">OFFSET(IND!R$28,$E27,0)</f>
        <v>0.22330215461475544</v>
      </c>
      <c r="P27" s="112">
        <f ca="1">OFFSET(IND!S$28,$E27,0)</f>
        <v>0.23853604120724983</v>
      </c>
      <c r="Q27" s="112">
        <f ca="1">OFFSET(IND!T$28,$E27,0)</f>
        <v>0.24604564743131246</v>
      </c>
      <c r="R27" s="112">
        <f ca="1">OFFSET(IND!U$28,$E27,0)</f>
        <v>0.25263656566997633</v>
      </c>
      <c r="S27" s="112">
        <f ca="1">OFFSET(IND!V$28,$E27,0)</f>
        <v>0.25925302108469384</v>
      </c>
      <c r="T27" s="181">
        <f ca="1">OFFSET(IND!W$28,$E27,0)</f>
        <v>0.26489581204671886</v>
      </c>
      <c r="U27" s="112">
        <f ca="1">OFFSET(IND!X$28,$E27,0)</f>
        <v>0.27085015077568647</v>
      </c>
      <c r="V27" s="112">
        <f ca="1">OFFSET(IND!Y$28,$E27,0)</f>
        <v>0.27679003722618578</v>
      </c>
      <c r="W27" s="112">
        <f ca="1">OFFSET(IND!Z$28,$E27,0)</f>
        <v>0.28736910506503122</v>
      </c>
      <c r="X27" s="112">
        <f ca="1">OFFSET(IND!AA$28,$E27,0)</f>
        <v>0.29653184961397661</v>
      </c>
      <c r="Y27" s="112">
        <f ca="1">OFFSET(IND!AB$28,$E27,0)</f>
        <v>0.30313654087402081</v>
      </c>
      <c r="Z27" s="112">
        <f ca="1">OFFSET(IND!AC$28,$E27,0)</f>
        <v>0.31057946428523042</v>
      </c>
      <c r="AA27" s="112">
        <f ca="1">OFFSET(IND!AD$28,$E27,0)</f>
        <v>0.31718415554527457</v>
      </c>
      <c r="AB27" s="112">
        <f ca="1">OFFSET(IND!AE$28,$E27,0)</f>
        <v>0.32527743148756066</v>
      </c>
      <c r="AC27" s="112">
        <f ca="1">OFFSET(IND!AF$28,$E27,0)</f>
        <v>0.33311056641741621</v>
      </c>
      <c r="AD27" s="112">
        <f ca="1">OFFSET(IND!AG$28,$E27,0)</f>
        <v>0.34841552931541803</v>
      </c>
      <c r="AE27" s="112">
        <f ca="1">OFFSET(IND!AH$28,$E27,0)</f>
        <v>0.36408179917512906</v>
      </c>
      <c r="AF27" s="112">
        <f ca="1">OFFSET(IND!AI$28,$E27,0)</f>
        <v>0.36918345347446302</v>
      </c>
      <c r="AG27" s="112">
        <f ca="1">OFFSET(IND!AJ$28,$E27,0)</f>
        <v>0.37458860562163265</v>
      </c>
      <c r="AH27" s="112">
        <f ca="1">OFFSET(IND!AK$28,$E27,0)</f>
        <v>0.37786927283395216</v>
      </c>
      <c r="AI27" s="112">
        <f ca="1">OFFSET(IND!AL$28,$E27,0)</f>
        <v>0.38577466915614955</v>
      </c>
      <c r="AJ27" s="112">
        <f ca="1">OFFSET(IND!AM$28,$E27,0)</f>
        <v>0.41618226305359601</v>
      </c>
      <c r="AK27" s="112">
        <f ca="1">OFFSET(IND!AN$28,$E27,0)</f>
        <v>0.42481027329921173</v>
      </c>
      <c r="AL27" s="112">
        <f ca="1">OFFSET(IND!AO$28,$E27,0)</f>
        <v>0.46747580805091365</v>
      </c>
      <c r="AM27" s="112">
        <f ca="1">OFFSET(IND!AP$28,$E27,0)</f>
        <v>0.506511412193976</v>
      </c>
    </row>
    <row r="28" spans="1:39">
      <c r="A28" s="29" t="s">
        <v>328</v>
      </c>
      <c r="B28">
        <v>4.45715479407</v>
      </c>
      <c r="E28" s="115">
        <f ca="1">MATCH(F28,IND!$D$29:$D$264,0)</f>
        <v>181</v>
      </c>
      <c r="F28" t="str">
        <f t="shared" si="0"/>
        <v>IFBO</v>
      </c>
      <c r="G28" s="112">
        <f ca="1">OFFSET(IND!J$28,$E28,0)</f>
        <v>2.6822571940841642</v>
      </c>
      <c r="H28" s="112">
        <f ca="1">OFFSET(IND!K$28,$E28,0)</f>
        <v>2.7809390287730356</v>
      </c>
      <c r="I28" s="112">
        <f ca="1">OFFSET(IND!L$28,$E28,0)</f>
        <v>2.8551573306950773</v>
      </c>
      <c r="J28" s="112">
        <f ca="1">OFFSET(IND!M$28,$E28,0)</f>
        <v>2.5119360000000004</v>
      </c>
      <c r="K28" s="112">
        <f ca="1">OFFSET(IND!N$28,$E28,0)</f>
        <v>2.5119360000000004</v>
      </c>
      <c r="L28" s="112">
        <f ca="1">OFFSET(IND!O$28,$E28,0)</f>
        <v>2.5119360000000004</v>
      </c>
      <c r="M28" s="112">
        <f ca="1">OFFSET(IND!P$28,$E28,0)</f>
        <v>2.5476506148689766</v>
      </c>
      <c r="N28" s="112">
        <f ca="1">OFFSET(IND!Q$28,$E28,0)</f>
        <v>2.5394255778848853</v>
      </c>
      <c r="O28" s="181">
        <f ca="1">OFFSET(IND!R$28,$E28,0)</f>
        <v>2.5009841316852617</v>
      </c>
      <c r="P28" s="112">
        <f ca="1">OFFSET(IND!S$28,$E28,0)</f>
        <v>2.6716036615211989</v>
      </c>
      <c r="Q28" s="112">
        <f ca="1">OFFSET(IND!T$28,$E28,0)</f>
        <v>2.7557112512307005</v>
      </c>
      <c r="R28" s="112">
        <f ca="1">OFFSET(IND!U$28,$E28,0)</f>
        <v>2.829529535503736</v>
      </c>
      <c r="S28" s="112">
        <f ca="1">OFFSET(IND!V$28,$E28,0)</f>
        <v>2.9036338361485723</v>
      </c>
      <c r="T28" s="181">
        <f ca="1">OFFSET(IND!W$28,$E28,0)</f>
        <v>2.9668330949232522</v>
      </c>
      <c r="U28" s="112">
        <f ca="1">OFFSET(IND!X$28,$E28,0)</f>
        <v>3.0335216886876895</v>
      </c>
      <c r="V28" s="112">
        <f ca="1">OFFSET(IND!Y$28,$E28,0)</f>
        <v>3.1000484169332818</v>
      </c>
      <c r="W28" s="112">
        <f ca="1">OFFSET(IND!Z$28,$E28,0)</f>
        <v>3.218533976728351</v>
      </c>
      <c r="X28" s="112">
        <f ca="1">OFFSET(IND!AA$28,$E28,0)</f>
        <v>3.3211567156765396</v>
      </c>
      <c r="Y28" s="112">
        <f ca="1">OFFSET(IND!AB$28,$E28,0)</f>
        <v>3.3951292577890344</v>
      </c>
      <c r="Z28" s="112">
        <f ca="1">OFFSET(IND!AC$28,$E28,0)</f>
        <v>3.478489999994582</v>
      </c>
      <c r="AA28" s="112">
        <f ca="1">OFFSET(IND!AD$28,$E28,0)</f>
        <v>3.5524625421070768</v>
      </c>
      <c r="AB28" s="112">
        <f ca="1">OFFSET(IND!AE$28,$E28,0)</f>
        <v>3.643107232660681</v>
      </c>
      <c r="AC28" s="112">
        <f ca="1">OFFSET(IND!AF$28,$E28,0)</f>
        <v>3.7308383438750634</v>
      </c>
      <c r="AD28" s="112">
        <f ca="1">OFFSET(IND!AG$28,$E28,0)</f>
        <v>3.9022539283326836</v>
      </c>
      <c r="AE28" s="112">
        <f ca="1">OFFSET(IND!AH$28,$E28,0)</f>
        <v>4.0777161507614466</v>
      </c>
      <c r="AF28" s="112">
        <f ca="1">OFFSET(IND!AI$28,$E28,0)</f>
        <v>4.1348546789139871</v>
      </c>
      <c r="AG28" s="112">
        <f ca="1">OFFSET(IND!AJ$28,$E28,0)</f>
        <v>4.1953923829622868</v>
      </c>
      <c r="AH28" s="112">
        <f ca="1">OFFSET(IND!AK$28,$E28,0)</f>
        <v>4.2321358557402657</v>
      </c>
      <c r="AI28" s="112">
        <f ca="1">OFFSET(IND!AL$28,$E28,0)</f>
        <v>4.3206762945488766</v>
      </c>
      <c r="AJ28" s="112">
        <f ca="1">OFFSET(IND!AM$28,$E28,0)</f>
        <v>4.6612413462002769</v>
      </c>
      <c r="AK28" s="112">
        <f ca="1">OFFSET(IND!AN$28,$E28,0)</f>
        <v>4.7578750609511733</v>
      </c>
      <c r="AL28" s="112">
        <f ca="1">OFFSET(IND!AO$28,$E28,0)</f>
        <v>5.2357290501702352</v>
      </c>
      <c r="AM28" s="112">
        <f ca="1">OFFSET(IND!AP$28,$E28,0)</f>
        <v>5.6729278165725336</v>
      </c>
    </row>
    <row r="29" spans="1:39">
      <c r="A29" s="29" t="s">
        <v>329</v>
      </c>
      <c r="B29">
        <v>5.9428730587610001</v>
      </c>
      <c r="E29" s="115">
        <f ca="1">MATCH(F29,IND!$D$29:$D$264,0)</f>
        <v>179</v>
      </c>
      <c r="F29" t="str">
        <f t="shared" si="0"/>
        <v>IFBP</v>
      </c>
      <c r="G29" s="112">
        <f ca="1">OFFSET(IND!J$28,$E29,0)</f>
        <v>3.576342925445553</v>
      </c>
      <c r="H29" s="112">
        <f ca="1">OFFSET(IND!K$28,$E29,0)</f>
        <v>3.707918705030715</v>
      </c>
      <c r="I29" s="112">
        <f ca="1">OFFSET(IND!L$28,$E29,0)</f>
        <v>3.8068764409267706</v>
      </c>
      <c r="J29" s="112">
        <f ca="1">OFFSET(IND!M$28,$E29,0)</f>
        <v>3.3492480000000002</v>
      </c>
      <c r="K29" s="112">
        <f ca="1">OFFSET(IND!N$28,$E29,0)</f>
        <v>3.3492480000000002</v>
      </c>
      <c r="L29" s="112">
        <f ca="1">OFFSET(IND!O$28,$E29,0)</f>
        <v>3.3492480000000002</v>
      </c>
      <c r="M29" s="112">
        <f ca="1">OFFSET(IND!P$28,$E29,0)</f>
        <v>3.3968674864919683</v>
      </c>
      <c r="N29" s="112">
        <f ca="1">OFFSET(IND!Q$28,$E29,0)</f>
        <v>3.3859007705131798</v>
      </c>
      <c r="O29" s="181">
        <f ca="1">OFFSET(IND!R$28,$E29,0)</f>
        <v>3.3346455089136819</v>
      </c>
      <c r="P29" s="112">
        <f ca="1">OFFSET(IND!S$28,$E29,0)</f>
        <v>3.5621382153615979</v>
      </c>
      <c r="Q29" s="112">
        <f ca="1">OFFSET(IND!T$28,$E29,0)</f>
        <v>3.6742816683076001</v>
      </c>
      <c r="R29" s="112">
        <f ca="1">OFFSET(IND!U$28,$E29,0)</f>
        <v>3.7727060473383136</v>
      </c>
      <c r="S29" s="112">
        <f ca="1">OFFSET(IND!V$28,$E29,0)</f>
        <v>3.8715117815314284</v>
      </c>
      <c r="T29" s="181">
        <f ca="1">OFFSET(IND!W$28,$E29,0)</f>
        <v>3.9557774598976687</v>
      </c>
      <c r="U29" s="112">
        <f ca="1">OFFSET(IND!X$28,$E29,0)</f>
        <v>4.0446955849169184</v>
      </c>
      <c r="V29" s="112">
        <f ca="1">OFFSET(IND!Y$28,$E29,0)</f>
        <v>4.1333978892443746</v>
      </c>
      <c r="W29" s="112">
        <f ca="1">OFFSET(IND!Z$28,$E29,0)</f>
        <v>4.2913786356378001</v>
      </c>
      <c r="X29" s="112">
        <f ca="1">OFFSET(IND!AA$28,$E29,0)</f>
        <v>4.4282089542353846</v>
      </c>
      <c r="Y29" s="112">
        <f ca="1">OFFSET(IND!AB$28,$E29,0)</f>
        <v>4.5268390103853777</v>
      </c>
      <c r="Z29" s="112">
        <f ca="1">OFFSET(IND!AC$28,$E29,0)</f>
        <v>4.6379866666594411</v>
      </c>
      <c r="AA29" s="112">
        <f ca="1">OFFSET(IND!AD$28,$E29,0)</f>
        <v>4.7366167228094342</v>
      </c>
      <c r="AB29" s="112">
        <f ca="1">OFFSET(IND!AE$28,$E29,0)</f>
        <v>4.8574763102142402</v>
      </c>
      <c r="AC29" s="112">
        <f ca="1">OFFSET(IND!AF$28,$E29,0)</f>
        <v>4.97445112516675</v>
      </c>
      <c r="AD29" s="112">
        <f ca="1">OFFSET(IND!AG$28,$E29,0)</f>
        <v>5.2030052377769103</v>
      </c>
      <c r="AE29" s="112">
        <f ca="1">OFFSET(IND!AH$28,$E29,0)</f>
        <v>5.4369548676819281</v>
      </c>
      <c r="AF29" s="112">
        <f ca="1">OFFSET(IND!AI$28,$E29,0)</f>
        <v>5.5131395718853158</v>
      </c>
      <c r="AG29" s="112">
        <f ca="1">OFFSET(IND!AJ$28,$E29,0)</f>
        <v>5.5938565106163827</v>
      </c>
      <c r="AH29" s="112">
        <f ca="1">OFFSET(IND!AK$28,$E29,0)</f>
        <v>5.6428478076536877</v>
      </c>
      <c r="AI29" s="112">
        <f ca="1">OFFSET(IND!AL$28,$E29,0)</f>
        <v>5.7609017260651694</v>
      </c>
      <c r="AJ29" s="112">
        <f ca="1">OFFSET(IND!AM$28,$E29,0)</f>
        <v>6.2149884616003703</v>
      </c>
      <c r="AK29" s="112">
        <f ca="1">OFFSET(IND!AN$28,$E29,0)</f>
        <v>6.3438334146015656</v>
      </c>
      <c r="AL29" s="112">
        <f ca="1">OFFSET(IND!AO$28,$E29,0)</f>
        <v>6.9809720668936484</v>
      </c>
      <c r="AM29" s="112">
        <f ca="1">OFFSET(IND!AP$28,$E29,0)</f>
        <v>7.5639037554300463</v>
      </c>
    </row>
    <row r="30" spans="1:39">
      <c r="A30" s="29" t="s">
        <v>330</v>
      </c>
      <c r="B30">
        <v>28.205650466129999</v>
      </c>
      <c r="E30" s="115">
        <f ca="1">MATCH(F30,IND!$D$29:$D$264,0)</f>
        <v>184</v>
      </c>
      <c r="F30" t="str">
        <f t="shared" si="0"/>
        <v>IFBS</v>
      </c>
      <c r="G30" s="112">
        <f ca="1">OFFSET(IND!J$28,$E30,0)</f>
        <v>20.421862032418336</v>
      </c>
      <c r="H30" s="112">
        <f ca="1">OFFSET(IND!K$28,$E30,0)</f>
        <v>21.173194461525735</v>
      </c>
      <c r="I30" s="112">
        <f ca="1">OFFSET(IND!L$28,$E30,0)</f>
        <v>21.738269252069756</v>
      </c>
      <c r="J30" s="112">
        <f ca="1">OFFSET(IND!M$28,$E30,0)</f>
        <v>40.544747177343751</v>
      </c>
      <c r="K30" s="112">
        <f ca="1">OFFSET(IND!N$28,$E30,0)</f>
        <v>40.544747177343751</v>
      </c>
      <c r="L30" s="112">
        <f ca="1">OFFSET(IND!O$28,$E30,0)</f>
        <v>40.544747177343751</v>
      </c>
      <c r="M30" s="112">
        <f ca="1">OFFSET(IND!P$28,$E30,0)</f>
        <v>41.121210921005549</v>
      </c>
      <c r="N30" s="112">
        <f ca="1">OFFSET(IND!Q$28,$E30,0)</f>
        <v>40.988451947431265</v>
      </c>
      <c r="O30" s="181">
        <f ca="1">OFFSET(IND!R$28,$E30,0)</f>
        <v>40.367974866289394</v>
      </c>
      <c r="P30" s="112">
        <f ca="1">OFFSET(IND!S$28,$E30,0)</f>
        <v>43.121916726557856</v>
      </c>
      <c r="Q30" s="112">
        <f ca="1">OFFSET(IND!T$28,$E30,0)</f>
        <v>44.479483543732933</v>
      </c>
      <c r="R30" s="112">
        <f ca="1">OFFSET(IND!U$28,$E30,0)</f>
        <v>45.670972368653437</v>
      </c>
      <c r="S30" s="112">
        <f ca="1">OFFSET(IND!V$28,$E30,0)</f>
        <v>46.867077736942576</v>
      </c>
      <c r="T30" s="181">
        <f ca="1">OFFSET(IND!W$28,$E30,0)</f>
        <v>47.887166612142792</v>
      </c>
      <c r="U30" s="112">
        <f ca="1">OFFSET(IND!X$28,$E30,0)</f>
        <v>48.963576271382401</v>
      </c>
      <c r="V30" s="112">
        <f ca="1">OFFSET(IND!Y$28,$E30,0)</f>
        <v>50.037373285818035</v>
      </c>
      <c r="W30" s="112">
        <f ca="1">OFFSET(IND!Z$28,$E30,0)</f>
        <v>51.94982928233113</v>
      </c>
      <c r="X30" s="112">
        <f ca="1">OFFSET(IND!AA$28,$E30,0)</f>
        <v>53.606246088054228</v>
      </c>
      <c r="Y30" s="112">
        <f ca="1">OFFSET(IND!AB$28,$E30,0)</f>
        <v>54.800224763472919</v>
      </c>
      <c r="Z30" s="112">
        <f ca="1">OFFSET(IND!AC$28,$E30,0)</f>
        <v>56.145736837522435</v>
      </c>
      <c r="AA30" s="112">
        <f ca="1">OFFSET(IND!AD$28,$E30,0)</f>
        <v>57.339715512941119</v>
      </c>
      <c r="AB30" s="112">
        <f ca="1">OFFSET(IND!AE$28,$E30,0)</f>
        <v>58.80279660316971</v>
      </c>
      <c r="AC30" s="112">
        <f ca="1">OFFSET(IND!AF$28,$E30,0)</f>
        <v>60.218850086926686</v>
      </c>
      <c r="AD30" s="112">
        <f ca="1">OFFSET(IND!AG$28,$E30,0)</f>
        <v>62.98564093434112</v>
      </c>
      <c r="AE30" s="112">
        <f ca="1">OFFSET(IND!AH$28,$E30,0)</f>
        <v>65.817747901855043</v>
      </c>
      <c r="AF30" s="112">
        <f ca="1">OFFSET(IND!AI$28,$E30,0)</f>
        <v>66.740011517659866</v>
      </c>
      <c r="AG30" s="112">
        <f ca="1">OFFSET(IND!AJ$28,$E30,0)</f>
        <v>67.717140674348244</v>
      </c>
      <c r="AH30" s="112">
        <f ca="1">OFFSET(IND!AK$28,$E30,0)</f>
        <v>68.310211044851613</v>
      </c>
      <c r="AI30" s="112">
        <f ca="1">OFFSET(IND!AL$28,$E30,0)</f>
        <v>69.739327752628483</v>
      </c>
      <c r="AJ30" s="112">
        <f ca="1">OFFSET(IND!AM$28,$E30,0)</f>
        <v>75.236332420201634</v>
      </c>
      <c r="AK30" s="112">
        <f ca="1">OFFSET(IND!AN$28,$E30,0)</f>
        <v>76.796081368177468</v>
      </c>
      <c r="AL30" s="112">
        <f ca="1">OFFSET(IND!AO$28,$E30,0)</f>
        <v>84.509044270326257</v>
      </c>
      <c r="AM30" s="112">
        <f ca="1">OFFSET(IND!AP$28,$E30,0)</f>
        <v>91.565797885875284</v>
      </c>
    </row>
    <row r="31" spans="1:39">
      <c r="A31" s="29" t="s">
        <v>331</v>
      </c>
      <c r="B31">
        <v>1.0975498905550001</v>
      </c>
      <c r="E31" s="115">
        <f ca="1">MATCH(F31,IND!$D$29:$D$264,0)</f>
        <v>53</v>
      </c>
      <c r="F31" t="str">
        <f t="shared" si="0"/>
        <v>IMIA</v>
      </c>
      <c r="G31" s="112">
        <f ca="1">OFFSET(IND!J$28,$E31,0)</f>
        <v>0.99318058118269725</v>
      </c>
      <c r="H31" s="112">
        <f ca="1">OFFSET(IND!K$28,$E31,0)</f>
        <v>1.0209484587400051</v>
      </c>
      <c r="I31" s="112">
        <f ca="1">OFFSET(IND!L$28,$E31,0)</f>
        <v>1.0290592397914098</v>
      </c>
      <c r="J31" s="112">
        <f ca="1">OFFSET(IND!M$28,$E31,0)</f>
        <v>0.71939570019765287</v>
      </c>
      <c r="K31" s="112">
        <f ca="1">OFFSET(IND!N$28,$E31,0)</f>
        <v>0.71939570019765287</v>
      </c>
      <c r="L31" s="112">
        <f ca="1">OFFSET(IND!O$28,$E31,0)</f>
        <v>0.71939570019765287</v>
      </c>
      <c r="M31" s="112">
        <f ca="1">OFFSET(IND!P$28,$E31,0)</f>
        <v>0.71721143396735509</v>
      </c>
      <c r="N31" s="112">
        <f ca="1">OFFSET(IND!Q$28,$E31,0)</f>
        <v>0.70991521323736095</v>
      </c>
      <c r="O31" s="181">
        <f ca="1">OFFSET(IND!R$28,$E31,0)</f>
        <v>0.68333358670962907</v>
      </c>
      <c r="P31" s="112">
        <f ca="1">OFFSET(IND!S$28,$E31,0)</f>
        <v>0.74620846618303138</v>
      </c>
      <c r="Q31" s="112">
        <f ca="1">OFFSET(IND!T$28,$E31,0)</f>
        <v>0.75420004174394573</v>
      </c>
      <c r="R31" s="112">
        <f ca="1">OFFSET(IND!U$28,$E31,0)</f>
        <v>0.7621520620084582</v>
      </c>
      <c r="S31" s="112">
        <f ca="1">OFFSET(IND!V$28,$E31,0)</f>
        <v>0.77029160540729247</v>
      </c>
      <c r="T31" s="181">
        <f ca="1">OFFSET(IND!W$28,$E31,0)</f>
        <v>0.77713808274578045</v>
      </c>
      <c r="U31" s="112">
        <f ca="1">OFFSET(IND!X$28,$E31,0)</f>
        <v>0.7868646088617669</v>
      </c>
      <c r="V31" s="112">
        <f ca="1">OFFSET(IND!Y$28,$E31,0)</f>
        <v>0.79625051733166818</v>
      </c>
      <c r="W31" s="112">
        <f ca="1">OFFSET(IND!Z$28,$E31,0)</f>
        <v>0.81994236693714506</v>
      </c>
      <c r="X31" s="112">
        <f ca="1">OFFSET(IND!AA$28,$E31,0)</f>
        <v>0.83958465119472081</v>
      </c>
      <c r="Y31" s="112">
        <f ca="1">OFFSET(IND!AB$28,$E31,0)</f>
        <v>0.85127919037697697</v>
      </c>
      <c r="Z31" s="112">
        <f ca="1">OFFSET(IND!AC$28,$E31,0)</f>
        <v>0.86210326224145983</v>
      </c>
      <c r="AA31" s="112">
        <f ca="1">OFFSET(IND!AD$28,$E31,0)</f>
        <v>0.87046731777310582</v>
      </c>
      <c r="AB31" s="112">
        <f ca="1">OFFSET(IND!AE$28,$E31,0)</f>
        <v>0.88102646480174462</v>
      </c>
      <c r="AC31" s="112">
        <f ca="1">OFFSET(IND!AF$28,$E31,0)</f>
        <v>0.89075299091773108</v>
      </c>
      <c r="AD31" s="112">
        <f ca="1">OFFSET(IND!AG$28,$E31,0)</f>
        <v>0.91769963136357646</v>
      </c>
      <c r="AE31" s="112">
        <f ca="1">OFFSET(IND!AH$28,$E31,0)</f>
        <v>0.94627366722960682</v>
      </c>
      <c r="AF31" s="112">
        <f ca="1">OFFSET(IND!AI$28,$E31,0)</f>
        <v>0.95422141230492674</v>
      </c>
      <c r="AG31" s="112">
        <f ca="1">OFFSET(IND!AJ$28,$E31,0)</f>
        <v>0.96436424887723937</v>
      </c>
      <c r="AH31" s="112">
        <f ca="1">OFFSET(IND!AK$28,$E31,0)</f>
        <v>0.96447778809260121</v>
      </c>
      <c r="AI31" s="112">
        <f ca="1">OFFSET(IND!AL$28,$E31,0)</f>
        <v>0.97651294492094232</v>
      </c>
      <c r="AJ31" s="112">
        <f ca="1">OFFSET(IND!AM$28,$E31,0)</f>
        <v>1.0014915723005184</v>
      </c>
      <c r="AK31" s="112">
        <f ca="1">OFFSET(IND!AN$28,$E31,0)</f>
        <v>0.9903647291950709</v>
      </c>
      <c r="AL31" s="112">
        <f ca="1">OFFSET(IND!AO$28,$E31,0)</f>
        <v>1.0102340918833701</v>
      </c>
      <c r="AM31" s="112">
        <f ca="1">OFFSET(IND!AP$28,$E31,0)</f>
        <v>1.0240858761574989</v>
      </c>
    </row>
    <row r="32" spans="1:39">
      <c r="A32" s="29" t="s">
        <v>332</v>
      </c>
      <c r="B32">
        <v>19.17682172608</v>
      </c>
      <c r="E32" s="115">
        <f ca="1">MATCH(F32,IND!$D$29:$D$264,0)</f>
        <v>55</v>
      </c>
      <c r="F32" t="str">
        <f t="shared" si="0"/>
        <v>IMIC</v>
      </c>
      <c r="G32" s="112">
        <f ca="1">OFFSET(IND!J$28,$E32,0)</f>
        <v>17.35324025908308</v>
      </c>
      <c r="H32" s="112">
        <f ca="1">OFFSET(IND!K$28,$E32,0)</f>
        <v>17.838411495680308</v>
      </c>
      <c r="I32" s="112">
        <f ca="1">OFFSET(IND!L$28,$E32,0)</f>
        <v>17.980126240149275</v>
      </c>
      <c r="J32" s="112">
        <f ca="1">OFFSET(IND!M$28,$E32,0)</f>
        <v>12.569563545045538</v>
      </c>
      <c r="K32" s="112">
        <f ca="1">OFFSET(IND!N$28,$E32,0)</f>
        <v>12.569563545045538</v>
      </c>
      <c r="L32" s="112">
        <f ca="1">OFFSET(IND!O$28,$E32,0)</f>
        <v>12.569563545045538</v>
      </c>
      <c r="M32" s="112">
        <f ca="1">OFFSET(IND!P$28,$E32,0)</f>
        <v>12.531399189637963</v>
      </c>
      <c r="N32" s="112">
        <f ca="1">OFFSET(IND!Q$28,$E32,0)</f>
        <v>12.403916762262956</v>
      </c>
      <c r="O32" s="181">
        <f ca="1">OFFSET(IND!R$28,$E32,0)</f>
        <v>11.939472168447347</v>
      </c>
      <c r="P32" s="112">
        <f ca="1">OFFSET(IND!S$28,$E32,0)</f>
        <v>13.038046698029431</v>
      </c>
      <c r="Q32" s="112">
        <f ca="1">OFFSET(IND!T$28,$E32,0)</f>
        <v>13.177678637461856</v>
      </c>
      <c r="R32" s="112">
        <f ca="1">OFFSET(IND!U$28,$E32,0)</f>
        <v>13.316619451257125</v>
      </c>
      <c r="S32" s="112">
        <f ca="1">OFFSET(IND!V$28,$E32,0)</f>
        <v>13.458836742729945</v>
      </c>
      <c r="T32" s="181">
        <f ca="1">OFFSET(IND!W$28,$E32,0)</f>
        <v>13.578461077351621</v>
      </c>
      <c r="U32" s="112">
        <f ca="1">OFFSET(IND!X$28,$E32,0)</f>
        <v>13.74840675266473</v>
      </c>
      <c r="V32" s="112">
        <f ca="1">OFFSET(IND!Y$28,$E32,0)</f>
        <v>13.912401023005783</v>
      </c>
      <c r="W32" s="112">
        <f ca="1">OFFSET(IND!Z$28,$E32,0)</f>
        <v>14.326354302173124</v>
      </c>
      <c r="X32" s="112">
        <f ca="1">OFFSET(IND!AA$28,$E32,0)</f>
        <v>14.669551988894927</v>
      </c>
      <c r="Y32" s="112">
        <f ca="1">OFFSET(IND!AB$28,$E32,0)</f>
        <v>14.873883559602129</v>
      </c>
      <c r="Z32" s="112">
        <f ca="1">OFFSET(IND!AC$28,$E32,0)</f>
        <v>15.063005984269633</v>
      </c>
      <c r="AA32" s="112">
        <f ca="1">OFFSET(IND!AD$28,$E32,0)</f>
        <v>15.209146039694525</v>
      </c>
      <c r="AB32" s="112">
        <f ca="1">OFFSET(IND!AE$28,$E32,0)</f>
        <v>15.39363959382821</v>
      </c>
      <c r="AC32" s="112">
        <f ca="1">OFFSET(IND!AF$28,$E32,0)</f>
        <v>15.563585269141319</v>
      </c>
      <c r="AD32" s="112">
        <f ca="1">OFFSET(IND!AG$28,$E32,0)</f>
        <v>16.034407529152727</v>
      </c>
      <c r="AE32" s="112">
        <f ca="1">OFFSET(IND!AH$28,$E32,0)</f>
        <v>16.53366427958618</v>
      </c>
      <c r="AF32" s="112">
        <f ca="1">OFFSET(IND!AI$28,$E32,0)</f>
        <v>16.672530395600788</v>
      </c>
      <c r="AG32" s="112">
        <f ca="1">OFFSET(IND!AJ$28,$E32,0)</f>
        <v>16.849750010324183</v>
      </c>
      <c r="AH32" s="112">
        <f ca="1">OFFSET(IND!AK$28,$E32,0)</f>
        <v>16.851733811981536</v>
      </c>
      <c r="AI32" s="112">
        <f ca="1">OFFSET(IND!AL$28,$E32,0)</f>
        <v>17.062016787660788</v>
      </c>
      <c r="AJ32" s="112">
        <f ca="1">OFFSET(IND!AM$28,$E32,0)</f>
        <v>17.49845315227811</v>
      </c>
      <c r="AK32" s="112">
        <f ca="1">OFFSET(IND!AN$28,$E32,0)</f>
        <v>17.304040589857667</v>
      </c>
      <c r="AL32" s="112">
        <f ca="1">OFFSET(IND!AO$28,$E32,0)</f>
        <v>17.651205879894174</v>
      </c>
      <c r="AM32" s="112">
        <f ca="1">OFFSET(IND!AP$28,$E32,0)</f>
        <v>17.893229682091057</v>
      </c>
    </row>
    <row r="33" spans="1:39">
      <c r="A33" s="29" t="s">
        <v>333</v>
      </c>
      <c r="B33">
        <v>0.20646280210080001</v>
      </c>
      <c r="E33" s="115">
        <f ca="1">MATCH(F33,IND!$D$29:$D$264,0)</f>
        <v>60</v>
      </c>
      <c r="F33" t="str">
        <f t="shared" si="0"/>
        <v>IMIE</v>
      </c>
      <c r="G33" s="112">
        <f ca="1">OFFSET(IND!J$28,$E33,0)</f>
        <v>0.18682963530638833</v>
      </c>
      <c r="H33" s="112">
        <f ca="1">OFFSET(IND!K$28,$E33,0)</f>
        <v>0.19205311886572904</v>
      </c>
      <c r="I33" s="112">
        <f ca="1">OFFSET(IND!L$28,$E33,0)</f>
        <v>0.19357885778430459</v>
      </c>
      <c r="J33" s="112">
        <f ca="1">OFFSET(IND!M$28,$E33,0)</f>
        <v>0.13532728977529962</v>
      </c>
      <c r="K33" s="112">
        <f ca="1">OFFSET(IND!N$28,$E33,0)</f>
        <v>0.13532728977529962</v>
      </c>
      <c r="L33" s="112">
        <f ca="1">OFFSET(IND!O$28,$E33,0)</f>
        <v>0.13532728977529962</v>
      </c>
      <c r="M33" s="112">
        <f ca="1">OFFSET(IND!P$28,$E33,0)</f>
        <v>0.13491640209691527</v>
      </c>
      <c r="N33" s="112">
        <f ca="1">OFFSET(IND!Q$28,$E33,0)</f>
        <v>0.13354389211844142</v>
      </c>
      <c r="O33" s="181">
        <f ca="1">OFFSET(IND!R$28,$E33,0)</f>
        <v>0.12854355715003829</v>
      </c>
      <c r="P33" s="112">
        <f ca="1">OFFSET(IND!S$28,$E33,0)</f>
        <v>0.14037110495404437</v>
      </c>
      <c r="Q33" s="112">
        <f ca="1">OFFSET(IND!T$28,$E33,0)</f>
        <v>0.14187441983540372</v>
      </c>
      <c r="R33" s="112">
        <f ca="1">OFFSET(IND!U$28,$E33,0)</f>
        <v>0.14337029387293143</v>
      </c>
      <c r="S33" s="112">
        <f ca="1">OFFSET(IND!V$28,$E33,0)</f>
        <v>0.14490144334723332</v>
      </c>
      <c r="T33" s="181">
        <f ca="1">OFFSET(IND!W$28,$E33,0)</f>
        <v>0.146189350993152</v>
      </c>
      <c r="U33" s="112">
        <f ca="1">OFFSET(IND!X$28,$E33,0)</f>
        <v>0.14801903167909922</v>
      </c>
      <c r="V33" s="112">
        <f ca="1">OFFSET(IND!Y$28,$E33,0)</f>
        <v>0.14978463794413777</v>
      </c>
      <c r="W33" s="112">
        <f ca="1">OFFSET(IND!Z$28,$E33,0)</f>
        <v>0.15424136988733994</v>
      </c>
      <c r="X33" s="112">
        <f ca="1">OFFSET(IND!AA$28,$E33,0)</f>
        <v>0.15793632815973918</v>
      </c>
      <c r="Y33" s="112">
        <f ca="1">OFFSET(IND!AB$28,$E33,0)</f>
        <v>0.16013621661093644</v>
      </c>
      <c r="Z33" s="112">
        <f ca="1">OFFSET(IND!AC$28,$E33,0)</f>
        <v>0.16217235931981153</v>
      </c>
      <c r="AA33" s="112">
        <f ca="1">OFFSET(IND!AD$28,$E33,0)</f>
        <v>0.16374574232212413</v>
      </c>
      <c r="AB33" s="112">
        <f ca="1">OFFSET(IND!AE$28,$E33,0)</f>
        <v>0.16573204937029248</v>
      </c>
      <c r="AC33" s="112">
        <f ca="1">OFFSET(IND!AF$28,$E33,0)</f>
        <v>0.1675617300562397</v>
      </c>
      <c r="AD33" s="112">
        <f ca="1">OFFSET(IND!AG$28,$E33,0)</f>
        <v>0.17263072868812454</v>
      </c>
      <c r="AE33" s="112">
        <f ca="1">OFFSET(IND!AH$28,$E33,0)</f>
        <v>0.17800586066435081</v>
      </c>
      <c r="AF33" s="112">
        <f ca="1">OFFSET(IND!AI$28,$E33,0)</f>
        <v>0.17950093048555285</v>
      </c>
      <c r="AG33" s="112">
        <f ca="1">OFFSET(IND!AJ$28,$E33,0)</f>
        <v>0.18140892435261063</v>
      </c>
      <c r="AH33" s="112">
        <f ca="1">OFFSET(IND!AK$28,$E33,0)</f>
        <v>0.18143028249291354</v>
      </c>
      <c r="AI33" s="112">
        <f ca="1">OFFSET(IND!AL$28,$E33,0)</f>
        <v>0.18369424536501941</v>
      </c>
      <c r="AJ33" s="112">
        <f ca="1">OFFSET(IND!AM$28,$E33,0)</f>
        <v>0.18839303623165429</v>
      </c>
      <c r="AK33" s="112">
        <f ca="1">OFFSET(IND!AN$28,$E33,0)</f>
        <v>0.18629993848197149</v>
      </c>
      <c r="AL33" s="112">
        <f ca="1">OFFSET(IND!AO$28,$E33,0)</f>
        <v>0.19003761303497649</v>
      </c>
      <c r="AM33" s="112">
        <f ca="1">OFFSET(IND!AP$28,$E33,0)</f>
        <v>0.19264330615192859</v>
      </c>
    </row>
    <row r="34" spans="1:39">
      <c r="A34" s="29" t="s">
        <v>334</v>
      </c>
      <c r="B34">
        <v>6.5077475668130003</v>
      </c>
      <c r="E34" s="115">
        <f ca="1">MATCH(F34,IND!$D$29:$D$264,0)</f>
        <v>58</v>
      </c>
      <c r="F34" t="str">
        <f t="shared" si="0"/>
        <v>IMIF</v>
      </c>
      <c r="G34" s="112">
        <f ca="1">OFFSET(IND!J$28,$E34,0)</f>
        <v>5.8889063414920679</v>
      </c>
      <c r="H34" s="112">
        <f ca="1">OFFSET(IND!K$28,$E34,0)</f>
        <v>6.0535515564058358</v>
      </c>
      <c r="I34" s="112">
        <f ca="1">OFFSET(IND!L$28,$E34,0)</f>
        <v>6.1016431430447868</v>
      </c>
      <c r="J34" s="112">
        <f ca="1">OFFSET(IND!M$28,$E34,0)</f>
        <v>4.2655424211891448</v>
      </c>
      <c r="K34" s="112">
        <f ca="1">OFFSET(IND!N$28,$E34,0)</f>
        <v>4.2655424211891448</v>
      </c>
      <c r="L34" s="112">
        <f ca="1">OFFSET(IND!O$28,$E34,0)</f>
        <v>4.2655424211891448</v>
      </c>
      <c r="M34" s="112">
        <f ca="1">OFFSET(IND!P$28,$E34,0)</f>
        <v>4.2525911618725463</v>
      </c>
      <c r="N34" s="112">
        <f ca="1">OFFSET(IND!Q$28,$E34,0)</f>
        <v>4.2093293811451957</v>
      </c>
      <c r="O34" s="181">
        <f ca="1">OFFSET(IND!R$28,$E34,0)</f>
        <v>4.051717853098677</v>
      </c>
      <c r="P34" s="112">
        <f ca="1">OFFSET(IND!S$28,$E34,0)</f>
        <v>4.4245244538988571</v>
      </c>
      <c r="Q34" s="112">
        <f ca="1">OFFSET(IND!T$28,$E34,0)</f>
        <v>4.4719092305354877</v>
      </c>
      <c r="R34" s="112">
        <f ca="1">OFFSET(IND!U$28,$E34,0)</f>
        <v>4.5190594703313529</v>
      </c>
      <c r="S34" s="112">
        <f ca="1">OFFSET(IND!V$28,$E34,0)</f>
        <v>4.5673215987362052</v>
      </c>
      <c r="T34" s="181">
        <f ca="1">OFFSET(IND!W$28,$E34,0)</f>
        <v>4.6079166975323291</v>
      </c>
      <c r="U34" s="112">
        <f ca="1">OFFSET(IND!X$28,$E34,0)</f>
        <v>4.6655885876300118</v>
      </c>
      <c r="V34" s="112">
        <f ca="1">OFFSET(IND!Y$28,$E34,0)</f>
        <v>4.7212408395530669</v>
      </c>
      <c r="W34" s="112">
        <f ca="1">OFFSET(IND!Z$28,$E34,0)</f>
        <v>4.8617178948104574</v>
      </c>
      <c r="X34" s="112">
        <f ca="1">OFFSET(IND!AA$28,$E34,0)</f>
        <v>4.9781836962139483</v>
      </c>
      <c r="Y34" s="112">
        <f ca="1">OFFSET(IND!AB$28,$E34,0)</f>
        <v>5.0475246068761424</v>
      </c>
      <c r="Z34" s="112">
        <f ca="1">OFFSET(IND!AC$28,$E34,0)</f>
        <v>5.1117042199809557</v>
      </c>
      <c r="AA34" s="112">
        <f ca="1">OFFSET(IND!AD$28,$E34,0)</f>
        <v>5.1612975573801307</v>
      </c>
      <c r="AB34" s="112">
        <f ca="1">OFFSET(IND!AE$28,$E34,0)</f>
        <v>5.2239063407935671</v>
      </c>
      <c r="AC34" s="112">
        <f ca="1">OFFSET(IND!AF$28,$E34,0)</f>
        <v>5.2815782308912498</v>
      </c>
      <c r="AD34" s="112">
        <f ca="1">OFFSET(IND!AG$28,$E34,0)</f>
        <v>5.4413540509284068</v>
      </c>
      <c r="AE34" s="112">
        <f ca="1">OFFSET(IND!AH$28,$E34,0)</f>
        <v>5.6107792533554512</v>
      </c>
      <c r="AF34" s="112">
        <f ca="1">OFFSET(IND!AI$28,$E34,0)</f>
        <v>5.6579041440967499</v>
      </c>
      <c r="AG34" s="112">
        <f ca="1">OFFSET(IND!AJ$28,$E34,0)</f>
        <v>5.718044480852309</v>
      </c>
      <c r="AH34" s="112">
        <f ca="1">OFFSET(IND!AK$28,$E34,0)</f>
        <v>5.7187176935771848</v>
      </c>
      <c r="AI34" s="112">
        <f ca="1">OFFSET(IND!AL$28,$E34,0)</f>
        <v>5.7900782424140056</v>
      </c>
      <c r="AJ34" s="112">
        <f ca="1">OFFSET(IND!AM$28,$E34,0)</f>
        <v>5.9381850418866531</v>
      </c>
      <c r="AK34" s="112">
        <f ca="1">OFFSET(IND!AN$28,$E34,0)</f>
        <v>5.8722101948488374</v>
      </c>
      <c r="AL34" s="112">
        <f ca="1">OFFSET(IND!AO$28,$E34,0)</f>
        <v>5.9900224217020801</v>
      </c>
      <c r="AM34" s="112">
        <f ca="1">OFFSET(IND!AP$28,$E34,0)</f>
        <v>6.0721543741369137</v>
      </c>
    </row>
    <row r="35" spans="1:39">
      <c r="A35" s="29" t="s">
        <v>335</v>
      </c>
      <c r="B35">
        <v>8.5041886448849997</v>
      </c>
      <c r="E35" s="115">
        <f ca="1">MATCH(F35,IND!$D$29:$D$264,0)</f>
        <v>56</v>
      </c>
      <c r="F35" t="str">
        <f t="shared" si="0"/>
        <v>IMIH</v>
      </c>
      <c r="G35" s="112">
        <f ca="1">OFFSET(IND!J$28,$E35,0)</f>
        <v>7.6954998524370488</v>
      </c>
      <c r="H35" s="112">
        <f ca="1">OFFSET(IND!K$28,$E35,0)</f>
        <v>7.9106547816547446</v>
      </c>
      <c r="I35" s="112">
        <f ca="1">OFFSET(IND!L$28,$E35,0)</f>
        <v>7.973499862969069</v>
      </c>
      <c r="J35" s="112">
        <f ca="1">OFFSET(IND!M$28,$E35,0)</f>
        <v>5.5741217756416317</v>
      </c>
      <c r="K35" s="112">
        <f ca="1">OFFSET(IND!N$28,$E35,0)</f>
        <v>5.5741217756416317</v>
      </c>
      <c r="L35" s="112">
        <f ca="1">OFFSET(IND!O$28,$E35,0)</f>
        <v>5.5741217756416317</v>
      </c>
      <c r="M35" s="112">
        <f ca="1">OFFSET(IND!P$28,$E35,0)</f>
        <v>5.5571973403763719</v>
      </c>
      <c r="N35" s="112">
        <f ca="1">OFFSET(IND!Q$28,$E35,0)</f>
        <v>5.5006637485856871</v>
      </c>
      <c r="O35" s="181">
        <f ca="1">OFFSET(IND!R$28,$E35,0)</f>
        <v>5.2947002945095862</v>
      </c>
      <c r="P35" s="112">
        <f ca="1">OFFSET(IND!S$28,$E35,0)</f>
        <v>5.7818761765967928</v>
      </c>
      <c r="Q35" s="112">
        <f ca="1">OFFSET(IND!T$28,$E35,0)</f>
        <v>5.8437976133575891</v>
      </c>
      <c r="R35" s="112">
        <f ca="1">OFFSET(IND!U$28,$E35,0)</f>
        <v>5.9054125622717741</v>
      </c>
      <c r="S35" s="112">
        <f ca="1">OFFSET(IND!V$28,$E35,0)</f>
        <v>5.9684805040050319</v>
      </c>
      <c r="T35" s="181">
        <f ca="1">OFFSET(IND!W$28,$E35,0)</f>
        <v>6.0215293315257101</v>
      </c>
      <c r="U35" s="112">
        <f ca="1">OFFSET(IND!X$28,$E35,0)</f>
        <v>6.0968937533725063</v>
      </c>
      <c r="V35" s="112">
        <f ca="1">OFFSET(IND!Y$28,$E35,0)</f>
        <v>6.169618954220776</v>
      </c>
      <c r="W35" s="112">
        <f ca="1">OFFSET(IND!Z$28,$E35,0)</f>
        <v>6.3531914370071361</v>
      </c>
      <c r="X35" s="112">
        <f ca="1">OFFSET(IND!AA$28,$E35,0)</f>
        <v>6.5053865145887979</v>
      </c>
      <c r="Y35" s="112">
        <f ca="1">OFFSET(IND!AB$28,$E35,0)</f>
        <v>6.595999768871522</v>
      </c>
      <c r="Z35" s="112">
        <f ca="1">OFFSET(IND!AC$28,$E35,0)</f>
        <v>6.6798683472691227</v>
      </c>
      <c r="AA35" s="112">
        <f ca="1">OFFSET(IND!AD$28,$E35,0)</f>
        <v>6.7446758851218158</v>
      </c>
      <c r="AB35" s="112">
        <f ca="1">OFFSET(IND!AE$28,$E35,0)</f>
        <v>6.826491736076119</v>
      </c>
      <c r="AC35" s="112">
        <f ca="1">OFFSET(IND!AF$28,$E35,0)</f>
        <v>6.9018561579229152</v>
      </c>
      <c r="AD35" s="112">
        <f ca="1">OFFSET(IND!AG$28,$E35,0)</f>
        <v>7.1106478635840755</v>
      </c>
      <c r="AE35" s="112">
        <f ca="1">OFFSET(IND!AH$28,$E35,0)</f>
        <v>7.3320491806826409</v>
      </c>
      <c r="AF35" s="112">
        <f ca="1">OFFSET(IND!AI$28,$E35,0)</f>
        <v>7.3936310039815814</v>
      </c>
      <c r="AG35" s="112">
        <f ca="1">OFFSET(IND!AJ$28,$E35,0)</f>
        <v>7.4722211403821301</v>
      </c>
      <c r="AH35" s="112">
        <f ca="1">OFFSET(IND!AK$28,$E35,0)</f>
        <v>7.4731008807149726</v>
      </c>
      <c r="AI35" s="112">
        <f ca="1">OFFSET(IND!AL$28,$E35,0)</f>
        <v>7.5663533559962213</v>
      </c>
      <c r="AJ35" s="112">
        <f ca="1">OFFSET(IND!AM$28,$E35,0)</f>
        <v>7.7598962292214564</v>
      </c>
      <c r="AK35" s="112">
        <f ca="1">OFFSET(IND!AN$28,$E35,0)</f>
        <v>7.6736816766029428</v>
      </c>
      <c r="AL35" s="112">
        <f ca="1">OFFSET(IND!AO$28,$E35,0)</f>
        <v>7.8276362348502886</v>
      </c>
      <c r="AM35" s="112">
        <f ca="1">OFFSET(IND!AP$28,$E35,0)</f>
        <v>7.9349645554570118</v>
      </c>
    </row>
    <row r="36" spans="1:39">
      <c r="A36" s="29" t="s">
        <v>336</v>
      </c>
      <c r="B36">
        <v>2.3622746235790002</v>
      </c>
      <c r="E36" s="115">
        <f ca="1">MATCH(F36,IND!$D$29:$D$264,0)</f>
        <v>52</v>
      </c>
      <c r="F36" t="str">
        <f t="shared" si="0"/>
        <v>IMIK</v>
      </c>
      <c r="G36" s="112">
        <f ca="1">OFFSET(IND!J$28,$E36,0)</f>
        <v>2.1376388478991801</v>
      </c>
      <c r="H36" s="112">
        <f ca="1">OFFSET(IND!K$28,$E36,0)</f>
        <v>2.1974041060152065</v>
      </c>
      <c r="I36" s="112">
        <f ca="1">OFFSET(IND!L$28,$E36,0)</f>
        <v>2.2148610730469636</v>
      </c>
      <c r="J36" s="112">
        <f ca="1">OFFSET(IND!M$28,$E36,0)</f>
        <v>1.5483671599004531</v>
      </c>
      <c r="K36" s="112">
        <f ca="1">OFFSET(IND!N$28,$E36,0)</f>
        <v>1.5483671599004531</v>
      </c>
      <c r="L36" s="112">
        <f ca="1">OFFSET(IND!O$28,$E36,0)</f>
        <v>1.5483671599004531</v>
      </c>
      <c r="M36" s="112">
        <f ca="1">OFFSET(IND!P$28,$E36,0)</f>
        <v>1.5436659278823255</v>
      </c>
      <c r="N36" s="112">
        <f ca="1">OFFSET(IND!Q$28,$E36,0)</f>
        <v>1.527962152384913</v>
      </c>
      <c r="O36" s="181">
        <f ca="1">OFFSET(IND!R$28,$E36,0)</f>
        <v>1.4707500818082182</v>
      </c>
      <c r="P36" s="112">
        <f ca="1">OFFSET(IND!S$28,$E36,0)</f>
        <v>1.6060767157213311</v>
      </c>
      <c r="Q36" s="112">
        <f ca="1">OFFSET(IND!T$28,$E36,0)</f>
        <v>1.6232771148215523</v>
      </c>
      <c r="R36" s="112">
        <f ca="1">OFFSET(IND!U$28,$E36,0)</f>
        <v>1.6403923784088259</v>
      </c>
      <c r="S36" s="112">
        <f ca="1">OFFSET(IND!V$28,$E36,0)</f>
        <v>1.6579112511125087</v>
      </c>
      <c r="T36" s="181">
        <f ca="1">OFFSET(IND!W$28,$E36,0)</f>
        <v>1.6726470365349193</v>
      </c>
      <c r="U36" s="112">
        <f ca="1">OFFSET(IND!X$28,$E36,0)</f>
        <v>1.6935815981590294</v>
      </c>
      <c r="V36" s="112">
        <f ca="1">OFFSET(IND!Y$28,$E36,0)</f>
        <v>1.7137830428391043</v>
      </c>
      <c r="W36" s="112">
        <f ca="1">OFFSET(IND!Z$28,$E36,0)</f>
        <v>1.7647753991686488</v>
      </c>
      <c r="X36" s="112">
        <f ca="1">OFFSET(IND!AA$28,$E36,0)</f>
        <v>1.8070518096079993</v>
      </c>
      <c r="Y36" s="112">
        <f ca="1">OFFSET(IND!AB$28,$E36,0)</f>
        <v>1.832222158019867</v>
      </c>
      <c r="Z36" s="112">
        <f ca="1">OFFSET(IND!AC$28,$E36,0)</f>
        <v>1.855518985352534</v>
      </c>
      <c r="AA36" s="112">
        <f ca="1">OFFSET(IND!AD$28,$E36,0)</f>
        <v>1.8735210792005041</v>
      </c>
      <c r="AB36" s="112">
        <f ca="1">OFFSET(IND!AE$28,$E36,0)</f>
        <v>1.8962477044655883</v>
      </c>
      <c r="AC36" s="112">
        <f ca="1">OFFSET(IND!AF$28,$E36,0)</f>
        <v>1.9171822660896984</v>
      </c>
      <c r="AD36" s="112">
        <f ca="1">OFFSET(IND!AG$28,$E36,0)</f>
        <v>1.9751799621066874</v>
      </c>
      <c r="AE36" s="112">
        <f ca="1">OFFSET(IND!AH$28,$E36,0)</f>
        <v>2.0366803279674</v>
      </c>
      <c r="AF36" s="112">
        <f ca="1">OFFSET(IND!AI$28,$E36,0)</f>
        <v>2.0537863899948832</v>
      </c>
      <c r="AG36" s="112">
        <f ca="1">OFFSET(IND!AJ$28,$E36,0)</f>
        <v>2.0756169834394802</v>
      </c>
      <c r="AH36" s="112">
        <f ca="1">OFFSET(IND!AK$28,$E36,0)</f>
        <v>2.0758613557541588</v>
      </c>
      <c r="AI36" s="112">
        <f ca="1">OFFSET(IND!AL$28,$E36,0)</f>
        <v>2.1017648211100615</v>
      </c>
      <c r="AJ36" s="112">
        <f ca="1">OFFSET(IND!AM$28,$E36,0)</f>
        <v>2.1555267303392935</v>
      </c>
      <c r="AK36" s="112">
        <f ca="1">OFFSET(IND!AN$28,$E36,0)</f>
        <v>2.1315782435008175</v>
      </c>
      <c r="AL36" s="112">
        <f ca="1">OFFSET(IND!AO$28,$E36,0)</f>
        <v>2.1743433985695249</v>
      </c>
      <c r="AM36" s="112">
        <f ca="1">OFFSET(IND!AP$28,$E36,0)</f>
        <v>2.2041568209602813</v>
      </c>
    </row>
    <row r="37" spans="1:39">
      <c r="A37" s="29" t="s">
        <v>337</v>
      </c>
      <c r="B37">
        <v>1.594535370916</v>
      </c>
      <c r="E37" s="115">
        <f ca="1">MATCH(F37,IND!$D$29:$D$264,0)</f>
        <v>54</v>
      </c>
      <c r="F37" t="str">
        <f t="shared" si="0"/>
        <v>IMIL</v>
      </c>
      <c r="G37" s="112">
        <f ca="1">OFFSET(IND!J$28,$E37,0)</f>
        <v>1.4429062223319464</v>
      </c>
      <c r="H37" s="112">
        <f ca="1">OFFSET(IND!K$28,$E37,0)</f>
        <v>1.4832477715602643</v>
      </c>
      <c r="I37" s="112">
        <f ca="1">OFFSET(IND!L$28,$E37,0)</f>
        <v>1.4950312243067001</v>
      </c>
      <c r="J37" s="112">
        <f ca="1">OFFSET(IND!M$28,$E37,0)</f>
        <v>1.0451478329328059</v>
      </c>
      <c r="K37" s="112">
        <f ca="1">OFFSET(IND!N$28,$E37,0)</f>
        <v>1.0451478329328059</v>
      </c>
      <c r="L37" s="112">
        <f ca="1">OFFSET(IND!O$28,$E37,0)</f>
        <v>1.0451478329328059</v>
      </c>
      <c r="M37" s="112">
        <f ca="1">OFFSET(IND!P$28,$E37,0)</f>
        <v>1.0419745013205697</v>
      </c>
      <c r="N37" s="112">
        <f ca="1">OFFSET(IND!Q$28,$E37,0)</f>
        <v>1.0313744528598161</v>
      </c>
      <c r="O37" s="181">
        <f ca="1">OFFSET(IND!R$28,$E37,0)</f>
        <v>0.99275630522054714</v>
      </c>
      <c r="P37" s="112">
        <f ca="1">OFFSET(IND!S$28,$E37,0)</f>
        <v>1.0841017831118982</v>
      </c>
      <c r="Q37" s="112">
        <f ca="1">OFFSET(IND!T$28,$E37,0)</f>
        <v>1.0957120525045476</v>
      </c>
      <c r="R37" s="112">
        <f ca="1">OFFSET(IND!U$28,$E37,0)</f>
        <v>1.1072648554259572</v>
      </c>
      <c r="S37" s="112">
        <f ca="1">OFFSET(IND!V$28,$E37,0)</f>
        <v>1.119090094500943</v>
      </c>
      <c r="T37" s="181">
        <f ca="1">OFFSET(IND!W$28,$E37,0)</f>
        <v>1.12903674966107</v>
      </c>
      <c r="U37" s="112">
        <f ca="1">OFFSET(IND!X$28,$E37,0)</f>
        <v>1.1431675787573443</v>
      </c>
      <c r="V37" s="112">
        <f ca="1">OFFSET(IND!Y$28,$E37,0)</f>
        <v>1.1568035539163948</v>
      </c>
      <c r="W37" s="112">
        <f ca="1">OFFSET(IND!Z$28,$E37,0)</f>
        <v>1.1912233944388373</v>
      </c>
      <c r="X37" s="112">
        <f ca="1">OFFSET(IND!AA$28,$E37,0)</f>
        <v>1.2197599714853988</v>
      </c>
      <c r="Y37" s="112">
        <f ca="1">OFFSET(IND!AB$28,$E37,0)</f>
        <v>1.2367499566634095</v>
      </c>
      <c r="Z37" s="112">
        <f ca="1">OFFSET(IND!AC$28,$E37,0)</f>
        <v>1.2524753151129597</v>
      </c>
      <c r="AA37" s="112">
        <f ca="1">OFFSET(IND!AD$28,$E37,0)</f>
        <v>1.2646267284603396</v>
      </c>
      <c r="AB37" s="112">
        <f ca="1">OFFSET(IND!AE$28,$E37,0)</f>
        <v>1.2799672005142715</v>
      </c>
      <c r="AC37" s="112">
        <f ca="1">OFFSET(IND!AF$28,$E37,0)</f>
        <v>1.2940980296105458</v>
      </c>
      <c r="AD37" s="112">
        <f ca="1">OFFSET(IND!AG$28,$E37,0)</f>
        <v>1.3332464744220134</v>
      </c>
      <c r="AE37" s="112">
        <f ca="1">OFFSET(IND!AH$28,$E37,0)</f>
        <v>1.3747592213779944</v>
      </c>
      <c r="AF37" s="112">
        <f ca="1">OFFSET(IND!AI$28,$E37,0)</f>
        <v>1.3863058132465458</v>
      </c>
      <c r="AG37" s="112">
        <f ca="1">OFFSET(IND!AJ$28,$E37,0)</f>
        <v>1.4010414638216488</v>
      </c>
      <c r="AH37" s="112">
        <f ca="1">OFFSET(IND!AK$28,$E37,0)</f>
        <v>1.4012064151340569</v>
      </c>
      <c r="AI37" s="112">
        <f ca="1">OFFSET(IND!AL$28,$E37,0)</f>
        <v>1.4186912542492911</v>
      </c>
      <c r="AJ37" s="112">
        <f ca="1">OFFSET(IND!AM$28,$E37,0)</f>
        <v>1.4549805429790228</v>
      </c>
      <c r="AK37" s="112">
        <f ca="1">OFFSET(IND!AN$28,$E37,0)</f>
        <v>1.4388153143630515</v>
      </c>
      <c r="AL37" s="112">
        <f ca="1">OFFSET(IND!AO$28,$E37,0)</f>
        <v>1.4676817940344289</v>
      </c>
      <c r="AM37" s="112">
        <f ca="1">OFFSET(IND!AP$28,$E37,0)</f>
        <v>1.4878058541481896</v>
      </c>
    </row>
    <row r="38" spans="1:39">
      <c r="A38" s="29" t="s">
        <v>338</v>
      </c>
      <c r="B38">
        <v>31.93143244434</v>
      </c>
      <c r="E38" s="115">
        <f ca="1">MATCH(F38,IND!$D$29:$D$264,0)</f>
        <v>59</v>
      </c>
      <c r="F38" t="str">
        <f t="shared" si="0"/>
        <v>IMIO</v>
      </c>
      <c r="G38" s="112">
        <f ca="1">OFFSET(IND!J$28,$E38,0)</f>
        <v>28.894976807848312</v>
      </c>
      <c r="H38" s="112">
        <f ca="1">OFFSET(IND!K$28,$E38,0)</f>
        <v>29.702838130575874</v>
      </c>
      <c r="I38" s="112">
        <f ca="1">OFFSET(IND!L$28,$E38,0)</f>
        <v>29.938808139267341</v>
      </c>
      <c r="J38" s="112">
        <f ca="1">OFFSET(IND!M$28,$E38,0)</f>
        <v>20.929650122763714</v>
      </c>
      <c r="K38" s="112">
        <f ca="1">OFFSET(IND!N$28,$E38,0)</f>
        <v>20.929650122763714</v>
      </c>
      <c r="L38" s="112">
        <f ca="1">OFFSET(IND!O$28,$E38,0)</f>
        <v>20.929650122763714</v>
      </c>
      <c r="M38" s="112">
        <f ca="1">OFFSET(IND!P$28,$E38,0)</f>
        <v>20.86610244245017</v>
      </c>
      <c r="N38" s="112">
        <f ca="1">OFFSET(IND!Q$28,$E38,0)</f>
        <v>20.65383074405765</v>
      </c>
      <c r="O38" s="181">
        <f ca="1">OFFSET(IND!R$28,$E38,0)</f>
        <v>19.880481469428194</v>
      </c>
      <c r="P38" s="112">
        <f ca="1">OFFSET(IND!S$28,$E38,0)</f>
        <v>21.709724024711321</v>
      </c>
      <c r="Q38" s="112">
        <f ca="1">OFFSET(IND!T$28,$E38,0)</f>
        <v>21.942225943159833</v>
      </c>
      <c r="R38" s="112">
        <f ca="1">OFFSET(IND!U$28,$E38,0)</f>
        <v>22.173577064468518</v>
      </c>
      <c r="S38" s="112">
        <f ca="1">OFFSET(IND!V$28,$E38,0)</f>
        <v>22.410383866969347</v>
      </c>
      <c r="T38" s="181">
        <f ca="1">OFFSET(IND!W$28,$E38,0)</f>
        <v>22.609571011441595</v>
      </c>
      <c r="U38" s="112">
        <f ca="1">OFFSET(IND!X$28,$E38,0)</f>
        <v>22.892548499994266</v>
      </c>
      <c r="V38" s="112">
        <f ca="1">OFFSET(IND!Y$28,$E38,0)</f>
        <v>23.165616271048979</v>
      </c>
      <c r="W38" s="112">
        <f ca="1">OFFSET(IND!Z$28,$E38,0)</f>
        <v>23.854892177017739</v>
      </c>
      <c r="X38" s="112">
        <f ca="1">OFFSET(IND!AA$28,$E38,0)</f>
        <v>24.42635255273305</v>
      </c>
      <c r="Y38" s="112">
        <f ca="1">OFFSET(IND!AB$28,$E38,0)</f>
        <v>24.76658618682945</v>
      </c>
      <c r="Z38" s="112">
        <f ca="1">OFFSET(IND!AC$28,$E38,0)</f>
        <v>25.081494987319964</v>
      </c>
      <c r="AA38" s="112">
        <f ca="1">OFFSET(IND!AD$28,$E38,0)</f>
        <v>25.324833605880819</v>
      </c>
      <c r="AB38" s="112">
        <f ca="1">OFFSET(IND!AE$28,$E38,0)</f>
        <v>25.632034848317371</v>
      </c>
      <c r="AC38" s="112">
        <f ca="1">OFFSET(IND!AF$28,$E38,0)</f>
        <v>25.915012336870038</v>
      </c>
      <c r="AD38" s="112">
        <f ca="1">OFFSET(IND!AG$28,$E38,0)</f>
        <v>26.698981098930339</v>
      </c>
      <c r="AE38" s="112">
        <f ca="1">OFFSET(IND!AH$28,$E38,0)</f>
        <v>27.530296289036432</v>
      </c>
      <c r="AF38" s="112">
        <f ca="1">OFFSET(IND!AI$28,$E38,0)</f>
        <v>27.761523030655351</v>
      </c>
      <c r="AG38" s="112">
        <f ca="1">OFFSET(IND!AJ$28,$E38,0)</f>
        <v>28.056612396149958</v>
      </c>
      <c r="AH38" s="112">
        <f ca="1">OFFSET(IND!AK$28,$E38,0)</f>
        <v>28.059915635315946</v>
      </c>
      <c r="AI38" s="112">
        <f ca="1">OFFSET(IND!AL$28,$E38,0)</f>
        <v>28.410058986910297</v>
      </c>
      <c r="AJ38" s="112">
        <f ca="1">OFFSET(IND!AM$28,$E38,0)</f>
        <v>29.13677160342688</v>
      </c>
      <c r="AK38" s="112">
        <f ca="1">OFFSET(IND!AN$28,$E38,0)</f>
        <v>28.813054165160402</v>
      </c>
      <c r="AL38" s="112">
        <f ca="1">OFFSET(IND!AO$28,$E38,0)</f>
        <v>29.391121019207681</v>
      </c>
      <c r="AM38" s="112">
        <f ca="1">OFFSET(IND!AP$28,$E38,0)</f>
        <v>29.794116197457793</v>
      </c>
    </row>
    <row r="39" spans="1:39">
      <c r="A39" s="29" t="s">
        <v>339</v>
      </c>
      <c r="B39">
        <v>16.901755910559999</v>
      </c>
      <c r="E39" s="115">
        <f ca="1">MATCH(F39,IND!$D$29:$D$264,0)</f>
        <v>57</v>
      </c>
      <c r="F39" t="str">
        <f t="shared" si="0"/>
        <v>IMIP</v>
      </c>
      <c r="G39" s="112">
        <f ca="1">OFFSET(IND!J$28,$E39,0)</f>
        <v>15.294517272248457</v>
      </c>
      <c r="H39" s="112">
        <f ca="1">OFFSET(IND!K$28,$E39,0)</f>
        <v>15.722129622872741</v>
      </c>
      <c r="I39" s="112">
        <f ca="1">OFFSET(IND!L$28,$E39,0)</f>
        <v>15.847031864451422</v>
      </c>
      <c r="J39" s="112">
        <f ca="1">OFFSET(IND!M$28,$E39,0)</f>
        <v>11.078357924751138</v>
      </c>
      <c r="K39" s="112">
        <f ca="1">OFFSET(IND!N$28,$E39,0)</f>
        <v>11.078357924751138</v>
      </c>
      <c r="L39" s="112">
        <f ca="1">OFFSET(IND!O$28,$E39,0)</f>
        <v>11.078357924751138</v>
      </c>
      <c r="M39" s="112">
        <f ca="1">OFFSET(IND!P$28,$E39,0)</f>
        <v>11.044721244554777</v>
      </c>
      <c r="N39" s="112">
        <f ca="1">OFFSET(IND!Q$28,$E39,0)</f>
        <v>10.932362851638812</v>
      </c>
      <c r="O39" s="181">
        <f ca="1">OFFSET(IND!R$28,$E39,0)</f>
        <v>10.523018213054836</v>
      </c>
      <c r="P39" s="112">
        <f ca="1">OFFSET(IND!S$28,$E39,0)</f>
        <v>11.491262003072713</v>
      </c>
      <c r="Q39" s="112">
        <f ca="1">OFFSET(IND!T$28,$E39,0)</f>
        <v>11.614328535750317</v>
      </c>
      <c r="R39" s="112">
        <f ca="1">OFFSET(IND!U$28,$E39,0)</f>
        <v>11.736785935330186</v>
      </c>
      <c r="S39" s="112">
        <f ca="1">OFFSET(IND!V$28,$E39,0)</f>
        <v>11.862131103631242</v>
      </c>
      <c r="T39" s="181">
        <f ca="1">OFFSET(IND!W$28,$E39,0)</f>
        <v>11.967563658285972</v>
      </c>
      <c r="U39" s="112">
        <f ca="1">OFFSET(IND!X$28,$E39,0)</f>
        <v>12.117347619529738</v>
      </c>
      <c r="V39" s="112">
        <f ca="1">OFFSET(IND!Y$28,$E39,0)</f>
        <v>12.261886228045123</v>
      </c>
      <c r="W39" s="112">
        <f ca="1">OFFSET(IND!Z$28,$E39,0)</f>
        <v>12.626729651152509</v>
      </c>
      <c r="X39" s="112">
        <f ca="1">OFFSET(IND!AA$28,$E39,0)</f>
        <v>12.929211658489143</v>
      </c>
      <c r="Y39" s="112">
        <f ca="1">OFFSET(IND!AB$28,$E39,0)</f>
        <v>13.109302102163555</v>
      </c>
      <c r="Z39" s="112">
        <f ca="1">OFFSET(IND!AC$28,$E39,0)</f>
        <v>13.275987755532103</v>
      </c>
      <c r="AA39" s="112">
        <f ca="1">OFFSET(IND!AD$28,$E39,0)</f>
        <v>13.404790305862347</v>
      </c>
      <c r="AB39" s="112">
        <f ca="1">OFFSET(IND!AE$28,$E39,0)</f>
        <v>13.567396240442154</v>
      </c>
      <c r="AC39" s="112">
        <f ca="1">OFFSET(IND!AF$28,$E39,0)</f>
        <v>13.71718020168592</v>
      </c>
      <c r="AD39" s="112">
        <f ca="1">OFFSET(IND!AG$28,$E39,0)</f>
        <v>14.132145884197829</v>
      </c>
      <c r="AE39" s="112">
        <f ca="1">OFFSET(IND!AH$28,$E39,0)</f>
        <v>14.572172696412009</v>
      </c>
      <c r="AF39" s="112">
        <f ca="1">OFFSET(IND!AI$28,$E39,0)</f>
        <v>14.694564260074234</v>
      </c>
      <c r="AG39" s="112">
        <f ca="1">OFFSET(IND!AJ$28,$E39,0)</f>
        <v>14.85075920798602</v>
      </c>
      <c r="AH39" s="112">
        <f ca="1">OFFSET(IND!AK$28,$E39,0)</f>
        <v>14.852507658895481</v>
      </c>
      <c r="AI39" s="112">
        <f ca="1">OFFSET(IND!AL$28,$E39,0)</f>
        <v>15.037843455298272</v>
      </c>
      <c r="AJ39" s="112">
        <f ca="1">OFFSET(IND!AM$28,$E39,0)</f>
        <v>15.422502655379541</v>
      </c>
      <c r="AK39" s="112">
        <f ca="1">OFFSET(IND!AN$28,$E39,0)</f>
        <v>15.25115446625243</v>
      </c>
      <c r="AL39" s="112">
        <f ca="1">OFFSET(IND!AO$28,$E39,0)</f>
        <v>15.557133375407984</v>
      </c>
      <c r="AM39" s="112">
        <f ca="1">OFFSET(IND!AP$28,$E39,0)</f>
        <v>15.770444386362145</v>
      </c>
    </row>
    <row r="40" spans="1:39">
      <c r="A40" s="29" t="s">
        <v>340</v>
      </c>
      <c r="B40">
        <v>28.149155918999998</v>
      </c>
      <c r="E40" s="115">
        <f ca="1">MATCH(F40,IND!$D$29:$D$264,0)</f>
        <v>69</v>
      </c>
      <c r="F40" t="str">
        <f t="shared" si="0"/>
        <v>IMIR</v>
      </c>
      <c r="G40" s="112">
        <f ca="1">OFFSET(IND!J$28,$E40,0)</f>
        <v>51.488523217763458</v>
      </c>
      <c r="H40" s="112">
        <f ca="1">OFFSET(IND!K$28,$E40,0)</f>
        <v>52.928067078573662</v>
      </c>
      <c r="I40" s="112">
        <f ca="1">OFFSET(IND!L$28,$E40,0)</f>
        <v>53.348546643309163</v>
      </c>
      <c r="J40" s="112">
        <f ca="1">OFFSET(IND!M$28,$E40,0)</f>
        <v>25.406351025250526</v>
      </c>
      <c r="K40" s="112">
        <f ca="1">OFFSET(IND!N$28,$E40,0)</f>
        <v>25.406351025250526</v>
      </c>
      <c r="L40" s="112">
        <f ca="1">OFFSET(IND!O$28,$E40,0)</f>
        <v>25.406351025250526</v>
      </c>
      <c r="M40" s="112">
        <f ca="1">OFFSET(IND!P$28,$E40,0)</f>
        <v>25.329210955377579</v>
      </c>
      <c r="N40" s="112">
        <f ca="1">OFFSET(IND!Q$28,$E40,0)</f>
        <v>25.071535874788399</v>
      </c>
      <c r="O40" s="181">
        <f ca="1">OFFSET(IND!R$28,$E40,0)</f>
        <v>24.132772779317964</v>
      </c>
      <c r="P40" s="112">
        <f ca="1">OFFSET(IND!S$28,$E40,0)</f>
        <v>26.353277097223518</v>
      </c>
      <c r="Q40" s="112">
        <f ca="1">OFFSET(IND!T$28,$E40,0)</f>
        <v>26.635509495734684</v>
      </c>
      <c r="R40" s="112">
        <f ca="1">OFFSET(IND!U$28,$E40,0)</f>
        <v>26.916344949914635</v>
      </c>
      <c r="S40" s="112">
        <f ca="1">OFFSET(IND!V$28,$E40,0)</f>
        <v>27.203803016065468</v>
      </c>
      <c r="T40" s="181">
        <f ca="1">OFFSET(IND!W$28,$E40,0)</f>
        <v>27.44559485121302</v>
      </c>
      <c r="U40" s="112">
        <f ca="1">OFFSET(IND!X$28,$E40,0)</f>
        <v>27.789099179486215</v>
      </c>
      <c r="V40" s="112">
        <f ca="1">OFFSET(IND!Y$28,$E40,0)</f>
        <v>28.12057417330626</v>
      </c>
      <c r="W40" s="112">
        <f ca="1">OFFSET(IND!Z$28,$E40,0)</f>
        <v>28.957281214158478</v>
      </c>
      <c r="X40" s="112">
        <f ca="1">OFFSET(IND!AA$28,$E40,0)</f>
        <v>29.650972834289945</v>
      </c>
      <c r="Y40" s="112">
        <f ca="1">OFFSET(IND!AB$28,$E40,0)</f>
        <v>30.06397998384799</v>
      </c>
      <c r="Z40" s="112">
        <f ca="1">OFFSET(IND!AC$28,$E40,0)</f>
        <v>30.446245500914653</v>
      </c>
      <c r="AA40" s="112">
        <f ca="1">OFFSET(IND!AD$28,$E40,0)</f>
        <v>30.74163249137526</v>
      </c>
      <c r="AB40" s="112">
        <f ca="1">OFFSET(IND!AE$28,$E40,0)</f>
        <v>31.114541859422808</v>
      </c>
      <c r="AC40" s="112">
        <f ca="1">OFFSET(IND!AF$28,$E40,0)</f>
        <v>31.458046187696002</v>
      </c>
      <c r="AD40" s="112">
        <f ca="1">OFFSET(IND!AG$28,$E40,0)</f>
        <v>32.40970020221161</v>
      </c>
      <c r="AE40" s="112">
        <f ca="1">OFFSET(IND!AH$28,$E40,0)</f>
        <v>33.418827703558932</v>
      </c>
      <c r="AF40" s="112">
        <f ca="1">OFFSET(IND!AI$28,$E40,0)</f>
        <v>33.699512174132366</v>
      </c>
      <c r="AG40" s="112">
        <f ca="1">OFFSET(IND!AJ$28,$E40,0)</f>
        <v>34.057719022292737</v>
      </c>
      <c r="AH40" s="112">
        <f ca="1">OFFSET(IND!AK$28,$E40,0)</f>
        <v>34.061728800443788</v>
      </c>
      <c r="AI40" s="112">
        <f ca="1">OFFSET(IND!AL$28,$E40,0)</f>
        <v>34.486765284454975</v>
      </c>
      <c r="AJ40" s="112">
        <f ca="1">OFFSET(IND!AM$28,$E40,0)</f>
        <v>35.368916477685744</v>
      </c>
      <c r="AK40" s="112">
        <f ca="1">OFFSET(IND!AN$28,$E40,0)</f>
        <v>34.975958218882944</v>
      </c>
      <c r="AL40" s="112">
        <f ca="1">OFFSET(IND!AO$28,$E40,0)</f>
        <v>35.677669395316514</v>
      </c>
      <c r="AM40" s="112">
        <f ca="1">OFFSET(IND!AP$28,$E40,0)</f>
        <v>36.166862329744497</v>
      </c>
    </row>
    <row r="41" spans="1:39">
      <c r="A41" s="29" t="s">
        <v>341</v>
      </c>
      <c r="B41">
        <v>5.2585839407999997E-2</v>
      </c>
      <c r="E41" s="115">
        <f ca="1">MATCH(F41,IND!$D$29:$D$264,0)</f>
        <v>62</v>
      </c>
      <c r="F41" t="str">
        <f t="shared" si="0"/>
        <v>IMIS</v>
      </c>
      <c r="G41" s="112">
        <f ca="1">OFFSET(IND!J$28,$E41,0)</f>
        <v>20.275122960000004</v>
      </c>
      <c r="H41" s="112">
        <f ca="1">OFFSET(IND!K$28,$E41,0)</f>
        <v>20.841985766703509</v>
      </c>
      <c r="I41" s="112">
        <f ca="1">OFFSET(IND!L$28,$E41,0)</f>
        <v>21.007561983390151</v>
      </c>
      <c r="J41" s="112">
        <f ca="1">OFFSET(IND!M$28,$E41,0)</f>
        <v>25.233177191199999</v>
      </c>
      <c r="K41" s="112">
        <f ca="1">OFFSET(IND!N$28,$E41,0)</f>
        <v>25.233177191199999</v>
      </c>
      <c r="L41" s="112">
        <f ca="1">OFFSET(IND!O$28,$E41,0)</f>
        <v>25.233177191199999</v>
      </c>
      <c r="M41" s="112">
        <f ca="1">OFFSET(IND!P$28,$E41,0)</f>
        <v>25.156562920629973</v>
      </c>
      <c r="N41" s="112">
        <f ca="1">OFFSET(IND!Q$28,$E41,0)</f>
        <v>24.900644195433998</v>
      </c>
      <c r="O41" s="181">
        <f ca="1">OFFSET(IND!R$28,$E41,0)</f>
        <v>23.968279862396869</v>
      </c>
      <c r="P41" s="112">
        <f ca="1">OFFSET(IND!S$28,$E41,0)</f>
        <v>26.173648860559922</v>
      </c>
      <c r="Q41" s="112">
        <f ca="1">OFFSET(IND!T$28,$E41,0)</f>
        <v>26.453957516991995</v>
      </c>
      <c r="R41" s="112">
        <f ca="1">OFFSET(IND!U$28,$E41,0)</f>
        <v>26.732878750893349</v>
      </c>
      <c r="S41" s="112">
        <f ca="1">OFFSET(IND!V$28,$E41,0)</f>
        <v>27.018377455961808</v>
      </c>
      <c r="T41" s="181">
        <f ca="1">OFFSET(IND!W$28,$E41,0)</f>
        <v>27.258521198508692</v>
      </c>
      <c r="U41" s="112">
        <f ca="1">OFFSET(IND!X$28,$E41,0)</f>
        <v>27.599684145232018</v>
      </c>
      <c r="V41" s="112">
        <f ca="1">OFFSET(IND!Y$28,$E41,0)</f>
        <v>27.928899751408611</v>
      </c>
      <c r="W41" s="112">
        <f ca="1">OFFSET(IND!Z$28,$E41,0)</f>
        <v>28.75990366054792</v>
      </c>
      <c r="X41" s="112">
        <f ca="1">OFFSET(IND!AA$28,$E41,0)</f>
        <v>29.448866965409419</v>
      </c>
      <c r="Y41" s="112">
        <f ca="1">OFFSET(IND!AB$28,$E41,0)</f>
        <v>29.859058990847192</v>
      </c>
      <c r="Z41" s="112">
        <f ca="1">OFFSET(IND!AC$28,$E41,0)</f>
        <v>30.238718923776648</v>
      </c>
      <c r="AA41" s="112">
        <f ca="1">OFFSET(IND!AD$28,$E41,0)</f>
        <v>30.532092508313049</v>
      </c>
      <c r="AB41" s="112">
        <f ca="1">OFFSET(IND!AE$28,$E41,0)</f>
        <v>30.90246006526171</v>
      </c>
      <c r="AC41" s="112">
        <f ca="1">OFFSET(IND!AF$28,$E41,0)</f>
        <v>31.243623011985036</v>
      </c>
      <c r="AD41" s="112">
        <f ca="1">OFFSET(IND!AG$28,$E41,0)</f>
        <v>32.188790397459762</v>
      </c>
      <c r="AE41" s="112">
        <f ca="1">OFFSET(IND!AH$28,$E41,0)</f>
        <v>33.191039521102219</v>
      </c>
      <c r="AF41" s="112">
        <f ca="1">OFFSET(IND!AI$28,$E41,0)</f>
        <v>33.469810800525956</v>
      </c>
      <c r="AG41" s="112">
        <f ca="1">OFFSET(IND!AJ$28,$E41,0)</f>
        <v>33.825576052361946</v>
      </c>
      <c r="AH41" s="112">
        <f ca="1">OFFSET(IND!AK$28,$E41,0)</f>
        <v>33.829558499210862</v>
      </c>
      <c r="AI41" s="112">
        <f ca="1">OFFSET(IND!AL$28,$E41,0)</f>
        <v>34.251697865195361</v>
      </c>
      <c r="AJ41" s="112">
        <f ca="1">OFFSET(IND!AM$28,$E41,0)</f>
        <v>35.12783617195565</v>
      </c>
      <c r="AK41" s="112">
        <f ca="1">OFFSET(IND!AN$28,$E41,0)</f>
        <v>34.737556380762427</v>
      </c>
      <c r="AL41" s="112">
        <f ca="1">OFFSET(IND!AO$28,$E41,0)</f>
        <v>35.434484579321747</v>
      </c>
      <c r="AM41" s="112">
        <f ca="1">OFFSET(IND!AP$28,$E41,0)</f>
        <v>35.920343094888828</v>
      </c>
    </row>
    <row r="42" spans="1:39">
      <c r="A42" s="29" t="s">
        <v>342</v>
      </c>
      <c r="B42" t="s">
        <v>386</v>
      </c>
      <c r="E42" s="115">
        <f ca="1">MATCH(F42,IND!$D$29:$D$264,0)</f>
        <v>137</v>
      </c>
      <c r="F42" t="str">
        <f t="shared" si="0"/>
        <v>INFA</v>
      </c>
      <c r="G42" s="112">
        <f ca="1">OFFSET(IND!J$28,$E42,0)</f>
        <v>0</v>
      </c>
      <c r="H42" s="112">
        <f ca="1">OFFSET(IND!K$28,$E42,0)</f>
        <v>0</v>
      </c>
      <c r="I42" s="112">
        <f ca="1">OFFSET(IND!L$28,$E42,0)</f>
        <v>0</v>
      </c>
      <c r="J42" s="112">
        <f ca="1">OFFSET(IND!M$28,$E42,0)</f>
        <v>0</v>
      </c>
      <c r="K42" s="112">
        <f ca="1">OFFSET(IND!N$28,$E42,0)</f>
        <v>0</v>
      </c>
      <c r="L42" s="112">
        <f ca="1">OFFSET(IND!O$28,$E42,0)</f>
        <v>0</v>
      </c>
      <c r="M42" s="112">
        <f ca="1">OFFSET(IND!P$28,$E42,0)</f>
        <v>0</v>
      </c>
      <c r="N42" s="112">
        <f ca="1">OFFSET(IND!Q$28,$E42,0)</f>
        <v>0</v>
      </c>
      <c r="O42" s="181">
        <f ca="1">OFFSET(IND!R$28,$E42,0)</f>
        <v>0</v>
      </c>
      <c r="P42" s="112">
        <f ca="1">OFFSET(IND!S$28,$E42,0)</f>
        <v>0</v>
      </c>
      <c r="Q42" s="112">
        <f ca="1">OFFSET(IND!T$28,$E42,0)</f>
        <v>0</v>
      </c>
      <c r="R42" s="112">
        <f ca="1">OFFSET(IND!U$28,$E42,0)</f>
        <v>0</v>
      </c>
      <c r="S42" s="112">
        <f ca="1">OFFSET(IND!V$28,$E42,0)</f>
        <v>0</v>
      </c>
      <c r="T42" s="181">
        <f ca="1">OFFSET(IND!W$28,$E42,0)</f>
        <v>0</v>
      </c>
      <c r="U42" s="112">
        <f ca="1">OFFSET(IND!X$28,$E42,0)</f>
        <v>0</v>
      </c>
      <c r="V42" s="112">
        <f ca="1">OFFSET(IND!Y$28,$E42,0)</f>
        <v>0</v>
      </c>
      <c r="W42" s="112">
        <f ca="1">OFFSET(IND!Z$28,$E42,0)</f>
        <v>0</v>
      </c>
      <c r="X42" s="112">
        <f ca="1">OFFSET(IND!AA$28,$E42,0)</f>
        <v>0</v>
      </c>
      <c r="Y42" s="112">
        <f ca="1">OFFSET(IND!AB$28,$E42,0)</f>
        <v>0</v>
      </c>
      <c r="Z42" s="112">
        <f ca="1">OFFSET(IND!AC$28,$E42,0)</f>
        <v>0</v>
      </c>
      <c r="AA42" s="112">
        <f ca="1">OFFSET(IND!AD$28,$E42,0)</f>
        <v>0</v>
      </c>
      <c r="AB42" s="112">
        <f ca="1">OFFSET(IND!AE$28,$E42,0)</f>
        <v>0</v>
      </c>
      <c r="AC42" s="112">
        <f ca="1">OFFSET(IND!AF$28,$E42,0)</f>
        <v>0</v>
      </c>
      <c r="AD42" s="112">
        <f ca="1">OFFSET(IND!AG$28,$E42,0)</f>
        <v>0</v>
      </c>
      <c r="AE42" s="112">
        <f ca="1">OFFSET(IND!AH$28,$E42,0)</f>
        <v>0</v>
      </c>
      <c r="AF42" s="112">
        <f ca="1">OFFSET(IND!AI$28,$E42,0)</f>
        <v>0</v>
      </c>
      <c r="AG42" s="112">
        <f ca="1">OFFSET(IND!AJ$28,$E42,0)</f>
        <v>0</v>
      </c>
      <c r="AH42" s="112">
        <f ca="1">OFFSET(IND!AK$28,$E42,0)</f>
        <v>0</v>
      </c>
      <c r="AI42" s="112">
        <f ca="1">OFFSET(IND!AL$28,$E42,0)</f>
        <v>0</v>
      </c>
      <c r="AJ42" s="112">
        <f ca="1">OFFSET(IND!AM$28,$E42,0)</f>
        <v>0</v>
      </c>
      <c r="AK42" s="112">
        <f ca="1">OFFSET(IND!AN$28,$E42,0)</f>
        <v>0</v>
      </c>
      <c r="AL42" s="112">
        <f ca="1">OFFSET(IND!AO$28,$E42,0)</f>
        <v>0</v>
      </c>
      <c r="AM42" s="112">
        <f ca="1">OFFSET(IND!AP$28,$E42,0)</f>
        <v>0</v>
      </c>
    </row>
    <row r="43" spans="1:39">
      <c r="A43" s="29" t="s">
        <v>343</v>
      </c>
      <c r="B43" t="s">
        <v>386</v>
      </c>
      <c r="E43" s="115">
        <f ca="1">MATCH(F43,IND!$D$29:$D$264,0)</f>
        <v>139</v>
      </c>
      <c r="F43" t="str">
        <f t="shared" si="0"/>
        <v>INFC</v>
      </c>
      <c r="G43" s="112">
        <f ca="1">OFFSET(IND!J$28,$E43,0)</f>
        <v>0</v>
      </c>
      <c r="H43" s="112">
        <f ca="1">OFFSET(IND!K$28,$E43,0)</f>
        <v>0</v>
      </c>
      <c r="I43" s="112">
        <f ca="1">OFFSET(IND!L$28,$E43,0)</f>
        <v>0</v>
      </c>
      <c r="J43" s="112">
        <f ca="1">OFFSET(IND!M$28,$E43,0)</f>
        <v>0</v>
      </c>
      <c r="K43" s="112">
        <f ca="1">OFFSET(IND!N$28,$E43,0)</f>
        <v>0</v>
      </c>
      <c r="L43" s="112">
        <f ca="1">OFFSET(IND!O$28,$E43,0)</f>
        <v>0</v>
      </c>
      <c r="M43" s="112">
        <f ca="1">OFFSET(IND!P$28,$E43,0)</f>
        <v>0</v>
      </c>
      <c r="N43" s="112">
        <f ca="1">OFFSET(IND!Q$28,$E43,0)</f>
        <v>0</v>
      </c>
      <c r="O43" s="181">
        <f ca="1">OFFSET(IND!R$28,$E43,0)</f>
        <v>0</v>
      </c>
      <c r="P43" s="112">
        <f ca="1">OFFSET(IND!S$28,$E43,0)</f>
        <v>0</v>
      </c>
      <c r="Q43" s="112">
        <f ca="1">OFFSET(IND!T$28,$E43,0)</f>
        <v>0</v>
      </c>
      <c r="R43" s="112">
        <f ca="1">OFFSET(IND!U$28,$E43,0)</f>
        <v>0</v>
      </c>
      <c r="S43" s="112">
        <f ca="1">OFFSET(IND!V$28,$E43,0)</f>
        <v>0</v>
      </c>
      <c r="T43" s="181">
        <f ca="1">OFFSET(IND!W$28,$E43,0)</f>
        <v>0</v>
      </c>
      <c r="U43" s="112">
        <f ca="1">OFFSET(IND!X$28,$E43,0)</f>
        <v>0</v>
      </c>
      <c r="V43" s="112">
        <f ca="1">OFFSET(IND!Y$28,$E43,0)</f>
        <v>0</v>
      </c>
      <c r="W43" s="112">
        <f ca="1">OFFSET(IND!Z$28,$E43,0)</f>
        <v>0</v>
      </c>
      <c r="X43" s="112">
        <f ca="1">OFFSET(IND!AA$28,$E43,0)</f>
        <v>0</v>
      </c>
      <c r="Y43" s="112">
        <f ca="1">OFFSET(IND!AB$28,$E43,0)</f>
        <v>0</v>
      </c>
      <c r="Z43" s="112">
        <f ca="1">OFFSET(IND!AC$28,$E43,0)</f>
        <v>0</v>
      </c>
      <c r="AA43" s="112">
        <f ca="1">OFFSET(IND!AD$28,$E43,0)</f>
        <v>0</v>
      </c>
      <c r="AB43" s="112">
        <f ca="1">OFFSET(IND!AE$28,$E43,0)</f>
        <v>0</v>
      </c>
      <c r="AC43" s="112">
        <f ca="1">OFFSET(IND!AF$28,$E43,0)</f>
        <v>0</v>
      </c>
      <c r="AD43" s="112">
        <f ca="1">OFFSET(IND!AG$28,$E43,0)</f>
        <v>0</v>
      </c>
      <c r="AE43" s="112">
        <f ca="1">OFFSET(IND!AH$28,$E43,0)</f>
        <v>0</v>
      </c>
      <c r="AF43" s="112">
        <f ca="1">OFFSET(IND!AI$28,$E43,0)</f>
        <v>0</v>
      </c>
      <c r="AG43" s="112">
        <f ca="1">OFFSET(IND!AJ$28,$E43,0)</f>
        <v>0</v>
      </c>
      <c r="AH43" s="112">
        <f ca="1">OFFSET(IND!AK$28,$E43,0)</f>
        <v>0</v>
      </c>
      <c r="AI43" s="112">
        <f ca="1">OFFSET(IND!AL$28,$E43,0)</f>
        <v>0</v>
      </c>
      <c r="AJ43" s="112">
        <f ca="1">OFFSET(IND!AM$28,$E43,0)</f>
        <v>0</v>
      </c>
      <c r="AK43" s="112">
        <f ca="1">OFFSET(IND!AN$28,$E43,0)</f>
        <v>0</v>
      </c>
      <c r="AL43" s="112">
        <f ca="1">OFFSET(IND!AO$28,$E43,0)</f>
        <v>0</v>
      </c>
      <c r="AM43" s="112">
        <f ca="1">OFFSET(IND!AP$28,$E43,0)</f>
        <v>0</v>
      </c>
    </row>
    <row r="44" spans="1:39">
      <c r="A44" s="29" t="s">
        <v>344</v>
      </c>
      <c r="B44">
        <v>55.015944485879999</v>
      </c>
      <c r="E44" s="115">
        <f ca="1">MATCH(F44,IND!$D$29:$D$264,0)</f>
        <v>144</v>
      </c>
      <c r="F44" t="str">
        <f t="shared" si="0"/>
        <v>INFE</v>
      </c>
      <c r="G44" s="112">
        <f ca="1">OFFSET(IND!J$28,$E44,0)</f>
        <v>45.684078335879221</v>
      </c>
      <c r="H44" s="112">
        <f ca="1">OFFSET(IND!K$28,$E44,0)</f>
        <v>38.765923123988252</v>
      </c>
      <c r="I44" s="112">
        <f ca="1">OFFSET(IND!L$28,$E44,0)</f>
        <v>35.585500110436485</v>
      </c>
      <c r="J44" s="112">
        <f ca="1">OFFSET(IND!M$28,$E44,0)</f>
        <v>6.8830524422467816</v>
      </c>
      <c r="K44" s="112">
        <f ca="1">OFFSET(IND!N$28,$E44,0)</f>
        <v>6.8830524422467816</v>
      </c>
      <c r="L44" s="112">
        <f ca="1">OFFSET(IND!O$28,$E44,0)</f>
        <v>6.8830524422467816</v>
      </c>
      <c r="M44" s="112">
        <f ca="1">OFFSET(IND!P$28,$E44,0)</f>
        <v>6.7561504733716902</v>
      </c>
      <c r="N44" s="112">
        <f ca="1">OFFSET(IND!Q$28,$E44,0)</f>
        <v>6.4876332638678731</v>
      </c>
      <c r="O44" s="181">
        <f ca="1">OFFSET(IND!R$28,$E44,0)</f>
        <v>6.115635943691963</v>
      </c>
      <c r="P44" s="112">
        <f ca="1">OFFSET(IND!S$28,$E44,0)</f>
        <v>6.3796275619280003</v>
      </c>
      <c r="Q44" s="112">
        <f ca="1">OFFSET(IND!T$28,$E44,0)</f>
        <v>5.8456560985943957</v>
      </c>
      <c r="R44" s="112">
        <f ca="1">OFFSET(IND!U$28,$E44,0)</f>
        <v>5.597335797464071</v>
      </c>
      <c r="S44" s="112">
        <f ca="1">OFFSET(IND!V$28,$E44,0)</f>
        <v>5.46406589752445</v>
      </c>
      <c r="T44" s="181">
        <f ca="1">OFFSET(IND!W$28,$E44,0)</f>
        <v>5.4072414468809793</v>
      </c>
      <c r="U44" s="112">
        <f ca="1">OFFSET(IND!X$28,$E44,0)</f>
        <v>5.7385050604976255</v>
      </c>
      <c r="V44" s="112">
        <f ca="1">OFFSET(IND!Y$28,$E44,0)</f>
        <v>5.9780341349588948</v>
      </c>
      <c r="W44" s="112">
        <f ca="1">OFFSET(IND!Z$28,$E44,0)</f>
        <v>6.8495122569349993</v>
      </c>
      <c r="X44" s="112">
        <f ca="1">OFFSET(IND!AA$28,$E44,0)</f>
        <v>7.379534038721637</v>
      </c>
      <c r="Y44" s="112">
        <f ca="1">OFFSET(IND!AB$28,$E44,0)</f>
        <v>7.5273285740275258</v>
      </c>
      <c r="Z44" s="112">
        <f ca="1">OFFSET(IND!AC$28,$E44,0)</f>
        <v>7.5069431208818864</v>
      </c>
      <c r="AA44" s="112">
        <f ca="1">OFFSET(IND!AD$28,$E44,0)</f>
        <v>7.4712685778770167</v>
      </c>
      <c r="AB44" s="112">
        <f ca="1">OFFSET(IND!AE$28,$E44,0)</f>
        <v>7.5120394841682963</v>
      </c>
      <c r="AC44" s="112">
        <f ca="1">OFFSET(IND!AF$28,$E44,0)</f>
        <v>7.6649303827605957</v>
      </c>
      <c r="AD44" s="112">
        <f ca="1">OFFSET(IND!AG$28,$E44,0)</f>
        <v>9.1275866459602586</v>
      </c>
      <c r="AE44" s="112">
        <f ca="1">OFFSET(IND!AH$28,$E44,0)</f>
        <v>10.534182913009412</v>
      </c>
      <c r="AF44" s="112">
        <f ca="1">OFFSET(IND!AI$28,$E44,0)</f>
        <v>10.320135654980191</v>
      </c>
      <c r="AG44" s="112">
        <f ca="1">OFFSET(IND!AJ$28,$E44,0)</f>
        <v>10.376195651130702</v>
      </c>
      <c r="AH44" s="112">
        <f ca="1">OFFSET(IND!AK$28,$E44,0)</f>
        <v>9.9837756780771354</v>
      </c>
      <c r="AI44" s="112">
        <f ca="1">OFFSET(IND!AL$28,$E44,0)</f>
        <v>10.585146545873512</v>
      </c>
      <c r="AJ44" s="112">
        <f ca="1">OFFSET(IND!AM$28,$E44,0)</f>
        <v>9.168357552251539</v>
      </c>
      <c r="AK44" s="112">
        <f ca="1">OFFSET(IND!AN$28,$E44,0)</f>
        <v>8.5058303250182448</v>
      </c>
      <c r="AL44" s="112">
        <f ca="1">OFFSET(IND!AO$28,$E44,0)</f>
        <v>6.3008038097648926</v>
      </c>
      <c r="AM44" s="112">
        <f ca="1">OFFSET(IND!AP$28,$E44,0)</f>
        <v>4.2214875889095893</v>
      </c>
    </row>
    <row r="45" spans="1:39">
      <c r="A45" s="29" t="s">
        <v>345</v>
      </c>
      <c r="B45" t="s">
        <v>386</v>
      </c>
      <c r="E45" s="115">
        <f ca="1">MATCH(F45,IND!$D$29:$D$264,0)</f>
        <v>142</v>
      </c>
      <c r="F45" t="str">
        <f t="shared" si="0"/>
        <v>INFF</v>
      </c>
      <c r="G45" s="112">
        <f ca="1">OFFSET(IND!J$28,$E45,0)</f>
        <v>0</v>
      </c>
      <c r="H45" s="112">
        <f ca="1">OFFSET(IND!K$28,$E45,0)</f>
        <v>0</v>
      </c>
      <c r="I45" s="112">
        <f ca="1">OFFSET(IND!L$28,$E45,0)</f>
        <v>0</v>
      </c>
      <c r="J45" s="112">
        <f ca="1">OFFSET(IND!M$28,$E45,0)</f>
        <v>0</v>
      </c>
      <c r="K45" s="112">
        <f ca="1">OFFSET(IND!N$28,$E45,0)</f>
        <v>0</v>
      </c>
      <c r="L45" s="112">
        <f ca="1">OFFSET(IND!O$28,$E45,0)</f>
        <v>0</v>
      </c>
      <c r="M45" s="112">
        <f ca="1">OFFSET(IND!P$28,$E45,0)</f>
        <v>0</v>
      </c>
      <c r="N45" s="112">
        <f ca="1">OFFSET(IND!Q$28,$E45,0)</f>
        <v>0</v>
      </c>
      <c r="O45" s="181">
        <f ca="1">OFFSET(IND!R$28,$E45,0)</f>
        <v>0</v>
      </c>
      <c r="P45" s="112">
        <f ca="1">OFFSET(IND!S$28,$E45,0)</f>
        <v>0</v>
      </c>
      <c r="Q45" s="112">
        <f ca="1">OFFSET(IND!T$28,$E45,0)</f>
        <v>0</v>
      </c>
      <c r="R45" s="112">
        <f ca="1">OFFSET(IND!U$28,$E45,0)</f>
        <v>0</v>
      </c>
      <c r="S45" s="112">
        <f ca="1">OFFSET(IND!V$28,$E45,0)</f>
        <v>0</v>
      </c>
      <c r="T45" s="181">
        <f ca="1">OFFSET(IND!W$28,$E45,0)</f>
        <v>0</v>
      </c>
      <c r="U45" s="112">
        <f ca="1">OFFSET(IND!X$28,$E45,0)</f>
        <v>0</v>
      </c>
      <c r="V45" s="112">
        <f ca="1">OFFSET(IND!Y$28,$E45,0)</f>
        <v>0</v>
      </c>
      <c r="W45" s="112">
        <f ca="1">OFFSET(IND!Z$28,$E45,0)</f>
        <v>0</v>
      </c>
      <c r="X45" s="112">
        <f ca="1">OFFSET(IND!AA$28,$E45,0)</f>
        <v>0</v>
      </c>
      <c r="Y45" s="112">
        <f ca="1">OFFSET(IND!AB$28,$E45,0)</f>
        <v>0</v>
      </c>
      <c r="Z45" s="112">
        <f ca="1">OFFSET(IND!AC$28,$E45,0)</f>
        <v>0</v>
      </c>
      <c r="AA45" s="112">
        <f ca="1">OFFSET(IND!AD$28,$E45,0)</f>
        <v>0</v>
      </c>
      <c r="AB45" s="112">
        <f ca="1">OFFSET(IND!AE$28,$E45,0)</f>
        <v>0</v>
      </c>
      <c r="AC45" s="112">
        <f ca="1">OFFSET(IND!AF$28,$E45,0)</f>
        <v>0</v>
      </c>
      <c r="AD45" s="112">
        <f ca="1">OFFSET(IND!AG$28,$E45,0)</f>
        <v>0</v>
      </c>
      <c r="AE45" s="112">
        <f ca="1">OFFSET(IND!AH$28,$E45,0)</f>
        <v>0</v>
      </c>
      <c r="AF45" s="112">
        <f ca="1">OFFSET(IND!AI$28,$E45,0)</f>
        <v>0</v>
      </c>
      <c r="AG45" s="112">
        <f ca="1">OFFSET(IND!AJ$28,$E45,0)</f>
        <v>0</v>
      </c>
      <c r="AH45" s="112">
        <f ca="1">OFFSET(IND!AK$28,$E45,0)</f>
        <v>0</v>
      </c>
      <c r="AI45" s="112">
        <f ca="1">OFFSET(IND!AL$28,$E45,0)</f>
        <v>0</v>
      </c>
      <c r="AJ45" s="112">
        <f ca="1">OFFSET(IND!AM$28,$E45,0)</f>
        <v>0</v>
      </c>
      <c r="AK45" s="112">
        <f ca="1">OFFSET(IND!AN$28,$E45,0)</f>
        <v>0</v>
      </c>
      <c r="AL45" s="112">
        <f ca="1">OFFSET(IND!AO$28,$E45,0)</f>
        <v>0</v>
      </c>
      <c r="AM45" s="112">
        <f ca="1">OFFSET(IND!AP$28,$E45,0)</f>
        <v>0</v>
      </c>
    </row>
    <row r="46" spans="1:39">
      <c r="A46" s="29" t="s">
        <v>346</v>
      </c>
      <c r="B46">
        <v>0.72389400639309998</v>
      </c>
      <c r="E46" s="115">
        <f ca="1">MATCH(F46,IND!$D$29:$D$264,0)</f>
        <v>140</v>
      </c>
      <c r="F46" t="str">
        <f t="shared" si="0"/>
        <v>INFH</v>
      </c>
      <c r="G46" s="112">
        <f ca="1">OFFSET(IND!J$28,$E46,0)</f>
        <v>0.60110629389314751</v>
      </c>
      <c r="H46" s="112">
        <f ca="1">OFFSET(IND!K$28,$E46,0)</f>
        <v>0.5100779358419506</v>
      </c>
      <c r="I46" s="112">
        <f ca="1">OFFSET(IND!L$28,$E46,0)</f>
        <v>0.46823026461100631</v>
      </c>
      <c r="J46" s="112">
        <f ca="1">OFFSET(IND!M$28,$E46,0)</f>
        <v>9.056647950324713E-2</v>
      </c>
      <c r="K46" s="112">
        <f ca="1">OFFSET(IND!N$28,$E46,0)</f>
        <v>9.056647950324713E-2</v>
      </c>
      <c r="L46" s="112">
        <f ca="1">OFFSET(IND!O$28,$E46,0)</f>
        <v>9.056647950324713E-2</v>
      </c>
      <c r="M46" s="112">
        <f ca="1">OFFSET(IND!P$28,$E46,0)</f>
        <v>8.8896716754890664E-2</v>
      </c>
      <c r="N46" s="112">
        <f ca="1">OFFSET(IND!Q$28,$E46,0)</f>
        <v>8.5363595577208864E-2</v>
      </c>
      <c r="O46" s="181">
        <f ca="1">OFFSET(IND!R$28,$E46,0)</f>
        <v>8.046889399594688E-2</v>
      </c>
      <c r="P46" s="112">
        <f ca="1">OFFSET(IND!S$28,$E46,0)</f>
        <v>8.3942467920105263E-2</v>
      </c>
      <c r="Q46" s="112">
        <f ca="1">OFFSET(IND!T$28,$E46,0)</f>
        <v>7.6916527613084151E-2</v>
      </c>
      <c r="R46" s="112">
        <f ca="1">OFFSET(IND!U$28,$E46,0)</f>
        <v>7.3649155229790403E-2</v>
      </c>
      <c r="S46" s="112">
        <f ca="1">OFFSET(IND!V$28,$E46,0)</f>
        <v>7.1895603914795395E-2</v>
      </c>
      <c r="T46" s="181">
        <f ca="1">OFFSET(IND!W$28,$E46,0)</f>
        <v>7.114791377474973E-2</v>
      </c>
      <c r="U46" s="112">
        <f ca="1">OFFSET(IND!X$28,$E46,0)</f>
        <v>7.5506645532863487E-2</v>
      </c>
      <c r="V46" s="112">
        <f ca="1">OFFSET(IND!Y$28,$E46,0)</f>
        <v>7.8658343881038081E-2</v>
      </c>
      <c r="W46" s="112">
        <f ca="1">OFFSET(IND!Z$28,$E46,0)</f>
        <v>9.0125161275460511E-2</v>
      </c>
      <c r="X46" s="112">
        <f ca="1">OFFSET(IND!AA$28,$E46,0)</f>
        <v>9.7099132088442591E-2</v>
      </c>
      <c r="Y46" s="112">
        <f ca="1">OFFSET(IND!AB$28,$E46,0)</f>
        <v>9.9043797026677968E-2</v>
      </c>
      <c r="Z46" s="112">
        <f ca="1">OFFSET(IND!AC$28,$E46,0)</f>
        <v>9.8775567380024812E-2</v>
      </c>
      <c r="AA46" s="112">
        <f ca="1">OFFSET(IND!AD$28,$E46,0)</f>
        <v>9.8306165498381795E-2</v>
      </c>
      <c r="AB46" s="112">
        <f ca="1">OFFSET(IND!AE$28,$E46,0)</f>
        <v>9.8842624791688094E-2</v>
      </c>
      <c r="AC46" s="112">
        <f ca="1">OFFSET(IND!AF$28,$E46,0)</f>
        <v>0.10085434714158677</v>
      </c>
      <c r="AD46" s="112">
        <f ca="1">OFFSET(IND!AG$28,$E46,0)</f>
        <v>0.12009982428895075</v>
      </c>
      <c r="AE46" s="112">
        <f ca="1">OFFSET(IND!AH$28,$E46,0)</f>
        <v>0.13860766990801854</v>
      </c>
      <c r="AF46" s="112">
        <f ca="1">OFFSET(IND!AI$28,$E46,0)</f>
        <v>0.13579125861816038</v>
      </c>
      <c r="AG46" s="112">
        <f ca="1">OFFSET(IND!AJ$28,$E46,0)</f>
        <v>0.13652889014645658</v>
      </c>
      <c r="AH46" s="112">
        <f ca="1">OFFSET(IND!AK$28,$E46,0)</f>
        <v>0.13136546944838334</v>
      </c>
      <c r="AI46" s="112">
        <f ca="1">OFFSET(IND!AL$28,$E46,0)</f>
        <v>0.13927824402465144</v>
      </c>
      <c r="AJ46" s="112">
        <f ca="1">OFFSET(IND!AM$28,$E46,0)</f>
        <v>0.12063628358225706</v>
      </c>
      <c r="AK46" s="112">
        <f ca="1">OFFSET(IND!AN$28,$E46,0)</f>
        <v>0.11191882006602949</v>
      </c>
      <c r="AL46" s="112">
        <f ca="1">OFFSET(IND!AO$28,$E46,0)</f>
        <v>8.2905313286380136E-2</v>
      </c>
      <c r="AM46" s="112">
        <f ca="1">OFFSET(IND!AP$28,$E46,0)</f>
        <v>5.5545889327757732E-2</v>
      </c>
    </row>
    <row r="47" spans="1:39">
      <c r="A47" s="29" t="s">
        <v>347</v>
      </c>
      <c r="B47">
        <v>0.80432667377019995</v>
      </c>
      <c r="E47" s="115">
        <f ca="1">MATCH(F47,IND!$D$29:$D$264,0)</f>
        <v>136</v>
      </c>
      <c r="F47" t="str">
        <f t="shared" si="0"/>
        <v>INFK</v>
      </c>
      <c r="G47" s="112">
        <f ca="1">OFFSET(IND!J$28,$E47,0)</f>
        <v>0.66789588210349726</v>
      </c>
      <c r="H47" s="112">
        <f ca="1">OFFSET(IND!K$28,$E47,0)</f>
        <v>0.56675326204661181</v>
      </c>
      <c r="I47" s="112">
        <f ca="1">OFFSET(IND!L$28,$E47,0)</f>
        <v>0.52025584956778481</v>
      </c>
      <c r="J47" s="112">
        <f ca="1">OFFSET(IND!M$28,$E47,0)</f>
        <v>0.10062942167027458</v>
      </c>
      <c r="K47" s="112">
        <f ca="1">OFFSET(IND!N$28,$E47,0)</f>
        <v>0.10062942167027458</v>
      </c>
      <c r="L47" s="112">
        <f ca="1">OFFSET(IND!O$28,$E47,0)</f>
        <v>0.10062942167027458</v>
      </c>
      <c r="M47" s="112">
        <f ca="1">OFFSET(IND!P$28,$E47,0)</f>
        <v>9.8774129727656285E-2</v>
      </c>
      <c r="N47" s="112">
        <f ca="1">OFFSET(IND!Q$28,$E47,0)</f>
        <v>9.4848439530232059E-2</v>
      </c>
      <c r="O47" s="181">
        <f ca="1">OFFSET(IND!R$28,$E47,0)</f>
        <v>8.9409882217718756E-2</v>
      </c>
      <c r="P47" s="112">
        <f ca="1">OFFSET(IND!S$28,$E47,0)</f>
        <v>9.3269408800116957E-2</v>
      </c>
      <c r="Q47" s="112">
        <f ca="1">OFFSET(IND!T$28,$E47,0)</f>
        <v>8.5462808458982381E-2</v>
      </c>
      <c r="R47" s="112">
        <f ca="1">OFFSET(IND!U$28,$E47,0)</f>
        <v>8.1832394699767108E-2</v>
      </c>
      <c r="S47" s="112">
        <f ca="1">OFFSET(IND!V$28,$E47,0)</f>
        <v>7.988400434977265E-2</v>
      </c>
      <c r="T47" s="181">
        <f ca="1">OFFSET(IND!W$28,$E47,0)</f>
        <v>7.9053237527499681E-2</v>
      </c>
      <c r="U47" s="112">
        <f ca="1">OFFSET(IND!X$28,$E47,0)</f>
        <v>8.3896272814292752E-2</v>
      </c>
      <c r="V47" s="112">
        <f ca="1">OFFSET(IND!Y$28,$E47,0)</f>
        <v>8.7398159867820069E-2</v>
      </c>
      <c r="W47" s="112">
        <f ca="1">OFFSET(IND!Z$28,$E47,0)</f>
        <v>0.10013906808384498</v>
      </c>
      <c r="X47" s="112">
        <f ca="1">OFFSET(IND!AA$28,$E47,0)</f>
        <v>0.10788792454271395</v>
      </c>
      <c r="Y47" s="112">
        <f ca="1">OFFSET(IND!AB$28,$E47,0)</f>
        <v>0.11004866336297549</v>
      </c>
      <c r="Z47" s="112">
        <f ca="1">OFFSET(IND!AC$28,$E47,0)</f>
        <v>0.10975063042224976</v>
      </c>
      <c r="AA47" s="112">
        <f ca="1">OFFSET(IND!AD$28,$E47,0)</f>
        <v>0.10922907277597974</v>
      </c>
      <c r="AB47" s="112">
        <f ca="1">OFFSET(IND!AE$28,$E47,0)</f>
        <v>0.10982513865743118</v>
      </c>
      <c r="AC47" s="112">
        <f ca="1">OFFSET(IND!AF$28,$E47,0)</f>
        <v>0.11206038571287415</v>
      </c>
      <c r="AD47" s="112">
        <f ca="1">OFFSET(IND!AG$28,$E47,0)</f>
        <v>0.13344424920994524</v>
      </c>
      <c r="AE47" s="112">
        <f ca="1">OFFSET(IND!AH$28,$E47,0)</f>
        <v>0.15400852212002056</v>
      </c>
      <c r="AF47" s="112">
        <f ca="1">OFFSET(IND!AI$28,$E47,0)</f>
        <v>0.15087917624240038</v>
      </c>
      <c r="AG47" s="112">
        <f ca="1">OFFSET(IND!AJ$28,$E47,0)</f>
        <v>0.15169876682939615</v>
      </c>
      <c r="AH47" s="112">
        <f ca="1">OFFSET(IND!AK$28,$E47,0)</f>
        <v>0.14596163272042587</v>
      </c>
      <c r="AI47" s="112">
        <f ca="1">OFFSET(IND!AL$28,$E47,0)</f>
        <v>0.15475360447183487</v>
      </c>
      <c r="AJ47" s="112">
        <f ca="1">OFFSET(IND!AM$28,$E47,0)</f>
        <v>0.13404031509139666</v>
      </c>
      <c r="AK47" s="112">
        <f ca="1">OFFSET(IND!AN$28,$E47,0)</f>
        <v>0.12435424451781049</v>
      </c>
      <c r="AL47" s="112">
        <f ca="1">OFFSET(IND!AO$28,$E47,0)</f>
        <v>9.2117014762644556E-2</v>
      </c>
      <c r="AM47" s="112">
        <f ca="1">OFFSET(IND!AP$28,$E47,0)</f>
        <v>6.1717654808619675E-2</v>
      </c>
    </row>
    <row r="48" spans="1:39">
      <c r="A48" s="29" t="s">
        <v>348</v>
      </c>
      <c r="B48">
        <v>0.241298002131</v>
      </c>
      <c r="E48" s="115">
        <f ca="1">MATCH(F48,IND!$D$29:$D$264,0)</f>
        <v>138</v>
      </c>
      <c r="F48" t="str">
        <f t="shared" si="0"/>
        <v>INFL</v>
      </c>
      <c r="G48" s="112">
        <f ca="1">OFFSET(IND!J$28,$E48,0)</f>
        <v>0.20036876463104916</v>
      </c>
      <c r="H48" s="112">
        <f ca="1">OFFSET(IND!K$28,$E48,0)</f>
        <v>0.17002597861398352</v>
      </c>
      <c r="I48" s="112">
        <f ca="1">OFFSET(IND!L$28,$E48,0)</f>
        <v>0.15607675487033543</v>
      </c>
      <c r="J48" s="112">
        <f ca="1">OFFSET(IND!M$28,$E48,0)</f>
        <v>3.0188826501082372E-2</v>
      </c>
      <c r="K48" s="112">
        <f ca="1">OFFSET(IND!N$28,$E48,0)</f>
        <v>3.0188826501082372E-2</v>
      </c>
      <c r="L48" s="112">
        <f ca="1">OFFSET(IND!O$28,$E48,0)</f>
        <v>3.0188826501082372E-2</v>
      </c>
      <c r="M48" s="112">
        <f ca="1">OFFSET(IND!P$28,$E48,0)</f>
        <v>2.9632238918296885E-2</v>
      </c>
      <c r="N48" s="112">
        <f ca="1">OFFSET(IND!Q$28,$E48,0)</f>
        <v>2.8454531859069619E-2</v>
      </c>
      <c r="O48" s="181">
        <f ca="1">OFFSET(IND!R$28,$E48,0)</f>
        <v>2.6822964665315627E-2</v>
      </c>
      <c r="P48" s="112">
        <f ca="1">OFFSET(IND!S$28,$E48,0)</f>
        <v>2.798082264003509E-2</v>
      </c>
      <c r="Q48" s="112">
        <f ca="1">OFFSET(IND!T$28,$E48,0)</f>
        <v>2.5638842537694717E-2</v>
      </c>
      <c r="R48" s="112">
        <f ca="1">OFFSET(IND!U$28,$E48,0)</f>
        <v>2.4549718409930133E-2</v>
      </c>
      <c r="S48" s="112">
        <f ca="1">OFFSET(IND!V$28,$E48,0)</f>
        <v>2.3965201304931797E-2</v>
      </c>
      <c r="T48" s="181">
        <f ca="1">OFFSET(IND!W$28,$E48,0)</f>
        <v>2.3715971258249906E-2</v>
      </c>
      <c r="U48" s="112">
        <f ca="1">OFFSET(IND!X$28,$E48,0)</f>
        <v>2.5168881844287828E-2</v>
      </c>
      <c r="V48" s="112">
        <f ca="1">OFFSET(IND!Y$28,$E48,0)</f>
        <v>2.6219447960346025E-2</v>
      </c>
      <c r="W48" s="112">
        <f ca="1">OFFSET(IND!Z$28,$E48,0)</f>
        <v>3.00417204251535E-2</v>
      </c>
      <c r="X48" s="112">
        <f ca="1">OFFSET(IND!AA$28,$E48,0)</f>
        <v>3.236637736281419E-2</v>
      </c>
      <c r="Y48" s="112">
        <f ca="1">OFFSET(IND!AB$28,$E48,0)</f>
        <v>3.3014599008892649E-2</v>
      </c>
      <c r="Z48" s="112">
        <f ca="1">OFFSET(IND!AC$28,$E48,0)</f>
        <v>3.2925189126674928E-2</v>
      </c>
      <c r="AA48" s="112">
        <f ca="1">OFFSET(IND!AD$28,$E48,0)</f>
        <v>3.2768721832793918E-2</v>
      </c>
      <c r="AB48" s="112">
        <f ca="1">OFFSET(IND!AE$28,$E48,0)</f>
        <v>3.2947541597229353E-2</v>
      </c>
      <c r="AC48" s="112">
        <f ca="1">OFFSET(IND!AF$28,$E48,0)</f>
        <v>3.3618115713862244E-2</v>
      </c>
      <c r="AD48" s="112">
        <f ca="1">OFFSET(IND!AG$28,$E48,0)</f>
        <v>4.0033274762983566E-2</v>
      </c>
      <c r="AE48" s="112">
        <f ca="1">OFFSET(IND!AH$28,$E48,0)</f>
        <v>4.6202556636006163E-2</v>
      </c>
      <c r="AF48" s="112">
        <f ca="1">OFFSET(IND!AI$28,$E48,0)</f>
        <v>4.5263752872720116E-2</v>
      </c>
      <c r="AG48" s="112">
        <f ca="1">OFFSET(IND!AJ$28,$E48,0)</f>
        <v>4.5509630048818847E-2</v>
      </c>
      <c r="AH48" s="112">
        <f ca="1">OFFSET(IND!AK$28,$E48,0)</f>
        <v>4.3788489816127762E-2</v>
      </c>
      <c r="AI48" s="112">
        <f ca="1">OFFSET(IND!AL$28,$E48,0)</f>
        <v>4.6426081341550463E-2</v>
      </c>
      <c r="AJ48" s="112">
        <f ca="1">OFFSET(IND!AM$28,$E48,0)</f>
        <v>4.0212094527419001E-2</v>
      </c>
      <c r="AK48" s="112">
        <f ca="1">OFFSET(IND!AN$28,$E48,0)</f>
        <v>3.7306273355343145E-2</v>
      </c>
      <c r="AL48" s="112">
        <f ca="1">OFFSET(IND!AO$28,$E48,0)</f>
        <v>2.7635104428793366E-2</v>
      </c>
      <c r="AM48" s="112">
        <f ca="1">OFFSET(IND!AP$28,$E48,0)</f>
        <v>1.8515296442585902E-2</v>
      </c>
    </row>
    <row r="49" spans="1:39">
      <c r="A49" s="29" t="s">
        <v>349</v>
      </c>
      <c r="B49">
        <v>4.5042293731129996</v>
      </c>
      <c r="E49" s="115">
        <f ca="1">MATCH(F49,IND!$D$29:$D$264,0)</f>
        <v>143</v>
      </c>
      <c r="F49" t="str">
        <f t="shared" si="0"/>
        <v>INFO</v>
      </c>
      <c r="G49" s="112">
        <f ca="1">OFFSET(IND!J$28,$E49,0)</f>
        <v>3.7402169397795855</v>
      </c>
      <c r="H49" s="112">
        <f ca="1">OFFSET(IND!K$28,$E49,0)</f>
        <v>3.1738182674610265</v>
      </c>
      <c r="I49" s="112">
        <f ca="1">OFFSET(IND!L$28,$E49,0)</f>
        <v>2.9134327575795953</v>
      </c>
      <c r="J49" s="112">
        <f ca="1">OFFSET(IND!M$28,$E49,0)</f>
        <v>0.56352476135353768</v>
      </c>
      <c r="K49" s="112">
        <f ca="1">OFFSET(IND!N$28,$E49,0)</f>
        <v>0.56352476135353768</v>
      </c>
      <c r="L49" s="112">
        <f ca="1">OFFSET(IND!O$28,$E49,0)</f>
        <v>0.56352476135353768</v>
      </c>
      <c r="M49" s="112">
        <f ca="1">OFFSET(IND!P$28,$E49,0)</f>
        <v>0.55313512647487528</v>
      </c>
      <c r="N49" s="112">
        <f ca="1">OFFSET(IND!Q$28,$E49,0)</f>
        <v>0.53115126136929969</v>
      </c>
      <c r="O49" s="181">
        <f ca="1">OFFSET(IND!R$28,$E49,0)</f>
        <v>0.50069534041922514</v>
      </c>
      <c r="P49" s="112">
        <f ca="1">OFFSET(IND!S$28,$E49,0)</f>
        <v>0.5223086892806551</v>
      </c>
      <c r="Q49" s="112">
        <f ca="1">OFFSET(IND!T$28,$E49,0)</f>
        <v>0.47859172737030148</v>
      </c>
      <c r="R49" s="112">
        <f ca="1">OFFSET(IND!U$28,$E49,0)</f>
        <v>0.45826141031869594</v>
      </c>
      <c r="S49" s="112">
        <f ca="1">OFFSET(IND!V$28,$E49,0)</f>
        <v>0.44735042435872696</v>
      </c>
      <c r="T49" s="181">
        <f ca="1">OFFSET(IND!W$28,$E49,0)</f>
        <v>0.44269813015399834</v>
      </c>
      <c r="U49" s="112">
        <f ca="1">OFFSET(IND!X$28,$E49,0)</f>
        <v>0.46981912776003953</v>
      </c>
      <c r="V49" s="112">
        <f ca="1">OFFSET(IND!Y$28,$E49,0)</f>
        <v>0.48942969525979252</v>
      </c>
      <c r="W49" s="112">
        <f ca="1">OFFSET(IND!Z$28,$E49,0)</f>
        <v>0.56077878126953207</v>
      </c>
      <c r="X49" s="112">
        <f ca="1">OFFSET(IND!AA$28,$E49,0)</f>
        <v>0.60417237743919838</v>
      </c>
      <c r="Y49" s="112">
        <f ca="1">OFFSET(IND!AB$28,$E49,0)</f>
        <v>0.61627251483266299</v>
      </c>
      <c r="Z49" s="112">
        <f ca="1">OFFSET(IND!AC$28,$E49,0)</f>
        <v>0.61460353036459892</v>
      </c>
      <c r="AA49" s="112">
        <f ca="1">OFFSET(IND!AD$28,$E49,0)</f>
        <v>0.61168280754548676</v>
      </c>
      <c r="AB49" s="112">
        <f ca="1">OFFSET(IND!AE$28,$E49,0)</f>
        <v>0.61502077648161491</v>
      </c>
      <c r="AC49" s="112">
        <f ca="1">OFFSET(IND!AF$28,$E49,0)</f>
        <v>0.6275381599920955</v>
      </c>
      <c r="AD49" s="112">
        <f ca="1">OFFSET(IND!AG$28,$E49,0)</f>
        <v>0.74728779557569358</v>
      </c>
      <c r="AE49" s="112">
        <f ca="1">OFFSET(IND!AH$28,$E49,0)</f>
        <v>0.86244772387211543</v>
      </c>
      <c r="AF49" s="112">
        <f ca="1">OFFSET(IND!AI$28,$E49,0)</f>
        <v>0.84492338695744251</v>
      </c>
      <c r="AG49" s="112">
        <f ca="1">OFFSET(IND!AJ$28,$E49,0)</f>
        <v>0.84951309424461885</v>
      </c>
      <c r="AH49" s="112">
        <f ca="1">OFFSET(IND!AK$28,$E49,0)</f>
        <v>0.81738514323438527</v>
      </c>
      <c r="AI49" s="112">
        <f ca="1">OFFSET(IND!AL$28,$E49,0)</f>
        <v>0.86662018504227567</v>
      </c>
      <c r="AJ49" s="112">
        <f ca="1">OFFSET(IND!AM$28,$E49,0)</f>
        <v>0.75062576451182172</v>
      </c>
      <c r="AK49" s="112">
        <f ca="1">OFFSET(IND!AN$28,$E49,0)</f>
        <v>0.69638376929973911</v>
      </c>
      <c r="AL49" s="112">
        <f ca="1">OFFSET(IND!AO$28,$E49,0)</f>
        <v>0.51585528267080982</v>
      </c>
      <c r="AM49" s="112">
        <f ca="1">OFFSET(IND!AP$28,$E49,0)</f>
        <v>0.34561886692827037</v>
      </c>
    </row>
    <row r="50" spans="1:39">
      <c r="A50" s="29" t="s">
        <v>350</v>
      </c>
      <c r="B50" t="s">
        <v>386</v>
      </c>
      <c r="E50" s="115">
        <f ca="1">MATCH(F50,IND!$D$29:$D$264,0)</f>
        <v>141</v>
      </c>
      <c r="F50" t="str">
        <f t="shared" si="0"/>
        <v>INFP</v>
      </c>
      <c r="G50" s="112">
        <f ca="1">OFFSET(IND!J$28,$E50,0)</f>
        <v>0</v>
      </c>
      <c r="H50" s="112">
        <f ca="1">OFFSET(IND!K$28,$E50,0)</f>
        <v>0</v>
      </c>
      <c r="I50" s="112">
        <f ca="1">OFFSET(IND!L$28,$E50,0)</f>
        <v>0</v>
      </c>
      <c r="J50" s="112">
        <f ca="1">OFFSET(IND!M$28,$E50,0)</f>
        <v>0</v>
      </c>
      <c r="K50" s="112">
        <f ca="1">OFFSET(IND!N$28,$E50,0)</f>
        <v>0</v>
      </c>
      <c r="L50" s="112">
        <f ca="1">OFFSET(IND!O$28,$E50,0)</f>
        <v>0</v>
      </c>
      <c r="M50" s="112">
        <f ca="1">OFFSET(IND!P$28,$E50,0)</f>
        <v>0</v>
      </c>
      <c r="N50" s="112">
        <f ca="1">OFFSET(IND!Q$28,$E50,0)</f>
        <v>0</v>
      </c>
      <c r="O50" s="181">
        <f ca="1">OFFSET(IND!R$28,$E50,0)</f>
        <v>0</v>
      </c>
      <c r="P50" s="112">
        <f ca="1">OFFSET(IND!S$28,$E50,0)</f>
        <v>0</v>
      </c>
      <c r="Q50" s="112">
        <f ca="1">OFFSET(IND!T$28,$E50,0)</f>
        <v>0</v>
      </c>
      <c r="R50" s="112">
        <f ca="1">OFFSET(IND!U$28,$E50,0)</f>
        <v>0</v>
      </c>
      <c r="S50" s="112">
        <f ca="1">OFFSET(IND!V$28,$E50,0)</f>
        <v>0</v>
      </c>
      <c r="T50" s="181">
        <f ca="1">OFFSET(IND!W$28,$E50,0)</f>
        <v>0</v>
      </c>
      <c r="U50" s="112">
        <f ca="1">OFFSET(IND!X$28,$E50,0)</f>
        <v>0</v>
      </c>
      <c r="V50" s="112">
        <f ca="1">OFFSET(IND!Y$28,$E50,0)</f>
        <v>0</v>
      </c>
      <c r="W50" s="112">
        <f ca="1">OFFSET(IND!Z$28,$E50,0)</f>
        <v>0</v>
      </c>
      <c r="X50" s="112">
        <f ca="1">OFFSET(IND!AA$28,$E50,0)</f>
        <v>0</v>
      </c>
      <c r="Y50" s="112">
        <f ca="1">OFFSET(IND!AB$28,$E50,0)</f>
        <v>0</v>
      </c>
      <c r="Z50" s="112">
        <f ca="1">OFFSET(IND!AC$28,$E50,0)</f>
        <v>0</v>
      </c>
      <c r="AA50" s="112">
        <f ca="1">OFFSET(IND!AD$28,$E50,0)</f>
        <v>0</v>
      </c>
      <c r="AB50" s="112">
        <f ca="1">OFFSET(IND!AE$28,$E50,0)</f>
        <v>0</v>
      </c>
      <c r="AC50" s="112">
        <f ca="1">OFFSET(IND!AF$28,$E50,0)</f>
        <v>0</v>
      </c>
      <c r="AD50" s="112">
        <f ca="1">OFFSET(IND!AG$28,$E50,0)</f>
        <v>0</v>
      </c>
      <c r="AE50" s="112">
        <f ca="1">OFFSET(IND!AH$28,$E50,0)</f>
        <v>0</v>
      </c>
      <c r="AF50" s="112">
        <f ca="1">OFFSET(IND!AI$28,$E50,0)</f>
        <v>0</v>
      </c>
      <c r="AG50" s="112">
        <f ca="1">OFFSET(IND!AJ$28,$E50,0)</f>
        <v>0</v>
      </c>
      <c r="AH50" s="112">
        <f ca="1">OFFSET(IND!AK$28,$E50,0)</f>
        <v>0</v>
      </c>
      <c r="AI50" s="112">
        <f ca="1">OFFSET(IND!AL$28,$E50,0)</f>
        <v>0</v>
      </c>
      <c r="AJ50" s="112">
        <f ca="1">OFFSET(IND!AM$28,$E50,0)</f>
        <v>0</v>
      </c>
      <c r="AK50" s="112">
        <f ca="1">OFFSET(IND!AN$28,$E50,0)</f>
        <v>0</v>
      </c>
      <c r="AL50" s="112">
        <f ca="1">OFFSET(IND!AO$28,$E50,0)</f>
        <v>0</v>
      </c>
      <c r="AM50" s="112">
        <f ca="1">OFFSET(IND!AP$28,$E50,0)</f>
        <v>0</v>
      </c>
    </row>
    <row r="51" spans="1:39">
      <c r="A51" s="29" t="s">
        <v>351</v>
      </c>
      <c r="B51">
        <v>0.51839999999999997</v>
      </c>
      <c r="E51" s="115">
        <f ca="1">MATCH(F51,IND!$D$29:$D$264,0)</f>
        <v>146</v>
      </c>
      <c r="F51" t="str">
        <f t="shared" si="0"/>
        <v>INFS</v>
      </c>
      <c r="G51" s="112">
        <f ca="1">OFFSET(IND!J$28,$E51,0)</f>
        <v>2.487856608</v>
      </c>
      <c r="H51" s="112">
        <f ca="1">OFFSET(IND!K$28,$E51,0)</f>
        <v>2.1111087609157093</v>
      </c>
      <c r="I51" s="112">
        <f ca="1">OFFSET(IND!L$28,$E51,0)</f>
        <v>1.9379097668958214</v>
      </c>
      <c r="J51" s="112">
        <f ca="1">OFFSET(IND!M$28,$E51,0)</f>
        <v>1.9115199999999999</v>
      </c>
      <c r="K51" s="112">
        <f ca="1">OFFSET(IND!N$28,$E51,0)</f>
        <v>1.9115199999999999</v>
      </c>
      <c r="L51" s="112">
        <f ca="1">OFFSET(IND!O$28,$E51,0)</f>
        <v>1.9115199999999999</v>
      </c>
      <c r="M51" s="112">
        <f ca="1">OFFSET(IND!P$28,$E51,0)</f>
        <v>1.8762775470941881</v>
      </c>
      <c r="N51" s="112">
        <f ca="1">OFFSET(IND!Q$28,$E51,0)</f>
        <v>1.8017065597862387</v>
      </c>
      <c r="O51" s="181">
        <f ca="1">OFFSET(IND!R$28,$E51,0)</f>
        <v>1.6983976974131745</v>
      </c>
      <c r="P51" s="112">
        <f ca="1">OFFSET(IND!S$28,$E51,0)</f>
        <v>1.7717118646848433</v>
      </c>
      <c r="Q51" s="112">
        <f ca="1">OFFSET(IND!T$28,$E51,0)</f>
        <v>1.6234205157294554</v>
      </c>
      <c r="R51" s="112">
        <f ca="1">OFFSET(IND!U$28,$E51,0)</f>
        <v>1.5544584925574083</v>
      </c>
      <c r="S51" s="112">
        <f ca="1">OFFSET(IND!V$28,$E51,0)</f>
        <v>1.5174475760679462</v>
      </c>
      <c r="T51" s="181">
        <f ca="1">OFFSET(IND!W$28,$E51,0)</f>
        <v>1.5016666307961488</v>
      </c>
      <c r="U51" s="112">
        <f ca="1">OFFSET(IND!X$28,$E51,0)</f>
        <v>1.5936631727393618</v>
      </c>
      <c r="V51" s="112">
        <f ca="1">OFFSET(IND!Y$28,$E51,0)</f>
        <v>1.6601837492213778</v>
      </c>
      <c r="W51" s="112">
        <f ca="1">OFFSET(IND!Z$28,$E51,0)</f>
        <v>1.902205421102755</v>
      </c>
      <c r="X51" s="112">
        <f ca="1">OFFSET(IND!AA$28,$E51,0)</f>
        <v>2.0493998882118971</v>
      </c>
      <c r="Y51" s="112">
        <f ca="1">OFFSET(IND!AB$28,$E51,0)</f>
        <v>2.0904444992327154</v>
      </c>
      <c r="Z51" s="112">
        <f ca="1">OFFSET(IND!AC$28,$E51,0)</f>
        <v>2.0847831735746714</v>
      </c>
      <c r="AA51" s="112">
        <f ca="1">OFFSET(IND!AD$28,$E51,0)</f>
        <v>2.0748758536730945</v>
      </c>
      <c r="AB51" s="112">
        <f ca="1">OFFSET(IND!AE$28,$E51,0)</f>
        <v>2.086198504989182</v>
      </c>
      <c r="AC51" s="112">
        <f ca="1">OFFSET(IND!AF$28,$E51,0)</f>
        <v>2.1286584474245114</v>
      </c>
      <c r="AD51" s="112">
        <f ca="1">OFFSET(IND!AG$28,$E51,0)</f>
        <v>2.5348585633891627</v>
      </c>
      <c r="AE51" s="112">
        <f ca="1">OFFSET(IND!AH$28,$E51,0)</f>
        <v>2.9254900337941931</v>
      </c>
      <c r="AF51" s="112">
        <f ca="1">OFFSET(IND!AI$28,$E51,0)</f>
        <v>2.8660461143847318</v>
      </c>
      <c r="AG51" s="112">
        <f ca="1">OFFSET(IND!AJ$28,$E51,0)</f>
        <v>2.8816147599443527</v>
      </c>
      <c r="AH51" s="112">
        <f ca="1">OFFSET(IND!AK$28,$E51,0)</f>
        <v>2.7726342410270077</v>
      </c>
      <c r="AI51" s="112">
        <f ca="1">OFFSET(IND!AL$28,$E51,0)</f>
        <v>2.9396433479393029</v>
      </c>
      <c r="AJ51" s="112">
        <f ca="1">OFFSET(IND!AM$28,$E51,0)</f>
        <v>2.5461812147052507</v>
      </c>
      <c r="AK51" s="112">
        <f ca="1">OFFSET(IND!AN$28,$E51,0)</f>
        <v>2.362188130818824</v>
      </c>
      <c r="AL51" s="112">
        <f ca="1">OFFSET(IND!AO$28,$E51,0)</f>
        <v>1.7498214054737486</v>
      </c>
      <c r="AM51" s="112">
        <f ca="1">OFFSET(IND!AP$28,$E51,0)</f>
        <v>1.1723661883532595</v>
      </c>
    </row>
    <row r="52" spans="1:39">
      <c r="A52" s="29" t="s">
        <v>352</v>
      </c>
      <c r="B52">
        <v>0.24189876324029999</v>
      </c>
      <c r="E52" s="115">
        <f ca="1">MATCH(F52,IND!$D$29:$D$264,0)</f>
        <v>215</v>
      </c>
      <c r="F52" t="str">
        <f t="shared" si="0"/>
        <v>IOTA</v>
      </c>
      <c r="G52" s="112">
        <f ca="1">OFFSET(IND!J$28,$E52,0)</f>
        <v>0.22789646617646991</v>
      </c>
      <c r="H52" s="112">
        <f ca="1">OFFSET(IND!K$28,$E52,0)</f>
        <v>0.23424276074370104</v>
      </c>
      <c r="I52" s="112">
        <f ca="1">OFFSET(IND!L$28,$E52,0)</f>
        <v>0.23873105239658002</v>
      </c>
      <c r="J52" s="112">
        <f ca="1">OFFSET(IND!M$28,$E52,0)</f>
        <v>0.12355272</v>
      </c>
      <c r="K52" s="112">
        <f ca="1">OFFSET(IND!N$28,$E52,0)</f>
        <v>0.12355272</v>
      </c>
      <c r="L52" s="112">
        <f ca="1">OFFSET(IND!O$28,$E52,0)</f>
        <v>0.12355272</v>
      </c>
      <c r="M52" s="112">
        <f ca="1">OFFSET(IND!P$28,$E52,0)</f>
        <v>0.12497625693493029</v>
      </c>
      <c r="N52" s="112">
        <f ca="1">OFFSET(IND!Q$28,$E52,0)</f>
        <v>0.12484234548501866</v>
      </c>
      <c r="O52" s="181">
        <f ca="1">OFFSET(IND!R$28,$E52,0)</f>
        <v>0.11580423199500285</v>
      </c>
      <c r="P52" s="112">
        <f ca="1">OFFSET(IND!S$28,$E52,0)</f>
        <v>0.11942151311120816</v>
      </c>
      <c r="Q52" s="112">
        <f ca="1">OFFSET(IND!T$28,$E52,0)</f>
        <v>0.12193209065644979</v>
      </c>
      <c r="R52" s="112">
        <f ca="1">OFFSET(IND!U$28,$E52,0)</f>
        <v>0.12467493932152331</v>
      </c>
      <c r="S52" s="112">
        <f ca="1">OFFSET(IND!V$28,$E52,0)</f>
        <v>0.12776961041810686</v>
      </c>
      <c r="T52" s="181">
        <f ca="1">OFFSET(IND!W$28,$E52,0)</f>
        <v>0.13075839321006119</v>
      </c>
      <c r="U52" s="112">
        <f ca="1">OFFSET(IND!X$28,$E52,0)</f>
        <v>0.13379499652668678</v>
      </c>
      <c r="V52" s="112">
        <f ca="1">OFFSET(IND!Y$28,$E52,0)</f>
        <v>0.13670180127634748</v>
      </c>
      <c r="W52" s="112">
        <f ca="1">OFFSET(IND!Z$28,$E52,0)</f>
        <v>0.14139504419765636</v>
      </c>
      <c r="X52" s="112">
        <f ca="1">OFFSET(IND!AA$28,$E52,0)</f>
        <v>0.1457501276945041</v>
      </c>
      <c r="Y52" s="112">
        <f ca="1">OFFSET(IND!AB$28,$E52,0)</f>
        <v>0.14910439592501742</v>
      </c>
      <c r="Z52" s="112">
        <f ca="1">OFFSET(IND!AC$28,$E52,0)</f>
        <v>0.15268068802007592</v>
      </c>
      <c r="AA52" s="112">
        <f ca="1">OFFSET(IND!AD$28,$E52,0)</f>
        <v>0.15639019443386154</v>
      </c>
      <c r="AB52" s="112">
        <f ca="1">OFFSET(IND!AE$28,$E52,0)</f>
        <v>0.16101853807168795</v>
      </c>
      <c r="AC52" s="112">
        <f ca="1">OFFSET(IND!AF$28,$E52,0)</f>
        <v>0.16583816380819946</v>
      </c>
      <c r="AD52" s="112">
        <f ca="1">OFFSET(IND!AG$28,$E52,0)</f>
        <v>0.17264234131856865</v>
      </c>
      <c r="AE52" s="112">
        <f ca="1">OFFSET(IND!AH$28,$E52,0)</f>
        <v>0.17861990690247731</v>
      </c>
      <c r="AF52" s="112">
        <f ca="1">OFFSET(IND!AI$28,$E52,0)</f>
        <v>0.18112706869595671</v>
      </c>
      <c r="AG52" s="112">
        <f ca="1">OFFSET(IND!AJ$28,$E52,0)</f>
        <v>0.18437544862184077</v>
      </c>
      <c r="AH52" s="112">
        <f ca="1">OFFSET(IND!AK$28,$E52,0)</f>
        <v>0.18817718033320666</v>
      </c>
      <c r="AI52" s="112">
        <f ca="1">OFFSET(IND!AL$28,$E52,0)</f>
        <v>0.19261424187234802</v>
      </c>
      <c r="AJ52" s="112">
        <f ca="1">OFFSET(IND!AM$28,$E52,0)</f>
        <v>0.21404466842860112</v>
      </c>
      <c r="AK52" s="112">
        <f ca="1">OFFSET(IND!AN$28,$E52,0)</f>
        <v>0.22913545971414884</v>
      </c>
      <c r="AL52" s="112">
        <f ca="1">OFFSET(IND!AO$28,$E52,0)</f>
        <v>0.26671328343440065</v>
      </c>
      <c r="AM52" s="112">
        <f ca="1">OFFSET(IND!AP$28,$E52,0)</f>
        <v>0.3032345012762015</v>
      </c>
    </row>
    <row r="53" spans="1:39">
      <c r="A53" s="29" t="s">
        <v>353</v>
      </c>
      <c r="B53">
        <v>4.5502640185010002</v>
      </c>
      <c r="E53" s="115">
        <f ca="1">MATCH(F53,IND!$D$29:$D$264,0)</f>
        <v>217</v>
      </c>
      <c r="F53" t="str">
        <f t="shared" si="0"/>
        <v>IOTC</v>
      </c>
      <c r="G53" s="112">
        <f ca="1">OFFSET(IND!J$28,$E53,0)</f>
        <v>4.2868722274366169</v>
      </c>
      <c r="H53" s="112">
        <f ca="1">OFFSET(IND!K$28,$E53,0)</f>
        <v>4.4062499184725477</v>
      </c>
      <c r="I53" s="112">
        <f ca="1">OFFSET(IND!L$28,$E53,0)</f>
        <v>4.4906774357490269</v>
      </c>
      <c r="J53" s="112">
        <f ca="1">OFFSET(IND!M$28,$E53,0)</f>
        <v>2.3241024000000006</v>
      </c>
      <c r="K53" s="112">
        <f ca="1">OFFSET(IND!N$28,$E53,0)</f>
        <v>2.3241024000000006</v>
      </c>
      <c r="L53" s="112">
        <f ca="1">OFFSET(IND!O$28,$E53,0)</f>
        <v>2.3241024000000006</v>
      </c>
      <c r="M53" s="112">
        <f ca="1">OFFSET(IND!P$28,$E53,0)</f>
        <v>2.3508800023624588</v>
      </c>
      <c r="N53" s="112">
        <f ca="1">OFFSET(IND!Q$28,$E53,0)</f>
        <v>2.3483610459030047</v>
      </c>
      <c r="O53" s="181">
        <f ca="1">OFFSET(IND!R$28,$E53,0)</f>
        <v>2.1783485908666598</v>
      </c>
      <c r="P53" s="112">
        <f ca="1">OFFSET(IND!S$28,$E53,0)</f>
        <v>2.2463918660260203</v>
      </c>
      <c r="Q53" s="112">
        <f ca="1">OFFSET(IND!T$28,$E53,0)</f>
        <v>2.293617368615378</v>
      </c>
      <c r="R53" s="112">
        <f ca="1">OFFSET(IND!U$28,$E53,0)</f>
        <v>2.3452120333490574</v>
      </c>
      <c r="S53" s="112">
        <f ca="1">OFFSET(IND!V$28,$E53,0)</f>
        <v>2.4034246936836943</v>
      </c>
      <c r="T53" s="181">
        <f ca="1">OFFSET(IND!W$28,$E53,0)</f>
        <v>2.4596455300995963</v>
      </c>
      <c r="U53" s="112">
        <f ca="1">OFFSET(IND!X$28,$E53,0)</f>
        <v>2.5167658998981528</v>
      </c>
      <c r="V53" s="112">
        <f ca="1">OFFSET(IND!Y$28,$E53,0)</f>
        <v>2.571444679086647</v>
      </c>
      <c r="W53" s="112">
        <f ca="1">OFFSET(IND!Z$28,$E53,0)</f>
        <v>2.6597274553557324</v>
      </c>
      <c r="X53" s="112">
        <f ca="1">OFFSET(IND!AA$28,$E53,0)</f>
        <v>2.7416492455617614</v>
      </c>
      <c r="Y53" s="112">
        <f ca="1">OFFSET(IND!AB$28,$E53,0)</f>
        <v>2.8047450871165225</v>
      </c>
      <c r="Z53" s="112">
        <f ca="1">OFFSET(IND!AC$28,$E53,0)</f>
        <v>2.8720173336621793</v>
      </c>
      <c r="AA53" s="112">
        <f ca="1">OFFSET(IND!AD$28,$E53,0)</f>
        <v>2.9417954232023735</v>
      </c>
      <c r="AB53" s="112">
        <f ca="1">OFFSET(IND!AE$28,$E53,0)</f>
        <v>3.0288574041664273</v>
      </c>
      <c r="AC53" s="112">
        <f ca="1">OFFSET(IND!AF$28,$E53,0)</f>
        <v>3.1195175186610995</v>
      </c>
      <c r="AD53" s="112">
        <f ca="1">OFFSET(IND!AG$28,$E53,0)</f>
        <v>3.2475082685359307</v>
      </c>
      <c r="AE53" s="112">
        <f ca="1">OFFSET(IND!AH$28,$E53,0)</f>
        <v>3.3599499413677347</v>
      </c>
      <c r="AF53" s="112">
        <f ca="1">OFFSET(IND!AI$28,$E53,0)</f>
        <v>3.4071111915726173</v>
      </c>
      <c r="AG53" s="112">
        <f ca="1">OFFSET(IND!AJ$28,$E53,0)</f>
        <v>3.4682152092086431</v>
      </c>
      <c r="AH53" s="112">
        <f ca="1">OFFSET(IND!AK$28,$E53,0)</f>
        <v>3.5397281131296703</v>
      </c>
      <c r="AI53" s="112">
        <f ca="1">OFFSET(IND!AL$28,$E53,0)</f>
        <v>3.6231919605631067</v>
      </c>
      <c r="AJ53" s="112">
        <f ca="1">OFFSET(IND!AM$28,$E53,0)</f>
        <v>4.0263114207612434</v>
      </c>
      <c r="AK53" s="112">
        <f ca="1">OFFSET(IND!AN$28,$E53,0)</f>
        <v>4.310178455373193</v>
      </c>
      <c r="AL53" s="112">
        <f ca="1">OFFSET(IND!AO$28,$E53,0)</f>
        <v>5.0170403544476461</v>
      </c>
      <c r="AM53" s="112">
        <f ca="1">OFFSET(IND!AP$28,$E53,0)</f>
        <v>5.7040268492577333</v>
      </c>
    </row>
    <row r="54" spans="1:39">
      <c r="A54" s="29" t="s">
        <v>354</v>
      </c>
      <c r="B54">
        <v>0.43799389606880001</v>
      </c>
      <c r="E54" s="115">
        <f ca="1">MATCH(F54,IND!$D$29:$D$264,0)</f>
        <v>222</v>
      </c>
      <c r="F54" t="str">
        <f t="shared" si="0"/>
        <v>IOTE</v>
      </c>
      <c r="G54" s="112">
        <f ca="1">OFFSET(IND!J$28,$E54,0)</f>
        <v>0.41264064265496897</v>
      </c>
      <c r="H54" s="112">
        <f ca="1">OFFSET(IND!K$28,$E54,0)</f>
        <v>0.42413155830028743</v>
      </c>
      <c r="I54" s="112">
        <f ca="1">OFFSET(IND!L$28,$E54,0)</f>
        <v>0.43225828173369424</v>
      </c>
      <c r="J54" s="112">
        <f ca="1">OFFSET(IND!M$28,$E54,0)</f>
        <v>0.22371068160000002</v>
      </c>
      <c r="K54" s="112">
        <f ca="1">OFFSET(IND!N$28,$E54,0)</f>
        <v>0.22371068160000002</v>
      </c>
      <c r="L54" s="112">
        <f ca="1">OFFSET(IND!O$28,$E54,0)</f>
        <v>0.22371068160000002</v>
      </c>
      <c r="M54" s="112">
        <f ca="1">OFFSET(IND!P$28,$E54,0)</f>
        <v>0.22628820816514589</v>
      </c>
      <c r="N54" s="112">
        <f ca="1">OFFSET(IND!Q$28,$E54,0)</f>
        <v>0.22604574145349618</v>
      </c>
      <c r="O54" s="181">
        <f ca="1">OFFSET(IND!R$28,$E54,0)</f>
        <v>0.20968088498388879</v>
      </c>
      <c r="P54" s="112">
        <f ca="1">OFFSET(IND!S$28,$E54,0)</f>
        <v>0.21623051354767192</v>
      </c>
      <c r="Q54" s="112">
        <f ca="1">OFFSET(IND!T$28,$E54,0)</f>
        <v>0.22077628974633157</v>
      </c>
      <c r="R54" s="112">
        <f ca="1">OFFSET(IND!U$28,$E54,0)</f>
        <v>0.22574262755248628</v>
      </c>
      <c r="S54" s="112">
        <f ca="1">OFFSET(IND!V$28,$E54,0)</f>
        <v>0.23134599249940552</v>
      </c>
      <c r="T54" s="181">
        <f ca="1">OFFSET(IND!W$28,$E54,0)</f>
        <v>0.23675763083114321</v>
      </c>
      <c r="U54" s="112">
        <f ca="1">OFFSET(IND!X$28,$E54,0)</f>
        <v>0.24225585537618868</v>
      </c>
      <c r="V54" s="112">
        <f ca="1">OFFSET(IND!Y$28,$E54,0)</f>
        <v>0.2475190601993987</v>
      </c>
      <c r="W54" s="112">
        <f ca="1">OFFSET(IND!Z$28,$E54,0)</f>
        <v>0.25601687856260741</v>
      </c>
      <c r="X54" s="112">
        <f ca="1">OFFSET(IND!AA$28,$E54,0)</f>
        <v>0.26390240870313947</v>
      </c>
      <c r="Y54" s="112">
        <f ca="1">OFFSET(IND!AB$28,$E54,0)</f>
        <v>0.26997581309372964</v>
      </c>
      <c r="Z54" s="112">
        <f ca="1">OFFSET(IND!AC$28,$E54,0)</f>
        <v>0.27645122490324892</v>
      </c>
      <c r="AA54" s="112">
        <f ca="1">OFFSET(IND!AD$28,$E54,0)</f>
        <v>0.28316784116412563</v>
      </c>
      <c r="AB54" s="112">
        <f ca="1">OFFSET(IND!AE$28,$E54,0)</f>
        <v>0.29154814966641657</v>
      </c>
      <c r="AC54" s="112">
        <f ca="1">OFFSET(IND!AF$28,$E54,0)</f>
        <v>0.30027480302193871</v>
      </c>
      <c r="AD54" s="112">
        <f ca="1">OFFSET(IND!AG$28,$E54,0)</f>
        <v>0.31259478422973469</v>
      </c>
      <c r="AE54" s="112">
        <f ca="1">OFFSET(IND!AH$28,$E54,0)</f>
        <v>0.32341806089321007</v>
      </c>
      <c r="AF54" s="112">
        <f ca="1">OFFSET(IND!AI$28,$E54,0)</f>
        <v>0.32795765236234775</v>
      </c>
      <c r="AG54" s="112">
        <f ca="1">OFFSET(IND!AJ$28,$E54,0)</f>
        <v>0.33383933013775635</v>
      </c>
      <c r="AH54" s="112">
        <f ca="1">OFFSET(IND!AK$28,$E54,0)</f>
        <v>0.34072293409572668</v>
      </c>
      <c r="AI54" s="112">
        <f ca="1">OFFSET(IND!AL$28,$E54,0)</f>
        <v>0.34875689774478641</v>
      </c>
      <c r="AJ54" s="112">
        <f ca="1">OFFSET(IND!AM$28,$E54,0)</f>
        <v>0.38755989076572611</v>
      </c>
      <c r="AK54" s="112">
        <f ca="1">OFFSET(IND!AN$28,$E54,0)</f>
        <v>0.41488402579386002</v>
      </c>
      <c r="AL54" s="112">
        <f ca="1">OFFSET(IND!AO$28,$E54,0)</f>
        <v>0.48292429684173477</v>
      </c>
      <c r="AM54" s="112">
        <f ca="1">OFFSET(IND!AP$28,$E54,0)</f>
        <v>0.54905142489080838</v>
      </c>
    </row>
    <row r="55" spans="1:39">
      <c r="A55" s="29" t="s">
        <v>355</v>
      </c>
      <c r="B55">
        <v>1.959977536374</v>
      </c>
      <c r="E55" s="115">
        <f ca="1">MATCH(F55,IND!$D$29:$D$264,0)</f>
        <v>220</v>
      </c>
      <c r="F55" t="str">
        <f t="shared" si="0"/>
        <v>IOTF</v>
      </c>
      <c r="G55" s="112">
        <f ca="1">OFFSET(IND!J$28,$E55,0)</f>
        <v>1.8465243407674456</v>
      </c>
      <c r="H55" s="112">
        <f ca="1">OFFSET(IND!K$28,$E55,0)</f>
        <v>1.8979450037934282</v>
      </c>
      <c r="I55" s="112">
        <f ca="1">OFFSET(IND!L$28,$E55,0)</f>
        <v>1.9343112534529856</v>
      </c>
      <c r="J55" s="112">
        <f ca="1">OFFSET(IND!M$28,$E55,0)</f>
        <v>1.0010822400000001</v>
      </c>
      <c r="K55" s="112">
        <f ca="1">OFFSET(IND!N$28,$E55,0)</f>
        <v>1.0010822400000001</v>
      </c>
      <c r="L55" s="112">
        <f ca="1">OFFSET(IND!O$28,$E55,0)</f>
        <v>1.0010822400000001</v>
      </c>
      <c r="M55" s="112">
        <f ca="1">OFFSET(IND!P$28,$E55,0)</f>
        <v>1.0126164056868645</v>
      </c>
      <c r="N55" s="112">
        <f ca="1">OFFSET(IND!Q$28,$E55,0)</f>
        <v>1.0115313921457689</v>
      </c>
      <c r="O55" s="181">
        <f ca="1">OFFSET(IND!R$28,$E55,0)</f>
        <v>0.93830034633828496</v>
      </c>
      <c r="P55" s="112">
        <f ca="1">OFFSET(IND!S$28,$E55,0)</f>
        <v>0.96760925902365935</v>
      </c>
      <c r="Q55" s="112">
        <f ca="1">OFFSET(IND!T$28,$E55,0)</f>
        <v>0.98795113893277176</v>
      </c>
      <c r="R55" s="112">
        <f ca="1">OFFSET(IND!U$28,$E55,0)</f>
        <v>1.0101749886838156</v>
      </c>
      <c r="S55" s="112">
        <f ca="1">OFFSET(IND!V$28,$E55,0)</f>
        <v>1.035249469224844</v>
      </c>
      <c r="T55" s="181">
        <f ca="1">OFFSET(IND!W$28,$E55,0)</f>
        <v>1.0594659929261683</v>
      </c>
      <c r="U55" s="112">
        <f ca="1">OFFSET(IND!X$28,$E55,0)</f>
        <v>1.0840699810067138</v>
      </c>
      <c r="V55" s="112">
        <f ca="1">OFFSET(IND!Y$28,$E55,0)</f>
        <v>1.1076222800579447</v>
      </c>
      <c r="W55" s="112">
        <f ca="1">OFFSET(IND!Z$28,$E55,0)</f>
        <v>1.1456491412757959</v>
      </c>
      <c r="X55" s="112">
        <f ca="1">OFFSET(IND!AA$28,$E55,0)</f>
        <v>1.1809360758120113</v>
      </c>
      <c r="Y55" s="112">
        <f ca="1">OFFSET(IND!AB$28,$E55,0)</f>
        <v>1.2081139344116691</v>
      </c>
      <c r="Z55" s="112">
        <f ca="1">OFFSET(IND!AC$28,$E55,0)</f>
        <v>1.2370907347719968</v>
      </c>
      <c r="AA55" s="112">
        <f ca="1">OFFSET(IND!AD$28,$E55,0)</f>
        <v>1.2671469001887263</v>
      </c>
      <c r="AB55" s="112">
        <f ca="1">OFFSET(IND!AE$28,$E55,0)</f>
        <v>1.3046479168919201</v>
      </c>
      <c r="AC55" s="112">
        <f ca="1">OFFSET(IND!AF$28,$E55,0)</f>
        <v>1.3436987911119986</v>
      </c>
      <c r="AD55" s="112">
        <f ca="1">OFFSET(IND!AG$28,$E55,0)</f>
        <v>1.3988294370697567</v>
      </c>
      <c r="AE55" s="112">
        <f ca="1">OFFSET(IND!AH$28,$E55,0)</f>
        <v>1.4472624844724054</v>
      </c>
      <c r="AF55" s="112">
        <f ca="1">OFFSET(IND!AI$28,$E55,0)</f>
        <v>1.4675766883544306</v>
      </c>
      <c r="AG55" s="112">
        <f ca="1">OFFSET(IND!AJ$28,$E55,0)</f>
        <v>1.4938965901143841</v>
      </c>
      <c r="AH55" s="112">
        <f ca="1">OFFSET(IND!AK$28,$E55,0)</f>
        <v>1.5247000082624687</v>
      </c>
      <c r="AI55" s="112">
        <f ca="1">OFFSET(IND!AL$28,$E55,0)</f>
        <v>1.5606511674487777</v>
      </c>
      <c r="AJ55" s="112">
        <f ca="1">OFFSET(IND!AM$28,$E55,0)</f>
        <v>1.7342905613940454</v>
      </c>
      <c r="AK55" s="112">
        <f ca="1">OFFSET(IND!AN$28,$E55,0)</f>
        <v>1.8565632490654183</v>
      </c>
      <c r="AL55" s="112">
        <f ca="1">OFFSET(IND!AO$28,$E55,0)</f>
        <v>2.1610364483943751</v>
      </c>
      <c r="AM55" s="112">
        <f ca="1">OFFSET(IND!AP$28,$E55,0)</f>
        <v>2.4569485300110157</v>
      </c>
    </row>
    <row r="56" spans="1:39">
      <c r="A56" s="29" t="s">
        <v>356</v>
      </c>
      <c r="B56">
        <v>3.382156358499</v>
      </c>
      <c r="E56" s="115">
        <f ca="1">MATCH(F56,IND!$D$29:$D$264,0)</f>
        <v>218</v>
      </c>
      <c r="F56" t="str">
        <f t="shared" si="0"/>
        <v>IOTH</v>
      </c>
      <c r="G56" s="112">
        <f ca="1">OFFSET(IND!J$28,$E56,0)</f>
        <v>3.1863804172999206</v>
      </c>
      <c r="H56" s="112">
        <f ca="1">OFFSET(IND!K$28,$E56,0)</f>
        <v>3.2751124150825612</v>
      </c>
      <c r="I56" s="112">
        <f ca="1">OFFSET(IND!L$28,$E56,0)</f>
        <v>3.3378663702877733</v>
      </c>
      <c r="J56" s="112">
        <f ca="1">OFFSET(IND!M$28,$E56,0)</f>
        <v>1.7274772800000002</v>
      </c>
      <c r="K56" s="112">
        <f ca="1">OFFSET(IND!N$28,$E56,0)</f>
        <v>1.7274772800000002</v>
      </c>
      <c r="L56" s="112">
        <f ca="1">OFFSET(IND!O$28,$E56,0)</f>
        <v>1.7274772800000002</v>
      </c>
      <c r="M56" s="112">
        <f ca="1">OFFSET(IND!P$28,$E56,0)</f>
        <v>1.7473807488376989</v>
      </c>
      <c r="N56" s="112">
        <f ca="1">OFFSET(IND!Q$28,$E56,0)</f>
        <v>1.7455084388856865</v>
      </c>
      <c r="O56" s="181">
        <f ca="1">OFFSET(IND!R$28,$E56,0)</f>
        <v>1.6191402317910648</v>
      </c>
      <c r="P56" s="112">
        <f ca="1">OFFSET(IND!S$28,$E56,0)</f>
        <v>1.6697159774615584</v>
      </c>
      <c r="Q56" s="112">
        <f ca="1">OFFSET(IND!T$28,$E56,0)</f>
        <v>1.7048181238900879</v>
      </c>
      <c r="R56" s="112">
        <f ca="1">OFFSET(IND!U$28,$E56,0)</f>
        <v>1.7431678158385358</v>
      </c>
      <c r="S56" s="112">
        <f ca="1">OFFSET(IND!V$28,$E56,0)</f>
        <v>1.7864365840892129</v>
      </c>
      <c r="T56" s="181">
        <f ca="1">OFFSET(IND!W$28,$E56,0)</f>
        <v>1.8282248536469861</v>
      </c>
      <c r="U56" s="112">
        <f ca="1">OFFSET(IND!X$28,$E56,0)</f>
        <v>1.8706817355176835</v>
      </c>
      <c r="V56" s="112">
        <f ca="1">OFFSET(IND!Y$28,$E56,0)</f>
        <v>1.9113238125390148</v>
      </c>
      <c r="W56" s="112">
        <f ca="1">OFFSET(IND!Z$28,$E56,0)</f>
        <v>1.9769433352503067</v>
      </c>
      <c r="X56" s="112">
        <f ca="1">OFFSET(IND!AA$28,$E56,0)</f>
        <v>2.0378348137487761</v>
      </c>
      <c r="Y56" s="112">
        <f ca="1">OFFSET(IND!AB$28,$E56,0)</f>
        <v>2.0847331916981857</v>
      </c>
      <c r="Z56" s="112">
        <f ca="1">OFFSET(IND!AC$28,$E56,0)</f>
        <v>2.1347358411004582</v>
      </c>
      <c r="AA56" s="112">
        <f ca="1">OFFSET(IND!AD$28,$E56,0)</f>
        <v>2.1866010533744489</v>
      </c>
      <c r="AB56" s="112">
        <f ca="1">OFFSET(IND!AE$28,$E56,0)</f>
        <v>2.2513131736610577</v>
      </c>
      <c r="AC56" s="112">
        <f ca="1">OFFSET(IND!AF$28,$E56,0)</f>
        <v>2.3186997431993639</v>
      </c>
      <c r="AD56" s="112">
        <f ca="1">OFFSET(IND!AG$28,$E56,0)</f>
        <v>2.4138337237240317</v>
      </c>
      <c r="AE56" s="112">
        <f ca="1">OFFSET(IND!AH$28,$E56,0)</f>
        <v>2.497410262839578</v>
      </c>
      <c r="AF56" s="112">
        <f ca="1">OFFSET(IND!AI$28,$E56,0)</f>
        <v>2.5324646512457556</v>
      </c>
      <c r="AG56" s="112">
        <f ca="1">OFFSET(IND!AJ$28,$E56,0)</f>
        <v>2.5778825305022606</v>
      </c>
      <c r="AH56" s="112">
        <f ca="1">OFFSET(IND!AK$28,$E56,0)</f>
        <v>2.6310372093797478</v>
      </c>
      <c r="AI56" s="112">
        <f ca="1">OFFSET(IND!AL$28,$E56,0)</f>
        <v>2.6930748804146591</v>
      </c>
      <c r="AJ56" s="112">
        <f ca="1">OFFSET(IND!AM$28,$E56,0)</f>
        <v>2.9927087126494807</v>
      </c>
      <c r="AK56" s="112">
        <f ca="1">OFFSET(IND!AN$28,$E56,0)</f>
        <v>3.2037036553994716</v>
      </c>
      <c r="AL56" s="112">
        <f ca="1">OFFSET(IND!AO$28,$E56,0)</f>
        <v>3.7291055786317568</v>
      </c>
      <c r="AM56" s="112">
        <f ca="1">OFFSET(IND!AP$28,$E56,0)</f>
        <v>4.2397343536165693</v>
      </c>
    </row>
    <row r="57" spans="1:39">
      <c r="A57" s="29" t="s">
        <v>357</v>
      </c>
      <c r="B57">
        <v>4.2714054259280001</v>
      </c>
      <c r="E57" s="115">
        <f ca="1">MATCH(F57,IND!$D$29:$D$264,0)</f>
        <v>214</v>
      </c>
      <c r="F57" t="str">
        <f t="shared" si="0"/>
        <v>IOTK</v>
      </c>
      <c r="G57" s="112">
        <f ca="1">OFFSET(IND!J$28,$E57,0)</f>
        <v>4.0241553496851505</v>
      </c>
      <c r="H57" s="112">
        <f ca="1">OFFSET(IND!K$28,$E57,0)</f>
        <v>4.1362170927295789</v>
      </c>
      <c r="I57" s="112">
        <f ca="1">OFFSET(IND!L$28,$E57,0)</f>
        <v>4.2154705500951453</v>
      </c>
      <c r="J57" s="112">
        <f ca="1">OFFSET(IND!M$28,$E57,0)</f>
        <v>2.1816720000000003</v>
      </c>
      <c r="K57" s="112">
        <f ca="1">OFFSET(IND!N$28,$E57,0)</f>
        <v>2.1816720000000003</v>
      </c>
      <c r="L57" s="112">
        <f ca="1">OFFSET(IND!O$28,$E57,0)</f>
        <v>2.1816720000000003</v>
      </c>
      <c r="M57" s="112">
        <f ca="1">OFFSET(IND!P$28,$E57,0)</f>
        <v>2.2068085625289617</v>
      </c>
      <c r="N57" s="112">
        <f ca="1">OFFSET(IND!Q$28,$E57,0)</f>
        <v>2.2044439779147855</v>
      </c>
      <c r="O57" s="181">
        <f ca="1">OFFSET(IND!R$28,$E57,0)</f>
        <v>2.0448505741112126</v>
      </c>
      <c r="P57" s="112">
        <f ca="1">OFFSET(IND!S$28,$E57,0)</f>
        <v>2.1087238820185892</v>
      </c>
      <c r="Q57" s="112">
        <f ca="1">OFFSET(IND!T$28,$E57,0)</f>
        <v>2.1530552147021789</v>
      </c>
      <c r="R57" s="112">
        <f ca="1">OFFSET(IND!U$28,$E57,0)</f>
        <v>2.20148794959323</v>
      </c>
      <c r="S57" s="112">
        <f ca="1">OFFSET(IND!V$28,$E57,0)</f>
        <v>2.256133102533818</v>
      </c>
      <c r="T57" s="181">
        <f ca="1">OFFSET(IND!W$28,$E57,0)</f>
        <v>2.3089084985857107</v>
      </c>
      <c r="U57" s="112">
        <f ca="1">OFFSET(IND!X$28,$E57,0)</f>
        <v>2.3625283009744331</v>
      </c>
      <c r="V57" s="112">
        <f ca="1">OFFSET(IND!Y$28,$E57,0)</f>
        <v>2.4138561433060453</v>
      </c>
      <c r="W57" s="112">
        <f ca="1">OFFSET(IND!Z$28,$E57,0)</f>
        <v>2.4967285937921031</v>
      </c>
      <c r="X57" s="112">
        <f ca="1">OFFSET(IND!AA$28,$E57,0)</f>
        <v>2.5736298851820036</v>
      </c>
      <c r="Y57" s="112">
        <f ca="1">OFFSET(IND!AB$28,$E57,0)</f>
        <v>2.6328589582368136</v>
      </c>
      <c r="Z57" s="112">
        <f ca="1">OFFSET(IND!AC$28,$E57,0)</f>
        <v>2.6960084892840497</v>
      </c>
      <c r="AA57" s="112">
        <f ca="1">OFFSET(IND!AD$28,$E57,0)</f>
        <v>2.7615102951267416</v>
      </c>
      <c r="AB57" s="112">
        <f ca="1">OFFSET(IND!AE$28,$E57,0)</f>
        <v>2.8432367655842437</v>
      </c>
      <c r="AC57" s="112">
        <f ca="1">OFFSET(IND!AF$28,$E57,0)</f>
        <v>2.9283408613890671</v>
      </c>
      <c r="AD57" s="112">
        <f ca="1">OFFSET(IND!AG$28,$E57,0)</f>
        <v>3.0484878201723471</v>
      </c>
      <c r="AE57" s="112">
        <f ca="1">OFFSET(IND!AH$28,$E57,0)</f>
        <v>3.1540386122761319</v>
      </c>
      <c r="AF57" s="112">
        <f ca="1">OFFSET(IND!AI$28,$E57,0)</f>
        <v>3.1983096302213765</v>
      </c>
      <c r="AG57" s="112">
        <f ca="1">OFFSET(IND!AJ$28,$E57,0)</f>
        <v>3.2556689463874902</v>
      </c>
      <c r="AH57" s="112">
        <f ca="1">OFFSET(IND!AK$28,$E57,0)</f>
        <v>3.322799250165497</v>
      </c>
      <c r="AI57" s="112">
        <f ca="1">OFFSET(IND!AL$28,$E57,0)</f>
        <v>3.4011480952756781</v>
      </c>
      <c r="AJ57" s="112">
        <f ca="1">OFFSET(IND!AM$28,$E57,0)</f>
        <v>3.7795627636523337</v>
      </c>
      <c r="AK57" s="112">
        <f ca="1">OFFSET(IND!AN$28,$E57,0)</f>
        <v>4.0460332776606327</v>
      </c>
      <c r="AL57" s="112">
        <f ca="1">OFFSET(IND!AO$28,$E57,0)</f>
        <v>4.7095758191069814</v>
      </c>
      <c r="AM57" s="112">
        <f ca="1">OFFSET(IND!AP$28,$E57,0)</f>
        <v>5.354461001491936</v>
      </c>
    </row>
    <row r="58" spans="1:39">
      <c r="A58" s="29" t="s">
        <v>358</v>
      </c>
      <c r="B58">
        <v>1.0716137343180001</v>
      </c>
      <c r="E58" s="115">
        <f ca="1">MATCH(F58,IND!$D$29:$D$264,0)</f>
        <v>216</v>
      </c>
      <c r="F58" t="str">
        <f t="shared" si="0"/>
        <v>IOTL</v>
      </c>
      <c r="G58" s="112">
        <f ca="1">OFFSET(IND!J$28,$E58,0)</f>
        <v>1.0095834302163471</v>
      </c>
      <c r="H58" s="112">
        <f ca="1">OFFSET(IND!K$28,$E58,0)</f>
        <v>1.0376975732122602</v>
      </c>
      <c r="I58" s="112">
        <f ca="1">OFFSET(IND!L$28,$E58,0)</f>
        <v>1.0575807462984816</v>
      </c>
      <c r="J58" s="112">
        <f ca="1">OFFSET(IND!M$28,$E58,0)</f>
        <v>0.54733968</v>
      </c>
      <c r="K58" s="112">
        <f ca="1">OFFSET(IND!N$28,$E58,0)</f>
        <v>0.54733968</v>
      </c>
      <c r="L58" s="112">
        <f ca="1">OFFSET(IND!O$28,$E58,0)</f>
        <v>0.54733968</v>
      </c>
      <c r="M58" s="112">
        <f ca="1">OFFSET(IND!P$28,$E58,0)</f>
        <v>0.55364596164586688</v>
      </c>
      <c r="N58" s="112">
        <f ca="1">OFFSET(IND!Q$28,$E58,0)</f>
        <v>0.55305273269758493</v>
      </c>
      <c r="O58" s="181">
        <f ca="1">OFFSET(IND!R$28,$E58,0)</f>
        <v>0.51301380724593215</v>
      </c>
      <c r="P58" s="112">
        <f ca="1">OFFSET(IND!S$28,$E58,0)</f>
        <v>0.52903839568569988</v>
      </c>
      <c r="Q58" s="112">
        <f ca="1">OFFSET(IND!T$28,$E58,0)</f>
        <v>0.54016027718072279</v>
      </c>
      <c r="R58" s="112">
        <f ca="1">OFFSET(IND!U$28,$E58,0)</f>
        <v>0.55231112186167974</v>
      </c>
      <c r="S58" s="112">
        <f ca="1">OFFSET(IND!V$28,$E58,0)</f>
        <v>0.56602054313309569</v>
      </c>
      <c r="T58" s="181">
        <f ca="1">OFFSET(IND!W$28,$E58,0)</f>
        <v>0.57926087824621819</v>
      </c>
      <c r="U58" s="112">
        <f ca="1">OFFSET(IND!X$28,$E58,0)</f>
        <v>0.59271305872115054</v>
      </c>
      <c r="V58" s="112">
        <f ca="1">OFFSET(IND!Y$28,$E58,0)</f>
        <v>0.60559023035688453</v>
      </c>
      <c r="W58" s="112">
        <f ca="1">OFFSET(IND!Z$28,$E58,0)</f>
        <v>0.62638133943737628</v>
      </c>
      <c r="X58" s="112">
        <f ca="1">OFFSET(IND!AA$28,$E58,0)</f>
        <v>0.64567439917364045</v>
      </c>
      <c r="Y58" s="112">
        <f ca="1">OFFSET(IND!AB$28,$E58,0)</f>
        <v>0.66053383812345334</v>
      </c>
      <c r="Z58" s="112">
        <f ca="1">OFFSET(IND!AC$28,$E58,0)</f>
        <v>0.67637684482452676</v>
      </c>
      <c r="AA58" s="112">
        <f ca="1">OFFSET(IND!AD$28,$E58,0)</f>
        <v>0.69280999217635653</v>
      </c>
      <c r="AB58" s="112">
        <f ca="1">OFFSET(IND!AE$28,$E58,0)</f>
        <v>0.71331359683724904</v>
      </c>
      <c r="AC58" s="112">
        <f ca="1">OFFSET(IND!AF$28,$E58,0)</f>
        <v>0.73466458294538139</v>
      </c>
      <c r="AD58" s="112">
        <f ca="1">OFFSET(IND!AG$28,$E58,0)</f>
        <v>0.76480715156862711</v>
      </c>
      <c r="AE58" s="112">
        <f ca="1">OFFSET(IND!AH$28,$E58,0)</f>
        <v>0.791287821794872</v>
      </c>
      <c r="AF58" s="112">
        <f ca="1">OFFSET(IND!AI$28,$E58,0)</f>
        <v>0.80239457147833704</v>
      </c>
      <c r="AG58" s="112">
        <f ca="1">OFFSET(IND!AJ$28,$E58,0)</f>
        <v>0.81678492426985638</v>
      </c>
      <c r="AH58" s="112">
        <f ca="1">OFFSET(IND!AK$28,$E58,0)</f>
        <v>0.83362663053374808</v>
      </c>
      <c r="AI58" s="112">
        <f ca="1">OFFSET(IND!AL$28,$E58,0)</f>
        <v>0.85328285374740076</v>
      </c>
      <c r="AJ58" s="112">
        <f ca="1">OFFSET(IND!AM$28,$E58,0)</f>
        <v>0.94821983946137833</v>
      </c>
      <c r="AK58" s="112">
        <f ca="1">OFFSET(IND!AN$28,$E58,0)</f>
        <v>1.0150721829239786</v>
      </c>
      <c r="AL58" s="112">
        <f ca="1">OFFSET(IND!AO$28,$E58,0)</f>
        <v>1.1815422858091196</v>
      </c>
      <c r="AM58" s="112">
        <f ca="1">OFFSET(IND!AP$28,$E58,0)</f>
        <v>1.3433316149856975</v>
      </c>
    </row>
    <row r="59" spans="1:39">
      <c r="A59" s="29" t="s">
        <v>359</v>
      </c>
      <c r="B59">
        <v>13.06049710462</v>
      </c>
      <c r="E59" s="115">
        <f ca="1">MATCH(F59,IND!$D$29:$D$264,0)</f>
        <v>221</v>
      </c>
      <c r="F59" t="str">
        <f t="shared" si="0"/>
        <v>IOTO</v>
      </c>
      <c r="G59" s="112">
        <f ca="1">OFFSET(IND!J$28,$E59,0)</f>
        <v>12.304490923310874</v>
      </c>
      <c r="H59" s="112">
        <f ca="1">OFFSET(IND!K$28,$E59,0)</f>
        <v>12.647137411908401</v>
      </c>
      <c r="I59" s="112">
        <f ca="1">OFFSET(IND!L$28,$E59,0)</f>
        <v>12.889467382313724</v>
      </c>
      <c r="J59" s="112">
        <f ca="1">OFFSET(IND!M$28,$E59,0)</f>
        <v>6.6708069120000006</v>
      </c>
      <c r="K59" s="112">
        <f ca="1">OFFSET(IND!N$28,$E59,0)</f>
        <v>6.6708069120000006</v>
      </c>
      <c r="L59" s="112">
        <f ca="1">OFFSET(IND!O$28,$E59,0)</f>
        <v>6.6708069120000006</v>
      </c>
      <c r="M59" s="112">
        <f ca="1">OFFSET(IND!P$28,$E59,0)</f>
        <v>6.7476659242906267</v>
      </c>
      <c r="N59" s="112">
        <f ca="1">OFFSET(IND!Q$28,$E59,0)</f>
        <v>6.7404358331549039</v>
      </c>
      <c r="O59" s="181">
        <f ca="1">OFFSET(IND!R$28,$E59,0)</f>
        <v>6.2524537803062268</v>
      </c>
      <c r="P59" s="112">
        <f ca="1">OFFSET(IND!S$28,$E59,0)</f>
        <v>6.4477565132013783</v>
      </c>
      <c r="Q59" s="112">
        <f ca="1">OFFSET(IND!T$28,$E59,0)</f>
        <v>6.5833065686101939</v>
      </c>
      <c r="R59" s="112">
        <f ca="1">OFFSET(IND!U$28,$E59,0)</f>
        <v>6.7313973094173765</v>
      </c>
      <c r="S59" s="112">
        <f ca="1">OFFSET(IND!V$28,$E59,0)</f>
        <v>6.8984835001662024</v>
      </c>
      <c r="T59" s="181">
        <f ca="1">OFFSET(IND!W$28,$E59,0)</f>
        <v>7.0598526137481263</v>
      </c>
      <c r="U59" s="112">
        <f ca="1">OFFSET(IND!X$28,$E59,0)</f>
        <v>7.2238036331473596</v>
      </c>
      <c r="V59" s="112">
        <f ca="1">OFFSET(IND!Y$28,$E59,0)</f>
        <v>7.3807466224710359</v>
      </c>
      <c r="W59" s="112">
        <f ca="1">OFFSET(IND!Z$28,$E59,0)</f>
        <v>7.6341422362556797</v>
      </c>
      <c r="X59" s="112">
        <f ca="1">OFFSET(IND!AA$28,$E59,0)</f>
        <v>7.8692800874750546</v>
      </c>
      <c r="Y59" s="112">
        <f ca="1">OFFSET(IND!AB$28,$E59,0)</f>
        <v>8.0503823383749964</v>
      </c>
      <c r="Z59" s="112">
        <f ca="1">OFFSET(IND!AC$28,$E59,0)</f>
        <v>8.2434720091410245</v>
      </c>
      <c r="AA59" s="112">
        <f ca="1">OFFSET(IND!AD$28,$E59,0)</f>
        <v>8.4437541318267044</v>
      </c>
      <c r="AB59" s="112">
        <f ca="1">OFFSET(IND!AE$28,$E59,0)</f>
        <v>8.6936457305735679</v>
      </c>
      <c r="AC59" s="112">
        <f ca="1">OFFSET(IND!AF$28,$E59,0)</f>
        <v>8.9538649525896759</v>
      </c>
      <c r="AD59" s="112">
        <f ca="1">OFFSET(IND!AG$28,$E59,0)</f>
        <v>9.3212332660241817</v>
      </c>
      <c r="AE59" s="112">
        <f ca="1">OFFSET(IND!AH$28,$E59,0)</f>
        <v>9.6439714931880278</v>
      </c>
      <c r="AF59" s="112">
        <f ca="1">OFFSET(IND!AI$28,$E59,0)</f>
        <v>9.7793371267527505</v>
      </c>
      <c r="AG59" s="112">
        <f ca="1">OFFSET(IND!AJ$28,$E59,0)</f>
        <v>9.9547223004857894</v>
      </c>
      <c r="AH59" s="112">
        <f ca="1">OFFSET(IND!AK$28,$E59,0)</f>
        <v>10.159983812961995</v>
      </c>
      <c r="AI59" s="112">
        <f ca="1">OFFSET(IND!AL$28,$E59,0)</f>
        <v>10.399547788439618</v>
      </c>
      <c r="AJ59" s="112">
        <f ca="1">OFFSET(IND!AM$28,$E59,0)</f>
        <v>11.556610438283034</v>
      </c>
      <c r="AK59" s="112">
        <f ca="1">OFFSET(IND!AN$28,$E59,0)</f>
        <v>12.37138614548868</v>
      </c>
      <c r="AL59" s="112">
        <f ca="1">OFFSET(IND!AO$28,$E59,0)</f>
        <v>14.400272326310708</v>
      </c>
      <c r="AM59" s="112">
        <f ca="1">OFFSET(IND!AP$28,$E59,0)</f>
        <v>16.372110683359768</v>
      </c>
    </row>
    <row r="60" spans="1:39">
      <c r="A60" s="29" t="s">
        <v>360</v>
      </c>
      <c r="B60">
        <v>4.6033799408959997</v>
      </c>
      <c r="E60" s="115">
        <f ca="1">MATCH(F60,IND!$D$29:$D$264,0)</f>
        <v>219</v>
      </c>
      <c r="F60" t="str">
        <f t="shared" si="0"/>
        <v>IOTP</v>
      </c>
      <c r="G60" s="112">
        <f ca="1">OFFSET(IND!J$28,$E60,0)</f>
        <v>4.3369135374845138</v>
      </c>
      <c r="H60" s="112">
        <f ca="1">OFFSET(IND!K$28,$E60,0)</f>
        <v>4.457684742423587</v>
      </c>
      <c r="I60" s="112">
        <f ca="1">OFFSET(IND!L$28,$E60,0)</f>
        <v>4.5430977949211924</v>
      </c>
      <c r="J60" s="112">
        <f ca="1">OFFSET(IND!M$28,$E60,0)</f>
        <v>2.3512320000000004</v>
      </c>
      <c r="K60" s="112">
        <f ca="1">OFFSET(IND!N$28,$E60,0)</f>
        <v>2.3512320000000004</v>
      </c>
      <c r="L60" s="112">
        <f ca="1">OFFSET(IND!O$28,$E60,0)</f>
        <v>2.3512320000000004</v>
      </c>
      <c r="M60" s="112">
        <f ca="1">OFFSET(IND!P$28,$E60,0)</f>
        <v>2.3783221813783628</v>
      </c>
      <c r="N60" s="112">
        <f ca="1">OFFSET(IND!Q$28,$E60,0)</f>
        <v>2.3757738207579036</v>
      </c>
      <c r="O60" s="181">
        <f ca="1">OFFSET(IND!R$28,$E60,0)</f>
        <v>2.2037767845343641</v>
      </c>
      <c r="P60" s="112">
        <f ca="1">OFFSET(IND!S$28,$E60,0)</f>
        <v>2.2726143391702931</v>
      </c>
      <c r="Q60" s="112">
        <f ca="1">OFFSET(IND!T$28,$E60,0)</f>
        <v>2.3203911122178922</v>
      </c>
      <c r="R60" s="112">
        <f ca="1">OFFSET(IND!U$28,$E60,0)</f>
        <v>2.3725880493025482</v>
      </c>
      <c r="S60" s="112">
        <f ca="1">OFFSET(IND!V$28,$E60,0)</f>
        <v>2.431480234855099</v>
      </c>
      <c r="T60" s="181">
        <f ca="1">OFFSET(IND!W$28,$E60,0)</f>
        <v>2.4883573456260506</v>
      </c>
      <c r="U60" s="112">
        <f ca="1">OFFSET(IND!X$28,$E60,0)</f>
        <v>2.5461444901693371</v>
      </c>
      <c r="V60" s="112">
        <f ca="1">OFFSET(IND!Y$28,$E60,0)</f>
        <v>2.6014615430448567</v>
      </c>
      <c r="W60" s="112">
        <f ca="1">OFFSET(IND!Z$28,$E60,0)</f>
        <v>2.6907748575583281</v>
      </c>
      <c r="X60" s="112">
        <f ca="1">OFFSET(IND!AA$28,$E60,0)</f>
        <v>2.7736529332531434</v>
      </c>
      <c r="Y60" s="112">
        <f ca="1">OFFSET(IND!AB$28,$E60,0)</f>
        <v>2.8374853021412285</v>
      </c>
      <c r="Z60" s="112">
        <f ca="1">OFFSET(IND!AC$28,$E60,0)</f>
        <v>2.9055428278294415</v>
      </c>
      <c r="AA60" s="112">
        <f ca="1">OFFSET(IND!AD$28,$E60,0)</f>
        <v>2.9761354475977311</v>
      </c>
      <c r="AB60" s="112">
        <f ca="1">OFFSET(IND!AE$28,$E60,0)</f>
        <v>3.0642137162773189</v>
      </c>
      <c r="AC60" s="112">
        <f ca="1">OFFSET(IND!AF$28,$E60,0)</f>
        <v>3.155932120046248</v>
      </c>
      <c r="AD60" s="112">
        <f ca="1">OFFSET(IND!AG$28,$E60,0)</f>
        <v>3.2854169253670888</v>
      </c>
      <c r="AE60" s="112">
        <f ca="1">OFFSET(IND!AH$28,$E60,0)</f>
        <v>3.399171146908992</v>
      </c>
      <c r="AF60" s="112">
        <f ca="1">OFFSET(IND!AI$28,$E60,0)</f>
        <v>3.4468829175442814</v>
      </c>
      <c r="AG60" s="112">
        <f ca="1">OFFSET(IND!AJ$28,$E60,0)</f>
        <v>3.5087002116507668</v>
      </c>
      <c r="AH60" s="112">
        <f ca="1">OFFSET(IND!AK$28,$E60,0)</f>
        <v>3.581047896551417</v>
      </c>
      <c r="AI60" s="112">
        <f ca="1">OFFSET(IND!AL$28,$E60,0)</f>
        <v>3.6654860301416643</v>
      </c>
      <c r="AJ60" s="112">
        <f ca="1">OFFSET(IND!AM$28,$E60,0)</f>
        <v>4.0733111649724645</v>
      </c>
      <c r="AK60" s="112">
        <f ca="1">OFFSET(IND!AN$28,$E60,0)</f>
        <v>4.3604918225565381</v>
      </c>
      <c r="AL60" s="112">
        <f ca="1">OFFSET(IND!AO$28,$E60,0)</f>
        <v>5.0756050278458673</v>
      </c>
      <c r="AM60" s="112">
        <f ca="1">OFFSET(IND!AP$28,$E60,0)</f>
        <v>5.7706108202607416</v>
      </c>
    </row>
    <row r="61" spans="1:39">
      <c r="A61" s="29" t="s">
        <v>361</v>
      </c>
      <c r="B61">
        <v>109.842732955</v>
      </c>
      <c r="E61" s="115">
        <f ca="1">MATCH(F61,IND!$D$29:$D$264,0)</f>
        <v>224</v>
      </c>
      <c r="F61" t="str">
        <f t="shared" si="0"/>
        <v>IOTS</v>
      </c>
      <c r="G61" s="112">
        <f ca="1">OFFSET(IND!J$28,$E61,0)</f>
        <v>73.690487252999532</v>
      </c>
      <c r="H61" s="112">
        <f ca="1">OFFSET(IND!K$28,$E61,0)</f>
        <v>75.742566193741837</v>
      </c>
      <c r="I61" s="112">
        <f ca="1">OFFSET(IND!L$28,$E61,0)</f>
        <v>77.193858547604464</v>
      </c>
      <c r="J61" s="112">
        <f ca="1">OFFSET(IND!M$28,$E61,0)</f>
        <v>68.533420800000002</v>
      </c>
      <c r="K61" s="112">
        <f ca="1">OFFSET(IND!N$28,$E61,0)</f>
        <v>68.533420800000002</v>
      </c>
      <c r="L61" s="112">
        <f ca="1">OFFSET(IND!O$28,$E61,0)</f>
        <v>68.533420800000002</v>
      </c>
      <c r="M61" s="112">
        <f ca="1">OFFSET(IND!P$28,$E61,0)</f>
        <v>69.323042070870599</v>
      </c>
      <c r="N61" s="112">
        <f ca="1">OFFSET(IND!Q$28,$E61,0)</f>
        <v>69.248762769316315</v>
      </c>
      <c r="O61" s="181">
        <f ca="1">OFFSET(IND!R$28,$E61,0)</f>
        <v>64.23541433757471</v>
      </c>
      <c r="P61" s="112">
        <f ca="1">OFFSET(IND!S$28,$E61,0)</f>
        <v>66.241882903291369</v>
      </c>
      <c r="Q61" s="112">
        <f ca="1">OFFSET(IND!T$28,$E61,0)</f>
        <v>67.634474400743429</v>
      </c>
      <c r="R61" s="112">
        <f ca="1">OFFSET(IND!U$28,$E61,0)</f>
        <v>69.155904295238685</v>
      </c>
      <c r="S61" s="112">
        <f ca="1">OFFSET(IND!V$28,$E61,0)</f>
        <v>70.872486467608169</v>
      </c>
      <c r="T61" s="181">
        <f ca="1">OFFSET(IND!W$28,$E61,0)</f>
        <v>72.530333488384443</v>
      </c>
      <c r="U61" s="112">
        <f ca="1">OFFSET(IND!X$28,$E61,0)</f>
        <v>74.214706061493132</v>
      </c>
      <c r="V61" s="112">
        <f ca="1">OFFSET(IND!Y$28,$E61,0)</f>
        <v>75.827080706842395</v>
      </c>
      <c r="W61" s="112">
        <f ca="1">OFFSET(IND!Z$28,$E61,0)</f>
        <v>78.430374200038514</v>
      </c>
      <c r="X61" s="112">
        <f ca="1">OFFSET(IND!AA$28,$E61,0)</f>
        <v>80.846094144598226</v>
      </c>
      <c r="Y61" s="112">
        <f ca="1">OFFSET(IND!AB$28,$E61,0)</f>
        <v>82.706672172486563</v>
      </c>
      <c r="Z61" s="112">
        <f ca="1">OFFSET(IND!AC$28,$E61,0)</f>
        <v>84.690404550489717</v>
      </c>
      <c r="AA61" s="112">
        <f ca="1">OFFSET(IND!AD$28,$E61,0)</f>
        <v>86.748029538561752</v>
      </c>
      <c r="AB61" s="112">
        <f ca="1">OFFSET(IND!AE$28,$E61,0)</f>
        <v>89.315324067878151</v>
      </c>
      <c r="AC61" s="112">
        <f ca="1">OFFSET(IND!AF$28,$E61,0)</f>
        <v>91.988720806524242</v>
      </c>
      <c r="AD61" s="112">
        <f ca="1">OFFSET(IND!AG$28,$E61,0)</f>
        <v>95.762927966965776</v>
      </c>
      <c r="AE61" s="112">
        <f ca="1">OFFSET(IND!AH$28,$E61,0)</f>
        <v>99.078622008518309</v>
      </c>
      <c r="AF61" s="112">
        <f ca="1">OFFSET(IND!AI$28,$E61,0)</f>
        <v>100.46931882366091</v>
      </c>
      <c r="AG61" s="112">
        <f ca="1">OFFSET(IND!AJ$28,$E61,0)</f>
        <v>102.27116169995602</v>
      </c>
      <c r="AH61" s="112">
        <f ca="1">OFFSET(IND!AK$28,$E61,0)</f>
        <v>104.37994311038344</v>
      </c>
      <c r="AI61" s="112">
        <f ca="1">OFFSET(IND!AL$28,$E61,0)</f>
        <v>106.84113543037016</v>
      </c>
      <c r="AJ61" s="112">
        <f ca="1">OFFSET(IND!AM$28,$E61,0)</f>
        <v>118.72837223991338</v>
      </c>
      <c r="AK61" s="112">
        <f ca="1">OFFSET(IND!AN$28,$E61,0)</f>
        <v>127.09907868310148</v>
      </c>
      <c r="AL61" s="112">
        <f ca="1">OFFSET(IND!AO$28,$E61,0)</f>
        <v>147.94311033022538</v>
      </c>
      <c r="AM61" s="112">
        <f ca="1">OFFSET(IND!AP$28,$E61,0)</f>
        <v>168.20105358295672</v>
      </c>
    </row>
    <row r="62" spans="1:39">
      <c r="A62" s="29" t="s">
        <v>362</v>
      </c>
      <c r="B62">
        <v>9.3435013244270007</v>
      </c>
      <c r="E62" s="114">
        <f>MATCH(F62,RES!$D$96:$D$134,0)</f>
        <v>28</v>
      </c>
      <c r="F62" t="str">
        <f t="shared" si="0"/>
        <v>RHEH</v>
      </c>
      <c r="G62" s="112">
        <f ca="1">OFFSET(RES!J$95,$E62,0)</f>
        <v>7.5410126179469659</v>
      </c>
      <c r="H62" s="112">
        <f ca="1">OFFSET(RES!K$95,$E62,0)</f>
        <v>6.9154335375640121</v>
      </c>
      <c r="I62" s="112">
        <f ca="1">OFFSET(RES!L$95,$E62,0)</f>
        <v>6.2898544571810575</v>
      </c>
      <c r="J62" s="112">
        <f ca="1">OFFSET(RES!M$95,$E62,0)</f>
        <v>5.6642753767981038</v>
      </c>
      <c r="K62" s="112">
        <f ca="1">OFFSET(RES!N$95,$E62,0)</f>
        <v>5.03869629641515</v>
      </c>
      <c r="L62" s="112">
        <f ca="1">OFFSET(RES!O$95,$E62,0)</f>
        <v>4.4131172160321963</v>
      </c>
      <c r="M62" s="112">
        <f ca="1">OFFSET(RES!P$95,$E62,0)</f>
        <v>4.5762578041988755</v>
      </c>
      <c r="N62" s="112">
        <f ca="1">OFFSET(RES!Q$95,$E62,0)</f>
        <v>4.6439314296789611</v>
      </c>
      <c r="O62" s="181">
        <f ca="1">OFFSET(RES!R$95,$E62,0)</f>
        <v>3.9219471003616979</v>
      </c>
      <c r="P62" s="112">
        <f ca="1">OFFSET(RES!S$95,$E62,0)</f>
        <v>3.9791310220077274</v>
      </c>
      <c r="Q62" s="112">
        <f ca="1">OFFSET(RES!T$95,$E62,0)</f>
        <v>4.032412069067516</v>
      </c>
      <c r="R62" s="112">
        <f ca="1">OFFSET(RES!U$95,$E62,0)</f>
        <v>4.1030670603893684</v>
      </c>
      <c r="S62" s="112">
        <f ca="1">OFFSET(RES!V$95,$E62,0)</f>
        <v>4.2742622464594122</v>
      </c>
      <c r="T62" s="181">
        <f ca="1">OFFSET(RES!W$95,$E62,0)</f>
        <v>4.4447662939993151</v>
      </c>
      <c r="U62" s="112">
        <f ca="1">OFFSET(RES!X$95,$E62,0)</f>
        <v>4.5957997534950641</v>
      </c>
      <c r="V62" s="112">
        <f ca="1">OFFSET(RES!Y$95,$E62,0)</f>
        <v>4.7266078988880551</v>
      </c>
      <c r="W62" s="112">
        <f ca="1">OFFSET(RES!Z$95,$E62,0)</f>
        <v>4.8149667502598703</v>
      </c>
      <c r="X62" s="112">
        <f ca="1">OFFSET(RES!AA$95,$E62,0)</f>
        <v>4.9897456599313585</v>
      </c>
      <c r="Y62" s="112">
        <f ca="1">OFFSET(RES!AB$95,$E62,0)</f>
        <v>5.1604833000940751</v>
      </c>
      <c r="Z62" s="112">
        <f ca="1">OFFSET(RES!AC$95,$E62,0)</f>
        <v>5.3816717044503113</v>
      </c>
      <c r="AA62" s="112">
        <f ca="1">OFFSET(RES!AD$95,$E62,0)</f>
        <v>5.5937851222454826</v>
      </c>
      <c r="AB62" s="112">
        <f ca="1">OFFSET(RES!AE$95,$E62,0)</f>
        <v>5.8357147030509164</v>
      </c>
      <c r="AC62" s="112">
        <f ca="1">OFFSET(RES!AF$95,$E62,0)</f>
        <v>6.0853165698480458</v>
      </c>
      <c r="AD62" s="112">
        <f ca="1">OFFSET(RES!AG$95,$E62,0)</f>
        <v>6.2456645633702941</v>
      </c>
      <c r="AE62" s="112">
        <f ca="1">OFFSET(RES!AH$95,$E62,0)</f>
        <v>6.3606363716144889</v>
      </c>
      <c r="AF62" s="112">
        <f ca="1">OFFSET(RES!AI$95,$E62,0)</f>
        <v>6.52165916363706</v>
      </c>
      <c r="AG62" s="112">
        <f ca="1">OFFSET(RES!AJ$95,$E62,0)</f>
        <v>6.67637093863617</v>
      </c>
      <c r="AH62" s="112">
        <f ca="1">OFFSET(RES!AK$95,$E62,0)</f>
        <v>6.898482453090911</v>
      </c>
      <c r="AI62" s="112">
        <f ca="1">OFFSET(RES!AL$95,$E62,0)</f>
        <v>7.0607675380136499</v>
      </c>
      <c r="AJ62" s="112">
        <f ca="1">OFFSET(RES!AM$95,$E62,0)</f>
        <v>8.011171833228623</v>
      </c>
      <c r="AK62" s="112">
        <f ca="1">OFFSET(RES!AN$95,$E62,0)</f>
        <v>8.5712911371432039</v>
      </c>
      <c r="AL62" s="112">
        <f ca="1">OFFSET(RES!AO$95,$E62,0)</f>
        <v>8.5712911371432039</v>
      </c>
      <c r="AM62" s="112">
        <f ca="1">OFFSET(RES!AP$95,$E62,0)</f>
        <v>8.5712911371432039</v>
      </c>
    </row>
    <row r="63" spans="1:39">
      <c r="A63" s="29" t="s">
        <v>363</v>
      </c>
      <c r="B63">
        <v>3.5355599850489998</v>
      </c>
      <c r="E63" s="115">
        <f>MATCH(F63,RES!$D$96:$D$134,0)</f>
        <v>27</v>
      </c>
      <c r="F63" t="str">
        <f t="shared" si="0"/>
        <v>RHEK</v>
      </c>
      <c r="G63" s="112">
        <f ca="1">OFFSET(RES!J$95,$E63,0)</f>
        <v>4.1434823331544619</v>
      </c>
      <c r="H63" s="112">
        <f ca="1">OFFSET(RES!K$95,$E63,0)</f>
        <v>4.7072467193450924</v>
      </c>
      <c r="I63" s="112">
        <f ca="1">OFFSET(RES!L$95,$E63,0)</f>
        <v>5.2710111055357238</v>
      </c>
      <c r="J63" s="112">
        <f ca="1">OFFSET(RES!M$95,$E63,0)</f>
        <v>5.8347754917263543</v>
      </c>
      <c r="K63" s="112">
        <f ca="1">OFFSET(RES!N$95,$E63,0)</f>
        <v>6.3985398779169849</v>
      </c>
      <c r="L63" s="112">
        <f ca="1">OFFSET(RES!O$95,$E63,0)</f>
        <v>6.9623042641076154</v>
      </c>
      <c r="M63" s="112">
        <f ca="1">OFFSET(RES!P$95,$E63,0)</f>
        <v>7.2196811605370996</v>
      </c>
      <c r="N63" s="112">
        <f ca="1">OFFSET(RES!Q$95,$E63,0)</f>
        <v>7.326445687329171</v>
      </c>
      <c r="O63" s="181">
        <f ca="1">OFFSET(RES!R$95,$E63,0)</f>
        <v>6.1874153084479353</v>
      </c>
      <c r="P63" s="112">
        <f ca="1">OFFSET(RES!S$95,$E63,0)</f>
        <v>6.2776308730987438</v>
      </c>
      <c r="Q63" s="112">
        <f ca="1">OFFSET(RES!T$95,$E63,0)</f>
        <v>6.3616891119764345</v>
      </c>
      <c r="R63" s="112">
        <f ca="1">OFFSET(RES!U$95,$E63,0)</f>
        <v>6.4731571567348061</v>
      </c>
      <c r="S63" s="112">
        <f ca="1">OFFSET(RES!V$95,$E63,0)</f>
        <v>6.7432412980850787</v>
      </c>
      <c r="T63" s="181">
        <f ca="1">OFFSET(RES!W$95,$E63,0)</f>
        <v>7.012235072581281</v>
      </c>
      <c r="U63" s="112">
        <f ca="1">OFFSET(RES!X$95,$E63,0)</f>
        <v>7.2505112949417674</v>
      </c>
      <c r="V63" s="112">
        <f ca="1">OFFSET(RES!Y$95,$E63,0)</f>
        <v>7.4568792801702362</v>
      </c>
      <c r="W63" s="112">
        <f ca="1">OFFSET(RES!Z$95,$E63,0)</f>
        <v>7.5962776187058143</v>
      </c>
      <c r="X63" s="112">
        <f ca="1">OFFSET(RES!AA$95,$E63,0)</f>
        <v>7.87201558090206</v>
      </c>
      <c r="Y63" s="112">
        <f ca="1">OFFSET(RES!AB$95,$E63,0)</f>
        <v>8.1413778801471572</v>
      </c>
      <c r="Z63" s="112">
        <f ca="1">OFFSET(RES!AC$95,$E63,0)</f>
        <v>8.4903332546443639</v>
      </c>
      <c r="AA63" s="112">
        <f ca="1">OFFSET(RES!AD$95,$E63,0)</f>
        <v>8.8249715796416641</v>
      </c>
      <c r="AB63" s="112">
        <f ca="1">OFFSET(RES!AE$95,$E63,0)</f>
        <v>9.2066490356440358</v>
      </c>
      <c r="AC63" s="112">
        <f ca="1">OFFSET(RES!AF$95,$E63,0)</f>
        <v>9.6004305865209751</v>
      </c>
      <c r="AD63" s="112">
        <f ca="1">OFFSET(RES!AG$95,$E63,0)</f>
        <v>9.8534017777201051</v>
      </c>
      <c r="AE63" s="112">
        <f ca="1">OFFSET(RES!AH$95,$E63,0)</f>
        <v>10.034785745470325</v>
      </c>
      <c r="AF63" s="112">
        <f ca="1">OFFSET(RES!AI$95,$E63,0)</f>
        <v>10.288821524861026</v>
      </c>
      <c r="AG63" s="112">
        <f ca="1">OFFSET(RES!AJ$95,$E63,0)</f>
        <v>10.532900799907434</v>
      </c>
      <c r="AH63" s="112">
        <f ca="1">OFFSET(RES!AK$95,$E63,0)</f>
        <v>10.88331250856946</v>
      </c>
      <c r="AI63" s="112">
        <f ca="1">OFFSET(RES!AL$95,$E63,0)</f>
        <v>11.139339730020541</v>
      </c>
      <c r="AJ63" s="112">
        <f ca="1">OFFSET(RES!AM$95,$E63,0)</f>
        <v>12.638734274349167</v>
      </c>
      <c r="AK63" s="112">
        <f ca="1">OFFSET(RES!AN$95,$E63,0)</f>
        <v>13.522400133911285</v>
      </c>
      <c r="AL63" s="112">
        <f ca="1">OFFSET(RES!AO$95,$E63,0)</f>
        <v>13.522400133911285</v>
      </c>
      <c r="AM63" s="112">
        <f ca="1">OFFSET(RES!AP$95,$E63,0)</f>
        <v>13.522400133911285</v>
      </c>
    </row>
    <row r="64" spans="1:39">
      <c r="A64" s="29" t="s">
        <v>364</v>
      </c>
      <c r="B64">
        <v>27.200595464100001</v>
      </c>
      <c r="E64" s="115">
        <f>MATCH(F64,RES!$D$96:$D$134,0)</f>
        <v>26</v>
      </c>
      <c r="F64" t="str">
        <f t="shared" si="0"/>
        <v>RHEL</v>
      </c>
      <c r="G64" s="112">
        <f ca="1">OFFSET(RES!J$95,$E64,0)</f>
        <v>19.26548276515534</v>
      </c>
      <c r="H64" s="112">
        <f ca="1">OFFSET(RES!K$95,$E64,0)</f>
        <v>19.332459613862554</v>
      </c>
      <c r="I64" s="112">
        <f ca="1">OFFSET(RES!L$95,$E64,0)</f>
        <v>19.399436462569771</v>
      </c>
      <c r="J64" s="112">
        <f ca="1">OFFSET(RES!M$95,$E64,0)</f>
        <v>19.466413311276984</v>
      </c>
      <c r="K64" s="112">
        <f ca="1">OFFSET(RES!N$95,$E64,0)</f>
        <v>19.533390159984201</v>
      </c>
      <c r="L64" s="112">
        <f ca="1">OFFSET(RES!O$95,$E64,0)</f>
        <v>19.600367008691414</v>
      </c>
      <c r="M64" s="112">
        <f ca="1">OFFSET(RES!P$95,$E64,0)</f>
        <v>20.324937702273772</v>
      </c>
      <c r="N64" s="112">
        <f ca="1">OFFSET(RES!Q$95,$E64,0)</f>
        <v>20.625502548228848</v>
      </c>
      <c r="O64" s="181">
        <f ca="1">OFFSET(RES!R$95,$E64,0)</f>
        <v>17.418889821575398</v>
      </c>
      <c r="P64" s="112">
        <f ca="1">OFFSET(RES!S$95,$E64,0)</f>
        <v>17.67286582003441</v>
      </c>
      <c r="Q64" s="112">
        <f ca="1">OFFSET(RES!T$95,$E64,0)</f>
        <v>17.909507637112217</v>
      </c>
      <c r="R64" s="112">
        <f ca="1">OFFSET(RES!U$95,$E64,0)</f>
        <v>18.223313886326086</v>
      </c>
      <c r="S64" s="112">
        <f ca="1">OFFSET(RES!V$95,$E64,0)</f>
        <v>18.983658176503578</v>
      </c>
      <c r="T64" s="181">
        <f ca="1">OFFSET(RES!W$95,$E64,0)</f>
        <v>19.740932852124857</v>
      </c>
      <c r="U64" s="112">
        <f ca="1">OFFSET(RES!X$95,$E64,0)</f>
        <v>20.411731086523581</v>
      </c>
      <c r="V64" s="112">
        <f ca="1">OFFSET(RES!Y$95,$E64,0)</f>
        <v>20.992700848240915</v>
      </c>
      <c r="W64" s="112">
        <f ca="1">OFFSET(RES!Z$95,$E64,0)</f>
        <v>21.385136813699162</v>
      </c>
      <c r="X64" s="112">
        <f ca="1">OFFSET(RES!AA$95,$E64,0)</f>
        <v>22.161397811819704</v>
      </c>
      <c r="Y64" s="112">
        <f ca="1">OFFSET(RES!AB$95,$E64,0)</f>
        <v>22.919709962974387</v>
      </c>
      <c r="Z64" s="112">
        <f ca="1">OFFSET(RES!AC$95,$E64,0)</f>
        <v>23.902093546102272</v>
      </c>
      <c r="AA64" s="112">
        <f ca="1">OFFSET(RES!AD$95,$E64,0)</f>
        <v>24.844171590426516</v>
      </c>
      <c r="AB64" s="112">
        <f ca="1">OFFSET(RES!AE$95,$E64,0)</f>
        <v>25.918674791206843</v>
      </c>
      <c r="AC64" s="112">
        <f ca="1">OFFSET(RES!AF$95,$E64,0)</f>
        <v>27.027253592944827</v>
      </c>
      <c r="AD64" s="112">
        <f ca="1">OFFSET(RES!AG$95,$E64,0)</f>
        <v>27.739421289448725</v>
      </c>
      <c r="AE64" s="112">
        <f ca="1">OFFSET(RES!AH$95,$E64,0)</f>
        <v>28.250055729216722</v>
      </c>
      <c r="AF64" s="112">
        <f ca="1">OFFSET(RES!AI$95,$E64,0)</f>
        <v>28.965220467860174</v>
      </c>
      <c r="AG64" s="112">
        <f ca="1">OFFSET(RES!AJ$95,$E64,0)</f>
        <v>29.652355529564939</v>
      </c>
      <c r="AH64" s="112">
        <f ca="1">OFFSET(RES!AK$95,$E64,0)</f>
        <v>30.638839003050236</v>
      </c>
      <c r="AI64" s="112">
        <f ca="1">OFFSET(RES!AL$95,$E64,0)</f>
        <v>31.35961007456558</v>
      </c>
      <c r="AJ64" s="112">
        <f ca="1">OFFSET(RES!AM$95,$E64,0)</f>
        <v>35.580724556903924</v>
      </c>
      <c r="AK64" s="112">
        <f ca="1">OFFSET(RES!AN$95,$E64,0)</f>
        <v>38.068431859464376</v>
      </c>
      <c r="AL64" s="112">
        <f ca="1">OFFSET(RES!AO$95,$E64,0)</f>
        <v>38.068431859464376</v>
      </c>
      <c r="AM64" s="112">
        <f ca="1">OFFSET(RES!AP$95,$E64,0)</f>
        <v>38.068431859464376</v>
      </c>
    </row>
    <row r="65" spans="1:39">
      <c r="A65" s="29" t="s">
        <v>365</v>
      </c>
      <c r="B65">
        <v>11.63227160329</v>
      </c>
      <c r="E65" s="115">
        <f>MATCH(F65,RES!$D$96:$D$134,0)</f>
        <v>32</v>
      </c>
      <c r="F65" t="str">
        <f t="shared" si="0"/>
        <v>RHEO</v>
      </c>
      <c r="G65" s="112">
        <f ca="1">OFFSET(RES!J$95,$E65,0)</f>
        <v>12.567032680070476</v>
      </c>
      <c r="H65" s="112">
        <f ca="1">OFFSET(RES!K$95,$E65,0)</f>
        <v>12.568779819506284</v>
      </c>
      <c r="I65" s="112">
        <f ca="1">OFFSET(RES!L$95,$E65,0)</f>
        <v>12.570526958942095</v>
      </c>
      <c r="J65" s="112">
        <f ca="1">OFFSET(RES!M$95,$E65,0)</f>
        <v>12.572274098377903</v>
      </c>
      <c r="K65" s="112">
        <f ca="1">OFFSET(RES!N$95,$E65,0)</f>
        <v>12.574021237813714</v>
      </c>
      <c r="L65" s="112">
        <f ca="1">OFFSET(RES!O$95,$E65,0)</f>
        <v>12.575768377249522</v>
      </c>
      <c r="M65" s="112">
        <f ca="1">OFFSET(RES!P$95,$E65,0)</f>
        <v>13.040659326046256</v>
      </c>
      <c r="N65" s="112">
        <f ca="1">OFFSET(RES!Q$95,$E65,0)</f>
        <v>13.2335043826413</v>
      </c>
      <c r="O65" s="181">
        <f ca="1">OFFSET(RES!R$95,$E65,0)</f>
        <v>11.176113370113184</v>
      </c>
      <c r="P65" s="112">
        <f ca="1">OFFSET(RES!S$95,$E65,0)</f>
        <v>11.339066611171626</v>
      </c>
      <c r="Q65" s="112">
        <f ca="1">OFFSET(RES!T$95,$E65,0)</f>
        <v>11.490898088542551</v>
      </c>
      <c r="R65" s="112">
        <f ca="1">OFFSET(RES!U$95,$E65,0)</f>
        <v>11.692238946277364</v>
      </c>
      <c r="S65" s="112">
        <f ca="1">OFFSET(RES!V$95,$E65,0)</f>
        <v>12.18008255022602</v>
      </c>
      <c r="T65" s="181">
        <f ca="1">OFFSET(RES!W$95,$E65,0)</f>
        <v>12.665956662396828</v>
      </c>
      <c r="U65" s="112">
        <f ca="1">OFFSET(RES!X$95,$E65,0)</f>
        <v>13.096346727028047</v>
      </c>
      <c r="V65" s="112">
        <f ca="1">OFFSET(RES!Y$95,$E65,0)</f>
        <v>13.469102051165768</v>
      </c>
      <c r="W65" s="112">
        <f ca="1">OFFSET(RES!Z$95,$E65,0)</f>
        <v>13.720892428474356</v>
      </c>
      <c r="X65" s="112">
        <f ca="1">OFFSET(RES!AA$95,$E65,0)</f>
        <v>14.218948332648377</v>
      </c>
      <c r="Y65" s="112">
        <f ca="1">OFFSET(RES!AB$95,$E65,0)</f>
        <v>14.7054880982735</v>
      </c>
      <c r="Z65" s="112">
        <f ca="1">OFFSET(RES!AC$95,$E65,0)</f>
        <v>15.335794071296888</v>
      </c>
      <c r="AA65" s="112">
        <f ca="1">OFFSET(RES!AD$95,$E65,0)</f>
        <v>15.940239655068886</v>
      </c>
      <c r="AB65" s="112">
        <f ca="1">OFFSET(RES!AE$95,$E65,0)</f>
        <v>16.629650387410514</v>
      </c>
      <c r="AC65" s="112">
        <f ca="1">OFFSET(RES!AF$95,$E65,0)</f>
        <v>17.340924325924203</v>
      </c>
      <c r="AD65" s="112">
        <f ca="1">OFFSET(RES!AG$95,$E65,0)</f>
        <v>17.797857402382462</v>
      </c>
      <c r="AE65" s="112">
        <f ca="1">OFFSET(RES!AH$95,$E65,0)</f>
        <v>18.125484963495037</v>
      </c>
      <c r="AF65" s="112">
        <f ca="1">OFFSET(RES!AI$95,$E65,0)</f>
        <v>18.584340968628418</v>
      </c>
      <c r="AG65" s="112">
        <f ca="1">OFFSET(RES!AJ$95,$E65,0)</f>
        <v>19.025212885774376</v>
      </c>
      <c r="AH65" s="112">
        <f ca="1">OFFSET(RES!AK$95,$E65,0)</f>
        <v>19.658149384618227</v>
      </c>
      <c r="AI65" s="112">
        <f ca="1">OFFSET(RES!AL$95,$E65,0)</f>
        <v>20.120602462378429</v>
      </c>
      <c r="AJ65" s="112">
        <f ca="1">OFFSET(RES!AM$95,$E65,0)</f>
        <v>22.828906750772699</v>
      </c>
      <c r="AK65" s="112">
        <f ca="1">OFFSET(RES!AN$95,$E65,0)</f>
        <v>24.425041701384579</v>
      </c>
      <c r="AL65" s="112">
        <f ca="1">OFFSET(RES!AO$95,$E65,0)</f>
        <v>24.425041701384579</v>
      </c>
      <c r="AM65" s="112">
        <f ca="1">OFFSET(RES!AP$95,$E65,0)</f>
        <v>24.425041701384579</v>
      </c>
    </row>
    <row r="66" spans="1:39">
      <c r="A66" s="29" t="s">
        <v>366</v>
      </c>
      <c r="B66">
        <v>4.337948126733</v>
      </c>
      <c r="E66" s="115">
        <f>MATCH(F66,RES!$D$96:$D$134,0)</f>
        <v>31</v>
      </c>
      <c r="F66" t="str">
        <f t="shared" si="0"/>
        <v>RHER</v>
      </c>
      <c r="G66" s="112">
        <f ca="1">OFFSET(RES!J$95,$E66,0)</f>
        <v>5.6147013164057418</v>
      </c>
      <c r="H66" s="112">
        <f ca="1">OFFSET(RES!K$95,$E66,0)</f>
        <v>6.0452058663220871</v>
      </c>
      <c r="I66" s="112">
        <f ca="1">OFFSET(RES!L$95,$E66,0)</f>
        <v>6.4757104162384325</v>
      </c>
      <c r="J66" s="112">
        <f ca="1">OFFSET(RES!M$95,$E66,0)</f>
        <v>6.9062149661547778</v>
      </c>
      <c r="K66" s="112">
        <f ca="1">OFFSET(RES!N$95,$E66,0)</f>
        <v>7.3367195160711223</v>
      </c>
      <c r="L66" s="112">
        <f ca="1">OFFSET(RES!O$95,$E66,0)</f>
        <v>7.7672240659874676</v>
      </c>
      <c r="M66" s="112">
        <f ca="1">OFFSET(RES!P$95,$E66,0)</f>
        <v>8.0543565939756689</v>
      </c>
      <c r="N66" s="112">
        <f ca="1">OFFSET(RES!Q$95,$E66,0)</f>
        <v>8.1734642874110452</v>
      </c>
      <c r="O66" s="181">
        <f ca="1">OFFSET(RES!R$95,$E66,0)</f>
        <v>6.9027493293839806</v>
      </c>
      <c r="P66" s="112">
        <f ca="1">OFFSET(RES!S$95,$E66,0)</f>
        <v>7.0033948166107907</v>
      </c>
      <c r="Q66" s="112">
        <f ca="1">OFFSET(RES!T$95,$E66,0)</f>
        <v>7.0971711227284615</v>
      </c>
      <c r="R66" s="112">
        <f ca="1">OFFSET(RES!U$95,$E66,0)</f>
        <v>7.2215261131156518</v>
      </c>
      <c r="S66" s="112">
        <f ca="1">OFFSET(RES!V$95,$E66,0)</f>
        <v>7.5228349848568792</v>
      </c>
      <c r="T66" s="181">
        <f ca="1">OFFSET(RES!W$95,$E66,0)</f>
        <v>7.8229274312095525</v>
      </c>
      <c r="U66" s="112">
        <f ca="1">OFFSET(RES!X$95,$E66,0)</f>
        <v>8.0887510347845915</v>
      </c>
      <c r="V66" s="112">
        <f ca="1">OFFSET(RES!Y$95,$E66,0)</f>
        <v>8.3189774541583148</v>
      </c>
      <c r="W66" s="112">
        <f ca="1">OFFSET(RES!Z$95,$E66,0)</f>
        <v>8.4744917909008191</v>
      </c>
      <c r="X66" s="112">
        <f ca="1">OFFSET(RES!AA$95,$E66,0)</f>
        <v>8.7821081280548992</v>
      </c>
      <c r="Y66" s="112">
        <f ca="1">OFFSET(RES!AB$95,$E66,0)</f>
        <v>9.0826117047158661</v>
      </c>
      <c r="Z66" s="112">
        <f ca="1">OFFSET(RES!AC$95,$E66,0)</f>
        <v>9.4719102012959731</v>
      </c>
      <c r="AA66" s="112">
        <f ca="1">OFFSET(RES!AD$95,$E66,0)</f>
        <v>9.8452364382316873</v>
      </c>
      <c r="AB66" s="112">
        <f ca="1">OFFSET(RES!AE$95,$E66,0)</f>
        <v>10.271040052846693</v>
      </c>
      <c r="AC66" s="112">
        <f ca="1">OFFSET(RES!AF$95,$E66,0)</f>
        <v>10.710347130315428</v>
      </c>
      <c r="AD66" s="112">
        <f ca="1">OFFSET(RES!AG$95,$E66,0)</f>
        <v>10.992564604552062</v>
      </c>
      <c r="AE66" s="112">
        <f ca="1">OFFSET(RES!AH$95,$E66,0)</f>
        <v>11.194918576175617</v>
      </c>
      <c r="AF66" s="112">
        <f ca="1">OFFSET(RES!AI$95,$E66,0)</f>
        <v>11.478323716838231</v>
      </c>
      <c r="AG66" s="112">
        <f ca="1">OFFSET(RES!AJ$95,$E66,0)</f>
        <v>11.750621270526404</v>
      </c>
      <c r="AH66" s="112">
        <f ca="1">OFFSET(RES!AK$95,$E66,0)</f>
        <v>12.141544469696921</v>
      </c>
      <c r="AI66" s="112">
        <f ca="1">OFFSET(RES!AL$95,$E66,0)</f>
        <v>12.427171285269253</v>
      </c>
      <c r="AJ66" s="112">
        <f ca="1">OFFSET(RES!AM$95,$E66,0)</f>
        <v>14.099912513939518</v>
      </c>
      <c r="AK66" s="112">
        <f ca="1">OFFSET(RES!AN$95,$E66,0)</f>
        <v>15.085739974262689</v>
      </c>
      <c r="AL66" s="112">
        <f ca="1">OFFSET(RES!AO$95,$E66,0)</f>
        <v>15.085739974262689</v>
      </c>
      <c r="AM66" s="112">
        <f ca="1">OFFSET(RES!AP$95,$E66,0)</f>
        <v>15.085739974262689</v>
      </c>
    </row>
    <row r="67" spans="1:39">
      <c r="A67" s="29" t="s">
        <v>521</v>
      </c>
      <c r="B67">
        <v>25.581294669590001</v>
      </c>
      <c r="E67" s="115">
        <f>MATCH(F67,RES!$D$96:$D$134,0)</f>
        <v>29</v>
      </c>
      <c r="F67" t="str">
        <f t="shared" si="0"/>
        <v>RHEWG</v>
      </c>
      <c r="G67" s="112">
        <f ca="1">OFFSET(RES!J$95,$E67,0)</f>
        <v>31.73694672752956</v>
      </c>
      <c r="H67" s="112">
        <f ca="1">OFFSET(RES!K$95,$E67,0)</f>
        <v>31.370682009456175</v>
      </c>
      <c r="I67" s="112">
        <f ca="1">OFFSET(RES!L$95,$E67,0)</f>
        <v>31.004417291382794</v>
      </c>
      <c r="J67" s="112">
        <f ca="1">OFFSET(RES!M$95,$E67,0)</f>
        <v>30.638152573309409</v>
      </c>
      <c r="K67" s="112">
        <f ca="1">OFFSET(RES!N$95,$E67,0)</f>
        <v>30.271887855236027</v>
      </c>
      <c r="L67" s="112">
        <f ca="1">OFFSET(RES!O$95,$E67,0)</f>
        <v>29.905623137162642</v>
      </c>
      <c r="M67" s="112">
        <f ca="1">OFFSET(RES!P$95,$E67,0)</f>
        <v>31.011150298409056</v>
      </c>
      <c r="N67" s="112">
        <f ca="1">OFFSET(RES!Q$95,$E67,0)</f>
        <v>31.469742681267295</v>
      </c>
      <c r="O67" s="181">
        <f ca="1">OFFSET(RES!R$95,$E67,0)</f>
        <v>26.577193898501932</v>
      </c>
      <c r="P67" s="112">
        <f ca="1">OFFSET(RES!S$95,$E67,0)</f>
        <v>26.96470248405198</v>
      </c>
      <c r="Q67" s="112">
        <f ca="1">OFFSET(RES!T$95,$E67,0)</f>
        <v>27.325763121175974</v>
      </c>
      <c r="R67" s="112">
        <f ca="1">OFFSET(RES!U$95,$E67,0)</f>
        <v>27.804558820405234</v>
      </c>
      <c r="S67" s="112">
        <f ca="1">OFFSET(RES!V$95,$E67,0)</f>
        <v>28.964668209502822</v>
      </c>
      <c r="T67" s="181">
        <f ca="1">OFFSET(RES!W$95,$E67,0)</f>
        <v>30.120094077314622</v>
      </c>
      <c r="U67" s="112">
        <f ca="1">OFFSET(RES!X$95,$E67,0)</f>
        <v>31.143576912615963</v>
      </c>
      <c r="V67" s="112">
        <f ca="1">OFFSET(RES!Y$95,$E67,0)</f>
        <v>32.030002291298999</v>
      </c>
      <c r="W67" s="112">
        <f ca="1">OFFSET(RES!Z$95,$E67,0)</f>
        <v>32.628768737011917</v>
      </c>
      <c r="X67" s="112">
        <f ca="1">OFFSET(RES!AA$95,$E67,0)</f>
        <v>33.813163338173041</v>
      </c>
      <c r="Y67" s="112">
        <f ca="1">OFFSET(RES!AB$95,$E67,0)</f>
        <v>34.970172153503235</v>
      </c>
      <c r="Z67" s="112">
        <f ca="1">OFFSET(RES!AC$95,$E67,0)</f>
        <v>36.469062107968405</v>
      </c>
      <c r="AA67" s="112">
        <f ca="1">OFFSET(RES!AD$95,$E67,0)</f>
        <v>37.90645513978577</v>
      </c>
      <c r="AB67" s="112">
        <f ca="1">OFFSET(RES!AE$95,$E67,0)</f>
        <v>39.54589830776127</v>
      </c>
      <c r="AC67" s="112">
        <f ca="1">OFFSET(RES!AF$95,$E67,0)</f>
        <v>41.237332955282035</v>
      </c>
      <c r="AD67" s="112">
        <f ca="1">OFFSET(RES!AG$95,$E67,0)</f>
        <v>42.323936013921838</v>
      </c>
      <c r="AE67" s="112">
        <f ca="1">OFFSET(RES!AH$95,$E67,0)</f>
        <v>43.10304597190305</v>
      </c>
      <c r="AF67" s="112">
        <f ca="1">OFFSET(RES!AI$95,$E67,0)</f>
        <v>44.194221823119236</v>
      </c>
      <c r="AG67" s="112">
        <f ca="1">OFFSET(RES!AJ$95,$E67,0)</f>
        <v>45.242630875386546</v>
      </c>
      <c r="AH67" s="112">
        <f ca="1">OFFSET(RES!AK$95,$E67,0)</f>
        <v>46.747776313531077</v>
      </c>
      <c r="AI67" s="112">
        <f ca="1">OFFSET(RES!AL$95,$E67,0)</f>
        <v>47.847506131005851</v>
      </c>
      <c r="AJ67" s="112">
        <f ca="1">OFFSET(RES!AM$95,$E67,0)</f>
        <v>54.287949765130321</v>
      </c>
      <c r="AK67" s="112">
        <f ca="1">OFFSET(RES!AN$95,$E67,0)</f>
        <v>58.083615276543988</v>
      </c>
      <c r="AL67" s="112">
        <f ca="1">OFFSET(RES!AO$95,$E67,0)</f>
        <v>58.083615276543988</v>
      </c>
      <c r="AM67" s="112">
        <f ca="1">OFFSET(RES!AP$95,$E67,0)</f>
        <v>58.083615276543988</v>
      </c>
    </row>
    <row r="68" spans="1:39">
      <c r="A68" s="29" t="s">
        <v>367</v>
      </c>
      <c r="B68">
        <v>14.738241842140001</v>
      </c>
      <c r="E68" s="115">
        <f>MATCH(F68,RES!$D$96:$D$134,0)</f>
        <v>7</v>
      </c>
      <c r="F68" t="str">
        <f t="shared" si="0"/>
        <v>RLEH</v>
      </c>
      <c r="G68" s="112">
        <f ca="1">OFFSET(RES!J$95,$E68,0)</f>
        <v>14.790068346157758</v>
      </c>
      <c r="H68" s="112">
        <f ca="1">OFFSET(RES!K$95,$E68,0)</f>
        <v>13.766817038571885</v>
      </c>
      <c r="I68" s="112">
        <f ca="1">OFFSET(RES!L$95,$E68,0)</f>
        <v>12.743565730986013</v>
      </c>
      <c r="J68" s="112">
        <f ca="1">OFFSET(RES!M$95,$E68,0)</f>
        <v>11.72031442340014</v>
      </c>
      <c r="K68" s="112">
        <f ca="1">OFFSET(RES!N$95,$E68,0)</f>
        <v>10.697063115814267</v>
      </c>
      <c r="L68" s="112">
        <f ca="1">OFFSET(RES!O$95,$E68,0)</f>
        <v>9.673811808228395</v>
      </c>
      <c r="M68" s="112">
        <f ca="1">OFFSET(RES!P$95,$E68,0)</f>
        <v>9.6552862194228819</v>
      </c>
      <c r="N68" s="112">
        <f ca="1">OFFSET(RES!Q$95,$E68,0)</f>
        <v>9.7456829172517097</v>
      </c>
      <c r="O68" s="181">
        <f ca="1">OFFSET(RES!R$95,$E68,0)</f>
        <v>10.140651174998371</v>
      </c>
      <c r="P68" s="112">
        <f ca="1">OFFSET(RES!S$95,$E68,0)</f>
        <v>11.772300837062295</v>
      </c>
      <c r="Q68" s="112">
        <f ca="1">OFFSET(RES!T$95,$E68,0)</f>
        <v>11.655155637225311</v>
      </c>
      <c r="R68" s="112">
        <f ca="1">OFFSET(RES!U$95,$E68,0)</f>
        <v>11.591721723137717</v>
      </c>
      <c r="S68" s="112">
        <f ca="1">OFFSET(RES!V$95,$E68,0)</f>
        <v>11.514304119968923</v>
      </c>
      <c r="T68" s="181">
        <f ca="1">OFFSET(RES!W$95,$E68,0)</f>
        <v>11.423041382883062</v>
      </c>
      <c r="U68" s="112">
        <f ca="1">OFFSET(RES!X$95,$E68,0)</f>
        <v>11.372700396042484</v>
      </c>
      <c r="V68" s="112">
        <f ca="1">OFFSET(RES!Y$95,$E68,0)</f>
        <v>11.316388265319212</v>
      </c>
      <c r="W68" s="112">
        <f ca="1">OFFSET(RES!Z$95,$E68,0)</f>
        <v>11.327358333002406</v>
      </c>
      <c r="X68" s="112">
        <f ca="1">OFFSET(RES!AA$95,$E68,0)</f>
        <v>11.259838404812683</v>
      </c>
      <c r="Y68" s="112">
        <f ca="1">OFFSET(RES!AB$95,$E68,0)</f>
        <v>11.150391077427185</v>
      </c>
      <c r="Z68" s="112">
        <f ca="1">OFFSET(RES!AC$95,$E68,0)</f>
        <v>10.996570927014449</v>
      </c>
      <c r="AA68" s="112">
        <f ca="1">OFFSET(RES!AD$95,$E68,0)</f>
        <v>10.832812138038237</v>
      </c>
      <c r="AB68" s="112">
        <f ca="1">OFFSET(RES!AE$95,$E68,0)</f>
        <v>10.629727801725082</v>
      </c>
      <c r="AC68" s="112">
        <f ca="1">OFFSET(RES!AF$95,$E68,0)</f>
        <v>10.405220882160515</v>
      </c>
      <c r="AD68" s="112">
        <f ca="1">OFFSET(RES!AG$95,$E68,0)</f>
        <v>10.251529448291535</v>
      </c>
      <c r="AE68" s="112">
        <f ca="1">OFFSET(RES!AH$95,$E68,0)</f>
        <v>10.196777463704082</v>
      </c>
      <c r="AF68" s="112">
        <f ca="1">OFFSET(RES!AI$95,$E68,0)</f>
        <v>10.085689611940202</v>
      </c>
      <c r="AG68" s="112">
        <f ca="1">OFFSET(RES!AJ$95,$E68,0)</f>
        <v>9.9601366344275188</v>
      </c>
      <c r="AH68" s="112">
        <f ca="1">OFFSET(RES!AK$95,$E68,0)</f>
        <v>9.8066220294824209</v>
      </c>
      <c r="AI68" s="112">
        <f ca="1">OFFSET(RES!AL$95,$E68,0)</f>
        <v>9.6280992466291586</v>
      </c>
      <c r="AJ68" s="112">
        <f ca="1">OFFSET(RES!AM$95,$E68,0)</f>
        <v>8.8226178896440359</v>
      </c>
      <c r="AK68" s="112">
        <f ca="1">OFFSET(RES!AN$95,$E68,0)</f>
        <v>8.3518800332138454</v>
      </c>
      <c r="AL68" s="112">
        <f ca="1">OFFSET(RES!AO$95,$E68,0)</f>
        <v>8.3518800332138454</v>
      </c>
      <c r="AM68" s="112">
        <f ca="1">OFFSET(RES!AP$95,$E68,0)</f>
        <v>8.3518800332138454</v>
      </c>
    </row>
    <row r="69" spans="1:39">
      <c r="A69" s="29" t="s">
        <v>368</v>
      </c>
      <c r="B69">
        <v>8.0953817121640004</v>
      </c>
      <c r="E69" s="115">
        <f>MATCH(F69,RES!$D$96:$D$134,0)</f>
        <v>6</v>
      </c>
      <c r="F69" t="str">
        <f t="shared" ref="F69:F132" si="1">A69</f>
        <v>RLEK</v>
      </c>
      <c r="G69" s="112">
        <f ca="1">OFFSET(RES!J$95,$E69,0)</f>
        <v>10.466936775855853</v>
      </c>
      <c r="H69" s="112">
        <f ca="1">OFFSET(RES!K$95,$E69,0)</f>
        <v>10.903761154858502</v>
      </c>
      <c r="I69" s="112">
        <f ca="1">OFFSET(RES!L$95,$E69,0)</f>
        <v>11.340585533861153</v>
      </c>
      <c r="J69" s="112">
        <f ca="1">OFFSET(RES!M$95,$E69,0)</f>
        <v>11.777409912863803</v>
      </c>
      <c r="K69" s="112">
        <f ca="1">OFFSET(RES!N$95,$E69,0)</f>
        <v>12.214234291866454</v>
      </c>
      <c r="L69" s="112">
        <f ca="1">OFFSET(RES!O$95,$E69,0)</f>
        <v>12.651058670869103</v>
      </c>
      <c r="M69" s="112">
        <f ca="1">OFFSET(RES!P$95,$E69,0)</f>
        <v>12.626831580706817</v>
      </c>
      <c r="N69" s="112">
        <f ca="1">OFFSET(RES!Q$95,$E69,0)</f>
        <v>12.745049089022679</v>
      </c>
      <c r="O69" s="181">
        <f ca="1">OFFSET(RES!R$95,$E69,0)</f>
        <v>13.261574188015592</v>
      </c>
      <c r="P69" s="112">
        <f ca="1">OFFSET(RES!S$95,$E69,0)</f>
        <v>15.395386175914362</v>
      </c>
      <c r="Q69" s="112">
        <f ca="1">OFFSET(RES!T$95,$E69,0)</f>
        <v>15.242187951106247</v>
      </c>
      <c r="R69" s="112">
        <f ca="1">OFFSET(RES!U$95,$E69,0)</f>
        <v>15.159231389126985</v>
      </c>
      <c r="S69" s="112">
        <f ca="1">OFFSET(RES!V$95,$E69,0)</f>
        <v>15.057987467985848</v>
      </c>
      <c r="T69" s="181">
        <f ca="1">OFFSET(RES!W$95,$E69,0)</f>
        <v>14.938637385078998</v>
      </c>
      <c r="U69" s="112">
        <f ca="1">OFFSET(RES!X$95,$E69,0)</f>
        <v>14.872803276384854</v>
      </c>
      <c r="V69" s="112">
        <f ca="1">OFFSET(RES!Y$95,$E69,0)</f>
        <v>14.799160323246587</v>
      </c>
      <c r="W69" s="112">
        <f ca="1">OFFSET(RES!Z$95,$E69,0)</f>
        <v>14.813506578128811</v>
      </c>
      <c r="X69" s="112">
        <f ca="1">OFFSET(RES!AA$95,$E69,0)</f>
        <v>14.725206475758153</v>
      </c>
      <c r="Y69" s="112">
        <f ca="1">OFFSET(RES!AB$95,$E69,0)</f>
        <v>14.582075248112604</v>
      </c>
      <c r="Z69" s="112">
        <f ca="1">OFFSET(RES!AC$95,$E69,0)</f>
        <v>14.380914858990892</v>
      </c>
      <c r="AA69" s="112">
        <f ca="1">OFFSET(RES!AD$95,$E69,0)</f>
        <v>14.166757080415298</v>
      </c>
      <c r="AB69" s="112">
        <f ca="1">OFFSET(RES!AE$95,$E69,0)</f>
        <v>13.901170783641684</v>
      </c>
      <c r="AC69" s="112">
        <f ca="1">OFFSET(RES!AF$95,$E69,0)</f>
        <v>13.607568812905438</v>
      </c>
      <c r="AD69" s="112">
        <f ca="1">OFFSET(RES!AG$95,$E69,0)</f>
        <v>13.406576754590573</v>
      </c>
      <c r="AE69" s="112">
        <f ca="1">OFFSET(RES!AH$95,$E69,0)</f>
        <v>13.334974103733417</v>
      </c>
      <c r="AF69" s="112">
        <f ca="1">OFFSET(RES!AI$95,$E69,0)</f>
        <v>13.189697458069267</v>
      </c>
      <c r="AG69" s="112">
        <f ca="1">OFFSET(RES!AJ$95,$E69,0)</f>
        <v>13.025503847907839</v>
      </c>
      <c r="AH69" s="112">
        <f ca="1">OFFSET(RES!AK$95,$E69,0)</f>
        <v>12.824743040017841</v>
      </c>
      <c r="AI69" s="112">
        <f ca="1">OFFSET(RES!AL$95,$E69,0)</f>
        <v>12.591277448094459</v>
      </c>
      <c r="AJ69" s="112">
        <f ca="1">OFFSET(RES!AM$95,$E69,0)</f>
        <v>11.53789827269615</v>
      </c>
      <c r="AK69" s="112">
        <f ca="1">OFFSET(RES!AN$95,$E69,0)</f>
        <v>10.922284452791986</v>
      </c>
      <c r="AL69" s="112">
        <f ca="1">OFFSET(RES!AO$95,$E69,0)</f>
        <v>10.922284452791986</v>
      </c>
      <c r="AM69" s="112">
        <f ca="1">OFFSET(RES!AP$95,$E69,0)</f>
        <v>10.922284452791986</v>
      </c>
    </row>
    <row r="70" spans="1:39">
      <c r="A70" s="29" t="s">
        <v>369</v>
      </c>
      <c r="B70">
        <v>8.4652619723960001</v>
      </c>
      <c r="E70" s="115">
        <f>MATCH(F70,RES!$D$96:$D$134,0)</f>
        <v>4</v>
      </c>
      <c r="F70" t="str">
        <f t="shared" si="1"/>
        <v>RLEL</v>
      </c>
      <c r="G70" s="112">
        <f ca="1">OFFSET(RES!J$95,$E70,0)</f>
        <v>18.169455852795164</v>
      </c>
      <c r="H70" s="112">
        <f ca="1">OFFSET(RES!K$95,$E70,0)</f>
        <v>18.169455852795164</v>
      </c>
      <c r="I70" s="112">
        <f ca="1">OFFSET(RES!L$95,$E70,0)</f>
        <v>18.169455852795164</v>
      </c>
      <c r="J70" s="112">
        <f ca="1">OFFSET(RES!M$95,$E70,0)</f>
        <v>18.169455852795164</v>
      </c>
      <c r="K70" s="112">
        <f ca="1">OFFSET(RES!N$95,$E70,0)</f>
        <v>18.169455852795164</v>
      </c>
      <c r="L70" s="112">
        <f ca="1">OFFSET(RES!O$95,$E70,0)</f>
        <v>18.169455852795164</v>
      </c>
      <c r="M70" s="112">
        <f ca="1">OFFSET(RES!P$95,$E70,0)</f>
        <v>18.134660895582694</v>
      </c>
      <c r="N70" s="112">
        <f ca="1">OFFSET(RES!Q$95,$E70,0)</f>
        <v>18.304444931389789</v>
      </c>
      <c r="O70" s="181">
        <f ca="1">OFFSET(RES!R$95,$E70,0)</f>
        <v>19.046278498617063</v>
      </c>
      <c r="P70" s="112">
        <f ca="1">OFFSET(RES!S$95,$E70,0)</f>
        <v>22.110860184698861</v>
      </c>
      <c r="Q70" s="112">
        <f ca="1">OFFSET(RES!T$95,$E70,0)</f>
        <v>21.890836828962861</v>
      </c>
      <c r="R70" s="112">
        <f ca="1">OFFSET(RES!U$95,$E70,0)</f>
        <v>21.771694579306505</v>
      </c>
      <c r="S70" s="112">
        <f ca="1">OFFSET(RES!V$95,$E70,0)</f>
        <v>21.626288016630955</v>
      </c>
      <c r="T70" s="181">
        <f ca="1">OFFSET(RES!W$95,$E70,0)</f>
        <v>21.454877376713775</v>
      </c>
      <c r="U70" s="112">
        <f ca="1">OFFSET(RES!X$95,$E70,0)</f>
        <v>21.360326401760137</v>
      </c>
      <c r="V70" s="112">
        <f ca="1">OFFSET(RES!Y$95,$E70,0)</f>
        <v>21.254560361089069</v>
      </c>
      <c r="W70" s="112">
        <f ca="1">OFFSET(RES!Z$95,$E70,0)</f>
        <v>21.275164458462811</v>
      </c>
      <c r="X70" s="112">
        <f ca="1">OFFSET(RES!AA$95,$E70,0)</f>
        <v>21.148347813819839</v>
      </c>
      <c r="Y70" s="112">
        <f ca="1">OFFSET(RES!AB$95,$E70,0)</f>
        <v>20.94278268369753</v>
      </c>
      <c r="Z70" s="112">
        <f ca="1">OFFSET(RES!AC$95,$E70,0)</f>
        <v>20.653876047141164</v>
      </c>
      <c r="AA70" s="112">
        <f ca="1">OFFSET(RES!AD$95,$E70,0)</f>
        <v>20.346302554313894</v>
      </c>
      <c r="AB70" s="112">
        <f ca="1">OFFSET(RES!AE$95,$E70,0)</f>
        <v>19.964867401740687</v>
      </c>
      <c r="AC70" s="112">
        <f ca="1">OFFSET(RES!AF$95,$E70,0)</f>
        <v>19.543196126286915</v>
      </c>
      <c r="AD70" s="112">
        <f ca="1">OFFSET(RES!AG$95,$E70,0)</f>
        <v>19.254531246507057</v>
      </c>
      <c r="AE70" s="112">
        <f ca="1">OFFSET(RES!AH$95,$E70,0)</f>
        <v>19.151695488841348</v>
      </c>
      <c r="AF70" s="112">
        <f ca="1">OFFSET(RES!AI$95,$E70,0)</f>
        <v>18.943049108446719</v>
      </c>
      <c r="AG70" s="112">
        <f ca="1">OFFSET(RES!AJ$95,$E70,0)</f>
        <v>18.707234175581959</v>
      </c>
      <c r="AH70" s="112">
        <f ca="1">OFFSET(RES!AK$95,$E70,0)</f>
        <v>18.418901417760814</v>
      </c>
      <c r="AI70" s="112">
        <f ca="1">OFFSET(RES!AL$95,$E70,0)</f>
        <v>18.083598035177801</v>
      </c>
      <c r="AJ70" s="112">
        <f ca="1">OFFSET(RES!AM$95,$E70,0)</f>
        <v>16.570734414702745</v>
      </c>
      <c r="AK70" s="112">
        <f ca="1">OFFSET(RES!AN$95,$E70,0)</f>
        <v>15.686589584288257</v>
      </c>
      <c r="AL70" s="112">
        <f ca="1">OFFSET(RES!AO$95,$E70,0)</f>
        <v>15.686589584288257</v>
      </c>
      <c r="AM70" s="112">
        <f ca="1">OFFSET(RES!AP$95,$E70,0)</f>
        <v>15.686589584288257</v>
      </c>
    </row>
    <row r="71" spans="1:39">
      <c r="A71" s="29" t="s">
        <v>370</v>
      </c>
      <c r="B71">
        <v>1.2001829018570001</v>
      </c>
      <c r="E71" s="115">
        <f>MATCH(F71,RES!$D$96:$D$134,0)</f>
        <v>11</v>
      </c>
      <c r="F71" t="str">
        <f t="shared" si="1"/>
        <v>RLEO</v>
      </c>
      <c r="G71" s="112">
        <f ca="1">OFFSET(RES!J$95,$E71,0)</f>
        <v>2.1367353578815207</v>
      </c>
      <c r="H71" s="112">
        <f ca="1">OFFSET(RES!K$95,$E71,0)</f>
        <v>2.9741097576269331</v>
      </c>
      <c r="I71" s="112">
        <f ca="1">OFFSET(RES!L$95,$E71,0)</f>
        <v>3.8114841573723459</v>
      </c>
      <c r="J71" s="112">
        <f ca="1">OFFSET(RES!M$95,$E71,0)</f>
        <v>4.1288585571177592</v>
      </c>
      <c r="K71" s="112">
        <f ca="1">OFFSET(RES!N$95,$E71,0)</f>
        <v>5.4862329568631711</v>
      </c>
      <c r="L71" s="112">
        <f ca="1">OFFSET(RES!O$95,$E71,0)</f>
        <v>6.3236073566085835</v>
      </c>
      <c r="M71" s="112">
        <f ca="1">OFFSET(RES!P$95,$E71,0)</f>
        <v>6.3114974921644151</v>
      </c>
      <c r="N71" s="112">
        <f ca="1">OFFSET(RES!Q$95,$E71,0)</f>
        <v>6.3705882864382168</v>
      </c>
      <c r="O71" s="181">
        <f ca="1">OFFSET(RES!R$95,$E71,0)</f>
        <v>6.6287723642170748</v>
      </c>
      <c r="P71" s="112">
        <f ca="1">OFFSET(RES!S$95,$E71,0)</f>
        <v>7.6953541843904913</v>
      </c>
      <c r="Q71" s="112">
        <f ca="1">OFFSET(RES!T$95,$E71,0)</f>
        <v>7.6187783462239436</v>
      </c>
      <c r="R71" s="112">
        <f ca="1">OFFSET(RES!U$95,$E71,0)</f>
        <v>7.5773126681918788</v>
      </c>
      <c r="S71" s="112">
        <f ca="1">OFFSET(RES!V$95,$E71,0)</f>
        <v>7.5267060888378357</v>
      </c>
      <c r="T71" s="181">
        <f ca="1">OFFSET(RES!W$95,$E71,0)</f>
        <v>7.4670491793319567</v>
      </c>
      <c r="U71" s="112">
        <f ca="1">OFFSET(RES!X$95,$E71,0)</f>
        <v>7.4341421266587551</v>
      </c>
      <c r="V71" s="112">
        <f ca="1">OFFSET(RES!Y$95,$E71,0)</f>
        <v>7.3973318381016533</v>
      </c>
      <c r="W71" s="112">
        <f ca="1">OFFSET(RES!Z$95,$E71,0)</f>
        <v>7.404502786025712</v>
      </c>
      <c r="X71" s="112">
        <f ca="1">OFFSET(RES!AA$95,$E71,0)</f>
        <v>7.3603661496012736</v>
      </c>
      <c r="Y71" s="112">
        <f ca="1">OFFSET(RES!AB$95,$E71,0)</f>
        <v>7.2888222806139327</v>
      </c>
      <c r="Z71" s="112">
        <f ca="1">OFFSET(RES!AC$95,$E71,0)</f>
        <v>7.1882726468162961</v>
      </c>
      <c r="AA71" s="112">
        <f ca="1">OFFSET(RES!AD$95,$E71,0)</f>
        <v>7.0812262928859386</v>
      </c>
      <c r="AB71" s="112">
        <f ca="1">OFFSET(RES!AE$95,$E71,0)</f>
        <v>6.9484734929989802</v>
      </c>
      <c r="AC71" s="112">
        <f ca="1">OFFSET(RES!AF$95,$E71,0)</f>
        <v>6.8017171123383129</v>
      </c>
      <c r="AD71" s="112">
        <f ca="1">OFFSET(RES!AG$95,$E71,0)</f>
        <v>6.7012516183708843</v>
      </c>
      <c r="AE71" s="112">
        <f ca="1">OFFSET(RES!AH$95,$E71,0)</f>
        <v>6.6654611709867781</v>
      </c>
      <c r="AF71" s="112">
        <f ca="1">OFFSET(RES!AI$95,$E71,0)</f>
        <v>6.5928449189271294</v>
      </c>
      <c r="AG71" s="112">
        <f ca="1">OFFSET(RES!AJ$95,$E71,0)</f>
        <v>6.5107730585289358</v>
      </c>
      <c r="AH71" s="112">
        <f ca="1">OFFSET(RES!AK$95,$E71,0)</f>
        <v>6.4104231546418289</v>
      </c>
      <c r="AI71" s="112">
        <f ca="1">OFFSET(RES!AL$95,$E71,0)</f>
        <v>6.2937258273263552</v>
      </c>
      <c r="AJ71" s="112">
        <f ca="1">OFFSET(RES!AM$95,$E71,0)</f>
        <v>5.7671962714888414</v>
      </c>
      <c r="AK71" s="112">
        <f ca="1">OFFSET(RES!AN$95,$E71,0)</f>
        <v>5.4594828870477548</v>
      </c>
      <c r="AL71" s="112">
        <f ca="1">OFFSET(RES!AO$95,$E71,0)</f>
        <v>5.4594828870477548</v>
      </c>
      <c r="AM71" s="112">
        <f ca="1">OFFSET(RES!AP$95,$E71,0)</f>
        <v>5.4594828870477548</v>
      </c>
    </row>
    <row r="72" spans="1:39">
      <c r="A72" s="29" t="s">
        <v>371</v>
      </c>
      <c r="B72">
        <v>1.9088027674250001</v>
      </c>
      <c r="E72" s="115">
        <f>MATCH(F72,RES!$D$96:$D$134,0)</f>
        <v>10</v>
      </c>
      <c r="F72" t="str">
        <f t="shared" si="1"/>
        <v>RLER</v>
      </c>
      <c r="G72" s="112">
        <f ca="1">OFFSET(RES!J$95,$E72,0)</f>
        <v>1.5428416184807789</v>
      </c>
      <c r="H72" s="112">
        <f ca="1">OFFSET(RES!K$95,$E72,0)</f>
        <v>2.1642644802503535</v>
      </c>
      <c r="I72" s="112">
        <f ca="1">OFFSET(RES!L$95,$E72,0)</f>
        <v>2.7856873420199277</v>
      </c>
      <c r="J72" s="112">
        <f ca="1">OFFSET(RES!M$95,$E72,0)</f>
        <v>3.407110203789502</v>
      </c>
      <c r="K72" s="112">
        <f ca="1">OFFSET(RES!N$95,$E72,0)</f>
        <v>4.0285330655590768</v>
      </c>
      <c r="L72" s="112">
        <f ca="1">OFFSET(RES!O$95,$E72,0)</f>
        <v>4.6499559273286506</v>
      </c>
      <c r="M72" s="112">
        <f ca="1">OFFSET(RES!P$95,$E72,0)</f>
        <v>4.6410511467539273</v>
      </c>
      <c r="N72" s="112">
        <f ca="1">OFFSET(RES!Q$95,$E72,0)</f>
        <v>4.6845025461829053</v>
      </c>
      <c r="O72" s="181">
        <f ca="1">OFFSET(RES!R$95,$E72,0)</f>
        <v>4.8743537679788052</v>
      </c>
      <c r="P72" s="112">
        <f ca="1">OFFSET(RES!S$95,$E72,0)</f>
        <v>5.6586463682322501</v>
      </c>
      <c r="Q72" s="112">
        <f ca="1">OFFSET(RES!T$95,$E72,0)</f>
        <v>5.6023376424539846</v>
      </c>
      <c r="R72" s="112">
        <f ca="1">OFFSET(RES!U$95,$E72,0)</f>
        <v>5.5718465691674055</v>
      </c>
      <c r="S72" s="112">
        <f ca="1">OFFSET(RES!V$95,$E72,0)</f>
        <v>5.5346338912829633</v>
      </c>
      <c r="T72" s="181">
        <f ca="1">OFFSET(RES!W$95,$E72,0)</f>
        <v>5.4907662087531381</v>
      </c>
      <c r="U72" s="112">
        <f ca="1">OFFSET(RES!X$95,$E72,0)</f>
        <v>5.4665685734479101</v>
      </c>
      <c r="V72" s="112">
        <f ca="1">OFFSET(RES!Y$95,$E72,0)</f>
        <v>5.4395007607564887</v>
      </c>
      <c r="W72" s="112">
        <f ca="1">OFFSET(RES!Z$95,$E72,0)</f>
        <v>5.4447737939990084</v>
      </c>
      <c r="X72" s="112">
        <f ca="1">OFFSET(RES!AA$95,$E72,0)</f>
        <v>5.4123186773890746</v>
      </c>
      <c r="Y72" s="112">
        <f ca="1">OFFSET(RES!AB$95,$E72,0)</f>
        <v>5.3597101236157227</v>
      </c>
      <c r="Z72" s="112">
        <f ca="1">OFFSET(RES!AC$95,$E72,0)</f>
        <v>5.2857726794795967</v>
      </c>
      <c r="AA72" s="112">
        <f ca="1">OFFSET(RES!AD$95,$E72,0)</f>
        <v>5.2070579839131188</v>
      </c>
      <c r="AB72" s="112">
        <f ca="1">OFFSET(RES!AE$95,$E72,0)</f>
        <v>5.1094404953670081</v>
      </c>
      <c r="AC72" s="112">
        <f ca="1">OFFSET(RES!AF$95,$E72,0)</f>
        <v>5.0015257145080723</v>
      </c>
      <c r="AD72" s="112">
        <f ca="1">OFFSET(RES!AG$95,$E72,0)</f>
        <v>4.9276501411491997</v>
      </c>
      <c r="AE72" s="112">
        <f ca="1">OFFSET(RES!AH$95,$E72,0)</f>
        <v>4.9013322511268944</v>
      </c>
      <c r="AF72" s="112">
        <f ca="1">OFFSET(RES!AI$95,$E72,0)</f>
        <v>4.8479351389022911</v>
      </c>
      <c r="AG72" s="112">
        <f ca="1">OFFSET(RES!AJ$95,$E72,0)</f>
        <v>4.7875850076869746</v>
      </c>
      <c r="AH72" s="112">
        <f ca="1">OFFSET(RES!AK$95,$E72,0)</f>
        <v>4.7137944315059501</v>
      </c>
      <c r="AI72" s="112">
        <f ca="1">OFFSET(RES!AL$95,$E72,0)</f>
        <v>4.6279830586213091</v>
      </c>
      <c r="AJ72" s="112">
        <f ca="1">OFFSET(RES!AM$95,$E72,0)</f>
        <v>4.2408086040717716</v>
      </c>
      <c r="AK72" s="112">
        <f ca="1">OFFSET(RES!AN$95,$E72,0)</f>
        <v>4.0145368583403016</v>
      </c>
      <c r="AL72" s="112">
        <f ca="1">OFFSET(RES!AO$95,$E72,0)</f>
        <v>4.0145368583403016</v>
      </c>
      <c r="AM72" s="112">
        <f ca="1">OFFSET(RES!AP$95,$E72,0)</f>
        <v>4.0145368583403016</v>
      </c>
    </row>
    <row r="73" spans="1:39">
      <c r="A73" s="29" t="s">
        <v>372</v>
      </c>
      <c r="B73">
        <v>7.6914136780069997</v>
      </c>
      <c r="E73" s="115">
        <f>MATCH(F73,RES!$D$96:$D$134,0)</f>
        <v>9</v>
      </c>
      <c r="F73" t="str">
        <f t="shared" si="1"/>
        <v>RLEW</v>
      </c>
      <c r="G73" s="112">
        <f ca="1">OFFSET(RES!J$95,$E73,0)</f>
        <v>5.8283293691780411</v>
      </c>
      <c r="H73" s="112">
        <f ca="1">OFFSET(RES!K$95,$E73,0)</f>
        <v>5.6872514332332225</v>
      </c>
      <c r="I73" s="112">
        <f ca="1">OFFSET(RES!L$95,$E73,0)</f>
        <v>5.5461734972884047</v>
      </c>
      <c r="J73" s="112">
        <f ca="1">OFFSET(RES!M$95,$E73,0)</f>
        <v>5.405095561343586</v>
      </c>
      <c r="K73" s="112">
        <f ca="1">OFFSET(RES!N$95,$E73,0)</f>
        <v>5.2640176253987683</v>
      </c>
      <c r="L73" s="112">
        <f ca="1">OFFSET(RES!O$95,$E73,0)</f>
        <v>5.1229396894539496</v>
      </c>
      <c r="M73" s="112">
        <f ca="1">OFFSET(RES!P$95,$E73,0)</f>
        <v>5.1131291332798527</v>
      </c>
      <c r="N73" s="112">
        <f ca="1">OFFSET(RES!Q$95,$E73,0)</f>
        <v>5.1610003179052324</v>
      </c>
      <c r="O73" s="181">
        <f ca="1">OFFSET(RES!R$95,$E73,0)</f>
        <v>5.3701628077072137</v>
      </c>
      <c r="P73" s="112">
        <f ca="1">OFFSET(RES!S$95,$E73,0)</f>
        <v>6.2342320059483347</v>
      </c>
      <c r="Q73" s="112">
        <f ca="1">OFFSET(RES!T$95,$E73,0)</f>
        <v>6.1721956747098625</v>
      </c>
      <c r="R73" s="112">
        <f ca="1">OFFSET(RES!U$95,$E73,0)</f>
        <v>6.1386031134135663</v>
      </c>
      <c r="S73" s="112">
        <f ca="1">OFFSET(RES!V$95,$E73,0)</f>
        <v>6.0976052400004752</v>
      </c>
      <c r="T73" s="181">
        <f ca="1">OFFSET(RES!W$95,$E73,0)</f>
        <v>6.0492754288305202</v>
      </c>
      <c r="U73" s="112">
        <f ca="1">OFFSET(RES!X$95,$E73,0)</f>
        <v>6.0226164608244943</v>
      </c>
      <c r="V73" s="112">
        <f ca="1">OFFSET(RES!Y$95,$E73,0)</f>
        <v>5.9927953670096867</v>
      </c>
      <c r="W73" s="112">
        <f ca="1">OFFSET(RES!Z$95,$E73,0)</f>
        <v>5.9986047621317251</v>
      </c>
      <c r="X73" s="112">
        <f ca="1">OFFSET(RES!AA$95,$E73,0)</f>
        <v>5.962848379145445</v>
      </c>
      <c r="Y73" s="112">
        <f ca="1">OFFSET(RES!AB$95,$E73,0)</f>
        <v>5.9048885936459063</v>
      </c>
      <c r="Z73" s="112">
        <f ca="1">OFFSET(RES!AC$95,$E73,0)</f>
        <v>5.8234303878002116</v>
      </c>
      <c r="AA73" s="112">
        <f ca="1">OFFSET(RES!AD$95,$E73,0)</f>
        <v>5.7367089985305162</v>
      </c>
      <c r="AB73" s="112">
        <f ca="1">OFFSET(RES!AE$95,$E73,0)</f>
        <v>5.6291620638340873</v>
      </c>
      <c r="AC73" s="112">
        <f ca="1">OFFSET(RES!AF$95,$E73,0)</f>
        <v>5.51027041785271</v>
      </c>
      <c r="AD73" s="112">
        <f ca="1">OFFSET(RES!AG$95,$E73,0)</f>
        <v>5.4288803761499365</v>
      </c>
      <c r="AE73" s="112">
        <f ca="1">OFFSET(RES!AH$95,$E73,0)</f>
        <v>5.3998854855649387</v>
      </c>
      <c r="AF73" s="112">
        <f ca="1">OFFSET(RES!AI$95,$E73,0)</f>
        <v>5.3410569311027469</v>
      </c>
      <c r="AG73" s="112">
        <f ca="1">OFFSET(RES!AJ$95,$E73,0)</f>
        <v>5.2745681111443359</v>
      </c>
      <c r="AH73" s="112">
        <f ca="1">OFFSET(RES!AK$95,$E73,0)</f>
        <v>5.193271712354032</v>
      </c>
      <c r="AI73" s="112">
        <f ca="1">OFFSET(RES!AL$95,$E73,0)</f>
        <v>5.0987317866369706</v>
      </c>
      <c r="AJ73" s="112">
        <f ca="1">OFFSET(RES!AM$95,$E73,0)</f>
        <v>4.6721747587956353</v>
      </c>
      <c r="AK73" s="112">
        <f ca="1">OFFSET(RES!AN$95,$E73,0)</f>
        <v>4.4228871257673124</v>
      </c>
      <c r="AL73" s="112">
        <f ca="1">OFFSET(RES!AO$95,$E73,0)</f>
        <v>4.4228871257673124</v>
      </c>
      <c r="AM73" s="112">
        <f ca="1">OFFSET(RES!AP$95,$E73,0)</f>
        <v>4.4228871257673124</v>
      </c>
    </row>
    <row r="74" spans="1:39">
      <c r="A74" s="29" t="s">
        <v>373</v>
      </c>
      <c r="B74">
        <v>0.1043575899953</v>
      </c>
      <c r="E74" s="115">
        <f>MATCH(F74,RES!$D$96:$D$134,0)</f>
        <v>5</v>
      </c>
      <c r="F74" t="str">
        <f t="shared" si="1"/>
        <v>RLNL</v>
      </c>
      <c r="G74" s="112">
        <f ca="1">OFFSET(RES!J$95,$E74,0)</f>
        <v>4.742986727829742E-2</v>
      </c>
      <c r="H74" s="112">
        <f ca="1">OFFSET(RES!K$95,$E74,0)</f>
        <v>4.5708102885957093E-2</v>
      </c>
      <c r="I74" s="112">
        <f ca="1">OFFSET(RES!L$95,$E74,0)</f>
        <v>4.3986338493616758E-2</v>
      </c>
      <c r="J74" s="112">
        <f ca="1">OFFSET(RES!M$95,$E74,0)</f>
        <v>4.2264574101276431E-2</v>
      </c>
      <c r="K74" s="112">
        <f ca="1">OFFSET(RES!N$95,$E74,0)</f>
        <v>4.0542809708936096E-2</v>
      </c>
      <c r="L74" s="112">
        <f ca="1">OFFSET(RES!O$95,$E74,0)</f>
        <v>3.8821045316595769E-2</v>
      </c>
      <c r="M74" s="112">
        <f ca="1">OFFSET(RES!P$95,$E74,0)</f>
        <v>3.874670205493301E-2</v>
      </c>
      <c r="N74" s="112">
        <f ca="1">OFFSET(RES!Q$95,$E74,0)</f>
        <v>3.9109464363364377E-2</v>
      </c>
      <c r="O74" s="181">
        <f ca="1">OFFSET(RES!R$95,$E74,0)</f>
        <v>4.0694473554835103E-2</v>
      </c>
      <c r="P74" s="112">
        <f ca="1">OFFSET(RES!S$95,$E74,0)</f>
        <v>4.7242290147454125E-2</v>
      </c>
      <c r="Q74" s="112">
        <f ca="1">OFFSET(RES!T$95,$E74,0)</f>
        <v>4.6772185993926449E-2</v>
      </c>
      <c r="R74" s="112">
        <f ca="1">OFFSET(RES!U$95,$E74,0)</f>
        <v>4.6517625444039701E-2</v>
      </c>
      <c r="S74" s="112">
        <f ca="1">OFFSET(RES!V$95,$E74,0)</f>
        <v>4.6206948294173954E-2</v>
      </c>
      <c r="T74" s="181">
        <f ca="1">OFFSET(RES!W$95,$E74,0)</f>
        <v>4.5840710566754733E-2</v>
      </c>
      <c r="U74" s="112">
        <f ca="1">OFFSET(RES!X$95,$E74,0)</f>
        <v>4.5638691986058556E-2</v>
      </c>
      <c r="V74" s="112">
        <f ca="1">OFFSET(RES!Y$95,$E74,0)</f>
        <v>4.5412711181178442E-2</v>
      </c>
      <c r="W74" s="112">
        <f ca="1">OFFSET(RES!Z$95,$E74,0)</f>
        <v>4.5456734106484181E-2</v>
      </c>
      <c r="X74" s="112">
        <f ca="1">OFFSET(RES!AA$95,$E74,0)</f>
        <v>4.5185776365731255E-2</v>
      </c>
      <c r="Y74" s="112">
        <f ca="1">OFFSET(RES!AB$95,$E74,0)</f>
        <v>4.4746563805011533E-2</v>
      </c>
      <c r="Z74" s="112">
        <f ca="1">OFFSET(RES!AC$95,$E74,0)</f>
        <v>4.4129282928749375E-2</v>
      </c>
      <c r="AA74" s="112">
        <f ca="1">OFFSET(RES!AD$95,$E74,0)</f>
        <v>4.3472118256347024E-2</v>
      </c>
      <c r="AB74" s="112">
        <f ca="1">OFFSET(RES!AE$95,$E74,0)</f>
        <v>4.2657140005850379E-2</v>
      </c>
      <c r="AC74" s="112">
        <f ca="1">OFFSET(RES!AF$95,$E74,0)</f>
        <v>4.1756192843441037E-2</v>
      </c>
      <c r="AD74" s="112">
        <f ca="1">OFFSET(RES!AG$95,$E74,0)</f>
        <v>4.1139428507181643E-2</v>
      </c>
      <c r="AE74" s="112">
        <f ca="1">OFFSET(RES!AH$95,$E74,0)</f>
        <v>4.0919708574958531E-2</v>
      </c>
      <c r="AF74" s="112">
        <f ca="1">OFFSET(RES!AI$95,$E74,0)</f>
        <v>4.0473912583374252E-2</v>
      </c>
      <c r="AG74" s="112">
        <f ca="1">OFFSET(RES!AJ$95,$E74,0)</f>
        <v>3.9970067984546352E-2</v>
      </c>
      <c r="AH74" s="112">
        <f ca="1">OFFSET(RES!AK$95,$E74,0)</f>
        <v>3.9354013263462793E-2</v>
      </c>
      <c r="AI74" s="112">
        <f ca="1">OFFSET(RES!AL$95,$E74,0)</f>
        <v>3.8637600624827802E-2</v>
      </c>
      <c r="AJ74" s="112">
        <f ca="1">OFFSET(RES!AM$95,$E74,0)</f>
        <v>3.540520073106565E-2</v>
      </c>
      <c r="AK74" s="112">
        <f ca="1">OFFSET(RES!AN$95,$E74,0)</f>
        <v>3.3516127838292449E-2</v>
      </c>
      <c r="AL74" s="112">
        <f ca="1">OFFSET(RES!AO$95,$E74,0)</f>
        <v>3.3516127838292449E-2</v>
      </c>
      <c r="AM74" s="112">
        <f ca="1">OFFSET(RES!AP$95,$E74,0)</f>
        <v>3.3516127838292449E-2</v>
      </c>
    </row>
    <row r="75" spans="1:39">
      <c r="A75" s="29" t="s">
        <v>374</v>
      </c>
      <c r="B75">
        <v>12.72538201427</v>
      </c>
      <c r="E75" s="115">
        <f>MATCH(F75,RES!$D$96:$D$134,0)</f>
        <v>18</v>
      </c>
      <c r="F75" t="str">
        <f t="shared" si="1"/>
        <v>RMEH</v>
      </c>
      <c r="G75" s="112">
        <f ca="1">OFFSET(RES!J$95,$E75,0)</f>
        <v>13.489057936190237</v>
      </c>
      <c r="H75" s="112">
        <f ca="1">OFFSET(RES!K$95,$E75,0)</f>
        <v>12.842186247672119</v>
      </c>
      <c r="I75" s="112">
        <f ca="1">OFFSET(RES!L$95,$E75,0)</f>
        <v>12.195314559154001</v>
      </c>
      <c r="J75" s="112">
        <f ca="1">OFFSET(RES!M$95,$E75,0)</f>
        <v>11.548442870635881</v>
      </c>
      <c r="K75" s="112">
        <f ca="1">OFFSET(RES!N$95,$E75,0)</f>
        <v>10.901571182117763</v>
      </c>
      <c r="L75" s="112">
        <f ca="1">OFFSET(RES!O$95,$E75,0)</f>
        <v>10.254699493599645</v>
      </c>
      <c r="M75" s="112">
        <f ca="1">OFFSET(RES!P$95,$E75,0)</f>
        <v>10.531385776580256</v>
      </c>
      <c r="N75" s="112">
        <f ca="1">OFFSET(RES!Q$95,$E75,0)</f>
        <v>10.815988765260034</v>
      </c>
      <c r="O75" s="181">
        <f ca="1">OFFSET(RES!R$95,$E75,0)</f>
        <v>11.366243642428371</v>
      </c>
      <c r="P75" s="112">
        <f ca="1">OFFSET(RES!S$95,$E75,0)</f>
        <v>9.8788005339404847</v>
      </c>
      <c r="Q75" s="112">
        <f ca="1">OFFSET(RES!T$95,$E75,0)</f>
        <v>10.441662908884386</v>
      </c>
      <c r="R75" s="112">
        <f ca="1">OFFSET(RES!U$95,$E75,0)</f>
        <v>10.86239309930137</v>
      </c>
      <c r="S75" s="112">
        <f ca="1">OFFSET(RES!V$95,$E75,0)</f>
        <v>11.097867403717753</v>
      </c>
      <c r="T75" s="181">
        <f ca="1">OFFSET(RES!W$95,$E75,0)</f>
        <v>11.326896600543519</v>
      </c>
      <c r="U75" s="112">
        <f ca="1">OFFSET(RES!X$95,$E75,0)</f>
        <v>11.518203541051413</v>
      </c>
      <c r="V75" s="112">
        <f ca="1">OFFSET(RES!Y$95,$E75,0)</f>
        <v>11.746272322611578</v>
      </c>
      <c r="W75" s="112">
        <f ca="1">OFFSET(RES!Z$95,$E75,0)</f>
        <v>11.9355280438989</v>
      </c>
      <c r="X75" s="112">
        <f ca="1">OFFSET(RES!AA$95,$E75,0)</f>
        <v>12.084722439292566</v>
      </c>
      <c r="Y75" s="112">
        <f ca="1">OFFSET(RES!AB$95,$E75,0)</f>
        <v>12.297228021423813</v>
      </c>
      <c r="Z75" s="112">
        <f ca="1">OFFSET(RES!AC$95,$E75,0)</f>
        <v>12.482347366516207</v>
      </c>
      <c r="AA75" s="112">
        <f ca="1">OFFSET(RES!AD$95,$E75,0)</f>
        <v>12.691817124702263</v>
      </c>
      <c r="AB75" s="112">
        <f ca="1">OFFSET(RES!AE$95,$E75,0)</f>
        <v>12.902236421672789</v>
      </c>
      <c r="AC75" s="112">
        <f ca="1">OFFSET(RES!AF$95,$E75,0)</f>
        <v>13.124726601088799</v>
      </c>
      <c r="AD75" s="112">
        <f ca="1">OFFSET(RES!AG$95,$E75,0)</f>
        <v>13.387016611223212</v>
      </c>
      <c r="AE75" s="112">
        <f ca="1">OFFSET(RES!AH$95,$E75,0)</f>
        <v>13.567525682498095</v>
      </c>
      <c r="AF75" s="112">
        <f ca="1">OFFSET(RES!AI$95,$E75,0)</f>
        <v>13.746661091910342</v>
      </c>
      <c r="AG75" s="112">
        <f ca="1">OFFSET(RES!AJ$95,$E75,0)</f>
        <v>13.951799665785304</v>
      </c>
      <c r="AH75" s="112">
        <f ca="1">OFFSET(RES!AK$95,$E75,0)</f>
        <v>14.072715368984504</v>
      </c>
      <c r="AI75" s="112">
        <f ca="1">OFFSET(RES!AL$95,$E75,0)</f>
        <v>14.331012457025608</v>
      </c>
      <c r="AJ75" s="112">
        <f ca="1">OFFSET(RES!AM$95,$E75,0)</f>
        <v>15.121397187709903</v>
      </c>
      <c r="AK75" s="112">
        <f ca="1">OFFSET(RES!AN$95,$E75,0)</f>
        <v>15.873159116442524</v>
      </c>
      <c r="AL75" s="112">
        <f ca="1">OFFSET(RES!AO$95,$E75,0)</f>
        <v>15.873159116442524</v>
      </c>
      <c r="AM75" s="112">
        <f ca="1">OFFSET(RES!AP$95,$E75,0)</f>
        <v>15.873159116442524</v>
      </c>
    </row>
    <row r="76" spans="1:39">
      <c r="A76" s="29" t="s">
        <v>375</v>
      </c>
      <c r="B76">
        <v>5.0035172999329998</v>
      </c>
      <c r="E76" s="115">
        <f>MATCH(F76,RES!$D$96:$D$134,0)</f>
        <v>17</v>
      </c>
      <c r="F76" t="str">
        <f t="shared" si="1"/>
        <v>RMEK</v>
      </c>
      <c r="G76" s="112">
        <f ca="1">OFFSET(RES!J$95,$E76,0)</f>
        <v>9.253140976110279</v>
      </c>
      <c r="H76" s="112">
        <f ca="1">OFFSET(RES!K$95,$E76,0)</f>
        <v>9.4719495219741479</v>
      </c>
      <c r="I76" s="112">
        <f ca="1">OFFSET(RES!L$95,$E76,0)</f>
        <v>9.690758067838015</v>
      </c>
      <c r="J76" s="112">
        <f ca="1">OFFSET(RES!M$95,$E76,0)</f>
        <v>9.9095666137018839</v>
      </c>
      <c r="K76" s="112">
        <f ca="1">OFFSET(RES!N$95,$E76,0)</f>
        <v>10.128375159565751</v>
      </c>
      <c r="L76" s="112">
        <f ca="1">OFFSET(RES!O$95,$E76,0)</f>
        <v>10.34718370542962</v>
      </c>
      <c r="M76" s="112">
        <f ca="1">OFFSET(RES!P$95,$E76,0)</f>
        <v>10.626365343132385</v>
      </c>
      <c r="N76" s="112">
        <f ca="1">OFFSET(RES!Q$95,$E76,0)</f>
        <v>10.913535085046513</v>
      </c>
      <c r="O76" s="181">
        <f ca="1">OFFSET(RES!R$95,$E76,0)</f>
        <v>11.468752554112573</v>
      </c>
      <c r="P76" s="112">
        <f ca="1">OFFSET(RES!S$95,$E76,0)</f>
        <v>9.9678946201959864</v>
      </c>
      <c r="Q76" s="112">
        <f ca="1">OFFSET(RES!T$95,$E76,0)</f>
        <v>10.535833290466524</v>
      </c>
      <c r="R76" s="112">
        <f ca="1">OFFSET(RES!U$95,$E76,0)</f>
        <v>10.960357926549914</v>
      </c>
      <c r="S76" s="112">
        <f ca="1">OFFSET(RES!V$95,$E76,0)</f>
        <v>11.197955906600454</v>
      </c>
      <c r="T76" s="181">
        <f ca="1">OFFSET(RES!W$95,$E76,0)</f>
        <v>11.429050652472069</v>
      </c>
      <c r="U76" s="112">
        <f ca="1">OFFSET(RES!X$95,$E76,0)</f>
        <v>11.622082935748081</v>
      </c>
      <c r="V76" s="112">
        <f ca="1">OFFSET(RES!Y$95,$E76,0)</f>
        <v>11.852208604642561</v>
      </c>
      <c r="W76" s="112">
        <f ca="1">OFFSET(RES!Z$95,$E76,0)</f>
        <v>12.043171169336508</v>
      </c>
      <c r="X76" s="112">
        <f ca="1">OFFSET(RES!AA$95,$E76,0)</f>
        <v>12.193711106457267</v>
      </c>
      <c r="Y76" s="112">
        <f ca="1">OFFSET(RES!AB$95,$E76,0)</f>
        <v>12.408133215863169</v>
      </c>
      <c r="Z76" s="112">
        <f ca="1">OFFSET(RES!AC$95,$E76,0)</f>
        <v>12.594922099564281</v>
      </c>
      <c r="AA76" s="112">
        <f ca="1">OFFSET(RES!AD$95,$E76,0)</f>
        <v>12.806281005794133</v>
      </c>
      <c r="AB76" s="112">
        <f ca="1">OFFSET(RES!AE$95,$E76,0)</f>
        <v>13.018598014428104</v>
      </c>
      <c r="AC76" s="112">
        <f ca="1">OFFSET(RES!AF$95,$E76,0)</f>
        <v>13.243094769355764</v>
      </c>
      <c r="AD76" s="112">
        <f ca="1">OFFSET(RES!AG$95,$E76,0)</f>
        <v>13.507750298330908</v>
      </c>
      <c r="AE76" s="112">
        <f ca="1">OFFSET(RES!AH$95,$E76,0)</f>
        <v>13.689887329469016</v>
      </c>
      <c r="AF76" s="112">
        <f ca="1">OFFSET(RES!AI$95,$E76,0)</f>
        <v>13.870638310079684</v>
      </c>
      <c r="AG76" s="112">
        <f ca="1">OFFSET(RES!AJ$95,$E76,0)</f>
        <v>14.077626970281662</v>
      </c>
      <c r="AH76" s="112">
        <f ca="1">OFFSET(RES!AK$95,$E76,0)</f>
        <v>14.199633177743344</v>
      </c>
      <c r="AI76" s="112">
        <f ca="1">OFFSET(RES!AL$95,$E76,0)</f>
        <v>14.460259773598926</v>
      </c>
      <c r="AJ76" s="112">
        <f ca="1">OFFSET(RES!AM$95,$E76,0)</f>
        <v>15.257772758885455</v>
      </c>
      <c r="AK76" s="112">
        <f ca="1">OFFSET(RES!AN$95,$E76,0)</f>
        <v>16.016314614178189</v>
      </c>
      <c r="AL76" s="112">
        <f ca="1">OFFSET(RES!AO$95,$E76,0)</f>
        <v>16.016314614178189</v>
      </c>
      <c r="AM76" s="112">
        <f ca="1">OFFSET(RES!AP$95,$E76,0)</f>
        <v>16.016314614178189</v>
      </c>
    </row>
    <row r="77" spans="1:39">
      <c r="A77" s="29" t="s">
        <v>376</v>
      </c>
      <c r="B77">
        <v>15.793352715539999</v>
      </c>
      <c r="E77" s="115">
        <f>MATCH(F77,RES!$D$96:$D$134,0)</f>
        <v>15</v>
      </c>
      <c r="F77" t="str">
        <f t="shared" si="1"/>
        <v>RMEL</v>
      </c>
      <c r="G77" s="112">
        <f ca="1">OFFSET(RES!J$95,$E77,0)</f>
        <v>17.255151562670893</v>
      </c>
      <c r="H77" s="112">
        <f ca="1">OFFSET(RES!K$95,$E77,0)</f>
        <v>17.315139453434956</v>
      </c>
      <c r="I77" s="112">
        <f ca="1">OFFSET(RES!L$95,$E77,0)</f>
        <v>17.375127344199019</v>
      </c>
      <c r="J77" s="112">
        <f ca="1">OFFSET(RES!M$95,$E77,0)</f>
        <v>17.435115234963078</v>
      </c>
      <c r="K77" s="112">
        <f ca="1">OFFSET(RES!N$95,$E77,0)</f>
        <v>17.495103125727141</v>
      </c>
      <c r="L77" s="112">
        <f ca="1">OFFSET(RES!O$95,$E77,0)</f>
        <v>17.555091016491204</v>
      </c>
      <c r="M77" s="112">
        <f ca="1">OFFSET(RES!P$95,$E77,0)</f>
        <v>18.02875217874865</v>
      </c>
      <c r="N77" s="112">
        <f ca="1">OFFSET(RES!Q$95,$E77,0)</f>
        <v>18.51596600426906</v>
      </c>
      <c r="O77" s="181">
        <f ca="1">OFFSET(RES!R$95,$E77,0)</f>
        <v>19.457951135767782</v>
      </c>
      <c r="P77" s="112">
        <f ca="1">OFFSET(RES!S$95,$E77,0)</f>
        <v>16.911586986564281</v>
      </c>
      <c r="Q77" s="112">
        <f ca="1">OFFSET(RES!T$95,$E77,0)</f>
        <v>17.875154980737658</v>
      </c>
      <c r="R77" s="112">
        <f ca="1">OFFSET(RES!U$95,$E77,0)</f>
        <v>18.595405904791132</v>
      </c>
      <c r="S77" s="112">
        <f ca="1">OFFSET(RES!V$95,$E77,0)</f>
        <v>18.998515995794246</v>
      </c>
      <c r="T77" s="181">
        <f ca="1">OFFSET(RES!W$95,$E77,0)</f>
        <v>19.390592662518571</v>
      </c>
      <c r="U77" s="112">
        <f ca="1">OFFSET(RES!X$95,$E77,0)</f>
        <v>19.718092337647878</v>
      </c>
      <c r="V77" s="112">
        <f ca="1">OFFSET(RES!Y$95,$E77,0)</f>
        <v>20.108524862833804</v>
      </c>
      <c r="W77" s="112">
        <f ca="1">OFFSET(RES!Z$95,$E77,0)</f>
        <v>20.432513041586802</v>
      </c>
      <c r="X77" s="112">
        <f ca="1">OFFSET(RES!AA$95,$E77,0)</f>
        <v>20.68791995935371</v>
      </c>
      <c r="Y77" s="112">
        <f ca="1">OFFSET(RES!AB$95,$E77,0)</f>
        <v>21.051709735753779</v>
      </c>
      <c r="Z77" s="112">
        <f ca="1">OFFSET(RES!AC$95,$E77,0)</f>
        <v>21.368616823478636</v>
      </c>
      <c r="AA77" s="112">
        <f ca="1">OFFSET(RES!AD$95,$E77,0)</f>
        <v>21.72720955186173</v>
      </c>
      <c r="AB77" s="112">
        <f ca="1">OFFSET(RES!AE$95,$E77,0)</f>
        <v>22.087427802259921</v>
      </c>
      <c r="AC77" s="112">
        <f ca="1">OFFSET(RES!AF$95,$E77,0)</f>
        <v>22.468310279836302</v>
      </c>
      <c r="AD77" s="112">
        <f ca="1">OFFSET(RES!AG$95,$E77,0)</f>
        <v>22.917326362998942</v>
      </c>
      <c r="AE77" s="112">
        <f ca="1">OFFSET(RES!AH$95,$E77,0)</f>
        <v>23.226341091076609</v>
      </c>
      <c r="AF77" s="112">
        <f ca="1">OFFSET(RES!AI$95,$E77,0)</f>
        <v>23.533004237907107</v>
      </c>
      <c r="AG77" s="112">
        <f ca="1">OFFSET(RES!AJ$95,$E77,0)</f>
        <v>23.884182381900096</v>
      </c>
      <c r="AH77" s="112">
        <f ca="1">OFFSET(RES!AK$95,$E77,0)</f>
        <v>24.091178810835906</v>
      </c>
      <c r="AI77" s="112">
        <f ca="1">OFFSET(RES!AL$95,$E77,0)</f>
        <v>24.533359383039542</v>
      </c>
      <c r="AJ77" s="112">
        <f ca="1">OFFSET(RES!AM$95,$E77,0)</f>
        <v>25.8864244722572</v>
      </c>
      <c r="AK77" s="112">
        <f ca="1">OFFSET(RES!AN$95,$E77,0)</f>
        <v>27.173370919578357</v>
      </c>
      <c r="AL77" s="112">
        <f ca="1">OFFSET(RES!AO$95,$E77,0)</f>
        <v>27.173370919578357</v>
      </c>
      <c r="AM77" s="112">
        <f ca="1">OFFSET(RES!AP$95,$E77,0)</f>
        <v>27.173370919578357</v>
      </c>
    </row>
    <row r="78" spans="1:39">
      <c r="A78" s="29" t="s">
        <v>377</v>
      </c>
      <c r="B78">
        <v>8.1991938940679994</v>
      </c>
      <c r="E78" s="115">
        <f>MATCH(F78,RES!$D$96:$D$134,0)</f>
        <v>22</v>
      </c>
      <c r="F78" t="str">
        <f t="shared" si="1"/>
        <v>RMEO</v>
      </c>
      <c r="G78" s="112">
        <f ca="1">OFFSET(RES!J$95,$E78,0)</f>
        <v>6.2540671774629208</v>
      </c>
      <c r="H78" s="112">
        <f ca="1">OFFSET(RES!K$95,$E78,0)</f>
        <v>7.1143299872230452</v>
      </c>
      <c r="I78" s="112">
        <f ca="1">OFFSET(RES!L$95,$E78,0)</f>
        <v>7.9745927969831687</v>
      </c>
      <c r="J78" s="112">
        <f ca="1">OFFSET(RES!M$95,$E78,0)</f>
        <v>8.8348556067432931</v>
      </c>
      <c r="K78" s="112">
        <f ca="1">OFFSET(RES!N$95,$E78,0)</f>
        <v>9.6951184165034174</v>
      </c>
      <c r="L78" s="112">
        <f ca="1">OFFSET(RES!O$95,$E78,0)</f>
        <v>10.555381226263542</v>
      </c>
      <c r="M78" s="112">
        <f ca="1">OFFSET(RES!P$95,$E78,0)</f>
        <v>10.840180327276789</v>
      </c>
      <c r="N78" s="112">
        <f ca="1">OFFSET(RES!Q$95,$E78,0)</f>
        <v>11.133128262564798</v>
      </c>
      <c r="O78" s="181">
        <f ca="1">OFFSET(RES!R$95,$E78,0)</f>
        <v>11.699517360923819</v>
      </c>
      <c r="P78" s="112">
        <f ca="1">OFFSET(RES!S$95,$E78,0)</f>
        <v>10.168460397990151</v>
      </c>
      <c r="Q78" s="112">
        <f ca="1">OFFSET(RES!T$95,$E78,0)</f>
        <v>10.747826663102172</v>
      </c>
      <c r="R78" s="112">
        <f ca="1">OFFSET(RES!U$95,$E78,0)</f>
        <v>11.18089323477709</v>
      </c>
      <c r="S78" s="112">
        <f ca="1">OFFSET(RES!V$95,$E78,0)</f>
        <v>11.423271965977888</v>
      </c>
      <c r="T78" s="181">
        <f ca="1">OFFSET(RES!W$95,$E78,0)</f>
        <v>11.659016610269974</v>
      </c>
      <c r="U78" s="112">
        <f ca="1">OFFSET(RES!X$95,$E78,0)</f>
        <v>11.855932930397277</v>
      </c>
      <c r="V78" s="112">
        <f ca="1">OFFSET(RES!Y$95,$E78,0)</f>
        <v>12.09068899874228</v>
      </c>
      <c r="W78" s="112">
        <f ca="1">OFFSET(RES!Z$95,$E78,0)</f>
        <v>12.285493955112379</v>
      </c>
      <c r="X78" s="112">
        <f ca="1">OFFSET(RES!AA$95,$E78,0)</f>
        <v>12.439062933041468</v>
      </c>
      <c r="Y78" s="112">
        <f ca="1">OFFSET(RES!AB$95,$E78,0)</f>
        <v>12.657799467788719</v>
      </c>
      <c r="Z78" s="112">
        <f ca="1">OFFSET(RES!AC$95,$E78,0)</f>
        <v>12.848346763789547</v>
      </c>
      <c r="AA78" s="112">
        <f ca="1">OFFSET(RES!AD$95,$E78,0)</f>
        <v>13.063958460105665</v>
      </c>
      <c r="AB78" s="112">
        <f ca="1">OFFSET(RES!AE$95,$E78,0)</f>
        <v>13.28054753697452</v>
      </c>
      <c r="AC78" s="112">
        <f ca="1">OFFSET(RES!AF$95,$E78,0)</f>
        <v>13.50956143097517</v>
      </c>
      <c r="AD78" s="112">
        <f ca="1">OFFSET(RES!AG$95,$E78,0)</f>
        <v>13.779542140847481</v>
      </c>
      <c r="AE78" s="112">
        <f ca="1">OFFSET(RES!AH$95,$E78,0)</f>
        <v>13.965343983533788</v>
      </c>
      <c r="AF78" s="112">
        <f ca="1">OFFSET(RES!AI$95,$E78,0)</f>
        <v>14.149731886723853</v>
      </c>
      <c r="AG78" s="112">
        <f ca="1">OFFSET(RES!AJ$95,$E78,0)</f>
        <v>14.360885402515681</v>
      </c>
      <c r="AH78" s="112">
        <f ca="1">OFFSET(RES!AK$95,$E78,0)</f>
        <v>14.485346518544082</v>
      </c>
      <c r="AI78" s="112">
        <f ca="1">OFFSET(RES!AL$95,$E78,0)</f>
        <v>14.751217228418055</v>
      </c>
      <c r="AJ78" s="112">
        <f ca="1">OFFSET(RES!AM$95,$E78,0)</f>
        <v>15.564777114107288</v>
      </c>
      <c r="AK78" s="112">
        <f ca="1">OFFSET(RES!AN$95,$E78,0)</f>
        <v>16.338581724775462</v>
      </c>
      <c r="AL78" s="112">
        <f ca="1">OFFSET(RES!AO$95,$E78,0)</f>
        <v>16.338581724775462</v>
      </c>
      <c r="AM78" s="112">
        <f ca="1">OFFSET(RES!AP$95,$E78,0)</f>
        <v>16.338581724775462</v>
      </c>
    </row>
    <row r="79" spans="1:39">
      <c r="A79" s="29" t="s">
        <v>378</v>
      </c>
      <c r="B79">
        <v>3.5984677195130002</v>
      </c>
      <c r="E79" s="115">
        <f>MATCH(F79,RES!$D$96:$D$134,0)</f>
        <v>21</v>
      </c>
      <c r="F79" t="str">
        <f t="shared" si="1"/>
        <v>RMER</v>
      </c>
      <c r="G79" s="112">
        <f ca="1">OFFSET(RES!J$95,$E79,0)</f>
        <v>3.4996903643039099</v>
      </c>
      <c r="H79" s="112">
        <f ca="1">OFFSET(RES!K$95,$E79,0)</f>
        <v>4.2219545382302819</v>
      </c>
      <c r="I79" s="112">
        <f ca="1">OFFSET(RES!L$95,$E79,0)</f>
        <v>4.944218712156653</v>
      </c>
      <c r="J79" s="112">
        <f ca="1">OFFSET(RES!M$95,$E79,0)</f>
        <v>5.6664828860830259</v>
      </c>
      <c r="K79" s="112">
        <f ca="1">OFFSET(RES!N$95,$E79,0)</f>
        <v>6.388747060009397</v>
      </c>
      <c r="L79" s="112">
        <f ca="1">OFFSET(RES!O$95,$E79,0)</f>
        <v>7.1110112339357689</v>
      </c>
      <c r="M79" s="112">
        <f ca="1">OFFSET(RES!P$95,$E79,0)</f>
        <v>7.3028763654083253</v>
      </c>
      <c r="N79" s="112">
        <f ca="1">OFFSET(RES!Q$95,$E79,0)</f>
        <v>7.5002312514268503</v>
      </c>
      <c r="O79" s="181">
        <f ca="1">OFFSET(RES!R$95,$E79,0)</f>
        <v>7.8817995865608212</v>
      </c>
      <c r="P79" s="112">
        <f ca="1">OFFSET(RES!S$95,$E79,0)</f>
        <v>6.8503481373107142</v>
      </c>
      <c r="Q79" s="112">
        <f ca="1">OFFSET(RES!T$95,$E79,0)</f>
        <v>7.2406590063794738</v>
      </c>
      <c r="R79" s="112">
        <f ca="1">OFFSET(RES!U$95,$E79,0)</f>
        <v>7.5324098385104801</v>
      </c>
      <c r="S79" s="112">
        <f ca="1">OFFSET(RES!V$95,$E79,0)</f>
        <v>7.6956969660419308</v>
      </c>
      <c r="T79" s="181">
        <f ca="1">OFFSET(RES!W$95,$E79,0)</f>
        <v>7.8545148029316216</v>
      </c>
      <c r="U79" s="112">
        <f ca="1">OFFSET(RES!X$95,$E79,0)</f>
        <v>7.9871745462942227</v>
      </c>
      <c r="V79" s="112">
        <f ca="1">OFFSET(RES!Y$95,$E79,0)</f>
        <v>8.1453263935323204</v>
      </c>
      <c r="W79" s="112">
        <f ca="1">OFFSET(RES!Z$95,$E79,0)</f>
        <v>8.2765637409553943</v>
      </c>
      <c r="X79" s="112">
        <f ca="1">OFFSET(RES!AA$95,$E79,0)</f>
        <v>8.3800209921743871</v>
      </c>
      <c r="Y79" s="112">
        <f ca="1">OFFSET(RES!AB$95,$E79,0)</f>
        <v>8.5273807059088078</v>
      </c>
      <c r="Z79" s="112">
        <f ca="1">OFFSET(RES!AC$95,$E79,0)</f>
        <v>8.6557497276819433</v>
      </c>
      <c r="AA79" s="112">
        <f ca="1">OFFSET(RES!AD$95,$E79,0)</f>
        <v>8.8010042819046728</v>
      </c>
      <c r="AB79" s="112">
        <f ca="1">OFFSET(RES!AE$95,$E79,0)</f>
        <v>8.9469172835999604</v>
      </c>
      <c r="AC79" s="112">
        <f ca="1">OFFSET(RES!AF$95,$E79,0)</f>
        <v>9.1012007090923497</v>
      </c>
      <c r="AD79" s="112">
        <f ca="1">OFFSET(RES!AG$95,$E79,0)</f>
        <v>9.2830828997678587</v>
      </c>
      <c r="AE79" s="112">
        <f ca="1">OFFSET(RES!AH$95,$E79,0)</f>
        <v>9.4082549766740762</v>
      </c>
      <c r="AF79" s="112">
        <f ca="1">OFFSET(RES!AI$95,$E79,0)</f>
        <v>9.5324745025140309</v>
      </c>
      <c r="AG79" s="112">
        <f ca="1">OFFSET(RES!AJ$95,$E79,0)</f>
        <v>9.6747256434907971</v>
      </c>
      <c r="AH79" s="112">
        <f ca="1">OFFSET(RES!AK$95,$E79,0)</f>
        <v>9.7585733393053271</v>
      </c>
      <c r="AI79" s="112">
        <f ca="1">OFFSET(RES!AL$95,$E79,0)</f>
        <v>9.9376866810370448</v>
      </c>
      <c r="AJ79" s="112">
        <f ca="1">OFFSET(RES!AM$95,$E79,0)</f>
        <v>10.485770484227499</v>
      </c>
      <c r="AK79" s="112">
        <f ca="1">OFFSET(RES!AN$95,$E79,0)</f>
        <v>11.007071720192474</v>
      </c>
      <c r="AL79" s="112">
        <f ca="1">OFFSET(RES!AO$95,$E79,0)</f>
        <v>11.007071720192474</v>
      </c>
      <c r="AM79" s="112">
        <f ca="1">OFFSET(RES!AP$95,$E79,0)</f>
        <v>11.007071720192474</v>
      </c>
    </row>
    <row r="80" spans="1:39">
      <c r="A80" s="29" t="s">
        <v>379</v>
      </c>
      <c r="B80">
        <v>16.347656033450001</v>
      </c>
      <c r="E80" s="115">
        <f>MATCH(F80,RES!$D$96:$D$134,0)</f>
        <v>20</v>
      </c>
      <c r="F80" t="str">
        <f t="shared" si="1"/>
        <v>RMEW</v>
      </c>
      <c r="G80" s="112">
        <f ca="1">OFFSET(RES!J$95,$E80,0)</f>
        <v>6.1812621863565074</v>
      </c>
      <c r="H80" s="112">
        <f ca="1">OFFSET(RES!K$95,$E80,0)</f>
        <v>6.0657182368398672</v>
      </c>
      <c r="I80" s="112">
        <f ca="1">OFFSET(RES!L$95,$E80,0)</f>
        <v>5.9501742873232271</v>
      </c>
      <c r="J80" s="112">
        <f ca="1">OFFSET(RES!M$95,$E80,0)</f>
        <v>5.834630337806586</v>
      </c>
      <c r="K80" s="112">
        <f ca="1">OFFSET(RES!N$95,$E80,0)</f>
        <v>5.7190863882899459</v>
      </c>
      <c r="L80" s="112">
        <f ca="1">OFFSET(RES!O$95,$E80,0)</f>
        <v>5.6035424387733057</v>
      </c>
      <c r="M80" s="112">
        <f ca="1">OFFSET(RES!P$95,$E80,0)</f>
        <v>5.7547339319882918</v>
      </c>
      <c r="N80" s="112">
        <f ca="1">OFFSET(RES!Q$95,$E80,0)</f>
        <v>5.9102514024187238</v>
      </c>
      <c r="O80" s="181">
        <f ca="1">OFFSET(RES!R$95,$E80,0)</f>
        <v>6.2109307697935767</v>
      </c>
      <c r="P80" s="112">
        <f ca="1">OFFSET(RES!S$95,$E80,0)</f>
        <v>5.3981375144792771</v>
      </c>
      <c r="Q80" s="112">
        <f ca="1">OFFSET(RES!T$95,$E80,0)</f>
        <v>5.7057060792290706</v>
      </c>
      <c r="R80" s="112">
        <f ca="1">OFFSET(RES!U$95,$E80,0)</f>
        <v>5.9356084258308597</v>
      </c>
      <c r="S80" s="112">
        <f ca="1">OFFSET(RES!V$95,$E80,0)</f>
        <v>6.0642801883589934</v>
      </c>
      <c r="T80" s="181">
        <f ca="1">OFFSET(RES!W$95,$E80,0)</f>
        <v>6.1894301086401624</v>
      </c>
      <c r="U80" s="112">
        <f ca="1">OFFSET(RES!X$95,$E80,0)</f>
        <v>6.2939672099600932</v>
      </c>
      <c r="V80" s="112">
        <f ca="1">OFFSET(RES!Y$95,$E80,0)</f>
        <v>6.418592324253237</v>
      </c>
      <c r="W80" s="112">
        <f ca="1">OFFSET(RES!Z$95,$E80,0)</f>
        <v>6.5220085644537482</v>
      </c>
      <c r="X80" s="112">
        <f ca="1">OFFSET(RES!AA$95,$E80,0)</f>
        <v>6.6035338326234614</v>
      </c>
      <c r="Y80" s="112">
        <f ca="1">OFFSET(RES!AB$95,$E80,0)</f>
        <v>6.71965464617747</v>
      </c>
      <c r="Z80" s="112">
        <f ca="1">OFFSET(RES!AC$95,$E80,0)</f>
        <v>6.8208106193106257</v>
      </c>
      <c r="AA80" s="112">
        <f ca="1">OFFSET(RES!AD$95,$E80,0)</f>
        <v>6.9352725477530681</v>
      </c>
      <c r="AB80" s="112">
        <f ca="1">OFFSET(RES!AE$95,$E80,0)</f>
        <v>7.0502533388768942</v>
      </c>
      <c r="AC80" s="112">
        <f ca="1">OFFSET(RES!AF$95,$E80,0)</f>
        <v>7.1718301011551091</v>
      </c>
      <c r="AD80" s="112">
        <f ca="1">OFFSET(RES!AG$95,$E80,0)</f>
        <v>7.3151549449471469</v>
      </c>
      <c r="AE80" s="112">
        <f ca="1">OFFSET(RES!AH$95,$E80,0)</f>
        <v>7.4137916960390413</v>
      </c>
      <c r="AF80" s="112">
        <f ca="1">OFFSET(RES!AI$95,$E80,0)</f>
        <v>7.51167782810513</v>
      </c>
      <c r="AG80" s="112">
        <f ca="1">OFFSET(RES!AJ$95,$E80,0)</f>
        <v>7.6237730392086078</v>
      </c>
      <c r="AH80" s="112">
        <f ca="1">OFFSET(RES!AK$95,$E80,0)</f>
        <v>7.6898457968563303</v>
      </c>
      <c r="AI80" s="112">
        <f ca="1">OFFSET(RES!AL$95,$E80,0)</f>
        <v>7.8309887621429537</v>
      </c>
      <c r="AJ80" s="112">
        <f ca="1">OFFSET(RES!AM$95,$E80,0)</f>
        <v>8.2628838541553655</v>
      </c>
      <c r="AK80" s="112">
        <f ca="1">OFFSET(RES!AN$95,$E80,0)</f>
        <v>8.6736740361725495</v>
      </c>
      <c r="AL80" s="112">
        <f ca="1">OFFSET(RES!AO$95,$E80,0)</f>
        <v>8.6736740361725495</v>
      </c>
      <c r="AM80" s="112">
        <f ca="1">OFFSET(RES!AP$95,$E80,0)</f>
        <v>8.6736740361725495</v>
      </c>
    </row>
    <row r="81" spans="1:39">
      <c r="A81" s="29" t="s">
        <v>544</v>
      </c>
      <c r="B81">
        <v>17.347656033450001</v>
      </c>
      <c r="E81" s="115">
        <f>MATCH(F81,RES!$D$96:$D$134,0)</f>
        <v>19</v>
      </c>
      <c r="F81" t="str">
        <f>A81</f>
        <v>RMEWG</v>
      </c>
      <c r="G81" s="112">
        <f ca="1">OFFSET(RES!J$95,$E81,0)</f>
        <v>9.3726694794443084</v>
      </c>
      <c r="H81" s="112">
        <f ca="1">OFFSET(RES!K$95,$E81,0)</f>
        <v>8.3655450914408522</v>
      </c>
      <c r="I81" s="112">
        <f ca="1">OFFSET(RES!L$95,$E81,0)</f>
        <v>7.358420703437397</v>
      </c>
      <c r="J81" s="112">
        <f ca="1">OFFSET(RES!M$95,$E81,0)</f>
        <v>6.3512963154339417</v>
      </c>
      <c r="K81" s="112">
        <f ca="1">OFFSET(RES!N$95,$E81,0)</f>
        <v>5.3441719274304855</v>
      </c>
      <c r="L81" s="112">
        <f ca="1">OFFSET(RES!O$95,$E81,0)</f>
        <v>4.3370475394270303</v>
      </c>
      <c r="M81" s="112">
        <f ca="1">OFFSET(RES!P$95,$E81,0)</f>
        <v>4.4540672106073735</v>
      </c>
      <c r="N81" s="112">
        <f ca="1">OFFSET(RES!Q$95,$E81,0)</f>
        <v>4.5744351153458398</v>
      </c>
      <c r="O81" s="181">
        <f ca="1">OFFSET(RES!R$95,$E81,0)</f>
        <v>4.8071558852299452</v>
      </c>
      <c r="P81" s="112">
        <f ca="1">OFFSET(RES!S$95,$E81,0)</f>
        <v>4.1780675850090114</v>
      </c>
      <c r="Q81" s="112">
        <f ca="1">OFFSET(RES!T$95,$E81,0)</f>
        <v>4.4161204777154355</v>
      </c>
      <c r="R81" s="112">
        <f ca="1">OFFSET(RES!U$95,$E81,0)</f>
        <v>4.5940610247055762</v>
      </c>
      <c r="S81" s="112">
        <f ca="1">OFFSET(RES!V$95,$E81,0)</f>
        <v>4.6936508033436315</v>
      </c>
      <c r="T81" s="181">
        <f ca="1">OFFSET(RES!W$95,$E81,0)</f>
        <v>4.7905147353554955</v>
      </c>
      <c r="U81" s="112">
        <f ca="1">OFFSET(RES!X$95,$E81,0)</f>
        <v>4.8714246924071798</v>
      </c>
      <c r="V81" s="112">
        <f ca="1">OFFSET(RES!Y$95,$E81,0)</f>
        <v>4.9678824334168503</v>
      </c>
      <c r="W81" s="112">
        <f ca="1">OFFSET(RES!Z$95,$E81,0)</f>
        <v>5.0479248628263091</v>
      </c>
      <c r="X81" s="112">
        <f ca="1">OFFSET(RES!AA$95,$E81,0)</f>
        <v>5.1110240483111937</v>
      </c>
      <c r="Y81" s="112">
        <f ca="1">OFFSET(RES!AB$95,$E81,0)</f>
        <v>5.2008996036770112</v>
      </c>
      <c r="Z81" s="112">
        <f ca="1">OFFSET(RES!AC$95,$E81,0)</f>
        <v>5.2791926244168597</v>
      </c>
      <c r="AA81" s="112">
        <f ca="1">OFFSET(RES!AD$95,$E81,0)</f>
        <v>5.3677842306255279</v>
      </c>
      <c r="AB81" s="112">
        <f ca="1">OFFSET(RES!AE$95,$E81,0)</f>
        <v>5.4567774278170758</v>
      </c>
      <c r="AC81" s="112">
        <f ca="1">OFFSET(RES!AF$95,$E81,0)</f>
        <v>5.5508757956712627</v>
      </c>
      <c r="AD81" s="112">
        <f ca="1">OFFSET(RES!AG$95,$E81,0)</f>
        <v>5.6618068125947465</v>
      </c>
      <c r="AE81" s="112">
        <f ca="1">OFFSET(RES!AH$95,$E81,0)</f>
        <v>5.7381499978734194</v>
      </c>
      <c r="AF81" s="112">
        <f ca="1">OFFSET(RES!AI$95,$E81,0)</f>
        <v>5.8139122166591131</v>
      </c>
      <c r="AG81" s="112">
        <f ca="1">OFFSET(RES!AJ$95,$E81,0)</f>
        <v>5.9006720234795145</v>
      </c>
      <c r="AH81" s="112">
        <f ca="1">OFFSET(RES!AK$95,$E81,0)</f>
        <v>5.9518112258876874</v>
      </c>
      <c r="AI81" s="112">
        <f ca="1">OFFSET(RES!AL$95,$E81,0)</f>
        <v>6.0610535055692152</v>
      </c>
      <c r="AJ81" s="112">
        <f ca="1">OFFSET(RES!AM$95,$E81,0)</f>
        <v>6.3953330379489328</v>
      </c>
      <c r="AK81" s="112">
        <f ca="1">OFFSET(RES!AN$95,$E81,0)</f>
        <v>6.7132777251901041</v>
      </c>
      <c r="AL81" s="112">
        <f ca="1">OFFSET(RES!AO$95,$E81,0)</f>
        <v>6.7132777251901041</v>
      </c>
      <c r="AM81" s="112">
        <f ca="1">OFFSET(RES!AP$95,$E81,0)</f>
        <v>6.7132777251901041</v>
      </c>
    </row>
    <row r="82" spans="1:39">
      <c r="A82" s="29" t="s">
        <v>380</v>
      </c>
      <c r="B82">
        <v>0.2282739655271</v>
      </c>
      <c r="E82" s="115">
        <f>MATCH(F82,RES!$D$96:$D$134,0)</f>
        <v>16</v>
      </c>
      <c r="F82" t="str">
        <f t="shared" si="1"/>
        <v>RMNL</v>
      </c>
      <c r="G82" s="112">
        <f ca="1">OFFSET(RES!J$95,$E82,0)</f>
        <v>3.3422499241462768E-2</v>
      </c>
      <c r="H82" s="112">
        <f ca="1">OFFSET(RES!K$95,$E82,0)</f>
        <v>4.0888581808950081E-2</v>
      </c>
      <c r="I82" s="112">
        <f ca="1">OFFSET(RES!L$95,$E82,0)</f>
        <v>4.8354664376437387E-2</v>
      </c>
      <c r="J82" s="112">
        <f ca="1">OFFSET(RES!M$95,$E82,0)</f>
        <v>5.58207469439247E-2</v>
      </c>
      <c r="K82" s="112">
        <f ca="1">OFFSET(RES!N$95,$E82,0)</f>
        <v>6.3286829511412013E-2</v>
      </c>
      <c r="L82" s="112">
        <f ca="1">OFFSET(RES!O$95,$E82,0)</f>
        <v>7.0752912078899319E-2</v>
      </c>
      <c r="M82" s="112">
        <f ca="1">OFFSET(RES!P$95,$E82,0)</f>
        <v>7.2661925625847515E-2</v>
      </c>
      <c r="N82" s="112">
        <f ca="1">OFFSET(RES!Q$95,$E82,0)</f>
        <v>7.4625560956948167E-2</v>
      </c>
      <c r="O82" s="181">
        <f ca="1">OFFSET(RES!R$95,$E82,0)</f>
        <v>7.8422077370673984E-2</v>
      </c>
      <c r="P82" s="112">
        <f ca="1">OFFSET(RES!S$95,$E82,0)</f>
        <v>6.8159374739271375E-2</v>
      </c>
      <c r="Q82" s="112">
        <f ca="1">OFFSET(RES!T$95,$E82,0)</f>
        <v>7.2042877337449115E-2</v>
      </c>
      <c r="R82" s="112">
        <f ca="1">OFFSET(RES!U$95,$E82,0)</f>
        <v>7.4945730433250771E-2</v>
      </c>
      <c r="S82" s="112">
        <f ca="1">OFFSET(RES!V$95,$E82,0)</f>
        <v>7.6570399470857461E-2</v>
      </c>
      <c r="T82" s="181">
        <f ca="1">OFFSET(RES!W$95,$E82,0)</f>
        <v>7.8150600103418968E-2</v>
      </c>
      <c r="U82" s="112">
        <f ca="1">OFFSET(RES!X$95,$E82,0)</f>
        <v>7.9470533773858196E-2</v>
      </c>
      <c r="V82" s="112">
        <f ca="1">OFFSET(RES!Y$95,$E82,0)</f>
        <v>8.1044107963890721E-2</v>
      </c>
      <c r="W82" s="112">
        <f ca="1">OFFSET(RES!Z$95,$E82,0)</f>
        <v>8.2349889124716358E-2</v>
      </c>
      <c r="X82" s="112">
        <f ca="1">OFFSET(RES!AA$95,$E82,0)</f>
        <v>8.3379264773075529E-2</v>
      </c>
      <c r="Y82" s="112">
        <f ca="1">OFFSET(RES!AB$95,$E82,0)</f>
        <v>8.4845459738436685E-2</v>
      </c>
      <c r="Z82" s="112">
        <f ca="1">OFFSET(RES!AC$95,$E82,0)</f>
        <v>8.6122701724474449E-2</v>
      </c>
      <c r="AA82" s="112">
        <f ca="1">OFFSET(RES!AD$95,$E82,0)</f>
        <v>8.7567950841074743E-2</v>
      </c>
      <c r="AB82" s="112">
        <f ca="1">OFFSET(RES!AE$95,$E82,0)</f>
        <v>8.9019751357272359E-2</v>
      </c>
      <c r="AC82" s="112">
        <f ca="1">OFFSET(RES!AF$95,$E82,0)</f>
        <v>9.0554835648378545E-2</v>
      </c>
      <c r="AD82" s="112">
        <f ca="1">OFFSET(RES!AG$95,$E82,0)</f>
        <v>9.2364521250359988E-2</v>
      </c>
      <c r="AE82" s="112">
        <f ca="1">OFFSET(RES!AH$95,$E82,0)</f>
        <v>9.3609954376638022E-2</v>
      </c>
      <c r="AF82" s="112">
        <f ca="1">OFFSET(RES!AI$95,$E82,0)</f>
        <v>9.4845909840791096E-2</v>
      </c>
      <c r="AG82" s="112">
        <f ca="1">OFFSET(RES!AJ$95,$E82,0)</f>
        <v>9.6261275692362355E-2</v>
      </c>
      <c r="AH82" s="112">
        <f ca="1">OFFSET(RES!AK$95,$E82,0)</f>
        <v>9.7095540813709968E-2</v>
      </c>
      <c r="AI82" s="112">
        <f ca="1">OFFSET(RES!AL$95,$E82,0)</f>
        <v>9.8877677011051907E-2</v>
      </c>
      <c r="AJ82" s="112">
        <f ca="1">OFFSET(RES!AM$95,$E82,0)</f>
        <v>0.10433098370165883</v>
      </c>
      <c r="AK82" s="112">
        <f ca="1">OFFSET(RES!AN$95,$E82,0)</f>
        <v>0.1095178100617175</v>
      </c>
      <c r="AL82" s="112">
        <f ca="1">OFFSET(RES!AO$95,$E82,0)</f>
        <v>0.1095178100617175</v>
      </c>
      <c r="AM82" s="112">
        <f ca="1">OFFSET(RES!AP$95,$E82,0)</f>
        <v>0.1095178100617175</v>
      </c>
    </row>
    <row r="83" spans="1:39">
      <c r="A83" s="29" t="s">
        <v>134</v>
      </c>
      <c r="B83">
        <v>0.46620130319999997</v>
      </c>
      <c r="E83" s="117">
        <f>MATCH(F83,OtherTRA!$D$52:$D$56,0)</f>
        <v>1</v>
      </c>
      <c r="F83" t="str">
        <f>A83</f>
        <v>TFPIP</v>
      </c>
      <c r="G83" s="18">
        <f ca="1">OFFSET(OtherTRA!J$51,$E83,0)</f>
        <v>0.820564128</v>
      </c>
      <c r="H83" s="18">
        <f ca="1">OFFSET(OtherTRA!K$51,$E83,0)</f>
        <v>0.80153725200000003</v>
      </c>
      <c r="I83" s="18">
        <f ca="1">OFFSET(OtherTRA!L$51,$E83,0)</f>
        <v>0.78251037600000006</v>
      </c>
      <c r="J83" s="18">
        <f ca="1">OFFSET(OtherTRA!M$51,$E83,0)</f>
        <v>0.76348350000000009</v>
      </c>
      <c r="K83" s="18">
        <f ca="1">OFFSET(OtherTRA!N$51,$E83,0)</f>
        <v>0.73900575000000002</v>
      </c>
      <c r="L83" s="18">
        <f ca="1">OFFSET(OtherTRA!O$51,$E83,0)</f>
        <v>0.71452800000000005</v>
      </c>
      <c r="M83" s="18">
        <f ca="1">OFFSET(OtherTRA!P$51,$E83,0)</f>
        <v>0.74035993800000011</v>
      </c>
      <c r="N83" s="18">
        <f ca="1">OFFSET(OtherTRA!Q$51,$E83,0)</f>
        <v>0.76619187600000005</v>
      </c>
      <c r="O83" s="18">
        <f ca="1">OFFSET(OtherTRA!R$51,$E83,0)</f>
        <v>0.76619187600000005</v>
      </c>
      <c r="P83" s="18">
        <f ca="1">OFFSET(OtherTRA!S$51,$E83,0)</f>
        <v>0.76619187600000005</v>
      </c>
      <c r="Q83" s="18">
        <f ca="1">OFFSET(OtherTRA!T$51,$E83,0)</f>
        <v>0.76619187600000005</v>
      </c>
      <c r="R83" s="18">
        <f ca="1">OFFSET(OtherTRA!U$51,$E83,0)</f>
        <v>0.76619187600000005</v>
      </c>
      <c r="S83" s="18">
        <f ca="1">OFFSET(OtherTRA!V$51,$E83,0)</f>
        <v>0.76619187600000005</v>
      </c>
      <c r="T83" s="18">
        <f ca="1">OFFSET(OtherTRA!W$51,$E83,0)</f>
        <v>0.76619187600000005</v>
      </c>
      <c r="U83" s="18">
        <f ca="1">OFFSET(OtherTRA!X$51,$E83,0)</f>
        <v>0.76619187600000005</v>
      </c>
      <c r="V83" s="18">
        <f ca="1">OFFSET(OtherTRA!Y$51,$E83,0)</f>
        <v>0.76619187600000005</v>
      </c>
      <c r="W83" s="18">
        <f ca="1">OFFSET(OtherTRA!Z$51,$E83,0)</f>
        <v>0.76619187600000005</v>
      </c>
      <c r="X83" s="18">
        <f ca="1">OFFSET(OtherTRA!AA$51,$E83,0)</f>
        <v>0.76619187600000005</v>
      </c>
      <c r="Y83" s="18">
        <f ca="1">OFFSET(OtherTRA!AB$51,$E83,0)</f>
        <v>0.76619187600000005</v>
      </c>
      <c r="Z83" s="18">
        <f ca="1">OFFSET(OtherTRA!AC$51,$E83,0)</f>
        <v>0.76619187600000005</v>
      </c>
      <c r="AA83" s="18">
        <f ca="1">OFFSET(OtherTRA!AD$51,$E83,0)</f>
        <v>0.76619187600000005</v>
      </c>
      <c r="AB83" s="18">
        <f ca="1">OFFSET(OtherTRA!AE$51,$E83,0)</f>
        <v>0.76619187600000005</v>
      </c>
      <c r="AC83" s="18">
        <f ca="1">OFFSET(OtherTRA!AF$51,$E83,0)</f>
        <v>0.76619187600000005</v>
      </c>
      <c r="AD83" s="18">
        <f ca="1">OFFSET(OtherTRA!AG$51,$E83,0)</f>
        <v>0.76619187600000005</v>
      </c>
      <c r="AE83" s="18">
        <f ca="1">OFFSET(OtherTRA!AH$51,$E83,0)</f>
        <v>0.76619187600000005</v>
      </c>
      <c r="AF83" s="18">
        <f ca="1">OFFSET(OtherTRA!AI$51,$E83,0)</f>
        <v>0.76619187600000005</v>
      </c>
      <c r="AG83" s="18">
        <f ca="1">OFFSET(OtherTRA!AJ$51,$E83,0)</f>
        <v>0.76619187600000005</v>
      </c>
      <c r="AH83" s="18">
        <f ca="1">OFFSET(OtherTRA!AK$51,$E83,0)</f>
        <v>0.76619187600000005</v>
      </c>
      <c r="AI83" s="18">
        <f ca="1">OFFSET(OtherTRA!AL$51,$E83,0)</f>
        <v>0.76619187600000005</v>
      </c>
      <c r="AJ83" s="18">
        <f ca="1">OFFSET(OtherTRA!AM$51,$E83,0)</f>
        <v>0.76619187600000005</v>
      </c>
      <c r="AK83" s="18">
        <f ca="1">OFFSET(OtherTRA!AN$51,$E83,0)</f>
        <v>0.76619187600000005</v>
      </c>
      <c r="AL83" s="18">
        <f ca="1">OFFSET(OtherTRA!AO$51,$E83,0)</f>
        <v>0.76619187600000005</v>
      </c>
      <c r="AM83" s="18">
        <f ca="1">OFFSET(OtherTRA!AP$51,$E83,0)</f>
        <v>0.76619187600000005</v>
      </c>
    </row>
    <row r="84" spans="1:39">
      <c r="A84" s="29" t="s">
        <v>604</v>
      </c>
      <c r="B84">
        <f>[2]EB_2006!$AI$69/1000</f>
        <v>35.178032837499991</v>
      </c>
      <c r="E84" s="114">
        <f>MATCH(F84,OtherTRA!$D$52:$D$56,0)</f>
        <v>2</v>
      </c>
      <c r="F84" t="str">
        <f t="shared" si="1"/>
        <v>TAIJET</v>
      </c>
      <c r="G84" s="18">
        <f ca="1">OFFSET(OtherTRA!J$51,$E84,0)</f>
        <v>60.368000000000002</v>
      </c>
      <c r="H84" s="18">
        <f ca="1">OFFSET(OtherTRA!K$51,$E84,0)</f>
        <v>61.96545402402289</v>
      </c>
      <c r="I84" s="18">
        <f ca="1">OFFSET(OtherTRA!L$51,$E84,0)</f>
        <v>63.562908048045777</v>
      </c>
      <c r="J84" s="18">
        <f ca="1">OFFSET(OtherTRA!M$51,$E84,0)</f>
        <v>65.160362072068665</v>
      </c>
      <c r="K84" s="18">
        <f ca="1">OFFSET(OtherTRA!N$51,$E84,0)</f>
        <v>67.04982012364998</v>
      </c>
      <c r="L84" s="18">
        <f ca="1">OFFSET(OtherTRA!O$51,$E84,0)</f>
        <v>68.939278175231294</v>
      </c>
      <c r="M84" s="18">
        <f ca="1">OFFSET(OtherTRA!P$51,$E84,0)</f>
        <v>68.766104038348061</v>
      </c>
      <c r="N84" s="18">
        <f ca="1">OFFSET(OtherTRA!Q$51,$E84,0)</f>
        <v>68.592929901464814</v>
      </c>
      <c r="O84" s="18">
        <f ca="1">OFFSET(OtherTRA!R$51,$E84,0)</f>
        <v>64.92334928945229</v>
      </c>
      <c r="P84" s="18">
        <f ca="1">OFFSET(OtherTRA!S$51,$E84,0)</f>
        <v>67.975301606477828</v>
      </c>
      <c r="Q84" s="18">
        <f ca="1">OFFSET(OtherTRA!T$51,$E84,0)</f>
        <v>69.896901213493905</v>
      </c>
      <c r="R84" s="18">
        <f ca="1">OFFSET(OtherTRA!U$51,$E84,0)</f>
        <v>71.818500820509982</v>
      </c>
      <c r="S84" s="18">
        <f ca="1">OFFSET(OtherTRA!V$51,$E84,0)</f>
        <v>73.740100427526059</v>
      </c>
      <c r="T84" s="18">
        <f ca="1">OFFSET(OtherTRA!W$51,$E84,0)</f>
        <v>75.661700034542136</v>
      </c>
      <c r="U84" s="18">
        <f ca="1">OFFSET(OtherTRA!X$51,$E84,0)</f>
        <v>77.583299641558213</v>
      </c>
      <c r="V84" s="18">
        <f ca="1">OFFSET(OtherTRA!Y$51,$E84,0)</f>
        <v>79.50489924857429</v>
      </c>
      <c r="W84" s="18">
        <f ca="1">OFFSET(OtherTRA!Z$51,$E84,0)</f>
        <v>81.426498855590367</v>
      </c>
      <c r="X84" s="18">
        <f ca="1">OFFSET(OtherTRA!AA$51,$E84,0)</f>
        <v>83.348098462606444</v>
      </c>
      <c r="Y84" s="18">
        <f ca="1">OFFSET(OtherTRA!AB$51,$E84,0)</f>
        <v>85.269698069622549</v>
      </c>
      <c r="Z84" s="18">
        <f ca="1">OFFSET(OtherTRA!AC$51,$E84,0)</f>
        <v>87.313581287994197</v>
      </c>
      <c r="AA84" s="18">
        <f ca="1">OFFSET(OtherTRA!AD$51,$E84,0)</f>
        <v>89.357464506365844</v>
      </c>
      <c r="AB84" s="18">
        <f ca="1">OFFSET(OtherTRA!AE$51,$E84,0)</f>
        <v>91.401347724737491</v>
      </c>
      <c r="AC84" s="18">
        <f ca="1">OFFSET(OtherTRA!AF$51,$E84,0)</f>
        <v>93.445230943109138</v>
      </c>
      <c r="AD84" s="18">
        <f ca="1">OFFSET(OtherTRA!AG$51,$E84,0)</f>
        <v>95.489114161480785</v>
      </c>
      <c r="AE84" s="18">
        <f ca="1">OFFSET(OtherTRA!AH$51,$E84,0)</f>
        <v>97.532997379852432</v>
      </c>
      <c r="AF84" s="18">
        <f ca="1">OFFSET(OtherTRA!AI$51,$E84,0)</f>
        <v>99.576880598224079</v>
      </c>
      <c r="AG84" s="18">
        <f ca="1">OFFSET(OtherTRA!AJ$51,$E84,0)</f>
        <v>101.62076381659573</v>
      </c>
      <c r="AH84" s="18">
        <f ca="1">OFFSET(OtherTRA!AK$51,$E84,0)</f>
        <v>103.66464703496737</v>
      </c>
      <c r="AI84" s="18">
        <f ca="1">OFFSET(OtherTRA!AL$51,$E84,0)</f>
        <v>105.70853025333896</v>
      </c>
      <c r="AJ84" s="18">
        <f ca="1">OFFSET(OtherTRA!AM$51,$E84,0)</f>
        <v>115.78922123987785</v>
      </c>
      <c r="AK84" s="18">
        <f ca="1">OFFSET(OtherTRA!AN$51,$E84,0)</f>
        <v>125.86991222641673</v>
      </c>
      <c r="AL84" s="18">
        <f ca="1">OFFSET(OtherTRA!AO$51,$E84,0)</f>
        <v>125.86991222641673</v>
      </c>
      <c r="AM84" s="18">
        <f ca="1">OFFSET(OtherTRA!AP$51,$E84,0)</f>
        <v>125.86991222641673</v>
      </c>
    </row>
    <row r="85" spans="1:39">
      <c r="A85" s="29" t="s">
        <v>605</v>
      </c>
      <c r="B85">
        <f>[2]EB_2006!$AI$70/1000</f>
        <v>42.764908764899999</v>
      </c>
      <c r="E85" s="114">
        <f>MATCH(F85,OtherTRA!$D$52:$D$56,0)</f>
        <v>3</v>
      </c>
      <c r="F85" t="str">
        <f t="shared" ref="F85" si="2">A85</f>
        <v>TADJET</v>
      </c>
      <c r="G85" s="18">
        <f ca="1">OFFSET(OtherTRA!J$51,$E85,0)</f>
        <v>20.123000000000001</v>
      </c>
      <c r="H85" s="18">
        <f ca="1">OFFSET(OtherTRA!K$51,$E85,0)</f>
        <v>20.655493495318922</v>
      </c>
      <c r="I85" s="18">
        <f ca="1">OFFSET(OtherTRA!L$51,$E85,0)</f>
        <v>21.187986990637842</v>
      </c>
      <c r="J85" s="18">
        <f ca="1">OFFSET(OtherTRA!M$51,$E85,0)</f>
        <v>21.720480485956763</v>
      </c>
      <c r="K85" s="18">
        <f ca="1">OFFSET(OtherTRA!N$51,$E85,0)</f>
        <v>21.092854272554778</v>
      </c>
      <c r="L85" s="18">
        <f ca="1">OFFSET(OtherTRA!O$51,$E85,0)</f>
        <v>20.465228059152793</v>
      </c>
      <c r="M85" s="18">
        <f ca="1">OFFSET(OtherTRA!P$51,$E85,0)</f>
        <v>21.664958387573815</v>
      </c>
      <c r="N85" s="18">
        <f ca="1">OFFSET(OtherTRA!Q$51,$E85,0)</f>
        <v>22.864688715994838</v>
      </c>
      <c r="O85" s="18">
        <f ca="1">OFFSET(OtherTRA!R$51,$E85,0)</f>
        <v>21.641474916373717</v>
      </c>
      <c r="P85" s="18">
        <f ca="1">OFFSET(OtherTRA!S$51,$E85,0)</f>
        <v>22.658809207314363</v>
      </c>
      <c r="Q85" s="18">
        <f ca="1">OFFSET(OtherTRA!T$51,$E85,0)</f>
        <v>23.299353020128844</v>
      </c>
      <c r="R85" s="18">
        <f ca="1">OFFSET(OtherTRA!U$51,$E85,0)</f>
        <v>23.939896832943326</v>
      </c>
      <c r="S85" s="18">
        <f ca="1">OFFSET(OtherTRA!V$51,$E85,0)</f>
        <v>24.580440645757808</v>
      </c>
      <c r="T85" s="18">
        <f ca="1">OFFSET(OtherTRA!W$51,$E85,0)</f>
        <v>25.220984458572289</v>
      </c>
      <c r="U85" s="18">
        <f ca="1">OFFSET(OtherTRA!X$51,$E85,0)</f>
        <v>25.861528271386771</v>
      </c>
      <c r="V85" s="18">
        <f ca="1">OFFSET(OtherTRA!Y$51,$E85,0)</f>
        <v>26.502072084201252</v>
      </c>
      <c r="W85" s="18">
        <f ca="1">OFFSET(OtherTRA!Z$51,$E85,0)</f>
        <v>27.142615897015734</v>
      </c>
      <c r="X85" s="18">
        <f ca="1">OFFSET(OtherTRA!AA$51,$E85,0)</f>
        <v>27.783159709830215</v>
      </c>
      <c r="Y85" s="18">
        <f ca="1">OFFSET(OtherTRA!AB$51,$E85,0)</f>
        <v>28.42370352264469</v>
      </c>
      <c r="Z85" s="18">
        <f ca="1">OFFSET(OtherTRA!AC$51,$E85,0)</f>
        <v>29.105009214456452</v>
      </c>
      <c r="AA85" s="18">
        <f ca="1">OFFSET(OtherTRA!AD$51,$E85,0)</f>
        <v>29.786314906268217</v>
      </c>
      <c r="AB85" s="18">
        <f ca="1">OFFSET(OtherTRA!AE$51,$E85,0)</f>
        <v>30.467620598079982</v>
      </c>
      <c r="AC85" s="18">
        <f ca="1">OFFSET(OtherTRA!AF$51,$E85,0)</f>
        <v>31.148926289891747</v>
      </c>
      <c r="AD85" s="18">
        <f ca="1">OFFSET(OtherTRA!AG$51,$E85,0)</f>
        <v>31.830231981703513</v>
      </c>
      <c r="AE85" s="18">
        <f ca="1">OFFSET(OtherTRA!AH$51,$E85,0)</f>
        <v>32.511537673515278</v>
      </c>
      <c r="AF85" s="18">
        <f ca="1">OFFSET(OtherTRA!AI$51,$E85,0)</f>
        <v>33.192843365327043</v>
      </c>
      <c r="AG85" s="18">
        <f ca="1">OFFSET(OtherTRA!AJ$51,$E85,0)</f>
        <v>33.874149057138808</v>
      </c>
      <c r="AH85" s="18">
        <f ca="1">OFFSET(OtherTRA!AK$51,$E85,0)</f>
        <v>34.555454748950574</v>
      </c>
      <c r="AI85" s="18">
        <f ca="1">OFFSET(OtherTRA!AL$51,$E85,0)</f>
        <v>35.236760440762325</v>
      </c>
      <c r="AJ85" s="18">
        <f ca="1">OFFSET(OtherTRA!AM$51,$E85,0)</f>
        <v>38.597046432051116</v>
      </c>
      <c r="AK85" s="18">
        <f ca="1">OFFSET(OtherTRA!AN$51,$E85,0)</f>
        <v>41.957332423339913</v>
      </c>
      <c r="AL85" s="18">
        <f ca="1">OFFSET(OtherTRA!AO$51,$E85,0)</f>
        <v>41.957332423339913</v>
      </c>
      <c r="AM85" s="18">
        <f ca="1">OFFSET(OtherTRA!AP$51,$E85,0)</f>
        <v>41.957332423339913</v>
      </c>
    </row>
    <row r="86" spans="1:39">
      <c r="A86" s="29" t="s">
        <v>381</v>
      </c>
      <c r="B86" s="18">
        <f>[2]EB_2006!$AG$68/1000</f>
        <v>0.74474625240000003</v>
      </c>
      <c r="E86" s="116">
        <f>MATCH(F86,OtherTRA!$D$52:$D$56,0)</f>
        <v>4</v>
      </c>
      <c r="F86" t="str">
        <f t="shared" si="1"/>
        <v>TAOAG</v>
      </c>
      <c r="G86" s="18">
        <f ca="1">OFFSET(OtherTRA!J$51,$E86,0)</f>
        <v>1.0701311035156249</v>
      </c>
      <c r="H86" s="18">
        <f ca="1">OFFSET(OtherTRA!K$51,$E86,0)</f>
        <v>1.0984488420118992</v>
      </c>
      <c r="I86" s="18">
        <f ca="1">OFFSET(OtherTRA!L$51,$E86,0)</f>
        <v>1.1267665805081735</v>
      </c>
      <c r="J86" s="18">
        <f ca="1">OFFSET(OtherTRA!M$51,$E86,0)</f>
        <v>1.155084319004448</v>
      </c>
      <c r="K86" s="18">
        <f ca="1">OFFSET(OtherTRA!N$51,$E86,0)</f>
        <v>1.1694117490989513</v>
      </c>
      <c r="L86" s="18">
        <f ca="1">OFFSET(OtherTRA!O$51,$E86,0)</f>
        <v>1.1837391791934546</v>
      </c>
      <c r="M86" s="18">
        <f ca="1">OFFSET(OtherTRA!P$51,$E86,0)</f>
        <v>1.1998359605948092</v>
      </c>
      <c r="N86" s="18">
        <f ca="1">OFFSET(OtherTRA!Q$51,$E86,0)</f>
        <v>1.2159327419961641</v>
      </c>
      <c r="O86" s="18">
        <f ca="1">OFFSET(OtherTRA!R$51,$E86,0)</f>
        <v>1.1508828422185915</v>
      </c>
      <c r="P86" s="18">
        <f ca="1">OFFSET(OtherTRA!S$51,$E86,0)</f>
        <v>0</v>
      </c>
      <c r="Q86" s="18">
        <f ca="1">OFFSET(OtherTRA!T$51,$E86,0)</f>
        <v>0.16795093075744566</v>
      </c>
      <c r="R86" s="18">
        <f ca="1">OFFSET(OtherTRA!U$51,$E86,0)</f>
        <v>0.33590186151489132</v>
      </c>
      <c r="S86" s="18">
        <f ca="1">OFFSET(OtherTRA!V$51,$E86,0)</f>
        <v>0.50385279227233704</v>
      </c>
      <c r="T86" s="18">
        <f ca="1">OFFSET(OtherTRA!W$51,$E86,0)</f>
        <v>0.67180372302978264</v>
      </c>
      <c r="U86" s="18">
        <f ca="1">OFFSET(OtherTRA!X$51,$E86,0)</f>
        <v>0.83975465378722824</v>
      </c>
      <c r="V86" s="18">
        <f ca="1">OFFSET(OtherTRA!Y$51,$E86,0)</f>
        <v>1.0077055845446738</v>
      </c>
      <c r="W86" s="18">
        <f ca="1">OFFSET(OtherTRA!Z$51,$E86,0)</f>
        <v>1.1756565153021195</v>
      </c>
      <c r="X86" s="18">
        <f ca="1">OFFSET(OtherTRA!AA$51,$E86,0)</f>
        <v>1.3436074460595651</v>
      </c>
      <c r="Y86" s="18">
        <f ca="1">OFFSET(OtherTRA!AB$51,$E86,0)</f>
        <v>1.5115583768170109</v>
      </c>
      <c r="Z86" s="18">
        <f ca="1">OFFSET(OtherTRA!AC$51,$E86,0)</f>
        <v>1.5477898737016702</v>
      </c>
      <c r="AA86" s="18">
        <f ca="1">OFFSET(OtherTRA!AD$51,$E86,0)</f>
        <v>1.5840213705863295</v>
      </c>
      <c r="AB86" s="18">
        <f ca="1">OFFSET(OtherTRA!AE$51,$E86,0)</f>
        <v>1.6202528674709888</v>
      </c>
      <c r="AC86" s="18">
        <f ca="1">OFFSET(OtherTRA!AF$51,$E86,0)</f>
        <v>1.6564843643556482</v>
      </c>
      <c r="AD86" s="18">
        <f ca="1">OFFSET(OtherTRA!AG$51,$E86,0)</f>
        <v>1.6927158612403075</v>
      </c>
      <c r="AE86" s="18">
        <f ca="1">OFFSET(OtherTRA!AH$51,$E86,0)</f>
        <v>1.7289473581249668</v>
      </c>
      <c r="AF86" s="18">
        <f ca="1">OFFSET(OtherTRA!AI$51,$E86,0)</f>
        <v>1.7651788550096261</v>
      </c>
      <c r="AG86" s="18">
        <f ca="1">OFFSET(OtherTRA!AJ$51,$E86,0)</f>
        <v>1.8014103518942854</v>
      </c>
      <c r="AH86" s="18">
        <f ca="1">OFFSET(OtherTRA!AK$51,$E86,0)</f>
        <v>1.8376418487789448</v>
      </c>
      <c r="AI86" s="18">
        <f ca="1">OFFSET(OtherTRA!AL$51,$E86,0)</f>
        <v>1.8738733456636036</v>
      </c>
      <c r="AJ86" s="18">
        <f ca="1">OFFSET(OtherTRA!AM$51,$E86,0)</f>
        <v>2.0525716787146386</v>
      </c>
      <c r="AK86" s="18">
        <f ca="1">OFFSET(OtherTRA!AN$51,$E86,0)</f>
        <v>2.2312700117656732</v>
      </c>
      <c r="AL86" s="18">
        <f ca="1">OFFSET(OtherTRA!AO$51,$E86,0)</f>
        <v>2.2312700117656732</v>
      </c>
      <c r="AM86" s="18">
        <f ca="1">OFFSET(OtherTRA!AP$51,$E86,0)</f>
        <v>2.2312700117656732</v>
      </c>
    </row>
    <row r="87" spans="1:39">
      <c r="A87" s="29" t="s">
        <v>151</v>
      </c>
      <c r="B87" s="18">
        <v>52.28615900487997</v>
      </c>
      <c r="E87" s="115">
        <f>MATCH(F87,FTRA!$D$137:$D$149,0)</f>
        <v>1</v>
      </c>
      <c r="F87" t="str">
        <f>A87</f>
        <v>TFLCV</v>
      </c>
      <c r="G87" s="18">
        <f ca="1">OFFSET(FTRA!J$136,$E87,0)</f>
        <v>43.510890756102256</v>
      </c>
      <c r="H87" s="18">
        <f ca="1">OFFSET(FTRA!K$136,$E87,0)</f>
        <v>44.189879061043555</v>
      </c>
      <c r="I87" s="18">
        <f ca="1">OFFSET(FTRA!L$136,$E87,0)</f>
        <v>44.868867365984855</v>
      </c>
      <c r="J87" s="18">
        <f ca="1">OFFSET(FTRA!M$136,$E87,0)</f>
        <v>45.547855670926104</v>
      </c>
      <c r="K87" s="18">
        <f ca="1">OFFSET(FTRA!N$136,$E87,0)</f>
        <v>46.566338128338053</v>
      </c>
      <c r="L87" s="18">
        <f ca="1">OFFSET(FTRA!O$136,$E87,0)</f>
        <v>47.584820585750002</v>
      </c>
      <c r="M87" s="18">
        <f ca="1">OFFSET(FTRA!P$136,$E87,0)</f>
        <v>47.880977189748478</v>
      </c>
      <c r="N87" s="18">
        <f ca="1">OFFSET(FTRA!Q$136,$E87,0)</f>
        <v>48.177133793746961</v>
      </c>
      <c r="O87" s="18">
        <f ca="1">OFFSET(FTRA!R$136,$E87,0)</f>
        <v>45.207927176491495</v>
      </c>
      <c r="P87" s="18">
        <f ca="1">OFFSET(FTRA!S$136,$E87,0)</f>
        <v>47.404902267046701</v>
      </c>
      <c r="Q87" s="18">
        <f ca="1">OFFSET(FTRA!T$136,$E87,0)</f>
        <v>48.226155605734554</v>
      </c>
      <c r="R87" s="18">
        <f ca="1">OFFSET(FTRA!U$136,$E87,0)</f>
        <v>49.047408944422408</v>
      </c>
      <c r="S87" s="18">
        <f ca="1">OFFSET(FTRA!V$136,$E87,0)</f>
        <v>49.868662283110261</v>
      </c>
      <c r="T87" s="18">
        <f ca="1">OFFSET(FTRA!W$136,$E87,0)</f>
        <v>50.689915621798114</v>
      </c>
      <c r="U87" s="18">
        <f ca="1">OFFSET(FTRA!X$136,$E87,0)</f>
        <v>51.511168960485968</v>
      </c>
      <c r="V87" s="18">
        <f ca="1">OFFSET(FTRA!Y$136,$E87,0)</f>
        <v>52.332422299173821</v>
      </c>
      <c r="W87" s="18">
        <f ca="1">OFFSET(FTRA!Z$136,$E87,0)</f>
        <v>53.153675637861674</v>
      </c>
      <c r="X87" s="18">
        <f ca="1">OFFSET(FTRA!AA$136,$E87,0)</f>
        <v>53.974928976549528</v>
      </c>
      <c r="Y87" s="18">
        <f ca="1">OFFSET(FTRA!AB$136,$E87,0)</f>
        <v>54.796182315237353</v>
      </c>
      <c r="Z87" s="18">
        <f ca="1">OFFSET(FTRA!AC$136,$E87,0)</f>
        <v>56.331185118551758</v>
      </c>
      <c r="AA87" s="18">
        <f ca="1">OFFSET(FTRA!AD$136,$E87,0)</f>
        <v>57.866187921866164</v>
      </c>
      <c r="AB87" s="18">
        <f ca="1">OFFSET(FTRA!AE$136,$E87,0)</f>
        <v>59.40119072518057</v>
      </c>
      <c r="AC87" s="18">
        <f ca="1">OFFSET(FTRA!AF$136,$E87,0)</f>
        <v>60.936193528494975</v>
      </c>
      <c r="AD87" s="18">
        <f ca="1">OFFSET(FTRA!AG$136,$E87,0)</f>
        <v>62.471196331809381</v>
      </c>
      <c r="AE87" s="18">
        <f ca="1">OFFSET(FTRA!AH$136,$E87,0)</f>
        <v>64.006199135123794</v>
      </c>
      <c r="AF87" s="18">
        <f ca="1">OFFSET(FTRA!AI$136,$E87,0)</f>
        <v>65.541201938438206</v>
      </c>
      <c r="AG87" s="18">
        <f ca="1">OFFSET(FTRA!AJ$136,$E87,0)</f>
        <v>67.076204741752619</v>
      </c>
      <c r="AH87" s="18">
        <f ca="1">OFFSET(FTRA!AK$136,$E87,0)</f>
        <v>68.611207545067032</v>
      </c>
      <c r="AI87" s="18">
        <f ca="1">OFFSET(FTRA!AL$136,$E87,0)</f>
        <v>70.14621034838143</v>
      </c>
      <c r="AJ87" s="18">
        <f ca="1">OFFSET(FTRA!AM$136,$E87,0)</f>
        <v>76.200421866621184</v>
      </c>
      <c r="AK87" s="18">
        <f ca="1">OFFSET(FTRA!AN$136,$E87,0)</f>
        <v>82.254633384860938</v>
      </c>
      <c r="AL87" s="18">
        <f ca="1">OFFSET(FTRA!AO$136,$E87,0)</f>
        <v>82.254633384860938</v>
      </c>
      <c r="AM87" s="18">
        <f ca="1">OFFSET(FTRA!AP$136,$E87,0)</f>
        <v>82.254633384860938</v>
      </c>
    </row>
    <row r="88" spans="1:39">
      <c r="A88" s="29" t="s">
        <v>412</v>
      </c>
      <c r="B88" s="18">
        <v>4.134278411680218</v>
      </c>
      <c r="E88" s="114">
        <f>MATCH(F88,FTRA!$D$137:$D$149,0)</f>
        <v>2</v>
      </c>
      <c r="F88" t="str">
        <f>A88</f>
        <v>TFHCV1</v>
      </c>
      <c r="G88" s="18">
        <f ca="1">OFFSET(FTRA!J$136,$E88,0)</f>
        <v>3.6611476956493059</v>
      </c>
      <c r="H88" s="18">
        <f ca="1">OFFSET(FTRA!K$136,$E88,0)</f>
        <v>3.6595361414986383</v>
      </c>
      <c r="I88" s="18">
        <f ca="1">OFFSET(FTRA!L$136,$E88,0)</f>
        <v>3.6579245873479707</v>
      </c>
      <c r="J88" s="18">
        <f ca="1">OFFSET(FTRA!M$136,$E88,0)</f>
        <v>3.6563130331972848</v>
      </c>
      <c r="K88" s="18">
        <f ca="1">OFFSET(FTRA!N$136,$E88,0)</f>
        <v>3.6538957019712837</v>
      </c>
      <c r="L88" s="18">
        <f ca="1">OFFSET(FTRA!O$136,$E88,0)</f>
        <v>3.6514783707452825</v>
      </c>
      <c r="M88" s="18">
        <f ca="1">OFFSET(FTRA!P$136,$E88,0)</f>
        <v>3.6742043035226284</v>
      </c>
      <c r="N88" s="18">
        <f ca="1">OFFSET(FTRA!Q$136,$E88,0)</f>
        <v>3.6969302362999743</v>
      </c>
      <c r="O88" s="18">
        <f ca="1">OFFSET(FTRA!R$136,$E88,0)</f>
        <v>3.5587836419516132</v>
      </c>
      <c r="P88" s="18">
        <f ca="1">OFFSET(FTRA!S$136,$E88,0)</f>
        <v>3.6376721224257773</v>
      </c>
      <c r="Q88" s="18">
        <f ca="1">OFFSET(FTRA!T$136,$E88,0)</f>
        <v>3.7127723752912054</v>
      </c>
      <c r="R88" s="18">
        <f ca="1">OFFSET(FTRA!U$136,$E88,0)</f>
        <v>3.7878726281566335</v>
      </c>
      <c r="S88" s="18">
        <f ca="1">OFFSET(FTRA!V$136,$E88,0)</f>
        <v>3.8629728810220616</v>
      </c>
      <c r="T88" s="18">
        <f ca="1">OFFSET(FTRA!W$136,$E88,0)</f>
        <v>3.9380731338874897</v>
      </c>
      <c r="U88" s="18">
        <f ca="1">OFFSET(FTRA!X$136,$E88,0)</f>
        <v>4.0131733867529178</v>
      </c>
      <c r="V88" s="18">
        <f ca="1">OFFSET(FTRA!Y$136,$E88,0)</f>
        <v>4.0882736396183459</v>
      </c>
      <c r="W88" s="18">
        <f ca="1">OFFSET(FTRA!Z$136,$E88,0)</f>
        <v>4.163373892483774</v>
      </c>
      <c r="X88" s="18">
        <f ca="1">OFFSET(FTRA!AA$136,$E88,0)</f>
        <v>4.2384741453492021</v>
      </c>
      <c r="Y88" s="18">
        <f ca="1">OFFSET(FTRA!AB$136,$E88,0)</f>
        <v>4.3135743982146284</v>
      </c>
      <c r="Z88" s="18">
        <f ca="1">OFFSET(FTRA!AC$136,$E88,0)</f>
        <v>4.4344103490747209</v>
      </c>
      <c r="AA88" s="18">
        <f ca="1">OFFSET(FTRA!AD$136,$E88,0)</f>
        <v>4.5552462999348133</v>
      </c>
      <c r="AB88" s="18">
        <f ca="1">OFFSET(FTRA!AE$136,$E88,0)</f>
        <v>4.6760822507949058</v>
      </c>
      <c r="AC88" s="18">
        <f ca="1">OFFSET(FTRA!AF$136,$E88,0)</f>
        <v>4.7969182016549983</v>
      </c>
      <c r="AD88" s="18">
        <f ca="1">OFFSET(FTRA!AG$136,$E88,0)</f>
        <v>4.9177541525150907</v>
      </c>
      <c r="AE88" s="18">
        <f ca="1">OFFSET(FTRA!AH$136,$E88,0)</f>
        <v>5.0385901033751832</v>
      </c>
      <c r="AF88" s="18">
        <f ca="1">OFFSET(FTRA!AI$136,$E88,0)</f>
        <v>5.1594260542352757</v>
      </c>
      <c r="AG88" s="18">
        <f ca="1">OFFSET(FTRA!AJ$136,$E88,0)</f>
        <v>5.2802620050953681</v>
      </c>
      <c r="AH88" s="18">
        <f ca="1">OFFSET(FTRA!AK$136,$E88,0)</f>
        <v>5.4010979559554606</v>
      </c>
      <c r="AI88" s="18">
        <f ca="1">OFFSET(FTRA!AL$136,$E88,0)</f>
        <v>5.5219339068155575</v>
      </c>
      <c r="AJ88" s="18">
        <f ca="1">OFFSET(FTRA!AM$136,$E88,0)</f>
        <v>5.9985235286292875</v>
      </c>
      <c r="AK88" s="18">
        <f ca="1">OFFSET(FTRA!AN$136,$E88,0)</f>
        <v>6.4751131504430157</v>
      </c>
      <c r="AL88" s="18">
        <f ca="1">OFFSET(FTRA!AO$136,$E88,0)</f>
        <v>6.4751131504430157</v>
      </c>
      <c r="AM88" s="18">
        <f ca="1">OFFSET(FTRA!AP$136,$E88,0)</f>
        <v>6.4751131504430157</v>
      </c>
    </row>
    <row r="89" spans="1:39">
      <c r="A89" s="29" t="s">
        <v>413</v>
      </c>
      <c r="B89" s="18">
        <v>0.80954708483781546</v>
      </c>
      <c r="E89" s="114">
        <f>MATCH(F89,FTRA!$D$137:$D$149,0)</f>
        <v>3</v>
      </c>
      <c r="F89" t="str">
        <f t="shared" ref="F89:F96" si="3">A89</f>
        <v>TFHCV2</v>
      </c>
      <c r="G89" s="18">
        <f ca="1">OFFSET(FTRA!J$136,$E89,0)</f>
        <v>0.91016288033514725</v>
      </c>
      <c r="H89" s="18">
        <f ca="1">OFFSET(FTRA!K$136,$E89,0)</f>
        <v>0.92563893602886782</v>
      </c>
      <c r="I89" s="18">
        <f ca="1">OFFSET(FTRA!L$136,$E89,0)</f>
        <v>0.94111499172258839</v>
      </c>
      <c r="J89" s="18">
        <f ca="1">OFFSET(FTRA!M$136,$E89,0)</f>
        <v>0.95659104741630863</v>
      </c>
      <c r="K89" s="18">
        <f ca="1">OFFSET(FTRA!N$136,$E89,0)</f>
        <v>0.97980513095688937</v>
      </c>
      <c r="L89" s="18">
        <f ca="1">OFFSET(FTRA!O$136,$E89,0)</f>
        <v>1.0030192144974701</v>
      </c>
      <c r="M89" s="18">
        <f ca="1">OFFSET(FTRA!P$136,$E89,0)</f>
        <v>1.009261767493451</v>
      </c>
      <c r="N89" s="18">
        <f ca="1">OFFSET(FTRA!Q$136,$E89,0)</f>
        <v>1.0155043204894318</v>
      </c>
      <c r="O89" s="18">
        <f ca="1">OFFSET(FTRA!R$136,$E89,0)</f>
        <v>0.97755703599805133</v>
      </c>
      <c r="P89" s="18">
        <f ca="1">OFFSET(FTRA!S$136,$E89,0)</f>
        <v>0.99922679648521096</v>
      </c>
      <c r="Q89" s="18">
        <f ca="1">OFFSET(FTRA!T$136,$E89,0)</f>
        <v>1.0198559743111413</v>
      </c>
      <c r="R89" s="18">
        <f ca="1">OFFSET(FTRA!U$136,$E89,0)</f>
        <v>1.0404851521370715</v>
      </c>
      <c r="S89" s="18">
        <f ca="1">OFFSET(FTRA!V$136,$E89,0)</f>
        <v>1.0611143299630017</v>
      </c>
      <c r="T89" s="18">
        <f ca="1">OFFSET(FTRA!W$136,$E89,0)</f>
        <v>1.0817435077889319</v>
      </c>
      <c r="U89" s="18">
        <f ca="1">OFFSET(FTRA!X$136,$E89,0)</f>
        <v>1.1023726856148621</v>
      </c>
      <c r="V89" s="18">
        <f ca="1">OFFSET(FTRA!Y$136,$E89,0)</f>
        <v>1.1230018634407923</v>
      </c>
      <c r="W89" s="18">
        <f ca="1">OFFSET(FTRA!Z$136,$E89,0)</f>
        <v>1.1436310412667225</v>
      </c>
      <c r="X89" s="18">
        <f ca="1">OFFSET(FTRA!AA$136,$E89,0)</f>
        <v>1.1642602190926528</v>
      </c>
      <c r="Y89" s="18">
        <f ca="1">OFFSET(FTRA!AB$136,$E89,0)</f>
        <v>1.1848893969185836</v>
      </c>
      <c r="Z89" s="18">
        <f ca="1">OFFSET(FTRA!AC$136,$E89,0)</f>
        <v>1.2180816462512853</v>
      </c>
      <c r="AA89" s="18">
        <f ca="1">OFFSET(FTRA!AD$136,$E89,0)</f>
        <v>1.2512738955839871</v>
      </c>
      <c r="AB89" s="18">
        <f ca="1">OFFSET(FTRA!AE$136,$E89,0)</f>
        <v>1.2844661449166888</v>
      </c>
      <c r="AC89" s="18">
        <f ca="1">OFFSET(FTRA!AF$136,$E89,0)</f>
        <v>1.3176583942493905</v>
      </c>
      <c r="AD89" s="18">
        <f ca="1">OFFSET(FTRA!AG$136,$E89,0)</f>
        <v>1.3508506435820922</v>
      </c>
      <c r="AE89" s="18">
        <f ca="1">OFFSET(FTRA!AH$136,$E89,0)</f>
        <v>1.3840428929147939</v>
      </c>
      <c r="AF89" s="18">
        <f ca="1">OFFSET(FTRA!AI$136,$E89,0)</f>
        <v>1.4172351422474956</v>
      </c>
      <c r="AG89" s="18">
        <f ca="1">OFFSET(FTRA!AJ$136,$E89,0)</f>
        <v>1.4504273915801973</v>
      </c>
      <c r="AH89" s="18">
        <f ca="1">OFFSET(FTRA!AK$136,$E89,0)</f>
        <v>1.483619640912899</v>
      </c>
      <c r="AI89" s="18">
        <f ca="1">OFFSET(FTRA!AL$136,$E89,0)</f>
        <v>1.5168118902456016</v>
      </c>
      <c r="AJ89" s="18">
        <f ca="1">OFFSET(FTRA!AM$136,$E89,0)</f>
        <v>1.6477255913752851</v>
      </c>
      <c r="AK89" s="18">
        <f ca="1">OFFSET(FTRA!AN$136,$E89,0)</f>
        <v>1.7786392925049694</v>
      </c>
      <c r="AL89" s="18">
        <f ca="1">OFFSET(FTRA!AO$136,$E89,0)</f>
        <v>1.7786392925049694</v>
      </c>
      <c r="AM89" s="18">
        <f ca="1">OFFSET(FTRA!AP$136,$E89,0)</f>
        <v>1.7786392925049694</v>
      </c>
    </row>
    <row r="90" spans="1:39">
      <c r="A90" s="29" t="s">
        <v>414</v>
      </c>
      <c r="B90" s="18">
        <v>2.7195831056144888</v>
      </c>
      <c r="E90" s="114">
        <f>MATCH(F90,FTRA!$D$137:$D$149,0)</f>
        <v>4</v>
      </c>
      <c r="F90" t="str">
        <f t="shared" si="3"/>
        <v>TFHCV3</v>
      </c>
      <c r="G90" s="18">
        <f ca="1">OFFSET(FTRA!J$136,$E90,0)</f>
        <v>3.0423873008641582</v>
      </c>
      <c r="H90" s="18">
        <f ca="1">OFFSET(FTRA!K$136,$E90,0)</f>
        <v>3.0852151471238134</v>
      </c>
      <c r="I90" s="18">
        <f ca="1">OFFSET(FTRA!L$136,$E90,0)</f>
        <v>3.1280429933834686</v>
      </c>
      <c r="J90" s="18">
        <f ca="1">OFFSET(FTRA!M$136,$E90,0)</f>
        <v>3.1708708396431251</v>
      </c>
      <c r="K90" s="18">
        <f ca="1">OFFSET(FTRA!N$136,$E90,0)</f>
        <v>3.2351126090326074</v>
      </c>
      <c r="L90" s="18">
        <f ca="1">OFFSET(FTRA!O$136,$E90,0)</f>
        <v>3.2993543784220902</v>
      </c>
      <c r="M90" s="18">
        <f ca="1">OFFSET(FTRA!P$136,$E90,0)</f>
        <v>3.3198887752333626</v>
      </c>
      <c r="N90" s="18">
        <f ca="1">OFFSET(FTRA!Q$136,$E90,0)</f>
        <v>3.3404231720446353</v>
      </c>
      <c r="O90" s="18">
        <f ca="1">OFFSET(FTRA!R$136,$E90,0)</f>
        <v>3.2155985052523919</v>
      </c>
      <c r="P90" s="18">
        <f ca="1">OFFSET(FTRA!S$136,$E90,0)</f>
        <v>3.2868795117468586</v>
      </c>
      <c r="Q90" s="18">
        <f ca="1">OFFSET(FTRA!T$136,$E90,0)</f>
        <v>3.3547376018008279</v>
      </c>
      <c r="R90" s="18">
        <f ca="1">OFFSET(FTRA!U$136,$E90,0)</f>
        <v>3.4225956918547973</v>
      </c>
      <c r="S90" s="18">
        <f ca="1">OFFSET(FTRA!V$136,$E90,0)</f>
        <v>3.4904537819087667</v>
      </c>
      <c r="T90" s="18">
        <f ca="1">OFFSET(FTRA!W$136,$E90,0)</f>
        <v>3.558311871962736</v>
      </c>
      <c r="U90" s="18">
        <f ca="1">OFFSET(FTRA!X$136,$E90,0)</f>
        <v>3.6261699620167054</v>
      </c>
      <c r="V90" s="18">
        <f ca="1">OFFSET(FTRA!Y$136,$E90,0)</f>
        <v>3.6940280520706748</v>
      </c>
      <c r="W90" s="18">
        <f ca="1">OFFSET(FTRA!Z$136,$E90,0)</f>
        <v>3.7618861421246441</v>
      </c>
      <c r="X90" s="18">
        <f ca="1">OFFSET(FTRA!AA$136,$E90,0)</f>
        <v>3.8297442321786135</v>
      </c>
      <c r="Y90" s="18">
        <f ca="1">OFFSET(FTRA!AB$136,$E90,0)</f>
        <v>3.8976023222325837</v>
      </c>
      <c r="Z90" s="18">
        <f ca="1">OFFSET(FTRA!AC$136,$E90,0)</f>
        <v>4.0067856674593205</v>
      </c>
      <c r="AA90" s="18">
        <f ca="1">OFFSET(FTRA!AD$136,$E90,0)</f>
        <v>4.1159690126860573</v>
      </c>
      <c r="AB90" s="18">
        <f ca="1">OFFSET(FTRA!AE$136,$E90,0)</f>
        <v>4.2251523579127941</v>
      </c>
      <c r="AC90" s="18">
        <f ca="1">OFFSET(FTRA!AF$136,$E90,0)</f>
        <v>4.3343357031395309</v>
      </c>
      <c r="AD90" s="18">
        <f ca="1">OFFSET(FTRA!AG$136,$E90,0)</f>
        <v>4.4435190483662677</v>
      </c>
      <c r="AE90" s="18">
        <f ca="1">OFFSET(FTRA!AH$136,$E90,0)</f>
        <v>4.5527023935930044</v>
      </c>
      <c r="AF90" s="18">
        <f ca="1">OFFSET(FTRA!AI$136,$E90,0)</f>
        <v>4.6618857388197412</v>
      </c>
      <c r="AG90" s="18">
        <f ca="1">OFFSET(FTRA!AJ$136,$E90,0)</f>
        <v>4.771069084046478</v>
      </c>
      <c r="AH90" s="18">
        <f ca="1">OFFSET(FTRA!AK$136,$E90,0)</f>
        <v>4.8802524292732148</v>
      </c>
      <c r="AI90" s="18">
        <f ca="1">OFFSET(FTRA!AL$136,$E90,0)</f>
        <v>4.9894357744999507</v>
      </c>
      <c r="AJ90" s="18">
        <f ca="1">OFFSET(FTRA!AM$136,$E90,0)</f>
        <v>5.4200663015871786</v>
      </c>
      <c r="AK90" s="18">
        <f ca="1">OFFSET(FTRA!AN$136,$E90,0)</f>
        <v>5.8506968286744083</v>
      </c>
      <c r="AL90" s="18">
        <f ca="1">OFFSET(FTRA!AO$136,$E90,0)</f>
        <v>5.8506968286744083</v>
      </c>
      <c r="AM90" s="18">
        <f ca="1">OFFSET(FTRA!AP$136,$E90,0)</f>
        <v>5.8506968286744083</v>
      </c>
    </row>
    <row r="91" spans="1:39">
      <c r="A91" s="29" t="s">
        <v>415</v>
      </c>
      <c r="B91" s="18">
        <v>0.66594475210557558</v>
      </c>
      <c r="E91" s="114">
        <f>MATCH(F91,FTRA!$D$137:$D$149,0)</f>
        <v>5</v>
      </c>
      <c r="F91" t="str">
        <f t="shared" si="3"/>
        <v>TFHCV4</v>
      </c>
      <c r="G91" s="18">
        <f ca="1">OFFSET(FTRA!J$136,$E91,0)</f>
        <v>0.64156299948434192</v>
      </c>
      <c r="H91" s="18">
        <f ca="1">OFFSET(FTRA!K$136,$E91,0)</f>
        <v>0.62717766269161657</v>
      </c>
      <c r="I91" s="18">
        <f ca="1">OFFSET(FTRA!L$136,$E91,0)</f>
        <v>0.61279232589889121</v>
      </c>
      <c r="J91" s="18">
        <f ca="1">OFFSET(FTRA!M$136,$E91,0)</f>
        <v>0.59840698910616308</v>
      </c>
      <c r="K91" s="18">
        <f ca="1">OFFSET(FTRA!N$136,$E91,0)</f>
        <v>0.59840698910616308</v>
      </c>
      <c r="L91" s="18">
        <f ca="1">OFFSET(FTRA!O$136,$E91,0)</f>
        <v>0.59840698910616308</v>
      </c>
      <c r="M91" s="18">
        <f ca="1">OFFSET(FTRA!P$136,$E91,0)</f>
        <v>0.60213133185919032</v>
      </c>
      <c r="N91" s="18">
        <f ca="1">OFFSET(FTRA!Q$136,$E91,0)</f>
        <v>0.60585567461221745</v>
      </c>
      <c r="O91" s="18">
        <f ca="1">OFFSET(FTRA!R$136,$E91,0)</f>
        <v>0.58321610806251878</v>
      </c>
      <c r="P91" s="18">
        <f ca="1">OFFSET(FTRA!S$136,$E91,0)</f>
        <v>0.59614441087102454</v>
      </c>
      <c r="Q91" s="18">
        <f ca="1">OFFSET(FTRA!T$136,$E91,0)</f>
        <v>0.6084518961236729</v>
      </c>
      <c r="R91" s="18">
        <f ca="1">OFFSET(FTRA!U$136,$E91,0)</f>
        <v>0.62075938137632125</v>
      </c>
      <c r="S91" s="18">
        <f ca="1">OFFSET(FTRA!V$136,$E91,0)</f>
        <v>0.6330668666289696</v>
      </c>
      <c r="T91" s="18">
        <f ca="1">OFFSET(FTRA!W$136,$E91,0)</f>
        <v>0.64537435188161796</v>
      </c>
      <c r="U91" s="18">
        <f ca="1">OFFSET(FTRA!X$136,$E91,0)</f>
        <v>0.65768183713426631</v>
      </c>
      <c r="V91" s="18">
        <f ca="1">OFFSET(FTRA!Y$136,$E91,0)</f>
        <v>0.66998932238691467</v>
      </c>
      <c r="W91" s="18">
        <f ca="1">OFFSET(FTRA!Z$136,$E91,0)</f>
        <v>0.68229680763956302</v>
      </c>
      <c r="X91" s="18">
        <f ca="1">OFFSET(FTRA!AA$136,$E91,0)</f>
        <v>0.69460429289221137</v>
      </c>
      <c r="Y91" s="18">
        <f ca="1">OFFSET(FTRA!AB$136,$E91,0)</f>
        <v>0.70691177814486006</v>
      </c>
      <c r="Z91" s="18">
        <f ca="1">OFFSET(FTRA!AC$136,$E91,0)</f>
        <v>0.72671446357476444</v>
      </c>
      <c r="AA91" s="18">
        <f ca="1">OFFSET(FTRA!AD$136,$E91,0)</f>
        <v>0.74651714900466881</v>
      </c>
      <c r="AB91" s="18">
        <f ca="1">OFFSET(FTRA!AE$136,$E91,0)</f>
        <v>0.76631983443457319</v>
      </c>
      <c r="AC91" s="18">
        <f ca="1">OFFSET(FTRA!AF$136,$E91,0)</f>
        <v>0.78612251986447756</v>
      </c>
      <c r="AD91" s="18">
        <f ca="1">OFFSET(FTRA!AG$136,$E91,0)</f>
        <v>0.80592520529438194</v>
      </c>
      <c r="AE91" s="18">
        <f ca="1">OFFSET(FTRA!AH$136,$E91,0)</f>
        <v>0.82572789072428632</v>
      </c>
      <c r="AF91" s="18">
        <f ca="1">OFFSET(FTRA!AI$136,$E91,0)</f>
        <v>0.84553057615419069</v>
      </c>
      <c r="AG91" s="18">
        <f ca="1">OFFSET(FTRA!AJ$136,$E91,0)</f>
        <v>0.86533326158409507</v>
      </c>
      <c r="AH91" s="18">
        <f ca="1">OFFSET(FTRA!AK$136,$E91,0)</f>
        <v>0.88513594701399945</v>
      </c>
      <c r="AI91" s="18">
        <f ca="1">OFFSET(FTRA!AL$136,$E91,0)</f>
        <v>0.9049386324439036</v>
      </c>
      <c r="AJ91" s="18">
        <f ca="1">OFFSET(FTRA!AM$136,$E91,0)</f>
        <v>0.98304249385896891</v>
      </c>
      <c r="AK91" s="18">
        <f ca="1">OFFSET(FTRA!AN$136,$E91,0)</f>
        <v>1.0611463552740346</v>
      </c>
      <c r="AL91" s="18">
        <f ca="1">OFFSET(FTRA!AO$136,$E91,0)</f>
        <v>1.0611463552740346</v>
      </c>
      <c r="AM91" s="18">
        <f ca="1">OFFSET(FTRA!AP$136,$E91,0)</f>
        <v>1.0611463552740346</v>
      </c>
    </row>
    <row r="92" spans="1:39">
      <c r="A92" s="29" t="s">
        <v>416</v>
      </c>
      <c r="B92" s="18">
        <v>0.33457448391316724</v>
      </c>
      <c r="E92" s="114">
        <f>MATCH(F92,FTRA!$D$137:$D$149,0)</f>
        <v>6</v>
      </c>
      <c r="F92" t="str">
        <f t="shared" si="3"/>
        <v>TFHCV5</v>
      </c>
      <c r="G92" s="18">
        <f ca="1">OFFSET(FTRA!J$136,$E92,0)</f>
        <v>0.28132785630344881</v>
      </c>
      <c r="H92" s="18">
        <f ca="1">OFFSET(FTRA!K$136,$E92,0)</f>
        <v>0.28410456292842851</v>
      </c>
      <c r="I92" s="18">
        <f ca="1">OFFSET(FTRA!L$136,$E92,0)</f>
        <v>0.2868812695534082</v>
      </c>
      <c r="J92" s="18">
        <f ca="1">OFFSET(FTRA!M$136,$E92,0)</f>
        <v>0.28965797617838801</v>
      </c>
      <c r="K92" s="18">
        <f ca="1">OFFSET(FTRA!N$136,$E92,0)</f>
        <v>0.29382303611585753</v>
      </c>
      <c r="L92" s="18">
        <f ca="1">OFFSET(FTRA!O$136,$E92,0)</f>
        <v>0.29798809605332705</v>
      </c>
      <c r="M92" s="18">
        <f ca="1">OFFSET(FTRA!P$136,$E92,0)</f>
        <v>0.29984270307869332</v>
      </c>
      <c r="N92" s="18">
        <f ca="1">OFFSET(FTRA!Q$136,$E92,0)</f>
        <v>0.30169731010405959</v>
      </c>
      <c r="O92" s="18">
        <f ca="1">OFFSET(FTRA!R$136,$E92,0)</f>
        <v>0.29042350907159797</v>
      </c>
      <c r="P92" s="18">
        <f ca="1">OFFSET(FTRA!S$136,$E92,0)</f>
        <v>0.29686140236034775</v>
      </c>
      <c r="Q92" s="18">
        <f ca="1">OFFSET(FTRA!T$136,$E92,0)</f>
        <v>0.30299014778679939</v>
      </c>
      <c r="R92" s="18">
        <f ca="1">OFFSET(FTRA!U$136,$E92,0)</f>
        <v>0.30911889321325103</v>
      </c>
      <c r="S92" s="18">
        <f ca="1">OFFSET(FTRA!V$136,$E92,0)</f>
        <v>0.31524763863970268</v>
      </c>
      <c r="T92" s="18">
        <f ca="1">OFFSET(FTRA!W$136,$E92,0)</f>
        <v>0.32137638406615432</v>
      </c>
      <c r="U92" s="18">
        <f ca="1">OFFSET(FTRA!X$136,$E92,0)</f>
        <v>0.32750512949260596</v>
      </c>
      <c r="V92" s="18">
        <f ca="1">OFFSET(FTRA!Y$136,$E92,0)</f>
        <v>0.3336338749190576</v>
      </c>
      <c r="W92" s="18">
        <f ca="1">OFFSET(FTRA!Z$136,$E92,0)</f>
        <v>0.33976262034550925</v>
      </c>
      <c r="X92" s="18">
        <f ca="1">OFFSET(FTRA!AA$136,$E92,0)</f>
        <v>0.34589136577196089</v>
      </c>
      <c r="Y92" s="18">
        <f ca="1">OFFSET(FTRA!AB$136,$E92,0)</f>
        <v>0.35202011119841253</v>
      </c>
      <c r="Z92" s="18">
        <f ca="1">OFFSET(FTRA!AC$136,$E92,0)</f>
        <v>0.36188123353726487</v>
      </c>
      <c r="AA92" s="18">
        <f ca="1">OFFSET(FTRA!AD$136,$E92,0)</f>
        <v>0.3717423558761172</v>
      </c>
      <c r="AB92" s="18">
        <f ca="1">OFFSET(FTRA!AE$136,$E92,0)</f>
        <v>0.38160347821496954</v>
      </c>
      <c r="AC92" s="18">
        <f ca="1">OFFSET(FTRA!AF$136,$E92,0)</f>
        <v>0.39146460055382187</v>
      </c>
      <c r="AD92" s="18">
        <f ca="1">OFFSET(FTRA!AG$136,$E92,0)</f>
        <v>0.40132572289267421</v>
      </c>
      <c r="AE92" s="18">
        <f ca="1">OFFSET(FTRA!AH$136,$E92,0)</f>
        <v>0.41118684523152654</v>
      </c>
      <c r="AF92" s="18">
        <f ca="1">OFFSET(FTRA!AI$136,$E92,0)</f>
        <v>0.42104796757037888</v>
      </c>
      <c r="AG92" s="18">
        <f ca="1">OFFSET(FTRA!AJ$136,$E92,0)</f>
        <v>0.43090908990923121</v>
      </c>
      <c r="AH92" s="18">
        <f ca="1">OFFSET(FTRA!AK$136,$E92,0)</f>
        <v>0.44077021224808355</v>
      </c>
      <c r="AI92" s="18">
        <f ca="1">OFFSET(FTRA!AL$136,$E92,0)</f>
        <v>0.45063133458693594</v>
      </c>
      <c r="AJ92" s="18">
        <f ca="1">OFFSET(FTRA!AM$136,$E92,0)</f>
        <v>0.48952463192668222</v>
      </c>
      <c r="AK92" s="18">
        <f ca="1">OFFSET(FTRA!AN$136,$E92,0)</f>
        <v>0.52841792926642828</v>
      </c>
      <c r="AL92" s="18">
        <f ca="1">OFFSET(FTRA!AO$136,$E92,0)</f>
        <v>0.52841792926642828</v>
      </c>
      <c r="AM92" s="18">
        <f ca="1">OFFSET(FTRA!AP$136,$E92,0)</f>
        <v>0.52841792926642828</v>
      </c>
    </row>
    <row r="93" spans="1:39">
      <c r="A93" s="29" t="s">
        <v>417</v>
      </c>
      <c r="B93" s="18">
        <v>4.2080971938397562</v>
      </c>
      <c r="E93" s="114">
        <f>MATCH(F93,FTRA!$D$137:$D$149,0)</f>
        <v>7</v>
      </c>
      <c r="F93" t="str">
        <f t="shared" si="3"/>
        <v>TFHCV6</v>
      </c>
      <c r="G93" s="18">
        <f ca="1">OFFSET(FTRA!J$136,$E93,0)</f>
        <v>5.1541817584817791</v>
      </c>
      <c r="H93" s="18">
        <f ca="1">OFFSET(FTRA!K$136,$E93,0)</f>
        <v>5.4055160928410038</v>
      </c>
      <c r="I93" s="18">
        <f ca="1">OFFSET(FTRA!L$136,$E93,0)</f>
        <v>5.6568504272002285</v>
      </c>
      <c r="J93" s="18">
        <f ca="1">OFFSET(FTRA!M$136,$E93,0)</f>
        <v>5.9081847615594549</v>
      </c>
      <c r="K93" s="18">
        <f ca="1">OFFSET(FTRA!N$136,$E93,0)</f>
        <v>6.2851862630982929</v>
      </c>
      <c r="L93" s="18">
        <f ca="1">OFFSET(FTRA!O$136,$E93,0)</f>
        <v>6.6621877646371299</v>
      </c>
      <c r="M93" s="18">
        <f ca="1">OFFSET(FTRA!P$136,$E93,0)</f>
        <v>6.7036516365039915</v>
      </c>
      <c r="N93" s="18">
        <f ca="1">OFFSET(FTRA!Q$136,$E93,0)</f>
        <v>6.7451155083708541</v>
      </c>
      <c r="O93" s="18">
        <f ca="1">OFFSET(FTRA!R$136,$E93,0)</f>
        <v>6.4930645697790714</v>
      </c>
      <c r="P93" s="18">
        <f ca="1">OFFSET(FTRA!S$136,$E93,0)</f>
        <v>6.6369980170086968</v>
      </c>
      <c r="Q93" s="18">
        <f ca="1">OFFSET(FTRA!T$136,$E93,0)</f>
        <v>6.7740197750368258</v>
      </c>
      <c r="R93" s="18">
        <f ca="1">OFFSET(FTRA!U$136,$E93,0)</f>
        <v>6.9110415330649548</v>
      </c>
      <c r="S93" s="18">
        <f ca="1">OFFSET(FTRA!V$136,$E93,0)</f>
        <v>7.0480632910930838</v>
      </c>
      <c r="T93" s="18">
        <f ca="1">OFFSET(FTRA!W$136,$E93,0)</f>
        <v>7.1850850491212128</v>
      </c>
      <c r="U93" s="18">
        <f ca="1">OFFSET(FTRA!X$136,$E93,0)</f>
        <v>7.3221068071493418</v>
      </c>
      <c r="V93" s="18">
        <f ca="1">OFFSET(FTRA!Y$136,$E93,0)</f>
        <v>7.4591285651774708</v>
      </c>
      <c r="W93" s="18">
        <f ca="1">OFFSET(FTRA!Z$136,$E93,0)</f>
        <v>7.5961503232055998</v>
      </c>
      <c r="X93" s="18">
        <f ca="1">OFFSET(FTRA!AA$136,$E93,0)</f>
        <v>7.7331720812337288</v>
      </c>
      <c r="Y93" s="18">
        <f ca="1">OFFSET(FTRA!AB$136,$E93,0)</f>
        <v>7.8701938392618604</v>
      </c>
      <c r="Z93" s="18">
        <f ca="1">OFFSET(FTRA!AC$136,$E93,0)</f>
        <v>8.0906611984000421</v>
      </c>
      <c r="AA93" s="18">
        <f ca="1">OFFSET(FTRA!AD$136,$E93,0)</f>
        <v>8.3111285575382237</v>
      </c>
      <c r="AB93" s="18">
        <f ca="1">OFFSET(FTRA!AE$136,$E93,0)</f>
        <v>8.5315959166764053</v>
      </c>
      <c r="AC93" s="18">
        <f ca="1">OFFSET(FTRA!AF$136,$E93,0)</f>
        <v>8.7520632758145869</v>
      </c>
      <c r="AD93" s="18">
        <f ca="1">OFFSET(FTRA!AG$136,$E93,0)</f>
        <v>8.9725306349527685</v>
      </c>
      <c r="AE93" s="18">
        <f ca="1">OFFSET(FTRA!AH$136,$E93,0)</f>
        <v>9.1929979940909501</v>
      </c>
      <c r="AF93" s="18">
        <f ca="1">OFFSET(FTRA!AI$136,$E93,0)</f>
        <v>9.4134653532291317</v>
      </c>
      <c r="AG93" s="18">
        <f ca="1">OFFSET(FTRA!AJ$136,$E93,0)</f>
        <v>9.6339327123673133</v>
      </c>
      <c r="AH93" s="18">
        <f ca="1">OFFSET(FTRA!AK$136,$E93,0)</f>
        <v>9.8544000715054949</v>
      </c>
      <c r="AI93" s="18">
        <f ca="1">OFFSET(FTRA!AL$136,$E93,0)</f>
        <v>10.074867430643682</v>
      </c>
      <c r="AJ93" s="18">
        <f ca="1">OFFSET(FTRA!AM$136,$E93,0)</f>
        <v>10.944413741704649</v>
      </c>
      <c r="AK93" s="18">
        <f ca="1">OFFSET(FTRA!AN$136,$E93,0)</f>
        <v>11.81396005276561</v>
      </c>
      <c r="AL93" s="18">
        <f ca="1">OFFSET(FTRA!AO$136,$E93,0)</f>
        <v>11.81396005276561</v>
      </c>
      <c r="AM93" s="18">
        <f ca="1">OFFSET(FTRA!AP$136,$E93,0)</f>
        <v>11.81396005276561</v>
      </c>
    </row>
    <row r="94" spans="1:39">
      <c r="A94" s="29" t="s">
        <v>418</v>
      </c>
      <c r="B94" s="18">
        <v>1.4910262867673953</v>
      </c>
      <c r="E94" s="114">
        <f>MATCH(F94,FTRA!$D$137:$D$149,0)</f>
        <v>8</v>
      </c>
      <c r="F94" t="str">
        <f t="shared" si="3"/>
        <v>TFHCV7</v>
      </c>
      <c r="G94" s="18">
        <f ca="1">OFFSET(FTRA!J$136,$E94,0)</f>
        <v>1.9761616214119715</v>
      </c>
      <c r="H94" s="18">
        <f ca="1">OFFSET(FTRA!K$136,$E94,0)</f>
        <v>2.0178274562873066</v>
      </c>
      <c r="I94" s="18">
        <f ca="1">OFFSET(FTRA!L$136,$E94,0)</f>
        <v>2.0594932911626418</v>
      </c>
      <c r="J94" s="18">
        <f ca="1">OFFSET(FTRA!M$136,$E94,0)</f>
        <v>2.1011591260379752</v>
      </c>
      <c r="K94" s="18">
        <f ca="1">OFFSET(FTRA!N$136,$E94,0)</f>
        <v>2.1636578783509774</v>
      </c>
      <c r="L94" s="18">
        <f ca="1">OFFSET(FTRA!O$136,$E94,0)</f>
        <v>2.2261566306639802</v>
      </c>
      <c r="M94" s="18">
        <f ca="1">OFFSET(FTRA!P$136,$E94,0)</f>
        <v>2.240011699982106</v>
      </c>
      <c r="N94" s="18">
        <f ca="1">OFFSET(FTRA!Q$136,$E94,0)</f>
        <v>2.2538667693002314</v>
      </c>
      <c r="O94" s="18">
        <f ca="1">OFFSET(FTRA!R$136,$E94,0)</f>
        <v>2.1696444555447534</v>
      </c>
      <c r="P94" s="18">
        <f ca="1">OFFSET(FTRA!S$136,$E94,0)</f>
        <v>2.2177395272005445</v>
      </c>
      <c r="Q94" s="18">
        <f ca="1">OFFSET(FTRA!T$136,$E94,0)</f>
        <v>2.2635250718227877</v>
      </c>
      <c r="R94" s="18">
        <f ca="1">OFFSET(FTRA!U$136,$E94,0)</f>
        <v>2.309310616445031</v>
      </c>
      <c r="S94" s="18">
        <f ca="1">OFFSET(FTRA!V$136,$E94,0)</f>
        <v>2.3550961610672743</v>
      </c>
      <c r="T94" s="18">
        <f ca="1">OFFSET(FTRA!W$136,$E94,0)</f>
        <v>2.4008817056895175</v>
      </c>
      <c r="U94" s="18">
        <f ca="1">OFFSET(FTRA!X$136,$E94,0)</f>
        <v>2.4466672503117608</v>
      </c>
      <c r="V94" s="18">
        <f ca="1">OFFSET(FTRA!Y$136,$E94,0)</f>
        <v>2.4924527949340041</v>
      </c>
      <c r="W94" s="18">
        <f ca="1">OFFSET(FTRA!Z$136,$E94,0)</f>
        <v>2.5382383395562473</v>
      </c>
      <c r="X94" s="18">
        <f ca="1">OFFSET(FTRA!AA$136,$E94,0)</f>
        <v>2.5840238841784906</v>
      </c>
      <c r="Y94" s="18">
        <f ca="1">OFFSET(FTRA!AB$136,$E94,0)</f>
        <v>2.6298094288007321</v>
      </c>
      <c r="Z94" s="18">
        <f ca="1">OFFSET(FTRA!AC$136,$E94,0)</f>
        <v>2.7034781530590872</v>
      </c>
      <c r="AA94" s="18">
        <f ca="1">OFFSET(FTRA!AD$136,$E94,0)</f>
        <v>2.7771468773174424</v>
      </c>
      <c r="AB94" s="18">
        <f ca="1">OFFSET(FTRA!AE$136,$E94,0)</f>
        <v>2.8508156015757975</v>
      </c>
      <c r="AC94" s="18">
        <f ca="1">OFFSET(FTRA!AF$136,$E94,0)</f>
        <v>2.9244843258341526</v>
      </c>
      <c r="AD94" s="18">
        <f ca="1">OFFSET(FTRA!AG$136,$E94,0)</f>
        <v>2.9981530500925078</v>
      </c>
      <c r="AE94" s="18">
        <f ca="1">OFFSET(FTRA!AH$136,$E94,0)</f>
        <v>3.0718217743508629</v>
      </c>
      <c r="AF94" s="18">
        <f ca="1">OFFSET(FTRA!AI$136,$E94,0)</f>
        <v>3.145490498609218</v>
      </c>
      <c r="AG94" s="18">
        <f ca="1">OFFSET(FTRA!AJ$136,$E94,0)</f>
        <v>3.2191592228675732</v>
      </c>
      <c r="AH94" s="18">
        <f ca="1">OFFSET(FTRA!AK$136,$E94,0)</f>
        <v>3.2928279471259283</v>
      </c>
      <c r="AI94" s="18">
        <f ca="1">OFFSET(FTRA!AL$136,$E94,0)</f>
        <v>3.3664966713842848</v>
      </c>
      <c r="AJ94" s="18">
        <f ca="1">OFFSET(FTRA!AM$136,$E94,0)</f>
        <v>3.6570538208409098</v>
      </c>
      <c r="AK94" s="18">
        <f ca="1">OFFSET(FTRA!AN$136,$E94,0)</f>
        <v>3.9476109702975353</v>
      </c>
      <c r="AL94" s="18">
        <f ca="1">OFFSET(FTRA!AO$136,$E94,0)</f>
        <v>3.9476109702975353</v>
      </c>
      <c r="AM94" s="18">
        <f ca="1">OFFSET(FTRA!AP$136,$E94,0)</f>
        <v>3.9476109702975353</v>
      </c>
    </row>
    <row r="95" spans="1:39">
      <c r="A95" s="29" t="s">
        <v>419</v>
      </c>
      <c r="B95" s="18">
        <v>0</v>
      </c>
      <c r="E95" s="114">
        <f>MATCH(F95,FTRA!$D$137:$D$149,0)</f>
        <v>9</v>
      </c>
      <c r="F95" t="str">
        <f t="shared" si="3"/>
        <v>TFHCV8</v>
      </c>
      <c r="G95" s="18">
        <f ca="1">OFFSET(FTRA!J$136,$E95,0)</f>
        <v>7.0701624395945725E-2</v>
      </c>
      <c r="H95" s="18">
        <f ca="1">OFFSET(FTRA!K$136,$E95,0)</f>
        <v>7.9286966804927639E-2</v>
      </c>
      <c r="I95" s="18">
        <f ca="1">OFFSET(FTRA!L$136,$E95,0)</f>
        <v>8.7872309213909552E-2</v>
      </c>
      <c r="J95" s="18">
        <f ca="1">OFFSET(FTRA!M$136,$E95,0)</f>
        <v>9.6457651622891244E-2</v>
      </c>
      <c r="K95" s="18">
        <f ca="1">OFFSET(FTRA!N$136,$E95,0)</f>
        <v>0.10933566523636412</v>
      </c>
      <c r="L95" s="18">
        <f ca="1">OFFSET(FTRA!O$136,$E95,0)</f>
        <v>0.122213678849837</v>
      </c>
      <c r="M95" s="18">
        <f ca="1">OFFSET(FTRA!P$136,$E95,0)</f>
        <v>0.12297430771519344</v>
      </c>
      <c r="N95" s="18">
        <f ca="1">OFFSET(FTRA!Q$136,$E95,0)</f>
        <v>0.12373493658054988</v>
      </c>
      <c r="O95" s="18">
        <f ca="1">OFFSET(FTRA!R$136,$E95,0)</f>
        <v>0.11911121933463797</v>
      </c>
      <c r="P95" s="18">
        <f ca="1">OFFSET(FTRA!S$136,$E95,0)</f>
        <v>0.1217515886422763</v>
      </c>
      <c r="Q95" s="18">
        <f ca="1">OFFSET(FTRA!T$136,$E95,0)</f>
        <v>0.12426516732283784</v>
      </c>
      <c r="R95" s="18">
        <f ca="1">OFFSET(FTRA!U$136,$E95,0)</f>
        <v>0.12677874600339939</v>
      </c>
      <c r="S95" s="18">
        <f ca="1">OFFSET(FTRA!V$136,$E95,0)</f>
        <v>0.12929232468396093</v>
      </c>
      <c r="T95" s="18">
        <f ca="1">OFFSET(FTRA!W$136,$E95,0)</f>
        <v>0.13180590336452247</v>
      </c>
      <c r="U95" s="18">
        <f ca="1">OFFSET(FTRA!X$136,$E95,0)</f>
        <v>0.13431948204508401</v>
      </c>
      <c r="V95" s="18">
        <f ca="1">OFFSET(FTRA!Y$136,$E95,0)</f>
        <v>0.13683306072564555</v>
      </c>
      <c r="W95" s="18">
        <f ca="1">OFFSET(FTRA!Z$136,$E95,0)</f>
        <v>0.13934663940620709</v>
      </c>
      <c r="X95" s="18">
        <f ca="1">OFFSET(FTRA!AA$136,$E95,0)</f>
        <v>0.14186021808676863</v>
      </c>
      <c r="Y95" s="18">
        <f ca="1">OFFSET(FTRA!AB$136,$E95,0)</f>
        <v>0.1443737967673302</v>
      </c>
      <c r="Z95" s="18">
        <f ca="1">OFFSET(FTRA!AC$136,$E95,0)</f>
        <v>0.14841813294914796</v>
      </c>
      <c r="AA95" s="18">
        <f ca="1">OFFSET(FTRA!AD$136,$E95,0)</f>
        <v>0.15246246913096573</v>
      </c>
      <c r="AB95" s="18">
        <f ca="1">OFFSET(FTRA!AE$136,$E95,0)</f>
        <v>0.15650680531278349</v>
      </c>
      <c r="AC95" s="18">
        <f ca="1">OFFSET(FTRA!AF$136,$E95,0)</f>
        <v>0.16055114149460126</v>
      </c>
      <c r="AD95" s="18">
        <f ca="1">OFFSET(FTRA!AG$136,$E95,0)</f>
        <v>0.16459547767641902</v>
      </c>
      <c r="AE95" s="18">
        <f ca="1">OFFSET(FTRA!AH$136,$E95,0)</f>
        <v>0.16863981385823679</v>
      </c>
      <c r="AF95" s="18">
        <f ca="1">OFFSET(FTRA!AI$136,$E95,0)</f>
        <v>0.17268415004005455</v>
      </c>
      <c r="AG95" s="18">
        <f ca="1">OFFSET(FTRA!AJ$136,$E95,0)</f>
        <v>0.17672848622187232</v>
      </c>
      <c r="AH95" s="18">
        <f ca="1">OFFSET(FTRA!AK$136,$E95,0)</f>
        <v>0.18077282240369008</v>
      </c>
      <c r="AI95" s="18">
        <f ca="1">OFFSET(FTRA!AL$136,$E95,0)</f>
        <v>0.18481715858550771</v>
      </c>
      <c r="AJ95" s="18">
        <f ca="1">OFFSET(FTRA!AM$136,$E95,0)</f>
        <v>0.20076844326246446</v>
      </c>
      <c r="AK95" s="18">
        <f ca="1">OFFSET(FTRA!AN$136,$E95,0)</f>
        <v>0.21671972793942126</v>
      </c>
      <c r="AL95" s="18">
        <f ca="1">OFFSET(FTRA!AO$136,$E95,0)</f>
        <v>0.21671972793942126</v>
      </c>
      <c r="AM95" s="18">
        <f ca="1">OFFSET(FTRA!AP$136,$E95,0)</f>
        <v>0.21671972793942126</v>
      </c>
    </row>
    <row r="96" spans="1:39">
      <c r="A96" s="29" t="s">
        <v>420</v>
      </c>
      <c r="B96" s="18">
        <v>4.2946824044977329E-2</v>
      </c>
      <c r="E96" s="114">
        <f>MATCH(F96,FTRA!$D$137:$D$149,0)</f>
        <v>10</v>
      </c>
      <c r="F96" t="str">
        <f t="shared" si="3"/>
        <v>TFHCV9</v>
      </c>
      <c r="G96" s="18">
        <f ca="1">OFFSET(FTRA!J$136,$E96,0)</f>
        <v>5.2818957554105039E-2</v>
      </c>
      <c r="H96" s="18">
        <f ca="1">OFFSET(FTRA!K$136,$E96,0)</f>
        <v>4.5016661085483405E-2</v>
      </c>
      <c r="I96" s="18">
        <f ca="1">OFFSET(FTRA!L$136,$E96,0)</f>
        <v>3.721436461686177E-2</v>
      </c>
      <c r="J96" s="18">
        <f ca="1">OFFSET(FTRA!M$136,$E96,0)</f>
        <v>2.9412068148240201E-2</v>
      </c>
      <c r="K96" s="18">
        <f ca="1">OFFSET(FTRA!N$136,$E96,0)</f>
        <v>2.9412068148240201E-2</v>
      </c>
      <c r="L96" s="18">
        <f ca="1">OFFSET(FTRA!O$136,$E96,0)</f>
        <v>2.9412068148240201E-2</v>
      </c>
      <c r="M96" s="18">
        <f ca="1">OFFSET(FTRA!P$136,$E96,0)</f>
        <v>2.9595121863944723E-2</v>
      </c>
      <c r="N96" s="18">
        <f ca="1">OFFSET(FTRA!Q$136,$E96,0)</f>
        <v>2.9778175579649249E-2</v>
      </c>
      <c r="O96" s="18">
        <f ca="1">OFFSET(FTRA!R$136,$E96,0)</f>
        <v>2.8665427088524546E-2</v>
      </c>
      <c r="P96" s="18">
        <f ca="1">OFFSET(FTRA!S$136,$E96,0)</f>
        <v>2.9300861049302369E-2</v>
      </c>
      <c r="Q96" s="18">
        <f ca="1">OFFSET(FTRA!T$136,$E96,0)</f>
        <v>2.9905781448920456E-2</v>
      </c>
      <c r="R96" s="18">
        <f ca="1">OFFSET(FTRA!U$136,$E96,0)</f>
        <v>3.0510701848538543E-2</v>
      </c>
      <c r="S96" s="18">
        <f ca="1">OFFSET(FTRA!V$136,$E96,0)</f>
        <v>3.111562224815663E-2</v>
      </c>
      <c r="T96" s="18">
        <f ca="1">OFFSET(FTRA!W$136,$E96,0)</f>
        <v>3.1720542647774713E-2</v>
      </c>
      <c r="U96" s="18">
        <f ca="1">OFFSET(FTRA!X$136,$E96,0)</f>
        <v>3.2325463047392797E-2</v>
      </c>
      <c r="V96" s="18">
        <f ca="1">OFFSET(FTRA!Y$136,$E96,0)</f>
        <v>3.293038344701088E-2</v>
      </c>
      <c r="W96" s="18">
        <f ca="1">OFFSET(FTRA!Z$136,$E96,0)</f>
        <v>3.3535303846628964E-2</v>
      </c>
      <c r="X96" s="18">
        <f ca="1">OFFSET(FTRA!AA$136,$E96,0)</f>
        <v>3.4140224246247047E-2</v>
      </c>
      <c r="Y96" s="18">
        <f ca="1">OFFSET(FTRA!AB$136,$E96,0)</f>
        <v>3.4745144645865138E-2</v>
      </c>
      <c r="Z96" s="18">
        <f ca="1">OFFSET(FTRA!AC$136,$E96,0)</f>
        <v>3.5718458701325111E-2</v>
      </c>
      <c r="AA96" s="18">
        <f ca="1">OFFSET(FTRA!AD$136,$E96,0)</f>
        <v>3.6691772756785083E-2</v>
      </c>
      <c r="AB96" s="18">
        <f ca="1">OFFSET(FTRA!AE$136,$E96,0)</f>
        <v>3.7665086812245056E-2</v>
      </c>
      <c r="AC96" s="18">
        <f ca="1">OFFSET(FTRA!AF$136,$E96,0)</f>
        <v>3.8638400867705029E-2</v>
      </c>
      <c r="AD96" s="18">
        <f ca="1">OFFSET(FTRA!AG$136,$E96,0)</f>
        <v>3.9611714923165002E-2</v>
      </c>
      <c r="AE96" s="18">
        <f ca="1">OFFSET(FTRA!AH$136,$E96,0)</f>
        <v>4.0585028978624975E-2</v>
      </c>
      <c r="AF96" s="18">
        <f ca="1">OFFSET(FTRA!AI$136,$E96,0)</f>
        <v>4.1558343034084948E-2</v>
      </c>
      <c r="AG96" s="18">
        <f ca="1">OFFSET(FTRA!AJ$136,$E96,0)</f>
        <v>4.2531657089544921E-2</v>
      </c>
      <c r="AH96" s="18">
        <f ca="1">OFFSET(FTRA!AK$136,$E96,0)</f>
        <v>4.3504971145004893E-2</v>
      </c>
      <c r="AI96" s="18">
        <f ca="1">OFFSET(FTRA!AL$136,$E96,0)</f>
        <v>4.4478285200464845E-2</v>
      </c>
      <c r="AJ96" s="18">
        <f ca="1">OFFSET(FTRA!AM$136,$E96,0)</f>
        <v>4.8317137580868884E-2</v>
      </c>
      <c r="AK96" s="18">
        <f ca="1">OFFSET(FTRA!AN$136,$E96,0)</f>
        <v>5.2155989961272943E-2</v>
      </c>
      <c r="AL96" s="18">
        <f ca="1">OFFSET(FTRA!AO$136,$E96,0)</f>
        <v>5.2155989961272943E-2</v>
      </c>
      <c r="AM96" s="18">
        <f ca="1">OFFSET(FTRA!AP$136,$E96,0)</f>
        <v>5.2155989961272943E-2</v>
      </c>
    </row>
    <row r="97" spans="1:39">
      <c r="A97" s="29" t="s">
        <v>382</v>
      </c>
      <c r="B97">
        <v>28</v>
      </c>
      <c r="E97" s="114">
        <f>MATCH(F97,FTRA!$D$137:$D$149,0)</f>
        <v>11</v>
      </c>
      <c r="F97" t="str">
        <f t="shared" si="1"/>
        <v>TFRCO</v>
      </c>
      <c r="G97" s="18">
        <f ca="1">OFFSET(FTRA!J$136,$E97,0)</f>
        <v>22</v>
      </c>
      <c r="H97" s="18">
        <f ca="1">OFFSET(FTRA!K$136,$E97,0)</f>
        <v>22.394471154794282</v>
      </c>
      <c r="I97" s="18">
        <f ca="1">OFFSET(FTRA!L$136,$E97,0)</f>
        <v>22.788942309588563</v>
      </c>
      <c r="J97" s="18">
        <f ca="1">OFFSET(FTRA!M$136,$E97,0)</f>
        <v>23.183413464382845</v>
      </c>
      <c r="K97" s="18">
        <f ca="1">OFFSET(FTRA!N$136,$E97,0)</f>
        <v>23.396576241140881</v>
      </c>
      <c r="L97" s="18">
        <f ca="1">OFFSET(FTRA!O$136,$E97,0)</f>
        <v>23.609739017898917</v>
      </c>
      <c r="M97" s="18">
        <f ca="1">OFFSET(FTRA!P$136,$E97,0)</f>
        <v>23.756680417335971</v>
      </c>
      <c r="N97" s="18">
        <f ca="1">OFFSET(FTRA!Q$136,$E97,0)</f>
        <v>23.903621816773025</v>
      </c>
      <c r="O97" s="18">
        <f ca="1">OFFSET(FTRA!R$136,$E97,0)</f>
        <v>23.010393182336216</v>
      </c>
      <c r="P97" s="18">
        <f ca="1">OFFSET(FTRA!S$136,$E97,0)</f>
        <v>23.52047053906816</v>
      </c>
      <c r="Q97" s="18">
        <f ca="1">OFFSET(FTRA!T$136,$E97,0)</f>
        <v>24.006053963178399</v>
      </c>
      <c r="R97" s="18">
        <f ca="1">OFFSET(FTRA!U$136,$E97,0)</f>
        <v>24.491637387288637</v>
      </c>
      <c r="S97" s="18">
        <f ca="1">OFFSET(FTRA!V$136,$E97,0)</f>
        <v>24.977220811398876</v>
      </c>
      <c r="T97" s="18">
        <f ca="1">OFFSET(FTRA!W$136,$E97,0)</f>
        <v>25.462804235509115</v>
      </c>
      <c r="U97" s="18">
        <f ca="1">OFFSET(FTRA!X$136,$E97,0)</f>
        <v>25.948387659619353</v>
      </c>
      <c r="V97" s="18">
        <f ca="1">OFFSET(FTRA!Y$136,$E97,0)</f>
        <v>26.433971083729592</v>
      </c>
      <c r="W97" s="18">
        <f ca="1">OFFSET(FTRA!Z$136,$E97,0)</f>
        <v>26.91955450783983</v>
      </c>
      <c r="X97" s="18">
        <f ca="1">OFFSET(FTRA!AA$136,$E97,0)</f>
        <v>27.405137931950069</v>
      </c>
      <c r="Y97" s="18">
        <f ca="1">OFFSET(FTRA!AB$136,$E97,0)</f>
        <v>27.890721356060297</v>
      </c>
      <c r="Z97" s="18">
        <f ca="1">OFFSET(FTRA!AC$136,$E97,0)</f>
        <v>28.672022783625419</v>
      </c>
      <c r="AA97" s="18">
        <f ca="1">OFFSET(FTRA!AD$136,$E97,0)</f>
        <v>29.453324211190541</v>
      </c>
      <c r="AB97" s="18">
        <f ca="1">OFFSET(FTRA!AE$136,$E97,0)</f>
        <v>30.234625638755663</v>
      </c>
      <c r="AC97" s="18">
        <f ca="1">OFFSET(FTRA!AF$136,$E97,0)</f>
        <v>31.015927066320785</v>
      </c>
      <c r="AD97" s="18">
        <f ca="1">OFFSET(FTRA!AG$136,$E97,0)</f>
        <v>31.797228493885907</v>
      </c>
      <c r="AE97" s="18">
        <f ca="1">OFFSET(FTRA!AH$136,$E97,0)</f>
        <v>32.578529921451029</v>
      </c>
      <c r="AF97" s="18">
        <f ca="1">OFFSET(FTRA!AI$136,$E97,0)</f>
        <v>33.359831349016147</v>
      </c>
      <c r="AG97" s="18">
        <f ca="1">OFFSET(FTRA!AJ$136,$E97,0)</f>
        <v>34.141132776581266</v>
      </c>
      <c r="AH97" s="18">
        <f ca="1">OFFSET(FTRA!AK$136,$E97,0)</f>
        <v>34.922434204146384</v>
      </c>
      <c r="AI97" s="18">
        <f ca="1">OFFSET(FTRA!AL$136,$E97,0)</f>
        <v>35.703735631711503</v>
      </c>
      <c r="AJ97" s="18">
        <f ca="1">OFFSET(FTRA!AM$136,$E97,0)</f>
        <v>38.785270135601962</v>
      </c>
      <c r="AK97" s="18">
        <f ca="1">OFFSET(FTRA!AN$136,$E97,0)</f>
        <v>41.866804639492415</v>
      </c>
      <c r="AL97" s="18">
        <f ca="1">OFFSET(FTRA!AO$136,$E97,0)</f>
        <v>41.866804639492415</v>
      </c>
      <c r="AM97" s="18">
        <f ca="1">OFFSET(FTRA!AP$136,$E97,0)</f>
        <v>41.866804639492415</v>
      </c>
    </row>
    <row r="98" spans="1:39">
      <c r="A98" s="29" t="s">
        <v>384</v>
      </c>
      <c r="B98">
        <v>26</v>
      </c>
      <c r="E98" s="116">
        <f>MATCH(F98,FTRA!$D$137:$D$149,0)</f>
        <v>12</v>
      </c>
      <c r="F98" t="str">
        <f>A98</f>
        <v>TFROT</v>
      </c>
      <c r="G98" s="18">
        <f ca="1">OFFSET(FTRA!J$136,$E98,0)</f>
        <v>25.1</v>
      </c>
      <c r="H98" s="18">
        <f ca="1">OFFSET(FTRA!K$136,$E98,0)</f>
        <v>25.550055726606203</v>
      </c>
      <c r="I98" s="18">
        <f ca="1">OFFSET(FTRA!L$136,$E98,0)</f>
        <v>26.000111453212405</v>
      </c>
      <c r="J98" s="18">
        <f ca="1">OFFSET(FTRA!M$136,$E98,0)</f>
        <v>26.450167179818607</v>
      </c>
      <c r="K98" s="18">
        <f ca="1">OFFSET(FTRA!N$136,$E98,0)</f>
        <v>26.693366529665273</v>
      </c>
      <c r="L98" s="18">
        <f ca="1">OFFSET(FTRA!O$136,$E98,0)</f>
        <v>26.936565879511939</v>
      </c>
      <c r="M98" s="18">
        <f ca="1">OFFSET(FTRA!P$136,$E98,0)</f>
        <v>27.104212657960581</v>
      </c>
      <c r="N98" s="18">
        <f ca="1">OFFSET(FTRA!Q$136,$E98,0)</f>
        <v>27.271859436409219</v>
      </c>
      <c r="O98" s="18">
        <f ca="1">OFFSET(FTRA!R$136,$E98,0)</f>
        <v>26.252766767119954</v>
      </c>
      <c r="P98" s="18">
        <f ca="1">OFFSET(FTRA!S$136,$E98,0)</f>
        <v>26.834718660482309</v>
      </c>
      <c r="Q98" s="18">
        <f ca="1">OFFSET(FTRA!T$136,$E98,0)</f>
        <v>27.388725203444444</v>
      </c>
      <c r="R98" s="18">
        <f ca="1">OFFSET(FTRA!U$136,$E98,0)</f>
        <v>27.942731746406579</v>
      </c>
      <c r="S98" s="18">
        <f ca="1">OFFSET(FTRA!V$136,$E98,0)</f>
        <v>28.496738289368714</v>
      </c>
      <c r="T98" s="18">
        <f ca="1">OFFSET(FTRA!W$136,$E98,0)</f>
        <v>29.050744832330849</v>
      </c>
      <c r="U98" s="18">
        <f ca="1">OFFSET(FTRA!X$136,$E98,0)</f>
        <v>29.604751375292985</v>
      </c>
      <c r="V98" s="18">
        <f ca="1">OFFSET(FTRA!Y$136,$E98,0)</f>
        <v>30.15875791825512</v>
      </c>
      <c r="W98" s="18">
        <f ca="1">OFFSET(FTRA!Z$136,$E98,0)</f>
        <v>30.712764461217255</v>
      </c>
      <c r="X98" s="18">
        <f ca="1">OFFSET(FTRA!AA$136,$E98,0)</f>
        <v>31.26677100417939</v>
      </c>
      <c r="Y98" s="18">
        <f ca="1">OFFSET(FTRA!AB$136,$E98,0)</f>
        <v>31.820777547141518</v>
      </c>
      <c r="Z98" s="18">
        <f ca="1">OFFSET(FTRA!AC$136,$E98,0)</f>
        <v>32.712171448590816</v>
      </c>
      <c r="AA98" s="18">
        <f ca="1">OFFSET(FTRA!AD$136,$E98,0)</f>
        <v>33.603565350040114</v>
      </c>
      <c r="AB98" s="18">
        <f ca="1">OFFSET(FTRA!AE$136,$E98,0)</f>
        <v>34.494959251489412</v>
      </c>
      <c r="AC98" s="18">
        <f ca="1">OFFSET(FTRA!AF$136,$E98,0)</f>
        <v>35.38635315293871</v>
      </c>
      <c r="AD98" s="18">
        <f ca="1">OFFSET(FTRA!AG$136,$E98,0)</f>
        <v>36.277747054388009</v>
      </c>
      <c r="AE98" s="18">
        <f ca="1">OFFSET(FTRA!AH$136,$E98,0)</f>
        <v>37.169140955837307</v>
      </c>
      <c r="AF98" s="18">
        <f ca="1">OFFSET(FTRA!AI$136,$E98,0)</f>
        <v>38.060534857286605</v>
      </c>
      <c r="AG98" s="18">
        <f ca="1">OFFSET(FTRA!AJ$136,$E98,0)</f>
        <v>38.951928758735903</v>
      </c>
      <c r="AH98" s="18">
        <f ca="1">OFFSET(FTRA!AK$136,$E98,0)</f>
        <v>39.843322660185201</v>
      </c>
      <c r="AI98" s="18">
        <f ca="1">OFFSET(FTRA!AL$136,$E98,0)</f>
        <v>40.734716561634485</v>
      </c>
      <c r="AJ98" s="18">
        <f ca="1">OFFSET(FTRA!AM$136,$E98,0)</f>
        <v>44.25046729107315</v>
      </c>
      <c r="AK98" s="18">
        <f ca="1">OFFSET(FTRA!AN$136,$E98,0)</f>
        <v>47.766218020511793</v>
      </c>
      <c r="AL98" s="18">
        <f ca="1">OFFSET(FTRA!AO$136,$E98,0)</f>
        <v>47.766218020511793</v>
      </c>
      <c r="AM98" s="18">
        <f ca="1">OFFSET(FTRA!AP$136,$E98,0)</f>
        <v>47.766218020511793</v>
      </c>
    </row>
    <row r="99" spans="1:39">
      <c r="A99" s="29" t="s">
        <v>383</v>
      </c>
      <c r="B99">
        <v>67</v>
      </c>
      <c r="E99" s="115">
        <f>MATCH(F99,FTRA!$D$137:$D$149,0)</f>
        <v>13</v>
      </c>
      <c r="F99" t="str">
        <f t="shared" si="1"/>
        <v>TFREX</v>
      </c>
      <c r="G99" s="18">
        <f ca="1">OFFSET(FTRA!J$136,$E99,0)</f>
        <v>82</v>
      </c>
      <c r="H99" s="18">
        <f ca="1">OFFSET(FTRA!K$136,$E99,0)</f>
        <v>82</v>
      </c>
      <c r="I99" s="18">
        <f ca="1">OFFSET(FTRA!L$136,$E99,0)</f>
        <v>82</v>
      </c>
      <c r="J99" s="18">
        <f ca="1">OFFSET(FTRA!M$136,$E99,0)</f>
        <v>82</v>
      </c>
      <c r="K99" s="18">
        <f ca="1">OFFSET(FTRA!N$136,$E99,0)</f>
        <v>82</v>
      </c>
      <c r="L99" s="18">
        <f ca="1">OFFSET(FTRA!O$136,$E99,0)</f>
        <v>82</v>
      </c>
      <c r="M99" s="18">
        <f ca="1">OFFSET(FTRA!P$136,$E99,0)</f>
        <v>84.018400836522261</v>
      </c>
      <c r="N99" s="18">
        <f ca="1">OFFSET(FTRA!Q$136,$E99,0)</f>
        <v>86.036801673044508</v>
      </c>
      <c r="O99" s="18">
        <f ca="1">OFFSET(FTRA!R$136,$E99,0)</f>
        <v>79.266714881385326</v>
      </c>
      <c r="P99" s="18">
        <f ca="1">OFFSET(FTRA!S$136,$E99,0)</f>
        <v>84.862097424278346</v>
      </c>
      <c r="Q99" s="18">
        <f ca="1">OFFSET(FTRA!T$136,$E99,0)</f>
        <v>85.569361981081954</v>
      </c>
      <c r="R99" s="18">
        <f ca="1">OFFSET(FTRA!U$136,$E99,0)</f>
        <v>86.276626537885562</v>
      </c>
      <c r="S99" s="18">
        <f ca="1">OFFSET(FTRA!V$136,$E99,0)</f>
        <v>86.98389109468917</v>
      </c>
      <c r="T99" s="18">
        <f ca="1">OFFSET(FTRA!W$136,$E99,0)</f>
        <v>87.691155651492778</v>
      </c>
      <c r="U99" s="18">
        <f ca="1">OFFSET(FTRA!X$136,$E99,0)</f>
        <v>88.398420208296386</v>
      </c>
      <c r="V99" s="18">
        <f ca="1">OFFSET(FTRA!Y$136,$E99,0)</f>
        <v>89.105684765099994</v>
      </c>
      <c r="W99" s="18">
        <f ca="1">OFFSET(FTRA!Z$136,$E99,0)</f>
        <v>89.812949321903602</v>
      </c>
      <c r="X99" s="18">
        <f ca="1">OFFSET(FTRA!AA$136,$E99,0)</f>
        <v>90.52021387870721</v>
      </c>
      <c r="Y99" s="18">
        <f ca="1">OFFSET(FTRA!AB$136,$E99,0)</f>
        <v>91.22747843551079</v>
      </c>
      <c r="Z99" s="18">
        <f ca="1">OFFSET(FTRA!AC$136,$E99,0)</f>
        <v>92.287730218036216</v>
      </c>
      <c r="AA99" s="18">
        <f ca="1">OFFSET(FTRA!AD$136,$E99,0)</f>
        <v>93.347982000561643</v>
      </c>
      <c r="AB99" s="18">
        <f ca="1">OFFSET(FTRA!AE$136,$E99,0)</f>
        <v>94.40823378308707</v>
      </c>
      <c r="AC99" s="18">
        <f ca="1">OFFSET(FTRA!AF$136,$E99,0)</f>
        <v>95.468485565612497</v>
      </c>
      <c r="AD99" s="18">
        <f ca="1">OFFSET(FTRA!AG$136,$E99,0)</f>
        <v>96.528737348137923</v>
      </c>
      <c r="AE99" s="18">
        <f ca="1">OFFSET(FTRA!AH$136,$E99,0)</f>
        <v>97.58898913066335</v>
      </c>
      <c r="AF99" s="18">
        <f ca="1">OFFSET(FTRA!AI$136,$E99,0)</f>
        <v>98.649240913188777</v>
      </c>
      <c r="AG99" s="18">
        <f ca="1">OFFSET(FTRA!AJ$136,$E99,0)</f>
        <v>99.709492695714204</v>
      </c>
      <c r="AH99" s="18">
        <f ca="1">OFFSET(FTRA!AK$136,$E99,0)</f>
        <v>100.76974447823963</v>
      </c>
      <c r="AI99" s="18">
        <f ca="1">OFFSET(FTRA!AL$136,$E99,0)</f>
        <v>101.82999626076513</v>
      </c>
      <c r="AJ99" s="18">
        <f ca="1">OFFSET(FTRA!AM$136,$E99,0)</f>
        <v>102.40704423462124</v>
      </c>
      <c r="AK99" s="18">
        <f ca="1">OFFSET(FTRA!AN$136,$E99,0)</f>
        <v>102.98409220847734</v>
      </c>
      <c r="AL99" s="18">
        <f ca="1">OFFSET(FTRA!AO$136,$E99,0)</f>
        <v>102.98409220847734</v>
      </c>
      <c r="AM99" s="18">
        <f ca="1">OFFSET(FTRA!AP$136,$E99,0)</f>
        <v>102.98409220847734</v>
      </c>
    </row>
    <row r="100" spans="1:39">
      <c r="A100" s="29" t="s">
        <v>128</v>
      </c>
      <c r="B100">
        <v>73.203613436309993</v>
      </c>
      <c r="E100" s="114">
        <f>MATCH(F100,PTRA!$D$219:$D$226,0)</f>
        <v>1</v>
      </c>
      <c r="F100" t="str">
        <f t="shared" si="1"/>
        <v>TPPRCAR</v>
      </c>
      <c r="G100" s="18">
        <f ca="1">OFFSET(PTRA!J$218,$E100,0)</f>
        <v>77.614189675901358</v>
      </c>
      <c r="H100" s="18">
        <f ca="1">OFFSET(PTRA!K$218,$E100,0)</f>
        <v>78.66974968553842</v>
      </c>
      <c r="I100" s="18">
        <f ca="1">OFFSET(PTRA!L$218,$E100,0)</f>
        <v>79.725309695175483</v>
      </c>
      <c r="J100" s="18">
        <f ca="1">OFFSET(PTRA!M$218,$E100,0)</f>
        <v>80.780869704812559</v>
      </c>
      <c r="K100" s="18">
        <f ca="1">OFFSET(PTRA!N$218,$E100,0)</f>
        <v>80.466711296587334</v>
      </c>
      <c r="L100" s="18">
        <f ca="1">OFFSET(PTRA!O$218,$E100,0)</f>
        <v>80.152552888362095</v>
      </c>
      <c r="M100" s="18">
        <f ca="1">OFFSET(PTRA!P$218,$E100,0)</f>
        <v>82.139088284189654</v>
      </c>
      <c r="N100" s="18">
        <f ca="1">OFFSET(PTRA!Q$218,$E100,0)</f>
        <v>84.125623680017213</v>
      </c>
      <c r="O100" s="18">
        <f ca="1">OFFSET(PTRA!R$218,$E100,0)</f>
        <v>78.16502898594004</v>
      </c>
      <c r="P100" s="18">
        <f ca="1">OFFSET(PTRA!S$218,$E100,0)</f>
        <v>76.608525891339312</v>
      </c>
      <c r="Q100" s="18">
        <f ca="1">OFFSET(PTRA!T$218,$E100,0)</f>
        <v>79.05735756056815</v>
      </c>
      <c r="R100" s="18">
        <f ca="1">OFFSET(PTRA!U$218,$E100,0)</f>
        <v>81.506189229796988</v>
      </c>
      <c r="S100" s="18">
        <f ca="1">OFFSET(PTRA!V$218,$E100,0)</f>
        <v>83.955020899025826</v>
      </c>
      <c r="T100" s="18">
        <f ca="1">OFFSET(PTRA!W$218,$E100,0)</f>
        <v>86.403852568254663</v>
      </c>
      <c r="U100" s="18">
        <f ca="1">OFFSET(PTRA!X$218,$E100,0)</f>
        <v>88.852684237483501</v>
      </c>
      <c r="V100" s="18">
        <f ca="1">OFFSET(PTRA!Y$218,$E100,0)</f>
        <v>91.301515906712339</v>
      </c>
      <c r="W100" s="18">
        <f ca="1">OFFSET(PTRA!Z$218,$E100,0)</f>
        <v>93.750347575941177</v>
      </c>
      <c r="X100" s="18">
        <f ca="1">OFFSET(PTRA!AA$218,$E100,0)</f>
        <v>96.199179245170015</v>
      </c>
      <c r="Y100" s="18">
        <f ca="1">OFFSET(PTRA!AB$218,$E100,0)</f>
        <v>98.648010914398853</v>
      </c>
      <c r="Z100" s="18">
        <f ca="1">OFFSET(PTRA!AC$218,$E100,0)</f>
        <v>101.80602541826543</v>
      </c>
      <c r="AA100" s="18">
        <f ca="1">OFFSET(PTRA!AD$218,$E100,0)</f>
        <v>104.96403992213202</v>
      </c>
      <c r="AB100" s="18">
        <f ca="1">OFFSET(PTRA!AE$218,$E100,0)</f>
        <v>108.1220544259986</v>
      </c>
      <c r="AC100" s="18">
        <f ca="1">OFFSET(PTRA!AF$218,$E100,0)</f>
        <v>111.28006892986518</v>
      </c>
      <c r="AD100" s="18">
        <f ca="1">OFFSET(PTRA!AG$218,$E100,0)</f>
        <v>114.43808343373176</v>
      </c>
      <c r="AE100" s="18">
        <f ca="1">OFFSET(PTRA!AH$218,$E100,0)</f>
        <v>117.59609793759834</v>
      </c>
      <c r="AF100" s="18">
        <f ca="1">OFFSET(PTRA!AI$218,$E100,0)</f>
        <v>120.75411244146493</v>
      </c>
      <c r="AG100" s="18">
        <f ca="1">OFFSET(PTRA!AJ$218,$E100,0)</f>
        <v>123.91212694533151</v>
      </c>
      <c r="AH100" s="18">
        <f ca="1">OFFSET(PTRA!AK$218,$E100,0)</f>
        <v>127.07014144919809</v>
      </c>
      <c r="AI100" s="18">
        <f ca="1">OFFSET(PTRA!AL$218,$E100,0)</f>
        <v>130.22815595306471</v>
      </c>
      <c r="AJ100" s="18">
        <f ca="1">OFFSET(PTRA!AM$218,$E100,0)</f>
        <v>144.92947086079698</v>
      </c>
      <c r="AK100" s="18">
        <f ca="1">OFFSET(PTRA!AN$218,$E100,0)</f>
        <v>159.63078576852928</v>
      </c>
      <c r="AL100" s="18">
        <f ca="1">OFFSET(PTRA!AO$218,$E100,0)</f>
        <v>159.63078576852928</v>
      </c>
      <c r="AM100" s="18">
        <f ca="1">OFFSET(PTRA!AP$218,$E100,0)</f>
        <v>159.63078576852928</v>
      </c>
    </row>
    <row r="101" spans="1:39">
      <c r="A101" s="29" t="s">
        <v>183</v>
      </c>
      <c r="B101">
        <v>2.2210937076119999</v>
      </c>
      <c r="E101" s="115">
        <f>MATCH(F101,PTRA!$D$219:$D$226,0)</f>
        <v>3</v>
      </c>
      <c r="F101" t="str">
        <f t="shared" si="1"/>
        <v>TPPRMOT</v>
      </c>
      <c r="G101" s="18">
        <f ca="1">OFFSET(PTRA!J$218,$E101,0)</f>
        <v>3.3646857046699763</v>
      </c>
      <c r="H101" s="18">
        <f ca="1">OFFSET(PTRA!K$218,$E101,0)</f>
        <v>3.1894012488750092</v>
      </c>
      <c r="I101" s="18">
        <f ca="1">OFFSET(PTRA!L$218,$E101,0)</f>
        <v>3.0141167930800421</v>
      </c>
      <c r="J101" s="18">
        <f ca="1">OFFSET(PTRA!M$218,$E101,0)</f>
        <v>2.838832337285075</v>
      </c>
      <c r="K101" s="18">
        <f ca="1">OFFSET(PTRA!N$218,$E101,0)</f>
        <v>2.9222765352993267</v>
      </c>
      <c r="L101" s="18">
        <f ca="1">OFFSET(PTRA!O$218,$E101,0)</f>
        <v>3.0057207333135785</v>
      </c>
      <c r="M101" s="18">
        <f ca="1">OFFSET(PTRA!P$218,$E101,0)</f>
        <v>3.080215810657112</v>
      </c>
      <c r="N101" s="18">
        <f ca="1">OFFSET(PTRA!Q$218,$E101,0)</f>
        <v>3.1547108880006456</v>
      </c>
      <c r="O101" s="18">
        <f ca="1">OFFSET(PTRA!R$218,$E101,0)</f>
        <v>2.9311885869727514</v>
      </c>
      <c r="P101" s="18">
        <f ca="1">OFFSET(PTRA!S$218,$E101,0)</f>
        <v>2.8728197209252242</v>
      </c>
      <c r="Q101" s="18">
        <f ca="1">OFFSET(PTRA!T$218,$E101,0)</f>
        <v>2.9646509085213055</v>
      </c>
      <c r="R101" s="18">
        <f ca="1">OFFSET(PTRA!U$218,$E101,0)</f>
        <v>3.0564820961173869</v>
      </c>
      <c r="S101" s="18">
        <f ca="1">OFFSET(PTRA!V$218,$E101,0)</f>
        <v>3.1483132837134682</v>
      </c>
      <c r="T101" s="18">
        <f ca="1">OFFSET(PTRA!W$218,$E101,0)</f>
        <v>3.2401444713095495</v>
      </c>
      <c r="U101" s="18">
        <f ca="1">OFFSET(PTRA!X$218,$E101,0)</f>
        <v>3.3319756589056309</v>
      </c>
      <c r="V101" s="18">
        <f ca="1">OFFSET(PTRA!Y$218,$E101,0)</f>
        <v>3.4238068465017122</v>
      </c>
      <c r="W101" s="18">
        <f ca="1">OFFSET(PTRA!Z$218,$E101,0)</f>
        <v>3.5156380340977935</v>
      </c>
      <c r="X101" s="18">
        <f ca="1">OFFSET(PTRA!AA$218,$E101,0)</f>
        <v>3.6074692216938749</v>
      </c>
      <c r="Y101" s="18">
        <f ca="1">OFFSET(PTRA!AB$218,$E101,0)</f>
        <v>3.6993004092899571</v>
      </c>
      <c r="Z101" s="18">
        <f ca="1">OFFSET(PTRA!AC$218,$E101,0)</f>
        <v>3.8177259531849539</v>
      </c>
      <c r="AA101" s="18">
        <f ca="1">OFFSET(PTRA!AD$218,$E101,0)</f>
        <v>3.9361514970799507</v>
      </c>
      <c r="AB101" s="18">
        <f ca="1">OFFSET(PTRA!AE$218,$E101,0)</f>
        <v>4.054577040974948</v>
      </c>
      <c r="AC101" s="18">
        <f ca="1">OFFSET(PTRA!AF$218,$E101,0)</f>
        <v>4.1730025848699448</v>
      </c>
      <c r="AD101" s="18">
        <f ca="1">OFFSET(PTRA!AG$218,$E101,0)</f>
        <v>4.2914281287649416</v>
      </c>
      <c r="AE101" s="18">
        <f ca="1">OFFSET(PTRA!AH$218,$E101,0)</f>
        <v>4.4098536726599384</v>
      </c>
      <c r="AF101" s="18">
        <f ca="1">OFFSET(PTRA!AI$218,$E101,0)</f>
        <v>4.5282792165549353</v>
      </c>
      <c r="AG101" s="18">
        <f ca="1">OFFSET(PTRA!AJ$218,$E101,0)</f>
        <v>4.6467047604499321</v>
      </c>
      <c r="AH101" s="18">
        <f ca="1">OFFSET(PTRA!AK$218,$E101,0)</f>
        <v>4.7651303043449289</v>
      </c>
      <c r="AI101" s="18">
        <f ca="1">OFFSET(PTRA!AL$218,$E101,0)</f>
        <v>4.8835558482399266</v>
      </c>
      <c r="AJ101" s="18">
        <f ca="1">OFFSET(PTRA!AM$218,$E101,0)</f>
        <v>5.4348551572798875</v>
      </c>
      <c r="AK101" s="18">
        <f ca="1">OFFSET(PTRA!AN$218,$E101,0)</f>
        <v>5.9861544663198485</v>
      </c>
      <c r="AL101" s="18">
        <f ca="1">OFFSET(PTRA!AO$218,$E101,0)</f>
        <v>5.9861544663198485</v>
      </c>
      <c r="AM101" s="18">
        <f ca="1">OFFSET(PTRA!AP$218,$E101,0)</f>
        <v>5.9861544663198485</v>
      </c>
    </row>
    <row r="102" spans="1:39">
      <c r="A102" s="29" t="s">
        <v>127</v>
      </c>
      <c r="B102">
        <v>9.7306216335790001</v>
      </c>
      <c r="E102" s="115">
        <f>MATCH(F102,PTRA!$D$219:$D$226,0)</f>
        <v>2</v>
      </c>
      <c r="F102" t="str">
        <f t="shared" si="1"/>
        <v>TPPRSUV</v>
      </c>
      <c r="G102" s="18">
        <f ca="1">OFFSET(PTRA!J$218,$E102,0)</f>
        <v>9.939379683721306</v>
      </c>
      <c r="H102" s="18">
        <f ca="1">OFFSET(PTRA!K$218,$E102,0)</f>
        <v>11.042214536035432</v>
      </c>
      <c r="I102" s="18">
        <f ca="1">OFFSET(PTRA!L$218,$E102,0)</f>
        <v>12.145049388349559</v>
      </c>
      <c r="J102" s="18">
        <f ca="1">OFFSET(PTRA!M$218,$E102,0)</f>
        <v>13.247884240663684</v>
      </c>
      <c r="K102" s="18">
        <f ca="1">OFFSET(PTRA!N$218,$E102,0)</f>
        <v>15.140150864720315</v>
      </c>
      <c r="L102" s="18">
        <f ca="1">OFFSET(PTRA!O$218,$E102,0)</f>
        <v>17.032417488776947</v>
      </c>
      <c r="M102" s="18">
        <f ca="1">OFFSET(PTRA!P$218,$E102,0)</f>
        <v>17.454556260390305</v>
      </c>
      <c r="N102" s="18">
        <f ca="1">OFFSET(PTRA!Q$218,$E102,0)</f>
        <v>17.87669503200366</v>
      </c>
      <c r="O102" s="18">
        <f ca="1">OFFSET(PTRA!R$218,$E102,0)</f>
        <v>16.610068659512262</v>
      </c>
      <c r="P102" s="18">
        <f ca="1">OFFSET(PTRA!S$218,$E102,0)</f>
        <v>16.279311751909606</v>
      </c>
      <c r="Q102" s="18">
        <f ca="1">OFFSET(PTRA!T$218,$E102,0)</f>
        <v>16.799688481620734</v>
      </c>
      <c r="R102" s="18">
        <f ca="1">OFFSET(PTRA!U$218,$E102,0)</f>
        <v>17.320065211331862</v>
      </c>
      <c r="S102" s="18">
        <f ca="1">OFFSET(PTRA!V$218,$E102,0)</f>
        <v>17.84044194104299</v>
      </c>
      <c r="T102" s="18">
        <f ca="1">OFFSET(PTRA!W$218,$E102,0)</f>
        <v>18.360818670754117</v>
      </c>
      <c r="U102" s="18">
        <f ca="1">OFFSET(PTRA!X$218,$E102,0)</f>
        <v>18.881195400465245</v>
      </c>
      <c r="V102" s="18">
        <f ca="1">OFFSET(PTRA!Y$218,$E102,0)</f>
        <v>19.401572130176373</v>
      </c>
      <c r="W102" s="18">
        <f ca="1">OFFSET(PTRA!Z$218,$E102,0)</f>
        <v>19.9219488598875</v>
      </c>
      <c r="X102" s="18">
        <f ca="1">OFFSET(PTRA!AA$218,$E102,0)</f>
        <v>20.442325589598628</v>
      </c>
      <c r="Y102" s="18">
        <f ca="1">OFFSET(PTRA!AB$218,$E102,0)</f>
        <v>20.962702319309759</v>
      </c>
      <c r="Z102" s="18">
        <f ca="1">OFFSET(PTRA!AC$218,$E102,0)</f>
        <v>21.633780401381408</v>
      </c>
      <c r="AA102" s="18">
        <f ca="1">OFFSET(PTRA!AD$218,$E102,0)</f>
        <v>22.304858483453057</v>
      </c>
      <c r="AB102" s="18">
        <f ca="1">OFFSET(PTRA!AE$218,$E102,0)</f>
        <v>22.975936565524705</v>
      </c>
      <c r="AC102" s="18">
        <f ca="1">OFFSET(PTRA!AF$218,$E102,0)</f>
        <v>23.647014647596354</v>
      </c>
      <c r="AD102" s="18">
        <f ca="1">OFFSET(PTRA!AG$218,$E102,0)</f>
        <v>24.318092729668003</v>
      </c>
      <c r="AE102" s="18">
        <f ca="1">OFFSET(PTRA!AH$218,$E102,0)</f>
        <v>24.989170811739651</v>
      </c>
      <c r="AF102" s="18">
        <f ca="1">OFFSET(PTRA!AI$218,$E102,0)</f>
        <v>25.6602488938113</v>
      </c>
      <c r="AG102" s="18">
        <f ca="1">OFFSET(PTRA!AJ$218,$E102,0)</f>
        <v>26.331326975882948</v>
      </c>
      <c r="AH102" s="18">
        <f ca="1">OFFSET(PTRA!AK$218,$E102,0)</f>
        <v>27.002405057954597</v>
      </c>
      <c r="AI102" s="18">
        <f ca="1">OFFSET(PTRA!AL$218,$E102,0)</f>
        <v>27.673483140026256</v>
      </c>
      <c r="AJ102" s="18">
        <f ca="1">OFFSET(PTRA!AM$218,$E102,0)</f>
        <v>30.797512557919365</v>
      </c>
      <c r="AK102" s="18">
        <f ca="1">OFFSET(PTRA!AN$218,$E102,0)</f>
        <v>33.921541975812474</v>
      </c>
      <c r="AL102" s="18">
        <f ca="1">OFFSET(PTRA!AO$218,$E102,0)</f>
        <v>33.921541975812474</v>
      </c>
      <c r="AM102" s="18">
        <f ca="1">OFFSET(PTRA!AP$218,$E102,0)</f>
        <v>33.921541975812474</v>
      </c>
    </row>
    <row r="103" spans="1:39">
      <c r="A103" s="29" t="s">
        <v>131</v>
      </c>
      <c r="B103" t="s">
        <v>386</v>
      </c>
      <c r="E103" s="115">
        <f>MATCH(F103,PTRA!$D$219:$D$226,0)</f>
        <v>6</v>
      </c>
      <c r="F103" t="str">
        <f t="shared" si="1"/>
        <v>TPPUBRT</v>
      </c>
      <c r="G103" s="18">
        <f ca="1">OFFSET(PTRA!J$218,$E103,0)</f>
        <v>0</v>
      </c>
      <c r="H103" s="18">
        <f ca="1">OFFSET(PTRA!K$218,$E103,0)</f>
        <v>2.4743662039261104E-2</v>
      </c>
      <c r="I103" s="18">
        <f ca="1">OFFSET(PTRA!L$218,$E103,0)</f>
        <v>2.8399581228355071E-2</v>
      </c>
      <c r="J103" s="18">
        <f ca="1">OFFSET(PTRA!M$218,$E103,0)</f>
        <v>3.2055500417449041E-2</v>
      </c>
      <c r="K103" s="18">
        <f ca="1">OFFSET(PTRA!N$218,$E103,0)</f>
        <v>4.7519121895018071E-2</v>
      </c>
      <c r="L103" s="18">
        <f ca="1">OFFSET(PTRA!O$218,$E103,0)</f>
        <v>6.2982743372587108E-2</v>
      </c>
      <c r="M103" s="18">
        <f ca="1">OFFSET(PTRA!P$218,$E103,0)</f>
        <v>8.1980795939356782E-2</v>
      </c>
      <c r="N103" s="18">
        <f ca="1">OFFSET(PTRA!Q$218,$E103,0)</f>
        <v>0.10097884850612647</v>
      </c>
      <c r="O103" s="18">
        <f ca="1">OFFSET(PTRA!R$218,$E103,0)</f>
        <v>0.10218816836006109</v>
      </c>
      <c r="P103" s="18">
        <f ca="1">OFFSET(PTRA!S$218,$E103,0)</f>
        <v>0.29582123799058679</v>
      </c>
      <c r="Q103" s="18">
        <f ca="1">OFFSET(PTRA!T$218,$E103,0)</f>
        <v>0.32674523035896935</v>
      </c>
      <c r="R103" s="18">
        <f ca="1">OFFSET(PTRA!U$218,$E103,0)</f>
        <v>0.35766922272735191</v>
      </c>
      <c r="S103" s="18">
        <f ca="1">OFFSET(PTRA!V$218,$E103,0)</f>
        <v>0.38859321509573447</v>
      </c>
      <c r="T103" s="18">
        <f ca="1">OFFSET(PTRA!W$218,$E103,0)</f>
        <v>0.41951720746411703</v>
      </c>
      <c r="U103" s="18">
        <f ca="1">OFFSET(PTRA!X$218,$E103,0)</f>
        <v>0.45044119983249958</v>
      </c>
      <c r="V103" s="18">
        <f ca="1">OFFSET(PTRA!Y$218,$E103,0)</f>
        <v>0.48136519220088214</v>
      </c>
      <c r="W103" s="18">
        <f ca="1">OFFSET(PTRA!Z$218,$E103,0)</f>
        <v>0.51228918456926464</v>
      </c>
      <c r="X103" s="18">
        <f ca="1">OFFSET(PTRA!AA$218,$E103,0)</f>
        <v>0.54321317693764715</v>
      </c>
      <c r="Y103" s="18">
        <f ca="1">OFFSET(PTRA!AB$218,$E103,0)</f>
        <v>0.57413716930602976</v>
      </c>
      <c r="Z103" s="18">
        <f ca="1">OFFSET(PTRA!AC$218,$E103,0)</f>
        <v>0.62631173941852769</v>
      </c>
      <c r="AA103" s="18">
        <f ca="1">OFFSET(PTRA!AD$218,$E103,0)</f>
        <v>0.67848630953102562</v>
      </c>
      <c r="AB103" s="18">
        <f ca="1">OFFSET(PTRA!AE$218,$E103,0)</f>
        <v>0.73066087964352355</v>
      </c>
      <c r="AC103" s="18">
        <f ca="1">OFFSET(PTRA!AF$218,$E103,0)</f>
        <v>0.78283544975602148</v>
      </c>
      <c r="AD103" s="18">
        <f ca="1">OFFSET(PTRA!AG$218,$E103,0)</f>
        <v>0.83501001986851942</v>
      </c>
      <c r="AE103" s="18">
        <f ca="1">OFFSET(PTRA!AH$218,$E103,0)</f>
        <v>0.88718458998101735</v>
      </c>
      <c r="AF103" s="18">
        <f ca="1">OFFSET(PTRA!AI$218,$E103,0)</f>
        <v>0.93935916009351528</v>
      </c>
      <c r="AG103" s="18">
        <f ca="1">OFFSET(PTRA!AJ$218,$E103,0)</f>
        <v>0.99153373020601321</v>
      </c>
      <c r="AH103" s="18">
        <f ca="1">OFFSET(PTRA!AK$218,$E103,0)</f>
        <v>1.0437083003185113</v>
      </c>
      <c r="AI103" s="18">
        <f ca="1">OFFSET(PTRA!AL$218,$E103,0)</f>
        <v>1.0958828704310095</v>
      </c>
      <c r="AJ103" s="18">
        <f ca="1">OFFSET(PTRA!AM$218,$E103,0)</f>
        <v>1.3484180353098925</v>
      </c>
      <c r="AK103" s="18">
        <f ca="1">OFFSET(PTRA!AN$218,$E103,0)</f>
        <v>1.6009532001887754</v>
      </c>
      <c r="AL103" s="18">
        <f ca="1">OFFSET(PTRA!AO$218,$E103,0)</f>
        <v>1.6009532001887754</v>
      </c>
      <c r="AM103" s="18">
        <f ca="1">OFFSET(PTRA!AP$218,$E103,0)</f>
        <v>1.6009532001887754</v>
      </c>
    </row>
    <row r="104" spans="1:39">
      <c r="A104" s="29" t="s">
        <v>129</v>
      </c>
      <c r="B104">
        <v>0.62801975359410001</v>
      </c>
      <c r="E104" s="115">
        <f>MATCH(F104,PTRA!$D$219:$D$226,0)</f>
        <v>4</v>
      </c>
      <c r="F104" t="str">
        <f t="shared" si="1"/>
        <v>TPPUBUS</v>
      </c>
      <c r="G104" s="18">
        <f ca="1">OFFSET(PTRA!J$218,$E104,0)</f>
        <v>1.4990333520535337</v>
      </c>
      <c r="H104" s="18">
        <f ca="1">OFFSET(PTRA!K$218,$E104,0)</f>
        <v>0.78756431075905675</v>
      </c>
      <c r="I104" s="18">
        <f ca="1">OFFSET(PTRA!L$218,$E104,0)</f>
        <v>0.95713713180052451</v>
      </c>
      <c r="J104" s="18">
        <f ca="1">OFFSET(PTRA!M$218,$E104,0)</f>
        <v>1.1267099528419922</v>
      </c>
      <c r="K104" s="18">
        <f ca="1">OFFSET(PTRA!N$218,$E104,0)</f>
        <v>0.93340029034829985</v>
      </c>
      <c r="L104" s="18">
        <f ca="1">OFFSET(PTRA!O$218,$E104,0)</f>
        <v>0.74009062785460766</v>
      </c>
      <c r="M104" s="18">
        <f ca="1">OFFSET(PTRA!P$218,$E104,0)</f>
        <v>0.74856468488310512</v>
      </c>
      <c r="N104" s="18">
        <f ca="1">OFFSET(PTRA!Q$218,$E104,0)</f>
        <v>0.7570387419116027</v>
      </c>
      <c r="O104" s="18">
        <f ca="1">OFFSET(PTRA!R$218,$E104,0)</f>
        <v>0.76920545170235954</v>
      </c>
      <c r="P104" s="18">
        <f ca="1">OFFSET(PTRA!S$218,$E104,0)</f>
        <v>0.78994295148578941</v>
      </c>
      <c r="Q104" s="18">
        <f ca="1">OFFSET(PTRA!T$218,$E104,0)</f>
        <v>0.79210406561384805</v>
      </c>
      <c r="R104" s="18">
        <f ca="1">OFFSET(PTRA!U$218,$E104,0)</f>
        <v>0.79426517974190669</v>
      </c>
      <c r="S104" s="18">
        <f ca="1">OFFSET(PTRA!V$218,$E104,0)</f>
        <v>0.79642629386996533</v>
      </c>
      <c r="T104" s="18">
        <f ca="1">OFFSET(PTRA!W$218,$E104,0)</f>
        <v>0.79858740799802397</v>
      </c>
      <c r="U104" s="18">
        <f ca="1">OFFSET(PTRA!X$218,$E104,0)</f>
        <v>0.80074852212608261</v>
      </c>
      <c r="V104" s="18">
        <f ca="1">OFFSET(PTRA!Y$218,$E104,0)</f>
        <v>0.80290963625414125</v>
      </c>
      <c r="W104" s="18">
        <f ca="1">OFFSET(PTRA!Z$218,$E104,0)</f>
        <v>0.80507075038219988</v>
      </c>
      <c r="X104" s="18">
        <f ca="1">OFFSET(PTRA!AA$218,$E104,0)</f>
        <v>0.80723186451025852</v>
      </c>
      <c r="Y104" s="18">
        <f ca="1">OFFSET(PTRA!AB$218,$E104,0)</f>
        <v>0.80939297863831716</v>
      </c>
      <c r="Z104" s="18">
        <f ca="1">OFFSET(PTRA!AC$218,$E104,0)</f>
        <v>0.80533794641472256</v>
      </c>
      <c r="AA104" s="18">
        <f ca="1">OFFSET(PTRA!AD$218,$E104,0)</f>
        <v>0.80128291419112796</v>
      </c>
      <c r="AB104" s="18">
        <f ca="1">OFFSET(PTRA!AE$218,$E104,0)</f>
        <v>0.79722788196753336</v>
      </c>
      <c r="AC104" s="18">
        <f ca="1">OFFSET(PTRA!AF$218,$E104,0)</f>
        <v>0.79317284974393876</v>
      </c>
      <c r="AD104" s="18">
        <f ca="1">OFFSET(PTRA!AG$218,$E104,0)</f>
        <v>0.78911781752034416</v>
      </c>
      <c r="AE104" s="18">
        <f ca="1">OFFSET(PTRA!AH$218,$E104,0)</f>
        <v>0.78506278529674955</v>
      </c>
      <c r="AF104" s="18">
        <f ca="1">OFFSET(PTRA!AI$218,$E104,0)</f>
        <v>0.78100775307315495</v>
      </c>
      <c r="AG104" s="18">
        <f ca="1">OFFSET(PTRA!AJ$218,$E104,0)</f>
        <v>0.77695272084956035</v>
      </c>
      <c r="AH104" s="18">
        <f ca="1">OFFSET(PTRA!AK$218,$E104,0)</f>
        <v>0.77289768862596575</v>
      </c>
      <c r="AI104" s="18">
        <f ca="1">OFFSET(PTRA!AL$218,$E104,0)</f>
        <v>0.76884265640237137</v>
      </c>
      <c r="AJ104" s="18">
        <f ca="1">OFFSET(PTRA!AM$218,$E104,0)</f>
        <v>0.74046291797706987</v>
      </c>
      <c r="AK104" s="18">
        <f ca="1">OFFSET(PTRA!AN$218,$E104,0)</f>
        <v>0.71208317955176847</v>
      </c>
      <c r="AL104" s="18">
        <f ca="1">OFFSET(PTRA!AO$218,$E104,0)</f>
        <v>0.71208317955176847</v>
      </c>
      <c r="AM104" s="18">
        <f ca="1">OFFSET(PTRA!AP$218,$E104,0)</f>
        <v>0.71208317955176847</v>
      </c>
    </row>
    <row r="105" spans="1:39">
      <c r="A105" s="29" t="s">
        <v>133</v>
      </c>
      <c r="B105" t="s">
        <v>386</v>
      </c>
      <c r="E105" s="115">
        <f>MATCH(F105,PTRA!$D$219:$D$226,0)</f>
        <v>8</v>
      </c>
      <c r="F105" t="str">
        <f t="shared" si="1"/>
        <v>TPPUGAT</v>
      </c>
      <c r="G105" s="18">
        <f ca="1">OFFSET(PTRA!J$218,$E105,0)</f>
        <v>0</v>
      </c>
      <c r="H105" s="18">
        <f ca="1">OFFSET(PTRA!K$218,$E105,0)</f>
        <v>0.55947822475115061</v>
      </c>
      <c r="I105" s="18">
        <f ca="1">OFFSET(PTRA!L$218,$E105,0)</f>
        <v>0.58435796683276764</v>
      </c>
      <c r="J105" s="18">
        <f ca="1">OFFSET(PTRA!M$218,$E105,0)</f>
        <v>0.60923770891438467</v>
      </c>
      <c r="K105" s="18">
        <f ca="1">OFFSET(PTRA!N$218,$E105,0)</f>
        <v>0.62888953865325536</v>
      </c>
      <c r="L105" s="18">
        <f ca="1">OFFSET(PTRA!O$218,$E105,0)</f>
        <v>0.64854136839212595</v>
      </c>
      <c r="M105" s="18">
        <f ca="1">OFFSET(PTRA!P$218,$E105,0)</f>
        <v>0.67405613843991108</v>
      </c>
      <c r="N105" s="18">
        <f ca="1">OFFSET(PTRA!Q$218,$E105,0)</f>
        <v>0.6995709084876961</v>
      </c>
      <c r="O105" s="18">
        <f ca="1">OFFSET(PTRA!R$218,$E105,0)</f>
        <v>0.64248252977129328</v>
      </c>
      <c r="P105" s="18">
        <f ca="1">OFFSET(PTRA!S$218,$E105,0)</f>
        <v>0.61850242942963696</v>
      </c>
      <c r="Q105" s="18">
        <f ca="1">OFFSET(PTRA!T$218,$E105,0)</f>
        <v>0.63688726621526692</v>
      </c>
      <c r="R105" s="18">
        <f ca="1">OFFSET(PTRA!U$218,$E105,0)</f>
        <v>0.65527210300089689</v>
      </c>
      <c r="S105" s="18">
        <f ca="1">OFFSET(PTRA!V$218,$E105,0)</f>
        <v>0.67365693978652685</v>
      </c>
      <c r="T105" s="18">
        <f ca="1">OFFSET(PTRA!W$218,$E105,0)</f>
        <v>0.69204177657215682</v>
      </c>
      <c r="U105" s="18">
        <f ca="1">OFFSET(PTRA!X$218,$E105,0)</f>
        <v>0.71042661335778678</v>
      </c>
      <c r="V105" s="18">
        <f ca="1">OFFSET(PTRA!Y$218,$E105,0)</f>
        <v>0.72881145014341675</v>
      </c>
      <c r="W105" s="18">
        <f ca="1">OFFSET(PTRA!Z$218,$E105,0)</f>
        <v>0.74719628692904672</v>
      </c>
      <c r="X105" s="18">
        <f ca="1">OFFSET(PTRA!AA$218,$E105,0)</f>
        <v>0.76558112371467668</v>
      </c>
      <c r="Y105" s="18">
        <f ca="1">OFFSET(PTRA!AB$218,$E105,0)</f>
        <v>0.78396596050030642</v>
      </c>
      <c r="Z105" s="18">
        <f ca="1">OFFSET(PTRA!AC$218,$E105,0)</f>
        <v>0.80646510443801589</v>
      </c>
      <c r="AA105" s="18">
        <f ca="1">OFFSET(PTRA!AD$218,$E105,0)</f>
        <v>0.82896424837572535</v>
      </c>
      <c r="AB105" s="18">
        <f ca="1">OFFSET(PTRA!AE$218,$E105,0)</f>
        <v>0.85146339231343482</v>
      </c>
      <c r="AC105" s="18">
        <f ca="1">OFFSET(PTRA!AF$218,$E105,0)</f>
        <v>0.87396253625114428</v>
      </c>
      <c r="AD105" s="18">
        <f ca="1">OFFSET(PTRA!AG$218,$E105,0)</f>
        <v>0.89646168018885375</v>
      </c>
      <c r="AE105" s="18">
        <f ca="1">OFFSET(PTRA!AH$218,$E105,0)</f>
        <v>0.91896082412656321</v>
      </c>
      <c r="AF105" s="18">
        <f ca="1">OFFSET(PTRA!AI$218,$E105,0)</f>
        <v>0.94145996806427268</v>
      </c>
      <c r="AG105" s="18">
        <f ca="1">OFFSET(PTRA!AJ$218,$E105,0)</f>
        <v>0.96395911200198214</v>
      </c>
      <c r="AH105" s="18">
        <f ca="1">OFFSET(PTRA!AK$218,$E105,0)</f>
        <v>0.98645825593969161</v>
      </c>
      <c r="AI105" s="18">
        <f ca="1">OFFSET(PTRA!AL$218,$E105,0)</f>
        <v>1.0089573998774011</v>
      </c>
      <c r="AJ105" s="18">
        <f ca="1">OFFSET(PTRA!AM$218,$E105,0)</f>
        <v>1.0975150811323164</v>
      </c>
      <c r="AK105" s="18">
        <f ca="1">OFFSET(PTRA!AN$218,$E105,0)</f>
        <v>1.1860727623872318</v>
      </c>
      <c r="AL105" s="18">
        <f ca="1">OFFSET(PTRA!AO$218,$E105,0)</f>
        <v>1.1860727623872318</v>
      </c>
      <c r="AM105" s="18">
        <f ca="1">OFFSET(PTRA!AP$218,$E105,0)</f>
        <v>1.1860727623872318</v>
      </c>
    </row>
    <row r="106" spans="1:39">
      <c r="A106" s="29" t="s">
        <v>130</v>
      </c>
      <c r="B106">
        <v>8.3842691666009994</v>
      </c>
      <c r="E106" s="115">
        <f>MATCH(F106,PTRA!$D$219:$D$226,0)</f>
        <v>5</v>
      </c>
      <c r="F106" t="str">
        <f t="shared" si="1"/>
        <v>TPPUMBT</v>
      </c>
      <c r="G106" s="18">
        <f ca="1">OFFSET(PTRA!J$218,$E106,0)</f>
        <v>6.1732186716195621</v>
      </c>
      <c r="H106" s="18">
        <f ca="1">OFFSET(PTRA!K$218,$E106,0)</f>
        <v>6.1714992841593981</v>
      </c>
      <c r="I106" s="18">
        <f ca="1">OFFSET(PTRA!L$218,$E106,0)</f>
        <v>6.4731729485818583</v>
      </c>
      <c r="J106" s="18">
        <f ca="1">OFFSET(PTRA!M$218,$E106,0)</f>
        <v>6.7748466130043186</v>
      </c>
      <c r="K106" s="18">
        <f ca="1">OFFSET(PTRA!N$218,$E106,0)</f>
        <v>6.8833871193047518</v>
      </c>
      <c r="L106" s="18">
        <f ca="1">OFFSET(PTRA!O$218,$E106,0)</f>
        <v>6.9919276256051859</v>
      </c>
      <c r="M106" s="18">
        <f ca="1">OFFSET(PTRA!P$218,$E106,0)</f>
        <v>7.0719853796268266</v>
      </c>
      <c r="N106" s="18">
        <f ca="1">OFFSET(PTRA!Q$218,$E106,0)</f>
        <v>7.1520431336484673</v>
      </c>
      <c r="O106" s="18">
        <f ca="1">OFFSET(PTRA!R$218,$E106,0)</f>
        <v>7.2669868325645215</v>
      </c>
      <c r="P106" s="18">
        <f ca="1">OFFSET(PTRA!S$218,$E106,0)</f>
        <v>7.4629021599103904</v>
      </c>
      <c r="Q106" s="18">
        <f ca="1">OFFSET(PTRA!T$218,$E106,0)</f>
        <v>7.4833190561732996</v>
      </c>
      <c r="R106" s="18">
        <f ca="1">OFFSET(PTRA!U$218,$E106,0)</f>
        <v>7.5037359524362088</v>
      </c>
      <c r="S106" s="18">
        <f ca="1">OFFSET(PTRA!V$218,$E106,0)</f>
        <v>7.524152848699118</v>
      </c>
      <c r="T106" s="18">
        <f ca="1">OFFSET(PTRA!W$218,$E106,0)</f>
        <v>7.5445697449620273</v>
      </c>
      <c r="U106" s="18">
        <f ca="1">OFFSET(PTRA!X$218,$E106,0)</f>
        <v>7.5649866412249365</v>
      </c>
      <c r="V106" s="18">
        <f ca="1">OFFSET(PTRA!Y$218,$E106,0)</f>
        <v>7.5854035374878457</v>
      </c>
      <c r="W106" s="18">
        <f ca="1">OFFSET(PTRA!Z$218,$E106,0)</f>
        <v>7.6058204337507549</v>
      </c>
      <c r="X106" s="18">
        <f ca="1">OFFSET(PTRA!AA$218,$E106,0)</f>
        <v>7.6262373300136641</v>
      </c>
      <c r="Y106" s="18">
        <f ca="1">OFFSET(PTRA!AB$218,$E106,0)</f>
        <v>7.6466542262765724</v>
      </c>
      <c r="Z106" s="18">
        <f ca="1">OFFSET(PTRA!AC$218,$E106,0)</f>
        <v>7.6083447398977775</v>
      </c>
      <c r="AA106" s="18">
        <f ca="1">OFFSET(PTRA!AD$218,$E106,0)</f>
        <v>7.5700352535189825</v>
      </c>
      <c r="AB106" s="18">
        <f ca="1">OFFSET(PTRA!AE$218,$E106,0)</f>
        <v>7.5317257671401876</v>
      </c>
      <c r="AC106" s="18">
        <f ca="1">OFFSET(PTRA!AF$218,$E106,0)</f>
        <v>7.4934162807613927</v>
      </c>
      <c r="AD106" s="18">
        <f ca="1">OFFSET(PTRA!AG$218,$E106,0)</f>
        <v>7.4551067943825977</v>
      </c>
      <c r="AE106" s="18">
        <f ca="1">OFFSET(PTRA!AH$218,$E106,0)</f>
        <v>7.4167973080038028</v>
      </c>
      <c r="AF106" s="18">
        <f ca="1">OFFSET(PTRA!AI$218,$E106,0)</f>
        <v>7.3784878216250078</v>
      </c>
      <c r="AG106" s="18">
        <f ca="1">OFFSET(PTRA!AJ$218,$E106,0)</f>
        <v>7.3401783352462129</v>
      </c>
      <c r="AH106" s="18">
        <f ca="1">OFFSET(PTRA!AK$218,$E106,0)</f>
        <v>7.3018688488674179</v>
      </c>
      <c r="AI106" s="18">
        <f ca="1">OFFSET(PTRA!AL$218,$E106,0)</f>
        <v>7.2635593624886186</v>
      </c>
      <c r="AJ106" s="18">
        <f ca="1">OFFSET(PTRA!AM$218,$E106,0)</f>
        <v>6.9954447970082736</v>
      </c>
      <c r="AK106" s="18">
        <f ca="1">OFFSET(PTRA!AN$218,$E106,0)</f>
        <v>6.7273302315279278</v>
      </c>
      <c r="AL106" s="18">
        <f ca="1">OFFSET(PTRA!AO$218,$E106,0)</f>
        <v>6.7273302315279278</v>
      </c>
      <c r="AM106" s="18">
        <f ca="1">OFFSET(PTRA!AP$218,$E106,0)</f>
        <v>6.7273302315279278</v>
      </c>
    </row>
    <row r="107" spans="1:39">
      <c r="A107" s="29" t="s">
        <v>132</v>
      </c>
      <c r="B107">
        <v>13.9</v>
      </c>
      <c r="E107" s="116">
        <f>MATCH(F107,PTRA!$D$219:$D$226,0)</f>
        <v>7</v>
      </c>
      <c r="F107" t="str">
        <f t="shared" si="1"/>
        <v>TPPUMER</v>
      </c>
      <c r="G107" s="18">
        <f ca="1">OFFSET(PTRA!J$218,$E107,0)</f>
        <v>15.8</v>
      </c>
      <c r="H107" s="18">
        <f ca="1">OFFSET(PTRA!K$218,$E107,0)</f>
        <v>14.123137325530998</v>
      </c>
      <c r="I107" s="18">
        <f ca="1">OFFSET(PTRA!L$218,$E107,0)</f>
        <v>13.222791809247783</v>
      </c>
      <c r="J107" s="18">
        <f ca="1">OFFSET(PTRA!M$218,$E107,0)</f>
        <v>12.322446292964566</v>
      </c>
      <c r="K107" s="18">
        <f ca="1">OFFSET(PTRA!N$218,$E107,0)</f>
        <v>10.474251298675517</v>
      </c>
      <c r="L107" s="18">
        <f ca="1">OFFSET(PTRA!O$218,$E107,0)</f>
        <v>8.6260563043864682</v>
      </c>
      <c r="M107" s="18">
        <f ca="1">OFFSET(PTRA!P$218,$E107,0)</f>
        <v>8.7248248744821311</v>
      </c>
      <c r="N107" s="18">
        <f ca="1">OFFSET(PTRA!Q$218,$E107,0)</f>
        <v>8.8235934445777957</v>
      </c>
      <c r="O107" s="18">
        <f ca="1">OFFSET(PTRA!R$218,$E107,0)</f>
        <v>8.9654013796389815</v>
      </c>
      <c r="P107" s="18">
        <f ca="1">OFFSET(PTRA!S$218,$E107,0)</f>
        <v>9.2071053467093638</v>
      </c>
      <c r="Q107" s="18">
        <f ca="1">OFFSET(PTRA!T$218,$E107,0)</f>
        <v>9.2322940079992364</v>
      </c>
      <c r="R107" s="18">
        <f ca="1">OFFSET(PTRA!U$218,$E107,0)</f>
        <v>9.257482669289109</v>
      </c>
      <c r="S107" s="18">
        <f ca="1">OFFSET(PTRA!V$218,$E107,0)</f>
        <v>9.2826713305789816</v>
      </c>
      <c r="T107" s="18">
        <f ca="1">OFFSET(PTRA!W$218,$E107,0)</f>
        <v>9.3078599918688543</v>
      </c>
      <c r="U107" s="18">
        <f ca="1">OFFSET(PTRA!X$218,$E107,0)</f>
        <v>9.3330486531587269</v>
      </c>
      <c r="V107" s="18">
        <f ca="1">OFFSET(PTRA!Y$218,$E107,0)</f>
        <v>9.3582373144485995</v>
      </c>
      <c r="W107" s="18">
        <f ca="1">OFFSET(PTRA!Z$218,$E107,0)</f>
        <v>9.3834259757384721</v>
      </c>
      <c r="X107" s="18">
        <f ca="1">OFFSET(PTRA!AA$218,$E107,0)</f>
        <v>9.4086146370283448</v>
      </c>
      <c r="Y107" s="18">
        <f ca="1">OFFSET(PTRA!AB$218,$E107,0)</f>
        <v>9.4338032983182156</v>
      </c>
      <c r="Z107" s="18">
        <f ca="1">OFFSET(PTRA!AC$218,$E107,0)</f>
        <v>9.3865402538202378</v>
      </c>
      <c r="AA107" s="18">
        <f ca="1">OFFSET(PTRA!AD$218,$E107,0)</f>
        <v>9.33927720932226</v>
      </c>
      <c r="AB107" s="18">
        <f ca="1">OFFSET(PTRA!AE$218,$E107,0)</f>
        <v>9.2920141648242822</v>
      </c>
      <c r="AC107" s="18">
        <f ca="1">OFFSET(PTRA!AF$218,$E107,0)</f>
        <v>9.2447511203263044</v>
      </c>
      <c r="AD107" s="18">
        <f ca="1">OFFSET(PTRA!AG$218,$E107,0)</f>
        <v>9.1974880758283266</v>
      </c>
      <c r="AE107" s="18">
        <f ca="1">OFFSET(PTRA!AH$218,$E107,0)</f>
        <v>9.1502250313303488</v>
      </c>
      <c r="AF107" s="18">
        <f ca="1">OFFSET(PTRA!AI$218,$E107,0)</f>
        <v>9.102961986832371</v>
      </c>
      <c r="AG107" s="18">
        <f ca="1">OFFSET(PTRA!AJ$218,$E107,0)</f>
        <v>9.0556989423343932</v>
      </c>
      <c r="AH107" s="18">
        <f ca="1">OFFSET(PTRA!AK$218,$E107,0)</f>
        <v>9.0084358978364154</v>
      </c>
      <c r="AI107" s="18">
        <f ca="1">OFFSET(PTRA!AL$218,$E107,0)</f>
        <v>8.9611728533384429</v>
      </c>
      <c r="AJ107" s="18">
        <f ca="1">OFFSET(PTRA!AM$218,$E107,0)</f>
        <v>8.6303954966921932</v>
      </c>
      <c r="AK107" s="18">
        <f ca="1">OFFSET(PTRA!AN$218,$E107,0)</f>
        <v>8.2996181400459434</v>
      </c>
      <c r="AL107" s="18">
        <f ca="1">OFFSET(PTRA!AO$218,$E107,0)</f>
        <v>8.2996181400459434</v>
      </c>
      <c r="AM107" s="18">
        <f ca="1">OFFSET(PTRA!AP$218,$E107,0)</f>
        <v>8.2996181400459434</v>
      </c>
    </row>
    <row r="108" spans="1:39">
      <c r="A108" s="29" t="s">
        <v>158</v>
      </c>
      <c r="B108">
        <v>0.1024485696</v>
      </c>
      <c r="E108" s="117">
        <f>MATCH(F108,OtherTRA!$D$52:$D$56,0)</f>
        <v>5</v>
      </c>
      <c r="F108" t="str">
        <f t="shared" si="1"/>
        <v>TSHFO</v>
      </c>
      <c r="G108" s="18">
        <f ca="1">OFFSET(OtherTRA!J$51,$E108,0)</f>
        <v>4.5090000000000003</v>
      </c>
      <c r="H108" s="18">
        <f ca="1">OFFSET(OtherTRA!K$51,$E108,0)</f>
        <v>4.6283168598316866</v>
      </c>
      <c r="I108" s="18">
        <f ca="1">OFFSET(OtherTRA!L$51,$E108,0)</f>
        <v>4.7476337196633729</v>
      </c>
      <c r="J108" s="18">
        <f ca="1">OFFSET(OtherTRA!M$51,$E108,0)</f>
        <v>4.8669505794950583</v>
      </c>
      <c r="K108" s="18">
        <f ca="1">OFFSET(OtherTRA!N$51,$E108,0)</f>
        <v>4.6877822947475298</v>
      </c>
      <c r="L108" s="18">
        <f ca="1">OFFSET(OtherTRA!O$51,$E108,0)</f>
        <v>4.5086140100000014</v>
      </c>
      <c r="M108" s="18">
        <f ca="1">OFFSET(OtherTRA!P$51,$E108,0)</f>
        <v>4.8159747836716882</v>
      </c>
      <c r="N108" s="18">
        <f ca="1">OFFSET(OtherTRA!Q$51,$E108,0)</f>
        <v>5.123335557343375</v>
      </c>
      <c r="O108" s="18">
        <f ca="1">OFFSET(OtherTRA!R$51,$E108,0)</f>
        <v>4.849247646868216</v>
      </c>
      <c r="P108" s="18">
        <f ca="1">OFFSET(OtherTRA!S$51,$E108,0)</f>
        <v>4.5895317288139692</v>
      </c>
      <c r="Q108" s="18">
        <f ca="1">OFFSET(OtherTRA!T$51,$E108,0)</f>
        <v>4.7872454130154711</v>
      </c>
      <c r="R108" s="18">
        <f ca="1">OFFSET(OtherTRA!U$51,$E108,0)</f>
        <v>4.9849590972169731</v>
      </c>
      <c r="S108" s="18">
        <f ca="1">OFFSET(OtherTRA!V$51,$E108,0)</f>
        <v>5.182672781418475</v>
      </c>
      <c r="T108" s="18">
        <f ca="1">OFFSET(OtherTRA!W$51,$E108,0)</f>
        <v>5.3803864656199769</v>
      </c>
      <c r="U108" s="18">
        <f ca="1">OFFSET(OtherTRA!X$51,$E108,0)</f>
        <v>5.5781001498214788</v>
      </c>
      <c r="V108" s="18">
        <f ca="1">OFFSET(OtherTRA!Y$51,$E108,0)</f>
        <v>5.7758138340229808</v>
      </c>
      <c r="W108" s="18">
        <f ca="1">OFFSET(OtherTRA!Z$51,$E108,0)</f>
        <v>5.9735275182244827</v>
      </c>
      <c r="X108" s="18">
        <f ca="1">OFFSET(OtherTRA!AA$51,$E108,0)</f>
        <v>6.1712412024259846</v>
      </c>
      <c r="Y108" s="18">
        <f ca="1">OFFSET(OtherTRA!AB$51,$E108,0)</f>
        <v>6.3689548866274874</v>
      </c>
      <c r="Z108" s="18">
        <f ca="1">OFFSET(OtherTRA!AC$51,$E108,0)</f>
        <v>6.5216163866214867</v>
      </c>
      <c r="AA108" s="18">
        <f ca="1">OFFSET(OtherTRA!AD$51,$E108,0)</f>
        <v>6.6742778866154859</v>
      </c>
      <c r="AB108" s="18">
        <f ca="1">OFFSET(OtherTRA!AE$51,$E108,0)</f>
        <v>6.8269393866094852</v>
      </c>
      <c r="AC108" s="18">
        <f ca="1">OFFSET(OtherTRA!AF$51,$E108,0)</f>
        <v>6.9796008866034844</v>
      </c>
      <c r="AD108" s="18">
        <f ca="1">OFFSET(OtherTRA!AG$51,$E108,0)</f>
        <v>7.1322623865974837</v>
      </c>
      <c r="AE108" s="18">
        <f ca="1">OFFSET(OtherTRA!AH$51,$E108,0)</f>
        <v>7.2849238865914829</v>
      </c>
      <c r="AF108" s="18">
        <f ca="1">OFFSET(OtherTRA!AI$51,$E108,0)</f>
        <v>7.4375853865854822</v>
      </c>
      <c r="AG108" s="18">
        <f ca="1">OFFSET(OtherTRA!AJ$51,$E108,0)</f>
        <v>7.5902468865794814</v>
      </c>
      <c r="AH108" s="18">
        <f ca="1">OFFSET(OtherTRA!AK$51,$E108,0)</f>
        <v>7.7429083865734807</v>
      </c>
      <c r="AI108" s="18">
        <f ca="1">OFFSET(OtherTRA!AL$51,$E108,0)</f>
        <v>7.8955698865674773</v>
      </c>
      <c r="AJ108" s="18">
        <f ca="1">OFFSET(OtherTRA!AM$51,$E108,0)</f>
        <v>8.6485157462663871</v>
      </c>
      <c r="AK108" s="18">
        <f ca="1">OFFSET(OtherTRA!AN$51,$E108,0)</f>
        <v>9.4014616059652987</v>
      </c>
      <c r="AL108" s="18">
        <f ca="1">OFFSET(OtherTRA!AO$51,$E108,0)</f>
        <v>9.4014616059652987</v>
      </c>
      <c r="AM108" s="18">
        <f ca="1">OFFSET(OtherTRA!AP$51,$E108,0)</f>
        <v>9.4014616059652987</v>
      </c>
    </row>
    <row r="109" spans="1:39">
      <c r="A109" s="29" t="s">
        <v>239</v>
      </c>
      <c r="B109">
        <v>82.184767358499997</v>
      </c>
      <c r="E109" s="114">
        <f>MATCH(F109,COM!$D$248:$D$266,0)</f>
        <v>1</v>
      </c>
      <c r="F109" t="str">
        <f t="shared" si="1"/>
        <v>CEC</v>
      </c>
      <c r="G109" s="18">
        <f ca="1">OFFSET(COM!J$247,$E109,0)</f>
        <v>139.66439435388435</v>
      </c>
      <c r="H109" s="18">
        <f ca="1">OFFSET(COM!K$247,$E109,0)</f>
        <v>135.88971000739755</v>
      </c>
      <c r="I109" s="18">
        <f ca="1">OFFSET(COM!L$247,$E109,0)</f>
        <v>132.41477017655598</v>
      </c>
      <c r="J109" s="18">
        <f ca="1">OFFSET(COM!M$247,$E109,0)</f>
        <v>128.63675213244647</v>
      </c>
      <c r="K109" s="18">
        <f ca="1">OFFSET(COM!N$247,$E109,0)</f>
        <v>124.69871312686325</v>
      </c>
      <c r="L109" s="18">
        <f ca="1">OFFSET(COM!O$247,$E109,0)</f>
        <v>120.28334032399778</v>
      </c>
      <c r="M109" s="18">
        <f ca="1">OFFSET(COM!P$247,$E109,0)</f>
        <v>119.49413059299039</v>
      </c>
      <c r="N109" s="18">
        <f ca="1">OFFSET(COM!Q$247,$E109,0)</f>
        <v>118.67455311472101</v>
      </c>
      <c r="O109" s="173">
        <f ca="1">OFFSET(COM!R$247,$E109,0)</f>
        <v>117.71228639212903</v>
      </c>
      <c r="P109" s="18">
        <f ca="1">OFFSET(COM!S$247,$E109,0)</f>
        <v>117.14202913866166</v>
      </c>
      <c r="Q109" s="18">
        <f ca="1">OFFSET(COM!T$247,$E109,0)</f>
        <v>116.49065803078582</v>
      </c>
      <c r="R109" s="18">
        <f ca="1">OFFSET(COM!U$247,$E109,0)</f>
        <v>115.82859447381288</v>
      </c>
      <c r="S109" s="18">
        <f ca="1">OFFSET(COM!V$247,$E109,0)</f>
        <v>115.17772598299297</v>
      </c>
      <c r="T109" s="173">
        <f ca="1">OFFSET(COM!W$247,$E109,0)</f>
        <v>114.50316539062038</v>
      </c>
      <c r="U109" s="18">
        <f ca="1">OFFSET(COM!X$247,$E109,0)</f>
        <v>113.79467221998605</v>
      </c>
      <c r="V109" s="18">
        <f ca="1">OFFSET(COM!Y$247,$E109,0)</f>
        <v>113.08259390073943</v>
      </c>
      <c r="W109" s="18">
        <f ca="1">OFFSET(COM!Z$247,$E109,0)</f>
        <v>112.37721257643204</v>
      </c>
      <c r="X109" s="18">
        <f ca="1">OFFSET(COM!AA$247,$E109,0)</f>
        <v>111.72538413806819</v>
      </c>
      <c r="Y109" s="18">
        <f ca="1">OFFSET(COM!AB$247,$E109,0)</f>
        <v>111.05167109365156</v>
      </c>
      <c r="Z109" s="18">
        <f ca="1">OFFSET(COM!AC$247,$E109,0)</f>
        <v>110.41894619414475</v>
      </c>
      <c r="AA109" s="18">
        <f ca="1">OFFSET(COM!AD$247,$E109,0)</f>
        <v>109.79166979890464</v>
      </c>
      <c r="AB109" s="18">
        <f ca="1">OFFSET(COM!AE$247,$E109,0)</f>
        <v>109.22383174932801</v>
      </c>
      <c r="AC109" s="18">
        <f ca="1">OFFSET(COM!AF$247,$E109,0)</f>
        <v>108.66818125350966</v>
      </c>
      <c r="AD109" s="18">
        <f ca="1">OFFSET(COM!AG$247,$E109,0)</f>
        <v>108.08784545565575</v>
      </c>
      <c r="AE109" s="18">
        <f ca="1">OFFSET(COM!AH$247,$E109,0)</f>
        <v>107.48112624149249</v>
      </c>
      <c r="AF109" s="18">
        <f ca="1">OFFSET(COM!AI$247,$E109,0)</f>
        <v>106.79760933472991</v>
      </c>
      <c r="AG109" s="18">
        <f ca="1">OFFSET(COM!AJ$247,$E109,0)</f>
        <v>106.16493112365617</v>
      </c>
      <c r="AH109" s="18">
        <f ca="1">OFFSET(COM!AK$247,$E109,0)</f>
        <v>105.58852331471942</v>
      </c>
      <c r="AI109" s="18">
        <f ca="1">OFFSET(COM!AL$247,$E109,0)</f>
        <v>104.98434363582348</v>
      </c>
      <c r="AJ109" s="18">
        <f ca="1">OFFSET(COM!AM$247,$E109,0)</f>
        <v>102.15447548305804</v>
      </c>
      <c r="AK109" s="18">
        <f ca="1">OFFSET(COM!AN$247,$E109,0)</f>
        <v>98.764234551147297</v>
      </c>
      <c r="AL109" s="18">
        <f ca="1">OFFSET(COM!AO$247,$E109,0)</f>
        <v>98.764234551147297</v>
      </c>
      <c r="AM109" s="18">
        <f ca="1">OFFSET(COM!AP$247,$E109,0)</f>
        <v>98.764234551147297</v>
      </c>
    </row>
    <row r="110" spans="1:39">
      <c r="A110" s="29" t="s">
        <v>245</v>
      </c>
      <c r="B110">
        <v>9.1664843454099998</v>
      </c>
      <c r="E110" s="114">
        <f>MATCH(F110,COM!$D$248:$D$266,0)</f>
        <v>7</v>
      </c>
      <c r="F110" t="str">
        <f t="shared" si="1"/>
        <v>CEG</v>
      </c>
      <c r="G110" s="18">
        <f ca="1">OFFSET(COM!J$247,$E110,0)</f>
        <v>10.30055287377321</v>
      </c>
      <c r="H110" s="18">
        <f ca="1">OFFSET(COM!K$247,$E110,0)</f>
        <v>10.022161692737667</v>
      </c>
      <c r="I110" s="18">
        <f ca="1">OFFSET(COM!L$247,$E110,0)</f>
        <v>9.765877321718456</v>
      </c>
      <c r="J110" s="18">
        <f ca="1">OFFSET(COM!M$247,$E110,0)</f>
        <v>9.4872402732319685</v>
      </c>
      <c r="K110" s="18">
        <f ca="1">OFFSET(COM!N$247,$E110,0)</f>
        <v>9.1968013307681549</v>
      </c>
      <c r="L110" s="18">
        <f ca="1">OFFSET(COM!O$247,$E110,0)</f>
        <v>8.8711579824850144</v>
      </c>
      <c r="M110" s="18">
        <f ca="1">OFFSET(COM!P$247,$E110,0)</f>
        <v>8.9349746302512507</v>
      </c>
      <c r="N110" s="18">
        <f ca="1">OFFSET(COM!Q$247,$E110,0)</f>
        <v>8.9875928409435009</v>
      </c>
      <c r="O110" s="173">
        <f ca="1">OFFSET(COM!R$247,$E110,0)</f>
        <v>8.9875928409435009</v>
      </c>
      <c r="P110" s="18">
        <f ca="1">OFFSET(COM!S$247,$E110,0)</f>
        <v>9.1321505960684899</v>
      </c>
      <c r="Q110" s="18">
        <f ca="1">OFFSET(COM!T$247,$E110,0)</f>
        <v>9.2467967352087772</v>
      </c>
      <c r="R110" s="18">
        <f ca="1">OFFSET(COM!U$247,$E110,0)</f>
        <v>9.3574999174564297</v>
      </c>
      <c r="S110" s="18">
        <f ca="1">OFFSET(COM!V$247,$E110,0)</f>
        <v>9.472331402102407</v>
      </c>
      <c r="T110" s="173">
        <f ca="1">OFFSET(COM!W$247,$E110,0)</f>
        <v>9.5784261666321822</v>
      </c>
      <c r="U110" s="18">
        <f ca="1">OFFSET(COM!X$247,$E110,0)</f>
        <v>9.6720079238867012</v>
      </c>
      <c r="V110" s="18">
        <f ca="1">OFFSET(COM!Y$247,$E110,0)</f>
        <v>9.7642676185993658</v>
      </c>
      <c r="W110" s="18">
        <f ca="1">OFFSET(COM!Z$247,$E110,0)</f>
        <v>9.858996903030512</v>
      </c>
      <c r="X110" s="18">
        <f ca="1">OFFSET(COM!AA$247,$E110,0)</f>
        <v>9.9734743965795598</v>
      </c>
      <c r="Y110" s="18">
        <f ca="1">OFFSET(COM!AB$247,$E110,0)</f>
        <v>10.079881703635776</v>
      </c>
      <c r="Z110" s="18">
        <f ca="1">OFFSET(COM!AC$247,$E110,0)</f>
        <v>10.201403834903077</v>
      </c>
      <c r="AA110" s="18">
        <f ca="1">OFFSET(COM!AD$247,$E110,0)</f>
        <v>10.324935161375153</v>
      </c>
      <c r="AB110" s="18">
        <f ca="1">OFFSET(COM!AE$247,$E110,0)</f>
        <v>10.47038502424544</v>
      </c>
      <c r="AC110" s="18">
        <f ca="1">OFFSET(COM!AF$247,$E110,0)</f>
        <v>10.620329180112517</v>
      </c>
      <c r="AD110" s="18">
        <f ca="1">OFFSET(COM!AG$247,$E110,0)</f>
        <v>10.761170362383536</v>
      </c>
      <c r="AE110" s="18">
        <f ca="1">OFFSET(COM!AH$247,$E110,0)</f>
        <v>10.89228237295184</v>
      </c>
      <c r="AF110" s="18">
        <f ca="1">OFFSET(COM!AI$247,$E110,0)</f>
        <v>10.995074399143936</v>
      </c>
      <c r="AG110" s="18">
        <f ca="1">OFFSET(COM!AJ$247,$E110,0)</f>
        <v>11.116613747278709</v>
      </c>
      <c r="AH110" s="18">
        <f ca="1">OFFSET(COM!AK$247,$E110,0)</f>
        <v>11.258903418182644</v>
      </c>
      <c r="AI110" s="18">
        <f ca="1">OFFSET(COM!AL$247,$E110,0)</f>
        <v>11.390951910000043</v>
      </c>
      <c r="AJ110" s="18">
        <f ca="1">OFFSET(COM!AM$247,$E110,0)</f>
        <v>12.121638848310639</v>
      </c>
      <c r="AK110" s="18">
        <f ca="1">OFFSET(COM!AN$247,$E110,0)</f>
        <v>12.645682229853861</v>
      </c>
      <c r="AL110" s="18">
        <f ca="1">OFFSET(COM!AO$247,$E110,0)</f>
        <v>12.645682229853861</v>
      </c>
      <c r="AM110" s="18">
        <f ca="1">OFFSET(COM!AP$247,$E110,0)</f>
        <v>12.645682229853861</v>
      </c>
    </row>
    <row r="111" spans="1:39">
      <c r="A111" s="29" t="s">
        <v>240</v>
      </c>
      <c r="B111">
        <v>29.897246584059999</v>
      </c>
      <c r="E111" s="114">
        <f>MATCH(F111,COM!$D$248:$D$266,0)</f>
        <v>2</v>
      </c>
      <c r="F111" t="str">
        <f t="shared" si="1"/>
        <v>CEH</v>
      </c>
      <c r="G111" s="18">
        <f ca="1">OFFSET(COM!J$247,$E111,0)</f>
        <v>7.8517549075018991</v>
      </c>
      <c r="H111" s="18">
        <f ca="1">OFFSET(COM!K$247,$E111,0)</f>
        <v>8.5460135786417499</v>
      </c>
      <c r="I111" s="18">
        <f ca="1">OFFSET(COM!L$247,$E111,0)</f>
        <v>9.2786471163971243</v>
      </c>
      <c r="J111" s="18">
        <f ca="1">OFFSET(COM!M$247,$E111,0)</f>
        <v>10.011796090361486</v>
      </c>
      <c r="K111" s="18">
        <f ca="1">OFFSET(COM!N$247,$E111,0)</f>
        <v>10.753166346186294</v>
      </c>
      <c r="L111" s="18">
        <f ca="1">OFFSET(COM!O$247,$E111,0)</f>
        <v>11.470981711368385</v>
      </c>
      <c r="M111" s="18">
        <f ca="1">OFFSET(COM!P$247,$E111,0)</f>
        <v>11.395717669262183</v>
      </c>
      <c r="N111" s="18">
        <f ca="1">OFFSET(COM!Q$247,$E111,0)</f>
        <v>11.317557566300676</v>
      </c>
      <c r="O111" s="173">
        <f ca="1">OFFSET(COM!R$247,$E111,0)</f>
        <v>11.22578971260973</v>
      </c>
      <c r="P111" s="18">
        <f ca="1">OFFSET(COM!S$247,$E111,0)</f>
        <v>11.171406366523069</v>
      </c>
      <c r="Q111" s="18">
        <f ca="1">OFFSET(COM!T$247,$E111,0)</f>
        <v>11.1092874891654</v>
      </c>
      <c r="R111" s="18">
        <f ca="1">OFFSET(COM!U$247,$E111,0)</f>
        <v>11.046148912091107</v>
      </c>
      <c r="S111" s="18">
        <f ca="1">OFFSET(COM!V$247,$E111,0)</f>
        <v>10.984077967481568</v>
      </c>
      <c r="T111" s="173">
        <f ca="1">OFFSET(COM!W$247,$E111,0)</f>
        <v>10.919747593903043</v>
      </c>
      <c r="U111" s="18">
        <f ca="1">OFFSET(COM!X$247,$E111,0)</f>
        <v>10.852181194590516</v>
      </c>
      <c r="V111" s="18">
        <f ca="1">OFFSET(COM!Y$247,$E111,0)</f>
        <v>10.784272892782983</v>
      </c>
      <c r="W111" s="18">
        <f ca="1">OFFSET(COM!Z$247,$E111,0)</f>
        <v>10.717003258859652</v>
      </c>
      <c r="X111" s="18">
        <f ca="1">OFFSET(COM!AA$247,$E111,0)</f>
        <v>10.654840767568</v>
      </c>
      <c r="Y111" s="18">
        <f ca="1">OFFSET(COM!AB$247,$E111,0)</f>
        <v>10.590591221534469</v>
      </c>
      <c r="Z111" s="18">
        <f ca="1">OFFSET(COM!AC$247,$E111,0)</f>
        <v>10.530250564789988</v>
      </c>
      <c r="AA111" s="18">
        <f ca="1">OFFSET(COM!AD$247,$E111,0)</f>
        <v>10.470429511946008</v>
      </c>
      <c r="AB111" s="18">
        <f ca="1">OFFSET(COM!AE$247,$E111,0)</f>
        <v>10.416276876475731</v>
      </c>
      <c r="AC111" s="18">
        <f ca="1">OFFSET(COM!AF$247,$E111,0)</f>
        <v>10.363286523378816</v>
      </c>
      <c r="AD111" s="18">
        <f ca="1">OFFSET(COM!AG$247,$E111,0)</f>
        <v>10.307942023419775</v>
      </c>
      <c r="AE111" s="18">
        <f ca="1">OFFSET(COM!AH$247,$E111,0)</f>
        <v>10.250081433658501</v>
      </c>
      <c r="AF111" s="18">
        <f ca="1">OFFSET(COM!AI$247,$E111,0)</f>
        <v>10.184896929172968</v>
      </c>
      <c r="AG111" s="18">
        <f ca="1">OFFSET(COM!AJ$247,$E111,0)</f>
        <v>10.124560724933385</v>
      </c>
      <c r="AH111" s="18">
        <f ca="1">OFFSET(COM!AK$247,$E111,0)</f>
        <v>10.069590822893806</v>
      </c>
      <c r="AI111" s="18">
        <f ca="1">OFFSET(COM!AL$247,$E111,0)</f>
        <v>10.011972419311668</v>
      </c>
      <c r="AJ111" s="18">
        <f ca="1">OFFSET(COM!AM$247,$E111,0)</f>
        <v>9.7420982560358773</v>
      </c>
      <c r="AK111" s="18">
        <f ca="1">OFFSET(COM!AN$247,$E111,0)</f>
        <v>9.4187833927944062</v>
      </c>
      <c r="AL111" s="18">
        <f ca="1">OFFSET(COM!AO$247,$E111,0)</f>
        <v>9.4187833927944062</v>
      </c>
      <c r="AM111" s="18">
        <f ca="1">OFFSET(COM!AP$247,$E111,0)</f>
        <v>9.4187833927944062</v>
      </c>
    </row>
    <row r="112" spans="1:39">
      <c r="A112" s="29" t="s">
        <v>241</v>
      </c>
      <c r="B112">
        <v>0.29916376652240001</v>
      </c>
      <c r="E112" s="114">
        <f>MATCH(F112,COM!$D$248:$D$266,0)</f>
        <v>3</v>
      </c>
      <c r="F112" t="str">
        <f t="shared" si="1"/>
        <v>CEK</v>
      </c>
      <c r="G112" s="18">
        <f ca="1">OFFSET(COM!J$247,$E112,0)</f>
        <v>9.8944997565297612</v>
      </c>
      <c r="H112" s="18">
        <f ca="1">OFFSET(COM!K$247,$E112,0)</f>
        <v>9.5753700759835159</v>
      </c>
      <c r="I112" s="18">
        <f ca="1">OFFSET(COM!L$247,$E112,0)</f>
        <v>9.2762478476592491</v>
      </c>
      <c r="J112" s="18">
        <f ca="1">OFFSET(COM!M$247,$E112,0)</f>
        <v>8.9546526553297614</v>
      </c>
      <c r="K112" s="18">
        <f ca="1">OFFSET(COM!N$247,$E112,0)</f>
        <v>8.6207385707018886</v>
      </c>
      <c r="L112" s="18">
        <f ca="1">OFFSET(COM!O$247,$E112,0)</f>
        <v>8.2528207241540805</v>
      </c>
      <c r="M112" s="18">
        <f ca="1">OFFSET(COM!P$247,$E112,0)</f>
        <v>8.1986718585986544</v>
      </c>
      <c r="N112" s="18">
        <f ca="1">OFFSET(COM!Q$247,$E112,0)</f>
        <v>8.1424394162712925</v>
      </c>
      <c r="O112" s="173">
        <f ca="1">OFFSET(COM!R$247,$E112,0)</f>
        <v>8.0764168504780613</v>
      </c>
      <c r="P112" s="18">
        <f ca="1">OFFSET(COM!S$247,$E112,0)</f>
        <v>8.0372906434169824</v>
      </c>
      <c r="Q112" s="18">
        <f ca="1">OFFSET(COM!T$247,$E112,0)</f>
        <v>7.9925990929186934</v>
      </c>
      <c r="R112" s="18">
        <f ca="1">OFFSET(COM!U$247,$E112,0)</f>
        <v>7.9471739174207752</v>
      </c>
      <c r="S112" s="18">
        <f ca="1">OFFSET(COM!V$247,$E112,0)</f>
        <v>7.9025168522339531</v>
      </c>
      <c r="T112" s="173">
        <f ca="1">OFFSET(COM!W$247,$E112,0)</f>
        <v>7.8562342363585165</v>
      </c>
      <c r="U112" s="18">
        <f ca="1">OFFSET(COM!X$247,$E112,0)</f>
        <v>7.8076234552995363</v>
      </c>
      <c r="V112" s="18">
        <f ca="1">OFFSET(COM!Y$247,$E112,0)</f>
        <v>7.7587666918070202</v>
      </c>
      <c r="W112" s="18">
        <f ca="1">OFFSET(COM!Z$247,$E112,0)</f>
        <v>7.7103694192005658</v>
      </c>
      <c r="X112" s="18">
        <f ca="1">OFFSET(COM!AA$247,$E112,0)</f>
        <v>7.6656464905702846</v>
      </c>
      <c r="Y112" s="18">
        <f ca="1">OFFSET(COM!AB$247,$E112,0)</f>
        <v>7.6194220262336785</v>
      </c>
      <c r="Z112" s="18">
        <f ca="1">OFFSET(COM!AC$247,$E112,0)</f>
        <v>7.5760098201104302</v>
      </c>
      <c r="AA112" s="18">
        <f ca="1">OFFSET(COM!AD$247,$E112,0)</f>
        <v>7.5329714440521514</v>
      </c>
      <c r="AB112" s="18">
        <f ca="1">OFFSET(COM!AE$247,$E112,0)</f>
        <v>7.4940112222052511</v>
      </c>
      <c r="AC112" s="18">
        <f ca="1">OFFSET(COM!AF$247,$E112,0)</f>
        <v>7.4558872067354098</v>
      </c>
      <c r="AD112" s="18">
        <f ca="1">OFFSET(COM!AG$247,$E112,0)</f>
        <v>7.4160694955993822</v>
      </c>
      <c r="AE112" s="18">
        <f ca="1">OFFSET(COM!AH$247,$E112,0)</f>
        <v>7.3744415786251647</v>
      </c>
      <c r="AF112" s="18">
        <f ca="1">OFFSET(COM!AI$247,$E112,0)</f>
        <v>7.327544456561168</v>
      </c>
      <c r="AG112" s="18">
        <f ca="1">OFFSET(COM!AJ$247,$E112,0)</f>
        <v>7.2841354538014702</v>
      </c>
      <c r="AH112" s="18">
        <f ca="1">OFFSET(COM!AK$247,$E112,0)</f>
        <v>7.244587247887468</v>
      </c>
      <c r="AI112" s="18">
        <f ca="1">OFFSET(COM!AL$247,$E112,0)</f>
        <v>7.2031335722439884</v>
      </c>
      <c r="AJ112" s="18">
        <f ca="1">OFFSET(COM!AM$247,$E112,0)</f>
        <v>7.0089720659634152</v>
      </c>
      <c r="AK112" s="18">
        <f ca="1">OFFSET(COM!AN$247,$E112,0)</f>
        <v>6.7763625412579707</v>
      </c>
      <c r="AL112" s="18">
        <f ca="1">OFFSET(COM!AO$247,$E112,0)</f>
        <v>6.7763625412579707</v>
      </c>
      <c r="AM112" s="18">
        <f ca="1">OFFSET(COM!AP$247,$E112,0)</f>
        <v>6.7763625412579707</v>
      </c>
    </row>
    <row r="113" spans="1:39">
      <c r="A113" s="29" t="s">
        <v>242</v>
      </c>
      <c r="B113">
        <v>177.48088542799999</v>
      </c>
      <c r="E113" s="114">
        <f>MATCH(F113,COM!$D$248:$D$266,0)</f>
        <v>4</v>
      </c>
      <c r="F113" t="str">
        <f t="shared" si="1"/>
        <v>CEL</v>
      </c>
      <c r="G113" s="18">
        <f ca="1">OFFSET(COM!J$247,$E113,0)</f>
        <v>121.54027190568891</v>
      </c>
      <c r="H113" s="18">
        <f ca="1">OFFSET(COM!K$247,$E113,0)</f>
        <v>118.25542494127434</v>
      </c>
      <c r="I113" s="18">
        <f ca="1">OFFSET(COM!L$247,$E113,0)</f>
        <v>115.23142491714327</v>
      </c>
      <c r="J113" s="18">
        <f ca="1">OFFSET(COM!M$247,$E113,0)</f>
        <v>111.94367686603883</v>
      </c>
      <c r="K113" s="18">
        <f ca="1">OFFSET(COM!N$247,$E113,0)</f>
        <v>108.51667362925802</v>
      </c>
      <c r="L113" s="18">
        <f ca="1">OFFSET(COM!O$247,$E113,0)</f>
        <v>104.67427977141129</v>
      </c>
      <c r="M113" s="18">
        <f ca="1">OFFSET(COM!P$247,$E113,0)</f>
        <v>103.98748507516102</v>
      </c>
      <c r="N113" s="18">
        <f ca="1">OFFSET(COM!Q$247,$E113,0)</f>
        <v>103.27426342681275</v>
      </c>
      <c r="O113" s="173">
        <f ca="1">OFFSET(COM!R$247,$E113,0)</f>
        <v>102.43686918864145</v>
      </c>
      <c r="P113" s="18">
        <f ca="1">OFFSET(COM!S$247,$E113,0)</f>
        <v>101.94061370446272</v>
      </c>
      <c r="Q113" s="18">
        <f ca="1">OFFSET(COM!T$247,$E113,0)</f>
        <v>101.37377043758011</v>
      </c>
      <c r="R113" s="18">
        <f ca="1">OFFSET(COM!U$247,$E113,0)</f>
        <v>100.79762227107284</v>
      </c>
      <c r="S113" s="18">
        <f ca="1">OFFSET(COM!V$247,$E113,0)</f>
        <v>100.23121639708427</v>
      </c>
      <c r="T113" s="173">
        <f ca="1">OFFSET(COM!W$247,$E113,0)</f>
        <v>99.644192924186157</v>
      </c>
      <c r="U113" s="18">
        <f ca="1">OFFSET(COM!X$247,$E113,0)</f>
        <v>99.027640273092914</v>
      </c>
      <c r="V113" s="18">
        <f ca="1">OFFSET(COM!Y$247,$E113,0)</f>
        <v>98.407967714888215</v>
      </c>
      <c r="W113" s="18">
        <f ca="1">OFFSET(COM!Z$247,$E113,0)</f>
        <v>97.794123088631594</v>
      </c>
      <c r="X113" s="18">
        <f ca="1">OFFSET(COM!AA$247,$E113,0)</f>
        <v>97.226881838625815</v>
      </c>
      <c r="Y113" s="18">
        <f ca="1">OFFSET(COM!AB$247,$E113,0)</f>
        <v>96.640595928150091</v>
      </c>
      <c r="Z113" s="18">
        <f ca="1">OFFSET(COM!AC$247,$E113,0)</f>
        <v>96.089979167999289</v>
      </c>
      <c r="AA113" s="18">
        <f ca="1">OFFSET(COM!AD$247,$E113,0)</f>
        <v>95.544103864632248</v>
      </c>
      <c r="AB113" s="18">
        <f ca="1">OFFSET(COM!AE$247,$E113,0)</f>
        <v>95.049953646437999</v>
      </c>
      <c r="AC113" s="18">
        <f ca="1">OFFSET(COM!AF$247,$E113,0)</f>
        <v>94.566409414146591</v>
      </c>
      <c r="AD113" s="18">
        <f ca="1">OFFSET(COM!AG$247,$E113,0)</f>
        <v>94.061383269193357</v>
      </c>
      <c r="AE113" s="18">
        <f ca="1">OFFSET(COM!AH$247,$E113,0)</f>
        <v>93.533397460061778</v>
      </c>
      <c r="AF113" s="18">
        <f ca="1">OFFSET(COM!AI$247,$E113,0)</f>
        <v>92.938579925611563</v>
      </c>
      <c r="AG113" s="18">
        <f ca="1">OFFSET(COM!AJ$247,$E113,0)</f>
        <v>92.388003795178022</v>
      </c>
      <c r="AH113" s="18">
        <f ca="1">OFFSET(COM!AK$247,$E113,0)</f>
        <v>91.886395907564051</v>
      </c>
      <c r="AI113" s="18">
        <f ca="1">OFFSET(COM!AL$247,$E113,0)</f>
        <v>91.360620080499345</v>
      </c>
      <c r="AJ113" s="18">
        <f ca="1">OFFSET(COM!AM$247,$E113,0)</f>
        <v>88.897981364772903</v>
      </c>
      <c r="AK113" s="18">
        <f ca="1">OFFSET(COM!AN$247,$E113,0)</f>
        <v>85.947688939874951</v>
      </c>
      <c r="AL113" s="18">
        <f ca="1">OFFSET(COM!AO$247,$E113,0)</f>
        <v>85.947688939874951</v>
      </c>
      <c r="AM113" s="18">
        <f ca="1">OFFSET(COM!AP$247,$E113,0)</f>
        <v>85.947688939874951</v>
      </c>
    </row>
    <row r="114" spans="1:39">
      <c r="A114" s="29" t="s">
        <v>247</v>
      </c>
      <c r="B114">
        <v>30.831061307799999</v>
      </c>
      <c r="E114" s="114">
        <f>MATCH(F114,COM!$D$248:$D$266,0)</f>
        <v>9</v>
      </c>
      <c r="F114" t="str">
        <f t="shared" si="1"/>
        <v>CEO</v>
      </c>
      <c r="G114" s="18">
        <f ca="1">OFFSET(COM!J$247,$E114,0)</f>
        <v>18.760184357078931</v>
      </c>
      <c r="H114" s="18">
        <f ca="1">OFFSET(COM!K$247,$E114,0)</f>
        <v>18.415319194151312</v>
      </c>
      <c r="I114" s="18">
        <f ca="1">OFFSET(COM!L$247,$E114,0)</f>
        <v>18.114567188633565</v>
      </c>
      <c r="J114" s="18">
        <f ca="1">OFFSET(COM!M$247,$E114,0)</f>
        <v>17.776245066865727</v>
      </c>
      <c r="K114" s="18">
        <f ca="1">OFFSET(COM!N$247,$E114,0)</f>
        <v>17.41950852758735</v>
      </c>
      <c r="L114" s="18">
        <f ca="1">OFFSET(COM!O$247,$E114,0)</f>
        <v>16.999241745794041</v>
      </c>
      <c r="M114" s="18">
        <f ca="1">OFFSET(COM!P$247,$E114,0)</f>
        <v>16.887705377005229</v>
      </c>
      <c r="N114" s="18">
        <f ca="1">OFFSET(COM!Q$247,$E114,0)</f>
        <v>16.771877236175573</v>
      </c>
      <c r="O114" s="173">
        <f ca="1">OFFSET(COM!R$247,$E114,0)</f>
        <v>16.635883302209223</v>
      </c>
      <c r="P114" s="18">
        <f ca="1">OFFSET(COM!S$247,$E114,0)</f>
        <v>16.555290753957131</v>
      </c>
      <c r="Q114" s="18">
        <f ca="1">OFFSET(COM!T$247,$E114,0)</f>
        <v>16.463234656253317</v>
      </c>
      <c r="R114" s="18">
        <f ca="1">OFFSET(COM!U$247,$E114,0)</f>
        <v>16.369667430519915</v>
      </c>
      <c r="S114" s="18">
        <f ca="1">OFFSET(COM!V$247,$E114,0)</f>
        <v>16.277682366001713</v>
      </c>
      <c r="T114" s="173">
        <f ca="1">OFFSET(COM!W$247,$E114,0)</f>
        <v>16.18234897609884</v>
      </c>
      <c r="U114" s="18">
        <f ca="1">OFFSET(COM!X$247,$E114,0)</f>
        <v>16.082220008525979</v>
      </c>
      <c r="V114" s="18">
        <f ca="1">OFFSET(COM!Y$247,$E114,0)</f>
        <v>15.981584363903817</v>
      </c>
      <c r="W114" s="18">
        <f ca="1">OFFSET(COM!Z$247,$E114,0)</f>
        <v>15.881895183153011</v>
      </c>
      <c r="X114" s="18">
        <f ca="1">OFFSET(COM!AA$247,$E114,0)</f>
        <v>15.789774452462598</v>
      </c>
      <c r="Y114" s="18">
        <f ca="1">OFFSET(COM!AB$247,$E114,0)</f>
        <v>15.694560843674514</v>
      </c>
      <c r="Z114" s="18">
        <f ca="1">OFFSET(COM!AC$247,$E114,0)</f>
        <v>15.605139952166784</v>
      </c>
      <c r="AA114" s="18">
        <f ca="1">OFFSET(COM!AD$247,$E114,0)</f>
        <v>15.516489079523955</v>
      </c>
      <c r="AB114" s="18">
        <f ca="1">OFFSET(COM!AE$247,$E114,0)</f>
        <v>15.436238429257575</v>
      </c>
      <c r="AC114" s="18">
        <f ca="1">OFFSET(COM!AF$247,$E114,0)</f>
        <v>15.357710205156517</v>
      </c>
      <c r="AD114" s="18">
        <f ca="1">OFFSET(COM!AG$247,$E114,0)</f>
        <v>15.275693289972056</v>
      </c>
      <c r="AE114" s="18">
        <f ca="1">OFFSET(COM!AH$247,$E114,0)</f>
        <v>15.189947694899637</v>
      </c>
      <c r="AF114" s="18">
        <f ca="1">OFFSET(COM!AI$247,$E114,0)</f>
        <v>15.093348539072268</v>
      </c>
      <c r="AG114" s="18">
        <f ca="1">OFFSET(COM!AJ$247,$E114,0)</f>
        <v>15.00393424588446</v>
      </c>
      <c r="AH114" s="18">
        <f ca="1">OFFSET(COM!AK$247,$E114,0)</f>
        <v>14.922472460221659</v>
      </c>
      <c r="AI114" s="18">
        <f ca="1">OFFSET(COM!AL$247,$E114,0)</f>
        <v>14.837085769165494</v>
      </c>
      <c r="AJ114" s="18">
        <f ca="1">OFFSET(COM!AM$247,$E114,0)</f>
        <v>14.437149978323596</v>
      </c>
      <c r="AK114" s="18">
        <f ca="1">OFFSET(COM!AN$247,$E114,0)</f>
        <v>13.958018578889567</v>
      </c>
      <c r="AL114" s="18">
        <f ca="1">OFFSET(COM!AO$247,$E114,0)</f>
        <v>13.958018578889567</v>
      </c>
      <c r="AM114" s="18">
        <f ca="1">OFFSET(COM!AP$247,$E114,0)</f>
        <v>13.958018578889567</v>
      </c>
    </row>
    <row r="115" spans="1:39">
      <c r="A115" s="29" t="s">
        <v>243</v>
      </c>
      <c r="B115">
        <v>7.3604096683640003</v>
      </c>
      <c r="E115" s="114">
        <f>MATCH(F115,COM!$D$248:$D$266,0)</f>
        <v>5</v>
      </c>
      <c r="F115" t="str">
        <f t="shared" si="1"/>
        <v>CER</v>
      </c>
      <c r="G115" s="18">
        <f ca="1">OFFSET(COM!J$247,$E115,0)</f>
        <v>29.566390373747055</v>
      </c>
      <c r="H115" s="18">
        <f ca="1">OFFSET(COM!K$247,$E115,0)</f>
        <v>28.767304884262032</v>
      </c>
      <c r="I115" s="18">
        <f ca="1">OFFSET(COM!L$247,$E115,0)</f>
        <v>28.031674102778698</v>
      </c>
      <c r="J115" s="18">
        <f ca="1">OFFSET(COM!M$247,$E115,0)</f>
        <v>27.231882882919415</v>
      </c>
      <c r="K115" s="18">
        <f ca="1">OFFSET(COM!N$247,$E115,0)</f>
        <v>26.398215869327572</v>
      </c>
      <c r="L115" s="18">
        <f ca="1">OFFSET(COM!O$247,$E115,0)</f>
        <v>25.463499211305457</v>
      </c>
      <c r="M115" s="18">
        <f ca="1">OFFSET(COM!P$247,$E115,0)</f>
        <v>25.296426686474252</v>
      </c>
      <c r="N115" s="18">
        <f ca="1">OFFSET(COM!Q$247,$E115,0)</f>
        <v>25.12292543172607</v>
      </c>
      <c r="O115" s="173">
        <f ca="1">OFFSET(COM!R$247,$E115,0)</f>
        <v>24.919217438035627</v>
      </c>
      <c r="P115" s="18">
        <f ca="1">OFFSET(COM!S$247,$E115,0)</f>
        <v>24.798496271789375</v>
      </c>
      <c r="Q115" s="18">
        <f ca="1">OFFSET(COM!T$247,$E115,0)</f>
        <v>24.660603628909769</v>
      </c>
      <c r="R115" s="18">
        <f ca="1">OFFSET(COM!U$247,$E115,0)</f>
        <v>24.520447437575172</v>
      </c>
      <c r="S115" s="18">
        <f ca="1">OFFSET(COM!V$247,$E115,0)</f>
        <v>24.382661196704127</v>
      </c>
      <c r="T115" s="173">
        <f ca="1">OFFSET(COM!W$247,$E115,0)</f>
        <v>24.239859433254679</v>
      </c>
      <c r="U115" s="18">
        <f ca="1">OFFSET(COM!X$247,$E115,0)</f>
        <v>24.089874279507967</v>
      </c>
      <c r="V115" s="18">
        <f ca="1">OFFSET(COM!Y$247,$E115,0)</f>
        <v>23.939130164224142</v>
      </c>
      <c r="W115" s="18">
        <f ca="1">OFFSET(COM!Z$247,$E115,0)</f>
        <v>23.789803775824975</v>
      </c>
      <c r="X115" s="18">
        <f ca="1">OFFSET(COM!AA$247,$E115,0)</f>
        <v>23.65181431792103</v>
      </c>
      <c r="Y115" s="18">
        <f ca="1">OFFSET(COM!AB$247,$E115,0)</f>
        <v>23.509191976963923</v>
      </c>
      <c r="Z115" s="18">
        <f ca="1">OFFSET(COM!AC$247,$E115,0)</f>
        <v>23.375246661376849</v>
      </c>
      <c r="AA115" s="18">
        <f ca="1">OFFSET(COM!AD$247,$E115,0)</f>
        <v>23.242454772222104</v>
      </c>
      <c r="AB115" s="18">
        <f ca="1">OFFSET(COM!AE$247,$E115,0)</f>
        <v>23.122245741706354</v>
      </c>
      <c r="AC115" s="18">
        <f ca="1">OFFSET(COM!AF$247,$E115,0)</f>
        <v>23.004616767287114</v>
      </c>
      <c r="AD115" s="18">
        <f ca="1">OFFSET(COM!AG$247,$E115,0)</f>
        <v>22.881762013743181</v>
      </c>
      <c r="AE115" s="18">
        <f ca="1">OFFSET(COM!AH$247,$E115,0)</f>
        <v>22.753321997114817</v>
      </c>
      <c r="AF115" s="18">
        <f ca="1">OFFSET(COM!AI$247,$E115,0)</f>
        <v>22.608624217942893</v>
      </c>
      <c r="AG115" s="18">
        <f ca="1">OFFSET(COM!AJ$247,$E115,0)</f>
        <v>22.474688786109265</v>
      </c>
      <c r="AH115" s="18">
        <f ca="1">OFFSET(COM!AK$247,$E115,0)</f>
        <v>22.352665572015638</v>
      </c>
      <c r="AI115" s="18">
        <f ca="1">OFFSET(COM!AL$247,$E115,0)</f>
        <v>22.224763164786062</v>
      </c>
      <c r="AJ115" s="18">
        <f ca="1">OFFSET(COM!AM$247,$E115,0)</f>
        <v>21.625691462238201</v>
      </c>
      <c r="AK115" s="18">
        <f ca="1">OFFSET(COM!AN$247,$E115,0)</f>
        <v>20.907991096889923</v>
      </c>
      <c r="AL115" s="18">
        <f ca="1">OFFSET(COM!AO$247,$E115,0)</f>
        <v>20.907991096889923</v>
      </c>
      <c r="AM115" s="18">
        <f ca="1">OFFSET(COM!AP$247,$E115,0)</f>
        <v>20.907991096889923</v>
      </c>
    </row>
    <row r="116" spans="1:39">
      <c r="A116" s="29" t="s">
        <v>246</v>
      </c>
      <c r="B116">
        <v>3.1678360284579998</v>
      </c>
      <c r="E116" s="114">
        <f>MATCH(F116,COM!$D$248:$D$266,0)</f>
        <v>8</v>
      </c>
      <c r="F116" t="str">
        <f t="shared" si="1"/>
        <v>CET</v>
      </c>
      <c r="G116" s="18">
        <f ca="1">OFFSET(COM!J$247,$E116,0)</f>
        <v>3.5593512487513528</v>
      </c>
      <c r="H116" s="18">
        <f ca="1">OFFSET(COM!K$247,$E116,0)</f>
        <v>3.4631533057862538</v>
      </c>
      <c r="I116" s="18">
        <f ca="1">OFFSET(COM!L$247,$E116,0)</f>
        <v>3.3745943607275568</v>
      </c>
      <c r="J116" s="18">
        <f ca="1">OFFSET(COM!M$247,$E116,0)</f>
        <v>3.2783114583792798</v>
      </c>
      <c r="K116" s="18">
        <f ca="1">OFFSET(COM!N$247,$E116,0)</f>
        <v>3.1779504170630659</v>
      </c>
      <c r="L116" s="18">
        <f ca="1">OFFSET(COM!O$247,$E116,0)</f>
        <v>3.0654245097100388</v>
      </c>
      <c r="M116" s="18">
        <f ca="1">OFFSET(COM!P$247,$E116,0)</f>
        <v>3.087476322627404</v>
      </c>
      <c r="N116" s="18">
        <f ca="1">OFFSET(COM!Q$247,$E116,0)</f>
        <v>3.1056585208287628</v>
      </c>
      <c r="O116" s="173">
        <f ca="1">OFFSET(COM!R$247,$E116,0)</f>
        <v>3.1056585208287628</v>
      </c>
      <c r="P116" s="18">
        <f ca="1">OFFSET(COM!S$247,$E116,0)</f>
        <v>3.1556103857942746</v>
      </c>
      <c r="Q116" s="18">
        <f ca="1">OFFSET(COM!T$247,$E116,0)</f>
        <v>3.1952263057855692</v>
      </c>
      <c r="R116" s="18">
        <f ca="1">OFFSET(COM!U$247,$E116,0)</f>
        <v>3.2334797388587777</v>
      </c>
      <c r="S116" s="18">
        <f ca="1">OFFSET(COM!V$247,$E116,0)</f>
        <v>3.2731597049032515</v>
      </c>
      <c r="T116" s="173">
        <f ca="1">OFFSET(COM!W$247,$E116,0)</f>
        <v>3.3098207013801049</v>
      </c>
      <c r="U116" s="18">
        <f ca="1">OFFSET(COM!X$247,$E116,0)</f>
        <v>3.3421578340200737</v>
      </c>
      <c r="V116" s="18">
        <f ca="1">OFFSET(COM!Y$247,$E116,0)</f>
        <v>3.3740381285643655</v>
      </c>
      <c r="W116" s="18">
        <f ca="1">OFFSET(COM!Z$247,$E116,0)</f>
        <v>3.4067717886858357</v>
      </c>
      <c r="X116" s="18">
        <f ca="1">OFFSET(COM!AA$247,$E116,0)</f>
        <v>3.4463294332716128</v>
      </c>
      <c r="Y116" s="18">
        <f ca="1">OFFSET(COM!AB$247,$E116,0)</f>
        <v>3.4830984286729318</v>
      </c>
      <c r="Z116" s="18">
        <f ca="1">OFFSET(COM!AC$247,$E116,0)</f>
        <v>3.5250903445416921</v>
      </c>
      <c r="AA116" s="18">
        <f ca="1">OFFSET(COM!AD$247,$E116,0)</f>
        <v>3.5677765368778145</v>
      </c>
      <c r="AB116" s="18">
        <f ca="1">OFFSET(COM!AE$247,$E116,0)</f>
        <v>3.6180366692592747</v>
      </c>
      <c r="AC116" s="18">
        <f ca="1">OFFSET(COM!AF$247,$E116,0)</f>
        <v>3.6698498024928643</v>
      </c>
      <c r="AD116" s="18">
        <f ca="1">OFFSET(COM!AG$247,$E116,0)</f>
        <v>3.7185174074394274</v>
      </c>
      <c r="AE116" s="18">
        <f ca="1">OFFSET(COM!AH$247,$E116,0)</f>
        <v>3.7638231016348147</v>
      </c>
      <c r="AF116" s="18">
        <f ca="1">OFFSET(COM!AI$247,$E116,0)</f>
        <v>3.799342838417108</v>
      </c>
      <c r="AG116" s="18">
        <f ca="1">OFFSET(COM!AJ$247,$E116,0)</f>
        <v>3.8413407035664049</v>
      </c>
      <c r="AH116" s="18">
        <f ca="1">OFFSET(COM!AK$247,$E116,0)</f>
        <v>3.8905088330855366</v>
      </c>
      <c r="AI116" s="18">
        <f ca="1">OFFSET(COM!AL$247,$E116,0)</f>
        <v>3.9361381279404468</v>
      </c>
      <c r="AJ116" s="18">
        <f ca="1">OFFSET(COM!AM$247,$E116,0)</f>
        <v>4.1886266592059949</v>
      </c>
      <c r="AK116" s="18">
        <f ca="1">OFFSET(COM!AN$247,$E116,0)</f>
        <v>4.3697096056607405</v>
      </c>
      <c r="AL116" s="18">
        <f ca="1">OFFSET(COM!AO$247,$E116,0)</f>
        <v>4.3697096056607405</v>
      </c>
      <c r="AM116" s="18">
        <f ca="1">OFFSET(COM!AP$247,$E116,0)</f>
        <v>4.3697096056607405</v>
      </c>
    </row>
    <row r="117" spans="1:39">
      <c r="A117" s="29" t="s">
        <v>244</v>
      </c>
      <c r="B117">
        <v>31.577350492680001</v>
      </c>
      <c r="E117" s="114">
        <f>MATCH(F117,COM!$D$248:$D$266,0)</f>
        <v>6</v>
      </c>
      <c r="F117" t="str">
        <f t="shared" si="1"/>
        <v>CEW</v>
      </c>
      <c r="G117" s="18">
        <f ca="1">OFFSET(COM!J$247,$E117,0)</f>
        <v>9.6831090230750316</v>
      </c>
      <c r="H117" s="18">
        <f ca="1">OFFSET(COM!K$247,$E117,0)</f>
        <v>9.6736255038926586</v>
      </c>
      <c r="I117" s="18">
        <f ca="1">OFFSET(COM!L$247,$E117,0)</f>
        <v>9.6909124953046728</v>
      </c>
      <c r="J117" s="18">
        <f ca="1">OFFSET(COM!M$247,$E117,0)</f>
        <v>9.6920710399778542</v>
      </c>
      <c r="K117" s="18">
        <f ca="1">OFFSET(COM!N$247,$E117,0)</f>
        <v>9.6869258063486576</v>
      </c>
      <c r="L117" s="18">
        <f ca="1">OFFSET(COM!O$247,$E117,0)</f>
        <v>9.6495991200814473</v>
      </c>
      <c r="M117" s="18">
        <f ca="1">OFFSET(COM!P$247,$E117,0)</f>
        <v>9.5862856345615484</v>
      </c>
      <c r="N117" s="18">
        <f ca="1">OFFSET(COM!Q$247,$E117,0)</f>
        <v>9.5205359298073908</v>
      </c>
      <c r="O117" s="173">
        <f ca="1">OFFSET(COM!R$247,$E117,0)</f>
        <v>9.4433391368467383</v>
      </c>
      <c r="P117" s="18">
        <f ca="1">OFFSET(COM!S$247,$E117,0)</f>
        <v>9.3975908738166591</v>
      </c>
      <c r="Q117" s="18">
        <f ca="1">OFFSET(COM!T$247,$E117,0)</f>
        <v>9.3453353407355646</v>
      </c>
      <c r="R117" s="18">
        <f ca="1">OFFSET(COM!U$247,$E117,0)</f>
        <v>9.292222017646969</v>
      </c>
      <c r="S117" s="18">
        <f ca="1">OFFSET(COM!V$247,$E117,0)</f>
        <v>9.2400068064682053</v>
      </c>
      <c r="T117" s="173">
        <f ca="1">OFFSET(COM!W$247,$E117,0)</f>
        <v>9.1858909224142149</v>
      </c>
      <c r="U117" s="18">
        <f ca="1">OFFSET(COM!X$247,$E117,0)</f>
        <v>9.1290528344668633</v>
      </c>
      <c r="V117" s="18">
        <f ca="1">OFFSET(COM!Y$247,$E117,0)</f>
        <v>9.0719271319022106</v>
      </c>
      <c r="W117" s="18">
        <f ca="1">OFFSET(COM!Z$247,$E117,0)</f>
        <v>9.0153386884151576</v>
      </c>
      <c r="X117" s="18">
        <f ca="1">OFFSET(COM!AA$247,$E117,0)</f>
        <v>8.9630464664970013</v>
      </c>
      <c r="Y117" s="18">
        <f ca="1">OFFSET(COM!AB$247,$E117,0)</f>
        <v>8.9089985760486758</v>
      </c>
      <c r="Z117" s="18">
        <f ca="1">OFFSET(COM!AC$247,$E117,0)</f>
        <v>8.858238914593576</v>
      </c>
      <c r="AA117" s="18">
        <f ca="1">OFFSET(COM!AD$247,$E117,0)</f>
        <v>8.8079163534204969</v>
      </c>
      <c r="AB117" s="18">
        <f ca="1">OFFSET(COM!AE$247,$E117,0)</f>
        <v>8.762362168370565</v>
      </c>
      <c r="AC117" s="18">
        <f ca="1">OFFSET(COM!AF$247,$E117,0)</f>
        <v>8.7177857164606074</v>
      </c>
      <c r="AD117" s="18">
        <f ca="1">OFFSET(COM!AG$247,$E117,0)</f>
        <v>8.6712289132554545</v>
      </c>
      <c r="AE117" s="18">
        <f ca="1">OFFSET(COM!AH$247,$E117,0)</f>
        <v>8.6225555293990013</v>
      </c>
      <c r="AF117" s="18">
        <f ca="1">OFFSET(COM!AI$247,$E117,0)</f>
        <v>8.5677211348411948</v>
      </c>
      <c r="AG117" s="18">
        <f ca="1">OFFSET(COM!AJ$247,$E117,0)</f>
        <v>8.5169652189144589</v>
      </c>
      <c r="AH117" s="18">
        <f ca="1">OFFSET(COM!AK$247,$E117,0)</f>
        <v>8.4707235343142315</v>
      </c>
      <c r="AI117" s="18">
        <f ca="1">OFFSET(COM!AL$247,$E117,0)</f>
        <v>8.4222538818907005</v>
      </c>
      <c r="AJ117" s="18">
        <f ca="1">OFFSET(COM!AM$247,$E117,0)</f>
        <v>8.195230811502757</v>
      </c>
      <c r="AK117" s="18">
        <f ca="1">OFFSET(COM!AN$247,$E117,0)</f>
        <v>7.9232524492016303</v>
      </c>
      <c r="AL117" s="18">
        <f ca="1">OFFSET(COM!AO$247,$E117,0)</f>
        <v>7.9232524492016303</v>
      </c>
      <c r="AM117" s="18">
        <f ca="1">OFFSET(COM!AP$247,$E117,0)</f>
        <v>7.9232524492016303</v>
      </c>
    </row>
    <row r="118" spans="1:39">
      <c r="A118" s="29" t="s">
        <v>248</v>
      </c>
      <c r="B118" t="s">
        <v>386</v>
      </c>
      <c r="E118" s="114">
        <f>MATCH(F118,COM!$D$248:$D$266,0)</f>
        <v>11</v>
      </c>
      <c r="F118" t="str">
        <f t="shared" si="1"/>
        <v>CNC</v>
      </c>
      <c r="G118" s="18">
        <f ca="1">OFFSET(COM!J$247,$E118,0)</f>
        <v>0</v>
      </c>
      <c r="H118" s="18">
        <f ca="1">OFFSET(COM!K$247,$E118,0)</f>
        <v>0</v>
      </c>
      <c r="I118" s="18">
        <f ca="1">OFFSET(COM!L$247,$E118,0)</f>
        <v>0</v>
      </c>
      <c r="J118" s="18">
        <f ca="1">OFFSET(COM!M$247,$E118,0)</f>
        <v>0</v>
      </c>
      <c r="K118" s="18">
        <f ca="1">OFFSET(COM!N$247,$E118,0)</f>
        <v>0</v>
      </c>
      <c r="L118" s="18">
        <f ca="1">OFFSET(COM!O$247,$E118,0)</f>
        <v>0</v>
      </c>
      <c r="M118" s="18">
        <f ca="1">OFFSET(COM!P$247,$E118,0)</f>
        <v>1.6544946889303713</v>
      </c>
      <c r="N118" s="18">
        <f ca="1">OFFSET(COM!Q$247,$E118,0)</f>
        <v>3.1875183888127405</v>
      </c>
      <c r="O118" s="173">
        <f ca="1">OFFSET(COM!R$247,$E118,0)</f>
        <v>4.1497851114047242</v>
      </c>
      <c r="P118" s="18">
        <f ca="1">OFFSET(COM!S$247,$E118,0)</f>
        <v>6.680089710495146</v>
      </c>
      <c r="Q118" s="18">
        <f ca="1">OFFSET(COM!T$247,$E118,0)</f>
        <v>8.8859388919517119</v>
      </c>
      <c r="R118" s="18">
        <f ca="1">OFFSET(COM!U$247,$E118,0)</f>
        <v>11.049018277019913</v>
      </c>
      <c r="S118" s="18">
        <f ca="1">OFFSET(COM!V$247,$E118,0)</f>
        <v>13.256877926700117</v>
      </c>
      <c r="T118" s="173">
        <f ca="1">OFFSET(COM!W$247,$E118,0)</f>
        <v>15.369969170169794</v>
      </c>
      <c r="U118" s="18">
        <f ca="1">OFFSET(COM!X$247,$E118,0)</f>
        <v>17.34733010059233</v>
      </c>
      <c r="V118" s="18">
        <f ca="1">OFFSET(COM!Y$247,$E118,0)</f>
        <v>19.310350436565731</v>
      </c>
      <c r="W118" s="18">
        <f ca="1">OFFSET(COM!Z$247,$E118,0)</f>
        <v>21.300158752296035</v>
      </c>
      <c r="X118" s="18">
        <f ca="1">OFFSET(COM!AA$247,$E118,0)</f>
        <v>23.504178611800697</v>
      </c>
      <c r="Y118" s="18">
        <f ca="1">OFFSET(COM!AB$247,$E118,0)</f>
        <v>25.620660047094042</v>
      </c>
      <c r="Z118" s="18">
        <f ca="1">OFFSET(COM!AC$247,$E118,0)</f>
        <v>27.87828972187728</v>
      </c>
      <c r="AA118" s="18">
        <f ca="1">OFFSET(COM!AD$247,$E118,0)</f>
        <v>30.157495473556875</v>
      </c>
      <c r="AB118" s="18">
        <f ca="1">OFFSET(COM!AE$247,$E118,0)</f>
        <v>32.672077074063715</v>
      </c>
      <c r="AC118" s="18">
        <f ca="1">OFFSET(COM!AF$247,$E118,0)</f>
        <v>35.234921387453397</v>
      </c>
      <c r="AD118" s="18">
        <f ca="1">OFFSET(COM!AG$247,$E118,0)</f>
        <v>37.70001190478213</v>
      </c>
      <c r="AE118" s="18">
        <f ca="1">OFFSET(COM!AH$247,$E118,0)</f>
        <v>40.060624093525959</v>
      </c>
      <c r="AF118" s="18">
        <f ca="1">OFFSET(COM!AI$247,$E118,0)</f>
        <v>42.117117419576545</v>
      </c>
      <c r="AG118" s="18">
        <f ca="1">OFFSET(COM!AJ$247,$E118,0)</f>
        <v>44.374931980554834</v>
      </c>
      <c r="AH118" s="18">
        <f ca="1">OFFSET(COM!AK$247,$E118,0)</f>
        <v>46.855577333995569</v>
      </c>
      <c r="AI118" s="18">
        <f ca="1">OFFSET(COM!AL$247,$E118,0)</f>
        <v>49.226246082397957</v>
      </c>
      <c r="AJ118" s="18">
        <f ca="1">OFFSET(COM!AM$247,$E118,0)</f>
        <v>61.58387311161443</v>
      </c>
      <c r="AK118" s="18">
        <f ca="1">OFFSET(COM!AN$247,$E118,0)</f>
        <v>71.766805459523752</v>
      </c>
      <c r="AL118" s="18">
        <f ca="1">OFFSET(COM!AO$247,$E118,0)</f>
        <v>71.766805459523752</v>
      </c>
      <c r="AM118" s="18">
        <f ca="1">OFFSET(COM!AP$247,$E118,0)</f>
        <v>71.766805459523752</v>
      </c>
    </row>
    <row r="119" spans="1:39">
      <c r="A119" s="29" t="s">
        <v>254</v>
      </c>
      <c r="B119" t="s">
        <v>386</v>
      </c>
      <c r="E119" s="114">
        <f>MATCH(F119,COM!$D$248:$D$266,0)</f>
        <v>17</v>
      </c>
      <c r="F119" t="str">
        <f t="shared" si="1"/>
        <v>CNG</v>
      </c>
      <c r="G119" s="18">
        <f ca="1">OFFSET(COM!J$247,$E119,0)</f>
        <v>0</v>
      </c>
      <c r="H119" s="18">
        <f ca="1">OFFSET(COM!K$247,$E119,0)</f>
        <v>0</v>
      </c>
      <c r="I119" s="18">
        <f ca="1">OFFSET(COM!L$247,$E119,0)</f>
        <v>0</v>
      </c>
      <c r="J119" s="18">
        <f ca="1">OFFSET(COM!M$247,$E119,0)</f>
        <v>0</v>
      </c>
      <c r="K119" s="18">
        <f ca="1">OFFSET(COM!N$247,$E119,0)</f>
        <v>0</v>
      </c>
      <c r="L119" s="18">
        <f ca="1">OFFSET(COM!O$247,$E119,0)</f>
        <v>0</v>
      </c>
      <c r="M119" s="18">
        <f ca="1">OFFSET(COM!P$247,$E119,0)</f>
        <v>0</v>
      </c>
      <c r="N119" s="18">
        <f ca="1">OFFSET(COM!Q$247,$E119,0)</f>
        <v>0</v>
      </c>
      <c r="O119" s="173">
        <f ca="1">OFFSET(COM!R$247,$E119,0)</f>
        <v>0</v>
      </c>
      <c r="P119" s="18">
        <f ca="1">OFFSET(COM!S$247,$E119,0)</f>
        <v>0</v>
      </c>
      <c r="Q119" s="18">
        <f ca="1">OFFSET(COM!T$247,$E119,0)</f>
        <v>0</v>
      </c>
      <c r="R119" s="18">
        <f ca="1">OFFSET(COM!U$247,$E119,0)</f>
        <v>0</v>
      </c>
      <c r="S119" s="18">
        <f ca="1">OFFSET(COM!V$247,$E119,0)</f>
        <v>0</v>
      </c>
      <c r="T119" s="173">
        <f ca="1">OFFSET(COM!W$247,$E119,0)</f>
        <v>0</v>
      </c>
      <c r="U119" s="18">
        <f ca="1">OFFSET(COM!X$247,$E119,0)</f>
        <v>0</v>
      </c>
      <c r="V119" s="18">
        <f ca="1">OFFSET(COM!Y$247,$E119,0)</f>
        <v>0</v>
      </c>
      <c r="W119" s="18">
        <f ca="1">OFFSET(COM!Z$247,$E119,0)</f>
        <v>0</v>
      </c>
      <c r="X119" s="18">
        <f ca="1">OFFSET(COM!AA$247,$E119,0)</f>
        <v>0</v>
      </c>
      <c r="Y119" s="18">
        <f ca="1">OFFSET(COM!AB$247,$E119,0)</f>
        <v>0</v>
      </c>
      <c r="Z119" s="18">
        <f ca="1">OFFSET(COM!AC$247,$E119,0)</f>
        <v>0</v>
      </c>
      <c r="AA119" s="18">
        <f ca="1">OFFSET(COM!AD$247,$E119,0)</f>
        <v>0</v>
      </c>
      <c r="AB119" s="18">
        <f ca="1">OFFSET(COM!AE$247,$E119,0)</f>
        <v>0</v>
      </c>
      <c r="AC119" s="18">
        <f ca="1">OFFSET(COM!AF$247,$E119,0)</f>
        <v>0</v>
      </c>
      <c r="AD119" s="18">
        <f ca="1">OFFSET(COM!AG$247,$E119,0)</f>
        <v>0</v>
      </c>
      <c r="AE119" s="18">
        <f ca="1">OFFSET(COM!AH$247,$E119,0)</f>
        <v>0</v>
      </c>
      <c r="AF119" s="18">
        <f ca="1">OFFSET(COM!AI$247,$E119,0)</f>
        <v>0</v>
      </c>
      <c r="AG119" s="18">
        <f ca="1">OFFSET(COM!AJ$247,$E119,0)</f>
        <v>0</v>
      </c>
      <c r="AH119" s="18">
        <f ca="1">OFFSET(COM!AK$247,$E119,0)</f>
        <v>0</v>
      </c>
      <c r="AI119" s="18">
        <f ca="1">OFFSET(COM!AL$247,$E119,0)</f>
        <v>0</v>
      </c>
      <c r="AJ119" s="18">
        <f ca="1">OFFSET(COM!AM$247,$E119,0)</f>
        <v>0</v>
      </c>
      <c r="AK119" s="18">
        <f ca="1">OFFSET(COM!AN$247,$E119,0)</f>
        <v>0</v>
      </c>
      <c r="AL119" s="18">
        <f ca="1">OFFSET(COM!AO$247,$E119,0)</f>
        <v>0</v>
      </c>
      <c r="AM119" s="18">
        <f ca="1">OFFSET(COM!AP$247,$E119,0)</f>
        <v>0</v>
      </c>
    </row>
    <row r="120" spans="1:39">
      <c r="A120" s="29" t="s">
        <v>249</v>
      </c>
      <c r="B120" t="s">
        <v>386</v>
      </c>
      <c r="E120" s="114">
        <f>MATCH(F120,COM!$D$248:$D$266,0)</f>
        <v>12</v>
      </c>
      <c r="F120" t="str">
        <f t="shared" si="1"/>
        <v>CNH</v>
      </c>
      <c r="G120" s="18">
        <f ca="1">OFFSET(COM!J$247,$E120,0)</f>
        <v>0</v>
      </c>
      <c r="H120" s="18">
        <f ca="1">OFFSET(COM!K$247,$E120,0)</f>
        <v>0</v>
      </c>
      <c r="I120" s="18">
        <f ca="1">OFFSET(COM!L$247,$E120,0)</f>
        <v>0</v>
      </c>
      <c r="J120" s="18">
        <f ca="1">OFFSET(COM!M$247,$E120,0)</f>
        <v>0</v>
      </c>
      <c r="K120" s="18">
        <f ca="1">OFFSET(COM!N$247,$E120,0)</f>
        <v>0</v>
      </c>
      <c r="L120" s="18">
        <f ca="1">OFFSET(COM!O$247,$E120,0)</f>
        <v>0</v>
      </c>
      <c r="M120" s="18">
        <f ca="1">OFFSET(COM!P$247,$E120,0)</f>
        <v>0.15778310002993795</v>
      </c>
      <c r="N120" s="18">
        <f ca="1">OFFSET(COM!Q$247,$E120,0)</f>
        <v>0.30398195663864902</v>
      </c>
      <c r="O120" s="173">
        <f ca="1">OFFSET(COM!R$247,$E120,0)</f>
        <v>0.39574981032959627</v>
      </c>
      <c r="P120" s="18">
        <f ca="1">OFFSET(COM!S$247,$E120,0)</f>
        <v>0.63705569443769439</v>
      </c>
      <c r="Q120" s="18">
        <f ca="1">OFFSET(COM!T$247,$E120,0)</f>
        <v>0.84741945346174374</v>
      </c>
      <c r="R120" s="18">
        <f ca="1">OFFSET(COM!U$247,$E120,0)</f>
        <v>1.0537044136193137</v>
      </c>
      <c r="S120" s="18">
        <f ca="1">OFFSET(COM!V$247,$E120,0)</f>
        <v>1.2642599036358886</v>
      </c>
      <c r="T120" s="173">
        <f ca="1">OFFSET(COM!W$247,$E120,0)</f>
        <v>1.4657776777765306</v>
      </c>
      <c r="U120" s="18">
        <f ca="1">OFFSET(COM!X$247,$E120,0)</f>
        <v>1.6543513489811534</v>
      </c>
      <c r="V120" s="18">
        <f ca="1">OFFSET(COM!Y$247,$E120,0)</f>
        <v>1.8415574102057646</v>
      </c>
      <c r="W120" s="18">
        <f ca="1">OFFSET(COM!Z$247,$E120,0)</f>
        <v>2.0313181429671681</v>
      </c>
      <c r="X120" s="18">
        <f ca="1">OFFSET(COM!AA$247,$E120,0)</f>
        <v>2.2415074462553024</v>
      </c>
      <c r="Y120" s="18">
        <f ca="1">OFFSET(COM!AB$247,$E120,0)</f>
        <v>2.4433485305759124</v>
      </c>
      <c r="Z120" s="18">
        <f ca="1">OFFSET(COM!AC$247,$E120,0)</f>
        <v>2.658650405637943</v>
      </c>
      <c r="AA120" s="18">
        <f ca="1">OFFSET(COM!AD$247,$E120,0)</f>
        <v>2.8760099121459786</v>
      </c>
      <c r="AB120" s="18">
        <f ca="1">OFFSET(COM!AE$247,$E120,0)</f>
        <v>3.1158163514538715</v>
      </c>
      <c r="AC120" s="18">
        <f ca="1">OFFSET(COM!AF$247,$E120,0)</f>
        <v>3.3602254289602782</v>
      </c>
      <c r="AD120" s="18">
        <f ca="1">OFFSET(COM!AG$247,$E120,0)</f>
        <v>3.5953120848926625</v>
      </c>
      <c r="AE120" s="18">
        <f ca="1">OFFSET(COM!AH$247,$E120,0)</f>
        <v>3.8204350252082078</v>
      </c>
      <c r="AF120" s="18">
        <f ca="1">OFFSET(COM!AI$247,$E120,0)</f>
        <v>4.0165552632156896</v>
      </c>
      <c r="AG120" s="18">
        <f ca="1">OFFSET(COM!AJ$247,$E120,0)</f>
        <v>4.2318747701971233</v>
      </c>
      <c r="AH120" s="18">
        <f ca="1">OFFSET(COM!AK$247,$E120,0)</f>
        <v>4.4684448338905778</v>
      </c>
      <c r="AI120" s="18">
        <f ca="1">OFFSET(COM!AL$247,$E120,0)</f>
        <v>4.6945268314754989</v>
      </c>
      <c r="AJ120" s="18">
        <f ca="1">OFFSET(COM!AM$247,$E120,0)</f>
        <v>5.8730284699087338</v>
      </c>
      <c r="AK120" s="18">
        <f ca="1">OFFSET(COM!AN$247,$E120,0)</f>
        <v>6.8441374399151549</v>
      </c>
      <c r="AL120" s="18">
        <f ca="1">OFFSET(COM!AO$247,$E120,0)</f>
        <v>6.8441374399151549</v>
      </c>
      <c r="AM120" s="18">
        <f ca="1">OFFSET(COM!AP$247,$E120,0)</f>
        <v>6.8441374399151549</v>
      </c>
    </row>
    <row r="121" spans="1:39">
      <c r="A121" s="29" t="s">
        <v>250</v>
      </c>
      <c r="B121" t="s">
        <v>386</v>
      </c>
      <c r="E121" s="114">
        <f>MATCH(F121,COM!$D$248:$D$266,0)</f>
        <v>13</v>
      </c>
      <c r="F121" t="str">
        <f t="shared" si="1"/>
        <v>CNK</v>
      </c>
      <c r="G121" s="18">
        <f ca="1">OFFSET(COM!J$247,$E121,0)</f>
        <v>0</v>
      </c>
      <c r="H121" s="18">
        <f ca="1">OFFSET(COM!K$247,$E121,0)</f>
        <v>0</v>
      </c>
      <c r="I121" s="18">
        <f ca="1">OFFSET(COM!L$247,$E121,0)</f>
        <v>0</v>
      </c>
      <c r="J121" s="18">
        <f ca="1">OFFSET(COM!M$247,$E121,0)</f>
        <v>0</v>
      </c>
      <c r="K121" s="18">
        <f ca="1">OFFSET(COM!N$247,$E121,0)</f>
        <v>0</v>
      </c>
      <c r="L121" s="18">
        <f ca="1">OFFSET(COM!O$247,$E121,0)</f>
        <v>0</v>
      </c>
      <c r="M121" s="18">
        <f ca="1">OFFSET(COM!P$247,$E121,0)</f>
        <v>0.11351736674445566</v>
      </c>
      <c r="N121" s="18">
        <f ca="1">OFFSET(COM!Q$247,$E121,0)</f>
        <v>0.2187004264011754</v>
      </c>
      <c r="O121" s="173">
        <f ca="1">OFFSET(COM!R$247,$E121,0)</f>
        <v>0.28472299219440816</v>
      </c>
      <c r="P121" s="18">
        <f ca="1">OFFSET(COM!S$247,$E121,0)</f>
        <v>0.45833099291626384</v>
      </c>
      <c r="Q121" s="18">
        <f ca="1">OFFSET(COM!T$247,$E121,0)</f>
        <v>0.6096776198892685</v>
      </c>
      <c r="R121" s="18">
        <f ca="1">OFFSET(COM!U$247,$E121,0)</f>
        <v>0.75808974686376152</v>
      </c>
      <c r="S121" s="18">
        <f ca="1">OFFSET(COM!V$247,$E121,0)</f>
        <v>0.90957431508263276</v>
      </c>
      <c r="T121" s="173">
        <f ca="1">OFFSET(COM!W$247,$E121,0)</f>
        <v>1.0545566805470528</v>
      </c>
      <c r="U121" s="18">
        <f ca="1">OFFSET(COM!X$247,$E121,0)</f>
        <v>1.1902263852772925</v>
      </c>
      <c r="V121" s="18">
        <f ca="1">OFFSET(COM!Y$247,$E121,0)</f>
        <v>1.3249121602733918</v>
      </c>
      <c r="W121" s="18">
        <f ca="1">OFFSET(COM!Z$247,$E121,0)</f>
        <v>1.4614358988137399</v>
      </c>
      <c r="X121" s="18">
        <f ca="1">OFFSET(COM!AA$247,$E121,0)</f>
        <v>1.6126570132587821</v>
      </c>
      <c r="Y121" s="18">
        <f ca="1">OFFSET(COM!AB$247,$E121,0)</f>
        <v>1.7578719848785174</v>
      </c>
      <c r="Z121" s="18">
        <f ca="1">OFFSET(COM!AC$247,$E121,0)</f>
        <v>1.9127713493069518</v>
      </c>
      <c r="AA121" s="18">
        <f ca="1">OFFSET(COM!AD$247,$E121,0)</f>
        <v>2.0691510807926745</v>
      </c>
      <c r="AB121" s="18">
        <f ca="1">OFFSET(COM!AE$247,$E121,0)</f>
        <v>2.2416803029554466</v>
      </c>
      <c r="AC121" s="18">
        <f ca="1">OFFSET(COM!AF$247,$E121,0)</f>
        <v>2.4175209023713826</v>
      </c>
      <c r="AD121" s="18">
        <f ca="1">OFFSET(COM!AG$247,$E121,0)</f>
        <v>2.5866544669492155</v>
      </c>
      <c r="AE121" s="18">
        <f ca="1">OFFSET(COM!AH$247,$E121,0)</f>
        <v>2.7486196164078143</v>
      </c>
      <c r="AF121" s="18">
        <f ca="1">OFFSET(COM!AI$247,$E121,0)</f>
        <v>2.8897187137108902</v>
      </c>
      <c r="AG121" s="18">
        <f ca="1">OFFSET(COM!AJ$247,$E121,0)</f>
        <v>3.0446307634589882</v>
      </c>
      <c r="AH121" s="18">
        <f ca="1">OFFSET(COM!AK$247,$E121,0)</f>
        <v>3.2148315687160376</v>
      </c>
      <c r="AI121" s="18">
        <f ca="1">OFFSET(COM!AL$247,$E121,0)</f>
        <v>3.3774867138443634</v>
      </c>
      <c r="AJ121" s="18">
        <f ca="1">OFFSET(COM!AM$247,$E121,0)</f>
        <v>4.2253620735855764</v>
      </c>
      <c r="AK121" s="18">
        <f ca="1">OFFSET(COM!AN$247,$E121,0)</f>
        <v>4.9240283634235427</v>
      </c>
      <c r="AL121" s="18">
        <f ca="1">OFFSET(COM!AO$247,$E121,0)</f>
        <v>4.9240283634235427</v>
      </c>
      <c r="AM121" s="18">
        <f ca="1">OFFSET(COM!AP$247,$E121,0)</f>
        <v>4.9240283634235427</v>
      </c>
    </row>
    <row r="122" spans="1:39">
      <c r="A122" s="29" t="s">
        <v>251</v>
      </c>
      <c r="B122" t="s">
        <v>386</v>
      </c>
      <c r="E122" s="114">
        <f>MATCH(F122,COM!$D$248:$D$266,0)</f>
        <v>14</v>
      </c>
      <c r="F122" t="str">
        <f t="shared" si="1"/>
        <v>CNL</v>
      </c>
      <c r="G122" s="18">
        <f ca="1">OFFSET(COM!J$247,$E122,0)</f>
        <v>0</v>
      </c>
      <c r="H122" s="18">
        <f ca="1">OFFSET(COM!K$247,$E122,0)</f>
        <v>0</v>
      </c>
      <c r="I122" s="18">
        <f ca="1">OFFSET(COM!L$247,$E122,0)</f>
        <v>0</v>
      </c>
      <c r="J122" s="18">
        <f ca="1">OFFSET(COM!M$247,$E122,0)</f>
        <v>0</v>
      </c>
      <c r="K122" s="18">
        <f ca="1">OFFSET(COM!N$247,$E122,0)</f>
        <v>0</v>
      </c>
      <c r="L122" s="18">
        <f ca="1">OFFSET(COM!O$247,$E122,0)</f>
        <v>0</v>
      </c>
      <c r="M122" s="18">
        <f ca="1">OFFSET(COM!P$247,$E122,0)</f>
        <v>1.439792405855393</v>
      </c>
      <c r="N122" s="18">
        <f ca="1">OFFSET(COM!Q$247,$E122,0)</f>
        <v>2.7738770033187716</v>
      </c>
      <c r="O122" s="173">
        <f ca="1">OFFSET(COM!R$247,$E122,0)</f>
        <v>3.6112712414900638</v>
      </c>
      <c r="P122" s="18">
        <f ca="1">OFFSET(COM!S$247,$E122,0)</f>
        <v>5.8132204956316</v>
      </c>
      <c r="Q122" s="18">
        <f ca="1">OFFSET(COM!T$247,$E122,0)</f>
        <v>7.7328186189575536</v>
      </c>
      <c r="R122" s="18">
        <f ca="1">OFFSET(COM!U$247,$E122,0)</f>
        <v>9.6151971437849717</v>
      </c>
      <c r="S122" s="18">
        <f ca="1">OFFSET(COM!V$247,$E122,0)</f>
        <v>11.536544838687051</v>
      </c>
      <c r="T122" s="173">
        <f ca="1">OFFSET(COM!W$247,$E122,0)</f>
        <v>13.375422137951208</v>
      </c>
      <c r="U122" s="18">
        <f ca="1">OFFSET(COM!X$247,$E122,0)</f>
        <v>15.096182724434627</v>
      </c>
      <c r="V122" s="18">
        <f ca="1">OFFSET(COM!Y$247,$E122,0)</f>
        <v>16.804463682472292</v>
      </c>
      <c r="W122" s="18">
        <f ca="1">OFFSET(COM!Z$247,$E122,0)</f>
        <v>18.536056368302283</v>
      </c>
      <c r="X122" s="18">
        <f ca="1">OFFSET(COM!AA$247,$E122,0)</f>
        <v>20.454062559135593</v>
      </c>
      <c r="Y122" s="18">
        <f ca="1">OFFSET(COM!AB$247,$E122,0)</f>
        <v>22.295890108089136</v>
      </c>
      <c r="Z122" s="18">
        <f ca="1">OFFSET(COM!AC$247,$E122,0)</f>
        <v>24.260549216839824</v>
      </c>
      <c r="AA122" s="18">
        <f ca="1">OFFSET(COM!AD$247,$E122,0)</f>
        <v>26.243984494454253</v>
      </c>
      <c r="AB122" s="18">
        <f ca="1">OFFSET(COM!AE$247,$E122,0)</f>
        <v>28.432251109352897</v>
      </c>
      <c r="AC122" s="18">
        <f ca="1">OFFSET(COM!AF$247,$E122,0)</f>
        <v>30.662517428426845</v>
      </c>
      <c r="AD122" s="18">
        <f ca="1">OFFSET(COM!AG$247,$E122,0)</f>
        <v>32.807715373359883</v>
      </c>
      <c r="AE122" s="18">
        <f ca="1">OFFSET(COM!AH$247,$E122,0)</f>
        <v>34.861993048146715</v>
      </c>
      <c r="AF122" s="18">
        <f ca="1">OFFSET(COM!AI$247,$E122,0)</f>
        <v>36.651617090671841</v>
      </c>
      <c r="AG122" s="18">
        <f ca="1">OFFSET(COM!AJ$247,$E122,0)</f>
        <v>38.61643709310286</v>
      </c>
      <c r="AH122" s="18">
        <f ca="1">OFFSET(COM!AK$247,$E122,0)</f>
        <v>40.775171337099422</v>
      </c>
      <c r="AI122" s="18">
        <f ca="1">OFFSET(COM!AL$247,$E122,0)</f>
        <v>42.838200540871085</v>
      </c>
      <c r="AJ122" s="18">
        <f ca="1">OFFSET(COM!AM$247,$E122,0)</f>
        <v>53.592189459724608</v>
      </c>
      <c r="AK122" s="18">
        <f ca="1">OFFSET(COM!AN$247,$E122,0)</f>
        <v>62.453691864025217</v>
      </c>
      <c r="AL122" s="18">
        <f ca="1">OFFSET(COM!AO$247,$E122,0)</f>
        <v>62.453691864025217</v>
      </c>
      <c r="AM122" s="18">
        <f ca="1">OFFSET(COM!AP$247,$E122,0)</f>
        <v>62.453691864025217</v>
      </c>
    </row>
    <row r="123" spans="1:39">
      <c r="A123" s="29" t="s">
        <v>256</v>
      </c>
      <c r="B123" t="s">
        <v>386</v>
      </c>
      <c r="E123" s="114">
        <f>MATCH(F123,COM!$D$248:$D$266,0)</f>
        <v>19</v>
      </c>
      <c r="F123" t="str">
        <f t="shared" si="1"/>
        <v>CNO</v>
      </c>
      <c r="G123" s="18">
        <f ca="1">OFFSET(COM!J$247,$E123,0)</f>
        <v>0</v>
      </c>
      <c r="H123" s="18">
        <f ca="1">OFFSET(COM!K$247,$E123,0)</f>
        <v>0</v>
      </c>
      <c r="I123" s="18">
        <f ca="1">OFFSET(COM!L$247,$E123,0)</f>
        <v>0</v>
      </c>
      <c r="J123" s="18">
        <f ca="1">OFFSET(COM!M$247,$E123,0)</f>
        <v>0</v>
      </c>
      <c r="K123" s="18">
        <f ca="1">OFFSET(COM!N$247,$E123,0)</f>
        <v>0</v>
      </c>
      <c r="L123" s="18">
        <f ca="1">OFFSET(COM!O$247,$E123,0)</f>
        <v>0</v>
      </c>
      <c r="M123" s="18">
        <f ca="1">OFFSET(COM!P$247,$E123,0)</f>
        <v>0.23382419467651278</v>
      </c>
      <c r="N123" s="18">
        <f ca="1">OFFSET(COM!Q$247,$E123,0)</f>
        <v>0.45048130118964741</v>
      </c>
      <c r="O123" s="173">
        <f ca="1">OFFSET(COM!R$247,$E123,0)</f>
        <v>0.58647523515600009</v>
      </c>
      <c r="P123" s="18">
        <f ca="1">OFFSET(COM!S$247,$E123,0)</f>
        <v>0.94407471197939985</v>
      </c>
      <c r="Q123" s="18">
        <f ca="1">OFFSET(COM!T$247,$E123,0)</f>
        <v>1.2558199909959062</v>
      </c>
      <c r="R123" s="18">
        <f ca="1">OFFSET(COM!U$247,$E123,0)</f>
        <v>1.5615207578940611</v>
      </c>
      <c r="S123" s="18">
        <f ca="1">OFFSET(COM!V$247,$E123,0)</f>
        <v>1.8735501696530052</v>
      </c>
      <c r="T123" s="173">
        <f ca="1">OFFSET(COM!W$247,$E123,0)</f>
        <v>2.1721862798732912</v>
      </c>
      <c r="U123" s="18">
        <f ca="1">OFFSET(COM!X$247,$E123,0)</f>
        <v>2.4516400794135977</v>
      </c>
      <c r="V123" s="18">
        <f ca="1">OFFSET(COM!Y$247,$E123,0)</f>
        <v>2.7290671707567209</v>
      </c>
      <c r="W123" s="18">
        <f ca="1">OFFSET(COM!Z$247,$E123,0)</f>
        <v>3.0102801175852538</v>
      </c>
      <c r="X123" s="18">
        <f ca="1">OFFSET(COM!AA$247,$E123,0)</f>
        <v>3.3217668646553777</v>
      </c>
      <c r="Y123" s="18">
        <f ca="1">OFFSET(COM!AB$247,$E123,0)</f>
        <v>3.6208820993347945</v>
      </c>
      <c r="Z123" s="18">
        <f ca="1">OFFSET(COM!AC$247,$E123,0)</f>
        <v>3.9399453420976149</v>
      </c>
      <c r="AA123" s="18">
        <f ca="1">OFFSET(COM!AD$247,$E123,0)</f>
        <v>4.2620578595654699</v>
      </c>
      <c r="AB123" s="18">
        <f ca="1">OFFSET(COM!AE$247,$E123,0)</f>
        <v>4.6174352576440398</v>
      </c>
      <c r="AC123" s="18">
        <f ca="1">OFFSET(COM!AF$247,$E123,0)</f>
        <v>4.9796334633373078</v>
      </c>
      <c r="AD123" s="18">
        <f ca="1">OFFSET(COM!AG$247,$E123,0)</f>
        <v>5.3280164523402771</v>
      </c>
      <c r="AE123" s="18">
        <f ca="1">OFFSET(COM!AH$247,$E123,0)</f>
        <v>5.6616338689869465</v>
      </c>
      <c r="AF123" s="18">
        <f ca="1">OFFSET(COM!AI$247,$E123,0)</f>
        <v>5.9522711850440171</v>
      </c>
      <c r="AG123" s="18">
        <f ca="1">OFFSET(COM!AJ$247,$E123,0)</f>
        <v>6.2713605571537343</v>
      </c>
      <c r="AH123" s="18">
        <f ca="1">OFFSET(COM!AK$247,$E123,0)</f>
        <v>6.6219418590624777</v>
      </c>
      <c r="AI123" s="18">
        <f ca="1">OFFSET(COM!AL$247,$E123,0)</f>
        <v>6.9569805356135239</v>
      </c>
      <c r="AJ123" s="18">
        <f ca="1">OFFSET(COM!AM$247,$E123,0)</f>
        <v>8.7034425868681673</v>
      </c>
      <c r="AK123" s="18">
        <f ca="1">OFFSET(COM!AN$247,$E123,0)</f>
        <v>10.14256232029846</v>
      </c>
      <c r="AL123" s="18">
        <f ca="1">OFFSET(COM!AO$247,$E123,0)</f>
        <v>10.14256232029846</v>
      </c>
      <c r="AM123" s="18">
        <f ca="1">OFFSET(COM!AP$247,$E123,0)</f>
        <v>10.14256232029846</v>
      </c>
    </row>
    <row r="124" spans="1:39">
      <c r="A124" s="29" t="s">
        <v>252</v>
      </c>
      <c r="B124" t="s">
        <v>386</v>
      </c>
      <c r="E124" s="114">
        <f>MATCH(F124,COM!$D$248:$D$266,0)</f>
        <v>15</v>
      </c>
      <c r="F124" t="str">
        <f t="shared" si="1"/>
        <v>CNR</v>
      </c>
      <c r="G124" s="18">
        <f ca="1">OFFSET(COM!J$247,$E124,0)</f>
        <v>0</v>
      </c>
      <c r="H124" s="18">
        <f ca="1">OFFSET(COM!K$247,$E124,0)</f>
        <v>0</v>
      </c>
      <c r="I124" s="18">
        <f ca="1">OFFSET(COM!L$247,$E124,0)</f>
        <v>0</v>
      </c>
      <c r="J124" s="18">
        <f ca="1">OFFSET(COM!M$247,$E124,0)</f>
        <v>0</v>
      </c>
      <c r="K124" s="18">
        <f ca="1">OFFSET(COM!N$247,$E124,0)</f>
        <v>0</v>
      </c>
      <c r="L124" s="18">
        <f ca="1">OFFSET(COM!O$247,$E124,0)</f>
        <v>0</v>
      </c>
      <c r="M124" s="18">
        <f ca="1">OFFSET(COM!P$247,$E124,0)</f>
        <v>0.35024986912740697</v>
      </c>
      <c r="N124" s="18">
        <f ca="1">OFFSET(COM!Q$247,$E124,0)</f>
        <v>0.67478481858689709</v>
      </c>
      <c r="O124" s="173">
        <f ca="1">OFFSET(COM!R$247,$E124,0)</f>
        <v>0.87849281227734122</v>
      </c>
      <c r="P124" s="18">
        <f ca="1">OFFSET(COM!S$247,$E124,0)</f>
        <v>1.4141481157445579</v>
      </c>
      <c r="Q124" s="18">
        <f ca="1">OFFSET(COM!T$247,$E124,0)</f>
        <v>1.8811175126783395</v>
      </c>
      <c r="R124" s="18">
        <f ca="1">OFFSET(COM!U$247,$E124,0)</f>
        <v>2.3390327157921846</v>
      </c>
      <c r="S124" s="18">
        <f ca="1">OFFSET(COM!V$247,$E124,0)</f>
        <v>2.8064277207602051</v>
      </c>
      <c r="T124" s="173">
        <f ca="1">OFFSET(COM!W$247,$E124,0)</f>
        <v>3.2537606354146509</v>
      </c>
      <c r="U124" s="18">
        <f ca="1">OFFSET(COM!X$247,$E124,0)</f>
        <v>3.6723599888800207</v>
      </c>
      <c r="V124" s="18">
        <f ca="1">OFFSET(COM!Y$247,$E124,0)</f>
        <v>4.0879234961969404</v>
      </c>
      <c r="W124" s="18">
        <f ca="1">OFFSET(COM!Z$247,$E124,0)</f>
        <v>4.50915791105247</v>
      </c>
      <c r="X124" s="18">
        <f ca="1">OFFSET(COM!AA$247,$E124,0)</f>
        <v>4.9757400478889338</v>
      </c>
      <c r="Y124" s="18">
        <f ca="1">OFFSET(COM!AB$247,$E124,0)</f>
        <v>5.4237906525127109</v>
      </c>
      <c r="Z124" s="18">
        <f ca="1">OFFSET(COM!AC$247,$E124,0)</f>
        <v>5.9017217715555823</v>
      </c>
      <c r="AA124" s="18">
        <f ca="1">OFFSET(COM!AD$247,$E124,0)</f>
        <v>6.3842204592705034</v>
      </c>
      <c r="AB124" s="18">
        <f ca="1">OFFSET(COM!AE$247,$E124,0)</f>
        <v>6.9165472671958277</v>
      </c>
      <c r="AC124" s="18">
        <f ca="1">OFFSET(COM!AF$247,$E124,0)</f>
        <v>7.4590910972633484</v>
      </c>
      <c r="AD124" s="18">
        <f ca="1">OFFSET(COM!AG$247,$E124,0)</f>
        <v>7.9809408419970627</v>
      </c>
      <c r="AE124" s="18">
        <f ca="1">OFFSET(COM!AH$247,$E124,0)</f>
        <v>8.4806729449164244</v>
      </c>
      <c r="AF124" s="18">
        <f ca="1">OFFSET(COM!AI$247,$E124,0)</f>
        <v>8.9160243081633297</v>
      </c>
      <c r="AG124" s="18">
        <f ca="1">OFFSET(COM!AJ$247,$E124,0)</f>
        <v>9.3939945668698428</v>
      </c>
      <c r="AH124" s="18">
        <f ca="1">OFFSET(COM!AK$247,$E124,0)</f>
        <v>9.9191372078267825</v>
      </c>
      <c r="AI124" s="18">
        <f ca="1">OFFSET(COM!AL$247,$E124,0)</f>
        <v>10.420998243965361</v>
      </c>
      <c r="AJ124" s="18">
        <f ca="1">OFFSET(COM!AM$247,$E124,0)</f>
        <v>13.037058167679342</v>
      </c>
      <c r="AK124" s="18">
        <f ca="1">OFFSET(COM!AN$247,$E124,0)</f>
        <v>15.19274397679745</v>
      </c>
      <c r="AL124" s="18">
        <f ca="1">OFFSET(COM!AO$247,$E124,0)</f>
        <v>15.19274397679745</v>
      </c>
      <c r="AM124" s="18">
        <f ca="1">OFFSET(COM!AP$247,$E124,0)</f>
        <v>15.19274397679745</v>
      </c>
    </row>
    <row r="125" spans="1:39">
      <c r="A125" s="29" t="s">
        <v>255</v>
      </c>
      <c r="B125" t="s">
        <v>386</v>
      </c>
      <c r="E125" s="114">
        <f>MATCH(F125,COM!$D$248:$D$266,0)</f>
        <v>18</v>
      </c>
      <c r="F125" t="str">
        <f t="shared" si="1"/>
        <v>CNT</v>
      </c>
      <c r="G125" s="18">
        <f ca="1">OFFSET(COM!J$247,$E125,0)</f>
        <v>0</v>
      </c>
      <c r="H125" s="18">
        <f ca="1">OFFSET(COM!K$247,$E125,0)</f>
        <v>0</v>
      </c>
      <c r="I125" s="18">
        <f ca="1">OFFSET(COM!L$247,$E125,0)</f>
        <v>0</v>
      </c>
      <c r="J125" s="18">
        <f ca="1">OFFSET(COM!M$247,$E125,0)</f>
        <v>0</v>
      </c>
      <c r="K125" s="18">
        <f ca="1">OFFSET(COM!N$247,$E125,0)</f>
        <v>0</v>
      </c>
      <c r="L125" s="18">
        <f ca="1">OFFSET(COM!O$247,$E125,0)</f>
        <v>0</v>
      </c>
      <c r="M125" s="18">
        <f ca="1">OFFSET(COM!P$247,$E125,0)</f>
        <v>0</v>
      </c>
      <c r="N125" s="18">
        <f ca="1">OFFSET(COM!Q$247,$E125,0)</f>
        <v>0</v>
      </c>
      <c r="O125" s="173">
        <f ca="1">OFFSET(COM!R$247,$E125,0)</f>
        <v>0</v>
      </c>
      <c r="P125" s="18">
        <f ca="1">OFFSET(COM!S$247,$E125,0)</f>
        <v>0</v>
      </c>
      <c r="Q125" s="18">
        <f ca="1">OFFSET(COM!T$247,$E125,0)</f>
        <v>0</v>
      </c>
      <c r="R125" s="18">
        <f ca="1">OFFSET(COM!U$247,$E125,0)</f>
        <v>0</v>
      </c>
      <c r="S125" s="18">
        <f ca="1">OFFSET(COM!V$247,$E125,0)</f>
        <v>0</v>
      </c>
      <c r="T125" s="173">
        <f ca="1">OFFSET(COM!W$247,$E125,0)</f>
        <v>0</v>
      </c>
      <c r="U125" s="18">
        <f ca="1">OFFSET(COM!X$247,$E125,0)</f>
        <v>0</v>
      </c>
      <c r="V125" s="18">
        <f ca="1">OFFSET(COM!Y$247,$E125,0)</f>
        <v>0</v>
      </c>
      <c r="W125" s="18">
        <f ca="1">OFFSET(COM!Z$247,$E125,0)</f>
        <v>0</v>
      </c>
      <c r="X125" s="18">
        <f ca="1">OFFSET(COM!AA$247,$E125,0)</f>
        <v>0</v>
      </c>
      <c r="Y125" s="18">
        <f ca="1">OFFSET(COM!AB$247,$E125,0)</f>
        <v>0</v>
      </c>
      <c r="Z125" s="18">
        <f ca="1">OFFSET(COM!AC$247,$E125,0)</f>
        <v>0</v>
      </c>
      <c r="AA125" s="18">
        <f ca="1">OFFSET(COM!AD$247,$E125,0)</f>
        <v>0</v>
      </c>
      <c r="AB125" s="18">
        <f ca="1">OFFSET(COM!AE$247,$E125,0)</f>
        <v>0</v>
      </c>
      <c r="AC125" s="18">
        <f ca="1">OFFSET(COM!AF$247,$E125,0)</f>
        <v>0</v>
      </c>
      <c r="AD125" s="18">
        <f ca="1">OFFSET(COM!AG$247,$E125,0)</f>
        <v>0</v>
      </c>
      <c r="AE125" s="18">
        <f ca="1">OFFSET(COM!AH$247,$E125,0)</f>
        <v>0</v>
      </c>
      <c r="AF125" s="18">
        <f ca="1">OFFSET(COM!AI$247,$E125,0)</f>
        <v>0</v>
      </c>
      <c r="AG125" s="18">
        <f ca="1">OFFSET(COM!AJ$247,$E125,0)</f>
        <v>0</v>
      </c>
      <c r="AH125" s="18">
        <f ca="1">OFFSET(COM!AK$247,$E125,0)</f>
        <v>0</v>
      </c>
      <c r="AI125" s="18">
        <f ca="1">OFFSET(COM!AL$247,$E125,0)</f>
        <v>0</v>
      </c>
      <c r="AJ125" s="18">
        <f ca="1">OFFSET(COM!AM$247,$E125,0)</f>
        <v>0</v>
      </c>
      <c r="AK125" s="18">
        <f ca="1">OFFSET(COM!AN$247,$E125,0)</f>
        <v>0</v>
      </c>
      <c r="AL125" s="18">
        <f ca="1">OFFSET(COM!AO$247,$E125,0)</f>
        <v>0</v>
      </c>
      <c r="AM125" s="18">
        <f ca="1">OFFSET(COM!AP$247,$E125,0)</f>
        <v>0</v>
      </c>
    </row>
    <row r="126" spans="1:39">
      <c r="A126" s="29" t="s">
        <v>253</v>
      </c>
      <c r="B126" t="s">
        <v>386</v>
      </c>
      <c r="E126" s="114">
        <f>MATCH(F126,COM!$D$248:$D$266,0)</f>
        <v>16</v>
      </c>
      <c r="F126" t="str">
        <f t="shared" si="1"/>
        <v>CNW</v>
      </c>
      <c r="G126" s="18">
        <f ca="1">OFFSET(COM!J$247,$E126,0)</f>
        <v>0</v>
      </c>
      <c r="H126" s="18">
        <f ca="1">OFFSET(COM!K$247,$E126,0)</f>
        <v>0</v>
      </c>
      <c r="I126" s="18">
        <f ca="1">OFFSET(COM!L$247,$E126,0)</f>
        <v>0</v>
      </c>
      <c r="J126" s="18">
        <f ca="1">OFFSET(COM!M$247,$E126,0)</f>
        <v>0</v>
      </c>
      <c r="K126" s="18">
        <f ca="1">OFFSET(COM!N$247,$E126,0)</f>
        <v>0</v>
      </c>
      <c r="L126" s="18">
        <f ca="1">OFFSET(COM!O$247,$E126,0)</f>
        <v>0</v>
      </c>
      <c r="M126" s="18">
        <f ca="1">OFFSET(COM!P$247,$E126,0)</f>
        <v>0.13273002272365989</v>
      </c>
      <c r="N126" s="18">
        <f ca="1">OFFSET(COM!Q$247,$E126,0)</f>
        <v>0.25571516851028336</v>
      </c>
      <c r="O126" s="173">
        <f ca="1">OFFSET(COM!R$247,$E126,0)</f>
        <v>0.3329119614709351</v>
      </c>
      <c r="P126" s="18">
        <f ca="1">OFFSET(COM!S$247,$E126,0)</f>
        <v>0.53590287415387494</v>
      </c>
      <c r="Q126" s="18">
        <f ca="1">OFFSET(COM!T$247,$E126,0)</f>
        <v>0.71286470663275703</v>
      </c>
      <c r="R126" s="18">
        <f ca="1">OFFSET(COM!U$247,$E126,0)</f>
        <v>0.88639537908163391</v>
      </c>
      <c r="S126" s="18">
        <f ca="1">OFFSET(COM!V$247,$E126,0)</f>
        <v>1.063518499169835</v>
      </c>
      <c r="T126" s="173">
        <f ca="1">OFFSET(COM!W$247,$E126,0)</f>
        <v>1.2330389277571403</v>
      </c>
      <c r="U126" s="18">
        <f ca="1">OFFSET(COM!X$247,$E126,0)</f>
        <v>1.3916705407709831</v>
      </c>
      <c r="V126" s="18">
        <f ca="1">OFFSET(COM!Y$247,$E126,0)</f>
        <v>1.5491516953156386</v>
      </c>
      <c r="W126" s="18">
        <f ca="1">OFFSET(COM!Z$247,$E126,0)</f>
        <v>1.7087818861706818</v>
      </c>
      <c r="X126" s="18">
        <f ca="1">OFFSET(COM!AA$247,$E126,0)</f>
        <v>1.8855969633013181</v>
      </c>
      <c r="Y126" s="18">
        <f ca="1">OFFSET(COM!AB$247,$E126,0)</f>
        <v>2.0553893663112692</v>
      </c>
      <c r="Z126" s="18">
        <f ca="1">OFFSET(COM!AC$247,$E126,0)</f>
        <v>2.2365052321042955</v>
      </c>
      <c r="AA126" s="18">
        <f ca="1">OFFSET(COM!AD$247,$E126,0)</f>
        <v>2.4193520150141321</v>
      </c>
      <c r="AB126" s="18">
        <f ca="1">OFFSET(COM!AE$247,$E126,0)</f>
        <v>2.6210815673716228</v>
      </c>
      <c r="AC126" s="18">
        <f ca="1">OFFSET(COM!AF$247,$E126,0)</f>
        <v>2.8266829429634246</v>
      </c>
      <c r="AD126" s="18">
        <f ca="1">OFFSET(COM!AG$247,$E126,0)</f>
        <v>3.0244421274262354</v>
      </c>
      <c r="AE126" s="18">
        <f ca="1">OFFSET(COM!AH$247,$E126,0)</f>
        <v>3.2138196525099096</v>
      </c>
      <c r="AF126" s="18">
        <f ca="1">OFFSET(COM!AI$247,$E126,0)</f>
        <v>3.3787995752162283</v>
      </c>
      <c r="AG126" s="18">
        <f ca="1">OFFSET(COM!AJ$247,$E126,0)</f>
        <v>3.5599302733015765</v>
      </c>
      <c r="AH126" s="18">
        <f ca="1">OFFSET(COM!AK$247,$E126,0)</f>
        <v>3.7589373274398969</v>
      </c>
      <c r="AI126" s="18">
        <f ca="1">OFFSET(COM!AL$247,$E126,0)</f>
        <v>3.9491216289979434</v>
      </c>
      <c r="AJ126" s="18">
        <f ca="1">OFFSET(COM!AM$247,$E126,0)</f>
        <v>4.940498710697022</v>
      </c>
      <c r="AK126" s="18">
        <f ca="1">OFFSET(COM!AN$247,$E126,0)</f>
        <v>5.7574132955394131</v>
      </c>
      <c r="AL126" s="18">
        <f ca="1">OFFSET(COM!AO$247,$E126,0)</f>
        <v>5.7574132955394131</v>
      </c>
      <c r="AM126" s="18">
        <f ca="1">OFFSET(COM!AP$247,$E126,0)</f>
        <v>5.7574132955394131</v>
      </c>
    </row>
    <row r="127" spans="1:39">
      <c r="A127" s="29" t="s">
        <v>292</v>
      </c>
      <c r="B127">
        <v>9</v>
      </c>
      <c r="E127" s="115">
        <f>MATCH(F127,IND!$D$29:$D$264,0)</f>
        <v>5</v>
      </c>
      <c r="F127" t="str">
        <f t="shared" si="1"/>
        <v>IISCRS</v>
      </c>
      <c r="G127" s="6">
        <f ca="1">OFFSET(IND!J$28,$E127,0)</f>
        <v>6.94</v>
      </c>
      <c r="H127" s="6">
        <f ca="1">OFFSET(IND!K$28,$E127,0)</f>
        <v>7.1</v>
      </c>
      <c r="I127" s="6">
        <f ca="1">OFFSET(IND!L$28,$E127,0)</f>
        <v>6.5</v>
      </c>
      <c r="J127" s="6">
        <f ca="1">OFFSET(IND!M$28,$E127,0)</f>
        <v>6.4000000000000012</v>
      </c>
      <c r="K127" s="6">
        <f ca="1">OFFSET(IND!N$28,$E127,0)</f>
        <v>6.0910000000000002</v>
      </c>
      <c r="L127" s="6">
        <f ca="1">OFFSET(IND!O$28,$E127,0)</f>
        <v>6.23</v>
      </c>
      <c r="M127" s="6">
        <f ca="1">OFFSET(IND!P$28,$E127,0)</f>
        <v>6.3</v>
      </c>
      <c r="N127" s="6">
        <f ca="1">OFFSET(IND!Q$28,$E127,0)</f>
        <v>6.1267974837582679</v>
      </c>
      <c r="O127" s="182">
        <f ca="1">OFFSET(IND!R$28,$E127,0)</f>
        <v>5.0030232389251985</v>
      </c>
      <c r="P127" s="6">
        <f ca="1">OFFSET(IND!S$28,$E127,0)</f>
        <v>5.1013946759073407</v>
      </c>
      <c r="Q127" s="6">
        <f ca="1">OFFSET(IND!T$28,$E127,0)</f>
        <v>5.1445049223084123</v>
      </c>
      <c r="R127" s="6">
        <f ca="1">OFFSET(IND!U$28,$E127,0)</f>
        <v>5.2384070464887156</v>
      </c>
      <c r="S127" s="6">
        <f ca="1">OFFSET(IND!V$28,$E127,0)</f>
        <v>5.3620580340062602</v>
      </c>
      <c r="T127" s="182">
        <f ca="1">OFFSET(IND!W$28,$E127,0)</f>
        <v>5.4954390879361403</v>
      </c>
      <c r="U127" s="6">
        <f ca="1">OFFSET(IND!X$28,$E127,0)</f>
        <v>5.6660644152146791</v>
      </c>
      <c r="V127" s="6">
        <f ca="1">OFFSET(IND!Y$28,$E127,0)</f>
        <v>5.8164847242015707</v>
      </c>
      <c r="W127" s="6">
        <f ca="1">OFFSET(IND!Z$28,$E127,0)</f>
        <v>6.1395322401594914</v>
      </c>
      <c r="X127" s="6">
        <f ca="1">OFFSET(IND!AA$28,$E127,0)</f>
        <v>6.3855772209690613</v>
      </c>
      <c r="Y127" s="6">
        <f ca="1">OFFSET(IND!AB$28,$E127,0)</f>
        <v>6.5501037984867567</v>
      </c>
      <c r="Z127" s="6">
        <f ca="1">OFFSET(IND!AC$28,$E127,0)</f>
        <v>6.688605940002077</v>
      </c>
      <c r="AA127" s="6">
        <f ca="1">OFFSET(IND!AD$28,$E127,0)</f>
        <v>6.8400970218477433</v>
      </c>
      <c r="AB127" s="6">
        <f ca="1">OFFSET(IND!AE$28,$E127,0)</f>
        <v>7.0298565945591553</v>
      </c>
      <c r="AC127" s="6">
        <f ca="1">OFFSET(IND!AF$28,$E127,0)</f>
        <v>7.2595140950953159</v>
      </c>
      <c r="AD127" s="6">
        <f ca="1">OFFSET(IND!AG$28,$E127,0)</f>
        <v>7.7595184648010473</v>
      </c>
      <c r="AE127" s="6">
        <f ca="1">OFFSET(IND!AH$28,$E127,0)</f>
        <v>8.1907140394951323</v>
      </c>
      <c r="AF127" s="6">
        <f ca="1">OFFSET(IND!AI$28,$E127,0)</f>
        <v>8.3636671338579625</v>
      </c>
      <c r="AG127" s="6">
        <f ca="1">OFFSET(IND!AJ$28,$E127,0)</f>
        <v>8.5577097980044705</v>
      </c>
      <c r="AH127" s="6">
        <f ca="1">OFFSET(IND!AK$28,$E127,0)</f>
        <v>8.674749927002626</v>
      </c>
      <c r="AI127" s="6">
        <f ca="1">OFFSET(IND!AL$28,$E127,0)</f>
        <v>9.0054325189970204</v>
      </c>
      <c r="AJ127" s="6">
        <f ca="1">OFFSET(IND!AM$28,$E127,0)</f>
        <v>9.9372376828387505</v>
      </c>
      <c r="AK127" s="6">
        <f ca="1">OFFSET(IND!AN$28,$E127,0)</f>
        <v>10.655400383684245</v>
      </c>
      <c r="AL127" s="6">
        <f ca="1">OFFSET(IND!AO$28,$E127,0)</f>
        <v>12.340975325537524</v>
      </c>
      <c r="AM127" s="6">
        <f ca="1">OFFSET(IND!AP$28,$E127,0)</f>
        <v>13.990943190224741</v>
      </c>
    </row>
    <row r="128" spans="1:39">
      <c r="A128" s="29" t="s">
        <v>299</v>
      </c>
      <c r="B128">
        <v>3.4</v>
      </c>
      <c r="E128" s="115">
        <f>MATCH(F128,IND!$D$29:$D$264,0)</f>
        <v>12</v>
      </c>
      <c r="F128" t="str">
        <f t="shared" si="1"/>
        <v>INMBRI</v>
      </c>
      <c r="G128" s="6">
        <f ca="1">OFFSET(IND!J$28,$E128,0)</f>
        <v>3.2959999999999998</v>
      </c>
      <c r="H128" s="6">
        <f ca="1">OFFSET(IND!K$28,$E128,0)</f>
        <v>4.5590000000000002</v>
      </c>
      <c r="I128" s="6">
        <f ca="1">OFFSET(IND!L$28,$E128,0)</f>
        <v>5.8220999999999998</v>
      </c>
      <c r="J128" s="6">
        <f ca="1">OFFSET(IND!M$28,$E128,0)</f>
        <v>7.0850999999999997</v>
      </c>
      <c r="K128" s="6">
        <f ca="1">OFFSET(IND!N$28,$E128,0)</f>
        <v>8.3482000000000003</v>
      </c>
      <c r="L128" s="6">
        <f ca="1">OFFSET(IND!O$28,$E128,0)</f>
        <v>9.6111784370000013</v>
      </c>
      <c r="M128" s="6">
        <f ca="1">OFFSET(IND!P$28,$E128,0)</f>
        <v>9.7349446433321738</v>
      </c>
      <c r="N128" s="6">
        <f ca="1">OFFSET(IND!Q$28,$E128,0)</f>
        <v>9.7244951418217358</v>
      </c>
      <c r="O128" s="182">
        <f ca="1">OFFSET(IND!R$28,$E128,0)</f>
        <v>9.0791372679742359</v>
      </c>
      <c r="P128" s="6">
        <f ca="1">OFFSET(IND!S$28,$E128,0)</f>
        <v>9.3729066667548437</v>
      </c>
      <c r="Q128" s="6">
        <f ca="1">OFFSET(IND!T$28,$E128,0)</f>
        <v>9.589076601706612</v>
      </c>
      <c r="R128" s="6">
        <f ca="1">OFFSET(IND!U$28,$E128,0)</f>
        <v>9.8218749931931288</v>
      </c>
      <c r="S128" s="6">
        <f ca="1">OFFSET(IND!V$28,$E128,0)</f>
        <v>10.071301841214401</v>
      </c>
      <c r="T128" s="182">
        <f ca="1">OFFSET(IND!W$28,$E128,0)</f>
        <v>10.309643051545837</v>
      </c>
      <c r="U128" s="6">
        <f ca="1">OFFSET(IND!X$28,$E128,0)</f>
        <v>10.531355805342521</v>
      </c>
      <c r="V128" s="6">
        <f ca="1">OFFSET(IND!Y$28,$E128,0)</f>
        <v>10.753068559139205</v>
      </c>
      <c r="W128" s="6">
        <f ca="1">OFFSET(IND!Z$28,$E128,0)</f>
        <v>11.06900923329948</v>
      </c>
      <c r="X128" s="6">
        <f ca="1">OFFSET(IND!AA$28,$E128,0)</f>
        <v>11.37940708861484</v>
      </c>
      <c r="Y128" s="6">
        <f ca="1">OFFSET(IND!AB$28,$E128,0)</f>
        <v>11.634376755481025</v>
      </c>
      <c r="Z128" s="6">
        <f ca="1">OFFSET(IND!AC$28,$E128,0)</f>
        <v>11.922603335416715</v>
      </c>
      <c r="AA128" s="6">
        <f ca="1">OFFSET(IND!AD$28,$E128,0)</f>
        <v>12.210829915352404</v>
      </c>
      <c r="AB128" s="6">
        <f ca="1">OFFSET(IND!AE$28,$E128,0)</f>
        <v>12.571113140272015</v>
      </c>
      <c r="AC128" s="6">
        <f ca="1">OFFSET(IND!AF$28,$E128,0)</f>
        <v>12.942482002881464</v>
      </c>
      <c r="AD128" s="6">
        <f ca="1">OFFSET(IND!AG$28,$E128,0)</f>
        <v>13.363736235095168</v>
      </c>
      <c r="AE128" s="6">
        <f ca="1">OFFSET(IND!AH$28,$E128,0)</f>
        <v>13.712933822324944</v>
      </c>
      <c r="AF128" s="6">
        <f ca="1">OFFSET(IND!AI$28,$E128,0)</f>
        <v>13.89030402536229</v>
      </c>
      <c r="AG128" s="6">
        <f ca="1">OFFSET(IND!AJ$28,$E128,0)</f>
        <v>14.139730873383563</v>
      </c>
      <c r="AH128" s="6">
        <f ca="1">OFFSET(IND!AK$28,$E128,0)</f>
        <v>14.450128728698919</v>
      </c>
      <c r="AI128" s="6">
        <f ca="1">OFFSET(IND!AL$28,$E128,0)</f>
        <v>14.77161222170411</v>
      </c>
      <c r="AJ128" s="6">
        <f ca="1">OFFSET(IND!AM$28,$E128,0)</f>
        <v>16.473257607093668</v>
      </c>
      <c r="AK128" s="6">
        <f ca="1">OFFSET(IND!AN$28,$E128,0)</f>
        <v>17.537478825317756</v>
      </c>
      <c r="AL128" s="6">
        <f ca="1">OFFSET(IND!AO$28,$E128,0)</f>
        <v>20.409582790125643</v>
      </c>
      <c r="AM128" s="6">
        <f ca="1">OFFSET(IND!AP$28,$E128,0)</f>
        <v>23.175449393739271</v>
      </c>
    </row>
    <row r="129" spans="1:39">
      <c r="A129" s="29" t="s">
        <v>293</v>
      </c>
      <c r="B129">
        <v>10</v>
      </c>
      <c r="E129" s="115">
        <f>MATCH(F129,IND!$D$29:$D$264,0)</f>
        <v>9</v>
      </c>
      <c r="F129" t="str">
        <f t="shared" si="1"/>
        <v>INMCEM</v>
      </c>
      <c r="G129" s="6">
        <f ca="1">OFFSET(IND!J$28,$E129,0)</f>
        <v>14.27</v>
      </c>
      <c r="H129" s="6">
        <f ca="1">OFFSET(IND!K$28,$E129,0)</f>
        <v>14.368</v>
      </c>
      <c r="I129" s="6">
        <f ca="1">OFFSET(IND!L$28,$E129,0)</f>
        <v>14.465999999999999</v>
      </c>
      <c r="J129" s="6">
        <f ca="1">OFFSET(IND!M$28,$E129,0)</f>
        <v>14.564</v>
      </c>
      <c r="K129" s="6">
        <f ca="1">OFFSET(IND!N$28,$E129,0)</f>
        <v>14.662000000000001</v>
      </c>
      <c r="L129" s="6">
        <f ca="1">OFFSET(IND!O$28,$E129,0)</f>
        <v>14.759960880300349</v>
      </c>
      <c r="M129" s="6">
        <f ca="1">OFFSET(IND!P$28,$E129,0)</f>
        <v>14.950029598277064</v>
      </c>
      <c r="N129" s="6">
        <f ca="1">OFFSET(IND!Q$28,$E129,0)</f>
        <v>14.933982218184843</v>
      </c>
      <c r="O129" s="182">
        <f ca="1">OFFSET(IND!R$28,$E129,0)</f>
        <v>13.942901152088631</v>
      </c>
      <c r="P129" s="6">
        <f ca="1">OFFSET(IND!S$28,$E129,0)</f>
        <v>14.394045084360123</v>
      </c>
      <c r="Q129" s="6">
        <f ca="1">OFFSET(IND!T$28,$E129,0)</f>
        <v>14.726018921314614</v>
      </c>
      <c r="R129" s="6">
        <f ca="1">OFFSET(IND!U$28,$E129,0)</f>
        <v>15.083529207265602</v>
      </c>
      <c r="S129" s="6">
        <f ca="1">OFFSET(IND!V$28,$E129,0)</f>
        <v>15.466575942213096</v>
      </c>
      <c r="T129" s="182">
        <f ca="1">OFFSET(IND!W$28,$E129,0)</f>
        <v>15.832598377829589</v>
      </c>
      <c r="U129" s="6">
        <f ca="1">OFFSET(IND!X$28,$E129,0)</f>
        <v>16.173084364449579</v>
      </c>
      <c r="V129" s="6">
        <f ca="1">OFFSET(IND!Y$28,$E129,0)</f>
        <v>16.513570351069568</v>
      </c>
      <c r="W129" s="6">
        <f ca="1">OFFSET(IND!Z$28,$E129,0)</f>
        <v>16.998762882003057</v>
      </c>
      <c r="X129" s="6">
        <f ca="1">OFFSET(IND!AA$28,$E129,0)</f>
        <v>17.475443263271046</v>
      </c>
      <c r="Y129" s="6">
        <f ca="1">OFFSET(IND!AB$28,$E129,0)</f>
        <v>17.867002147884033</v>
      </c>
      <c r="Z129" s="6">
        <f ca="1">OFFSET(IND!AC$28,$E129,0)</f>
        <v>18.309633930490023</v>
      </c>
      <c r="AA129" s="6">
        <f ca="1">OFFSET(IND!AD$28,$E129,0)</f>
        <v>18.752265713096008</v>
      </c>
      <c r="AB129" s="6">
        <f ca="1">OFFSET(IND!AE$28,$E129,0)</f>
        <v>19.305555441353494</v>
      </c>
      <c r="AC129" s="6">
        <f ca="1">OFFSET(IND!AF$28,$E129,0)</f>
        <v>19.875869468941982</v>
      </c>
      <c r="AD129" s="6">
        <f ca="1">OFFSET(IND!AG$28,$E129,0)</f>
        <v>20.522792843519966</v>
      </c>
      <c r="AE129" s="6">
        <f ca="1">OFFSET(IND!AH$28,$E129,0)</f>
        <v>21.05905827244645</v>
      </c>
      <c r="AF129" s="6">
        <f ca="1">OFFSET(IND!AI$28,$E129,0)</f>
        <v>21.331447061742441</v>
      </c>
      <c r="AG129" s="6">
        <f ca="1">OFFSET(IND!AJ$28,$E129,0)</f>
        <v>21.714493796689933</v>
      </c>
      <c r="AH129" s="6">
        <f ca="1">OFFSET(IND!AK$28,$E129,0)</f>
        <v>22.191174177957919</v>
      </c>
      <c r="AI129" s="6">
        <f ca="1">OFFSET(IND!AL$28,$E129,0)</f>
        <v>22.684878858556907</v>
      </c>
      <c r="AJ129" s="6">
        <f ca="1">OFFSET(IND!AM$28,$E129,0)</f>
        <v>25.298108805865343</v>
      </c>
      <c r="AK129" s="6">
        <f ca="1">OFFSET(IND!AN$28,$E129,0)</f>
        <v>26.932441541641303</v>
      </c>
      <c r="AL129" s="6">
        <f ca="1">OFFSET(IND!AO$28,$E129,0)</f>
        <v>31.343153759981114</v>
      </c>
      <c r="AM129" s="6">
        <f ca="1">OFFSET(IND!AP$28,$E129,0)</f>
        <v>35.590716443065482</v>
      </c>
    </row>
    <row r="130" spans="1:39">
      <c r="A130" s="29" t="s">
        <v>717</v>
      </c>
      <c r="E130" s="115">
        <f>MATCH(F130,IND!$D$29:$D$264,0)</f>
        <v>7</v>
      </c>
      <c r="F130" t="str">
        <f t="shared" ref="F130" si="4">A130</f>
        <v>ICPNH3</v>
      </c>
      <c r="G130" s="6">
        <f ca="1">OFFSET(IND!J$28,$E130,0)</f>
        <v>8.4021746293245467</v>
      </c>
      <c r="H130" s="6">
        <f ca="1">OFFSET(IND!K$28,$E130,0)</f>
        <v>8.4021746293245467</v>
      </c>
      <c r="I130" s="6">
        <f ca="1">OFFSET(IND!L$28,$E130,0)</f>
        <v>8.4021746293245467</v>
      </c>
      <c r="J130" s="6">
        <f ca="1">OFFSET(IND!M$28,$E130,0)</f>
        <v>8.4021746293245467</v>
      </c>
      <c r="K130" s="6">
        <f ca="1">OFFSET(IND!N$28,$E130,0)</f>
        <v>8.4021746293245467</v>
      </c>
      <c r="L130" s="6">
        <f ca="1">OFFSET(IND!O$28,$E130,0)</f>
        <v>8.4021746293245467</v>
      </c>
      <c r="M130" s="6">
        <f ca="1">OFFSET(IND!P$28,$E130,0)</f>
        <v>8.4410931488914045</v>
      </c>
      <c r="N130" s="6">
        <f ca="1">OFFSET(IND!Q$28,$E130,0)</f>
        <v>8.3458050196862938</v>
      </c>
      <c r="O130" s="182">
        <f ca="1">OFFSET(IND!R$28,$E130,0)</f>
        <v>7.9479928968368858</v>
      </c>
      <c r="P130" s="6">
        <f ca="1">OFFSET(IND!S$28,$E130,0)</f>
        <v>8.0130727602523439</v>
      </c>
      <c r="Q130" s="6">
        <f ca="1">OFFSET(IND!T$28,$E130,0)</f>
        <v>8.1194004244240734</v>
      </c>
      <c r="R130" s="6">
        <f ca="1">OFFSET(IND!U$28,$E130,0)</f>
        <v>8.209228968293294</v>
      </c>
      <c r="S130" s="6">
        <f ca="1">OFFSET(IND!V$28,$E130,0)</f>
        <v>8.3018073655462672</v>
      </c>
      <c r="T130" s="182">
        <f ca="1">OFFSET(IND!W$28,$E130,0)</f>
        <v>8.393469145004655</v>
      </c>
      <c r="U130" s="6">
        <f ca="1">OFFSET(IND!X$28,$E130,0)</f>
        <v>8.4713816575442866</v>
      </c>
      <c r="V130" s="6">
        <f ca="1">OFFSET(IND!Y$28,$E130,0)</f>
        <v>8.562126819208089</v>
      </c>
      <c r="W130" s="6">
        <f ca="1">OFFSET(IND!Z$28,$E130,0)</f>
        <v>8.5850422640726851</v>
      </c>
      <c r="X130" s="6">
        <f ca="1">OFFSET(IND!AA$28,$E130,0)</f>
        <v>8.6317897715964627</v>
      </c>
      <c r="Y130" s="6">
        <f ca="1">OFFSET(IND!AB$28,$E130,0)</f>
        <v>8.7170352264927651</v>
      </c>
      <c r="Z130" s="6">
        <f ca="1">OFFSET(IND!AC$28,$E130,0)</f>
        <v>7.6500921135971209</v>
      </c>
      <c r="AA130" s="6">
        <f ca="1">OFFSET(IND!AD$28,$E130,0)</f>
        <v>7.0634567250634328</v>
      </c>
      <c r="AB130" s="6">
        <f ca="1">OFFSET(IND!AE$28,$E130,0)</f>
        <v>7.0497074581446739</v>
      </c>
      <c r="AC130" s="6">
        <f ca="1">OFFSET(IND!AF$28,$E130,0)</f>
        <v>7.177117331591834</v>
      </c>
      <c r="AD130" s="6">
        <f ca="1">OFFSET(IND!AG$28,$E130,0)</f>
        <v>7.3347755922602627</v>
      </c>
      <c r="AE130" s="6">
        <f ca="1">OFFSET(IND!AH$28,$E130,0)</f>
        <v>7.5089329732312002</v>
      </c>
      <c r="AF130" s="6">
        <f ca="1">OFFSET(IND!AI$28,$E130,0)</f>
        <v>7.6995894745046485</v>
      </c>
      <c r="AG130" s="6">
        <f ca="1">OFFSET(IND!AJ$28,$E130,0)</f>
        <v>7.8893293579835122</v>
      </c>
      <c r="AH130" s="6">
        <f ca="1">OFFSET(IND!AK$28,$E130,0)</f>
        <v>8.0891520372027994</v>
      </c>
      <c r="AI130" s="6">
        <f ca="1">OFFSET(IND!AL$28,$E130,0)</f>
        <v>8.299057512162511</v>
      </c>
      <c r="AJ130" s="6">
        <f ca="1">OFFSET(IND!AM$28,$E130,0)</f>
        <v>9.8105602554313407</v>
      </c>
      <c r="AK130" s="6">
        <f ca="1">OFFSET(IND!AN$28,$E130,0)</f>
        <v>15.101278165769537</v>
      </c>
      <c r="AL130" s="6">
        <f ca="1">OFFSET(IND!AO$28,$E130,0)</f>
        <v>21.273629624865023</v>
      </c>
      <c r="AM130" s="6">
        <f ca="1">OFFSET(IND!AP$28,$E130,0)</f>
        <v>28.075850278472092</v>
      </c>
    </row>
    <row r="131" spans="1:39">
      <c r="A131" s="29" t="s">
        <v>298</v>
      </c>
      <c r="B131">
        <v>0.63500000000000001</v>
      </c>
      <c r="E131" s="115">
        <f>MATCH(F131,IND!$D$29:$D$264,0)</f>
        <v>11</v>
      </c>
      <c r="F131" t="str">
        <f t="shared" si="1"/>
        <v>INMGLA</v>
      </c>
      <c r="G131" s="6">
        <f ca="1">OFFSET(IND!J$28,$E131,0)</f>
        <v>1.27</v>
      </c>
      <c r="H131" s="6">
        <f ca="1">OFFSET(IND!K$28,$E131,0)</f>
        <v>1.2484871200000001</v>
      </c>
      <c r="I131" s="6">
        <f ca="1">OFFSET(IND!L$28,$E131,0)</f>
        <v>1.2269742400000001</v>
      </c>
      <c r="J131" s="6">
        <f ca="1">OFFSET(IND!M$28,$E131,0)</f>
        <v>1.2054613600000001</v>
      </c>
      <c r="K131" s="6">
        <f ca="1">OFFSET(IND!N$28,$E131,0)</f>
        <v>1.1839484800000002</v>
      </c>
      <c r="L131" s="6">
        <f ca="1">OFFSET(IND!O$28,$E131,0)</f>
        <v>1.1624356</v>
      </c>
      <c r="M131" s="6">
        <f ca="1">OFFSET(IND!P$28,$E131,0)</f>
        <v>1.1774046535099847</v>
      </c>
      <c r="N131" s="6">
        <f ca="1">OFFSET(IND!Q$28,$E131,0)</f>
        <v>1.1761408259119843</v>
      </c>
      <c r="O131" s="182">
        <f ca="1">OFFSET(IND!R$28,$E131,0)</f>
        <v>1.098087237351745</v>
      </c>
      <c r="P131" s="6">
        <f ca="1">OFFSET(IND!S$28,$E131,0)</f>
        <v>1.133617532577412</v>
      </c>
      <c r="Q131" s="6">
        <f ca="1">OFFSET(IND!T$28,$E131,0)</f>
        <v>1.1597624668000726</v>
      </c>
      <c r="R131" s="6">
        <f ca="1">OFFSET(IND!U$28,$E131,0)</f>
        <v>1.1879185498090914</v>
      </c>
      <c r="S131" s="6">
        <f ca="1">OFFSET(IND!V$28,$E131,0)</f>
        <v>1.2180857816044692</v>
      </c>
      <c r="T131" s="182">
        <f ca="1">OFFSET(IND!W$28,$E131,0)</f>
        <v>1.2469122475422747</v>
      </c>
      <c r="U131" s="6">
        <f ca="1">OFFSET(IND!X$28,$E131,0)</f>
        <v>1.2737275646937214</v>
      </c>
      <c r="V131" s="6">
        <f ca="1">OFFSET(IND!Y$28,$E131,0)</f>
        <v>1.3005428818451681</v>
      </c>
      <c r="W131" s="6">
        <f ca="1">OFFSET(IND!Z$28,$E131,0)</f>
        <v>1.3387547087859797</v>
      </c>
      <c r="X131" s="6">
        <f ca="1">OFFSET(IND!AA$28,$E131,0)</f>
        <v>1.3762961527980053</v>
      </c>
      <c r="Y131" s="6">
        <f ca="1">OFFSET(IND!AB$28,$E131,0)</f>
        <v>1.4071337675221687</v>
      </c>
      <c r="Z131" s="6">
        <f ca="1">OFFSET(IND!AC$28,$E131,0)</f>
        <v>1.4419936798190496</v>
      </c>
      <c r="AA131" s="6">
        <f ca="1">OFFSET(IND!AD$28,$E131,0)</f>
        <v>1.4768535921159303</v>
      </c>
      <c r="AB131" s="6">
        <f ca="1">OFFSET(IND!AE$28,$E131,0)</f>
        <v>1.5204284824870313</v>
      </c>
      <c r="AC131" s="6">
        <f ca="1">OFFSET(IND!AF$28,$E131,0)</f>
        <v>1.5653441387157048</v>
      </c>
      <c r="AD131" s="6">
        <f ca="1">OFFSET(IND!AG$28,$E131,0)</f>
        <v>1.6162932413034539</v>
      </c>
      <c r="AE131" s="6">
        <f ca="1">OFFSET(IND!AH$28,$E131,0)</f>
        <v>1.6585273658169823</v>
      </c>
      <c r="AF131" s="6">
        <f ca="1">OFFSET(IND!AI$28,$E131,0)</f>
        <v>1.6799796195381398</v>
      </c>
      <c r="AG131" s="6">
        <f ca="1">OFFSET(IND!AJ$28,$E131,0)</f>
        <v>1.7101468513335176</v>
      </c>
      <c r="AH131" s="6">
        <f ca="1">OFFSET(IND!AK$28,$E131,0)</f>
        <v>1.7476882953455428</v>
      </c>
      <c r="AI131" s="6">
        <f ca="1">OFFSET(IND!AL$28,$E131,0)</f>
        <v>1.7865705052151406</v>
      </c>
      <c r="AJ131" s="6">
        <f ca="1">OFFSET(IND!AM$28,$E131,0)</f>
        <v>1.9923780643524946</v>
      </c>
      <c r="AK131" s="6">
        <f ca="1">OFFSET(IND!AN$28,$E131,0)</f>
        <v>2.1210915866794391</v>
      </c>
      <c r="AL131" s="6">
        <f ca="1">OFFSET(IND!AO$28,$E131,0)</f>
        <v>2.4684616742788061</v>
      </c>
      <c r="AM131" s="6">
        <f ca="1">OFFSET(IND!AP$28,$E131,0)</f>
        <v>2.8029827557431024</v>
      </c>
    </row>
    <row r="132" spans="1:39">
      <c r="A132" s="29" t="s">
        <v>297</v>
      </c>
      <c r="B132">
        <v>1.53</v>
      </c>
      <c r="E132" s="115">
        <f>MATCH(F132,IND!$D$29:$D$264,0)</f>
        <v>10</v>
      </c>
      <c r="F132" t="str">
        <f t="shared" si="1"/>
        <v>INMLIM</v>
      </c>
      <c r="G132" s="6">
        <f ca="1">OFFSET(IND!J$28,$E132,0)</f>
        <v>1.2</v>
      </c>
      <c r="H132" s="6">
        <f ca="1">OFFSET(IND!K$28,$E132,0)</f>
        <v>1.1733333333333333</v>
      </c>
      <c r="I132" s="6">
        <f ca="1">OFFSET(IND!L$28,$E132,0)</f>
        <v>1.1466666666666667</v>
      </c>
      <c r="J132" s="6">
        <f ca="1">OFFSET(IND!M$28,$E132,0)</f>
        <v>1.1200000000000001</v>
      </c>
      <c r="K132" s="6">
        <f ca="1">OFFSET(IND!N$28,$E132,0)</f>
        <v>1.1200000000000001</v>
      </c>
      <c r="L132" s="6">
        <f ca="1">OFFSET(IND!O$28,$E132,0)</f>
        <v>1.3591716472036741</v>
      </c>
      <c r="M132" s="6">
        <f ca="1">OFFSET(IND!P$28,$E132,0)</f>
        <v>1.3766741334629091</v>
      </c>
      <c r="N132" s="6">
        <f ca="1">OFFSET(IND!Q$28,$E132,0)</f>
        <v>1.3751964097609202</v>
      </c>
      <c r="O132" s="182">
        <f ca="1">OFFSET(IND!R$28,$E132,0)</f>
        <v>1.2839326661749715</v>
      </c>
      <c r="P132" s="6">
        <f ca="1">OFFSET(IND!S$28,$E132,0)</f>
        <v>1.3254762750316711</v>
      </c>
      <c r="Q132" s="6">
        <f ca="1">OFFSET(IND!T$28,$E132,0)</f>
        <v>1.3560461004167894</v>
      </c>
      <c r="R132" s="6">
        <f ca="1">OFFSET(IND!U$28,$E132,0)</f>
        <v>1.3889674508315319</v>
      </c>
      <c r="S132" s="6">
        <f ca="1">OFFSET(IND!V$28,$E132,0)</f>
        <v>1.4242403262758996</v>
      </c>
      <c r="T132" s="182">
        <f ca="1">OFFSET(IND!W$28,$E132,0)</f>
        <v>1.4579455183671841</v>
      </c>
      <c r="U132" s="6">
        <f ca="1">OFFSET(IND!X$28,$E132,0)</f>
        <v>1.4892991854288438</v>
      </c>
      <c r="V132" s="6">
        <f ca="1">OFFSET(IND!Y$28,$E132,0)</f>
        <v>1.5206528524905036</v>
      </c>
      <c r="W132" s="6">
        <f ca="1">OFFSET(IND!Z$28,$E132,0)</f>
        <v>1.565331828053369</v>
      </c>
      <c r="X132" s="6">
        <f ca="1">OFFSET(IND!AA$28,$E132,0)</f>
        <v>1.6092269619396928</v>
      </c>
      <c r="Y132" s="6">
        <f ca="1">OFFSET(IND!AB$28,$E132,0)</f>
        <v>1.6452836790606014</v>
      </c>
      <c r="Z132" s="6">
        <f ca="1">OFFSET(IND!AC$28,$E132,0)</f>
        <v>1.6860434462407592</v>
      </c>
      <c r="AA132" s="6">
        <f ca="1">OFFSET(IND!AD$28,$E132,0)</f>
        <v>1.726803213420917</v>
      </c>
      <c r="AB132" s="6">
        <f ca="1">OFFSET(IND!AE$28,$E132,0)</f>
        <v>1.7777529223961144</v>
      </c>
      <c r="AC132" s="6">
        <f ca="1">OFFSET(IND!AF$28,$E132,0)</f>
        <v>1.8302703147243948</v>
      </c>
      <c r="AD132" s="6">
        <f ca="1">OFFSET(IND!AG$28,$E132,0)</f>
        <v>1.8898422821415488</v>
      </c>
      <c r="AE132" s="6">
        <f ca="1">OFFSET(IND!AH$28,$E132,0)</f>
        <v>1.9392243077636628</v>
      </c>
      <c r="AF132" s="6">
        <f ca="1">OFFSET(IND!AI$28,$E132,0)</f>
        <v>1.9643072414129905</v>
      </c>
      <c r="AG132" s="6">
        <f ca="1">OFFSET(IND!AJ$28,$E132,0)</f>
        <v>1.9995801168573581</v>
      </c>
      <c r="AH132" s="6">
        <f ca="1">OFFSET(IND!AK$28,$E132,0)</f>
        <v>2.0434752507436817</v>
      </c>
      <c r="AI132" s="6">
        <f ca="1">OFFSET(IND!AL$28,$E132,0)</f>
        <v>2.0889380679830882</v>
      </c>
      <c r="AJ132" s="6">
        <f ca="1">OFFSET(IND!AM$28,$E132,0)</f>
        <v>2.3295774626813279</v>
      </c>
      <c r="AK132" s="6">
        <f ca="1">OFFSET(IND!AN$28,$E132,0)</f>
        <v>2.4800750645772953</v>
      </c>
      <c r="AL132" s="6">
        <f ca="1">OFFSET(IND!AO$28,$E132,0)</f>
        <v>2.8862356933052147</v>
      </c>
      <c r="AM132" s="6">
        <f ca="1">OFFSET(IND!AP$28,$E132,0)</f>
        <v>3.2773726898994195</v>
      </c>
    </row>
    <row r="133" spans="1:39">
      <c r="A133" s="29" t="s">
        <v>385</v>
      </c>
      <c r="B133">
        <v>7.8658203618</v>
      </c>
      <c r="E133" s="115">
        <f ca="1">MATCH(F133,IND!$D$29:$D$264,0)</f>
        <v>234</v>
      </c>
      <c r="F133" t="str">
        <f>A133</f>
        <v>IOTR</v>
      </c>
      <c r="G133" s="6">
        <f ca="1">OFFSET(IND!J$28,$E133,0)</f>
        <v>9.4685659246785185</v>
      </c>
      <c r="H133" s="6">
        <f ca="1">OFFSET(IND!K$28,$E133,0)</f>
        <v>9.7322396423777064</v>
      </c>
      <c r="I133" s="6">
        <f ca="1">OFFSET(IND!L$28,$E133,0)</f>
        <v>9.9187176782923192</v>
      </c>
      <c r="J133" s="6">
        <f ca="1">OFFSET(IND!M$28,$E133,0)</f>
        <v>4.2</v>
      </c>
      <c r="K133" s="6">
        <f ca="1">OFFSET(IND!N$28,$E133,0)</f>
        <v>4.2</v>
      </c>
      <c r="L133" s="6">
        <f ca="1">OFFSET(IND!O$28,$E133,0)</f>
        <v>4.2</v>
      </c>
      <c r="M133" s="6">
        <f ca="1">OFFSET(IND!P$28,$E133,0)</f>
        <v>4.2483911250736304</v>
      </c>
      <c r="N133" s="6">
        <f ca="1">OFFSET(IND!Q$28,$E133,0)</f>
        <v>4.2438389946986064</v>
      </c>
      <c r="O133" s="182">
        <f ca="1">OFFSET(IND!R$28,$E133,0)</f>
        <v>3.9366011074382827</v>
      </c>
      <c r="P133" s="6">
        <f ca="1">OFFSET(IND!S$28,$E133,0)</f>
        <v>4.0595654637718566</v>
      </c>
      <c r="Q133" s="6">
        <f ca="1">OFFSET(IND!T$28,$E133,0)</f>
        <v>4.1449089972045066</v>
      </c>
      <c r="R133" s="6">
        <f ca="1">OFFSET(IND!U$28,$E133,0)</f>
        <v>4.2381482589003134</v>
      </c>
      <c r="S133" s="6">
        <f ca="1">OFFSET(IND!V$28,$E133,0)</f>
        <v>4.3433472266417841</v>
      </c>
      <c r="T133" s="182">
        <f ca="1">OFFSET(IND!W$28,$E133,0)</f>
        <v>4.4449466712044634</v>
      </c>
      <c r="U133" s="6">
        <f ca="1">OFFSET(IND!X$28,$E133,0)</f>
        <v>4.5481717068801446</v>
      </c>
      <c r="V133" s="6">
        <f ca="1">OFFSET(IND!Y$28,$E133,0)</f>
        <v>4.6469844238205322</v>
      </c>
      <c r="W133" s="6">
        <f ca="1">OFFSET(IND!Z$28,$E133,0)</f>
        <v>4.8065245801966707</v>
      </c>
      <c r="X133" s="6">
        <f ca="1">OFFSET(IND!AA$28,$E133,0)</f>
        <v>4.9545694851308602</v>
      </c>
      <c r="Y133" s="6">
        <f ca="1">OFFSET(IND!AB$28,$E133,0)</f>
        <v>5.0685930903429179</v>
      </c>
      <c r="Z133" s="6">
        <f ca="1">OFFSET(IND!AC$28,$E133,0)</f>
        <v>5.1901640828653468</v>
      </c>
      <c r="AA133" s="6">
        <f ca="1">OFFSET(IND!AD$28,$E133,0)</f>
        <v>5.3162635077739981</v>
      </c>
      <c r="AB133" s="6">
        <f ca="1">OFFSET(IND!AE$28,$E133,0)</f>
        <v>5.4735975047824894</v>
      </c>
      <c r="AC133" s="6">
        <f ca="1">OFFSET(IND!AF$28,$E133,0)</f>
        <v>5.6374338662429926</v>
      </c>
      <c r="AD133" s="6">
        <f ca="1">OFFSET(IND!AG$28,$E133,0)</f>
        <v>5.8687322588931146</v>
      </c>
      <c r="AE133" s="6">
        <f ca="1">OFFSET(IND!AH$28,$E133,0)</f>
        <v>6.0719311480184723</v>
      </c>
      <c r="AF133" s="6">
        <f ca="1">OFFSET(IND!AI$28,$E133,0)</f>
        <v>6.1571585678001934</v>
      </c>
      <c r="AG133" s="6">
        <f ca="1">OFFSET(IND!AJ$28,$E133,0)</f>
        <v>6.267582649833459</v>
      </c>
      <c r="AH133" s="6">
        <f ca="1">OFFSET(IND!AK$28,$E133,0)</f>
        <v>6.3968171433171861</v>
      </c>
      <c r="AI133" s="6">
        <f ca="1">OFFSET(IND!AL$28,$E133,0)</f>
        <v>6.5476487758736663</v>
      </c>
      <c r="AJ133" s="6">
        <f ca="1">OFFSET(IND!AM$28,$E133,0)</f>
        <v>7.2761458218008057</v>
      </c>
      <c r="AK133" s="6">
        <f ca="1">OFFSET(IND!AN$28,$E133,0)</f>
        <v>7.7891359316041386</v>
      </c>
      <c r="AL133" s="6">
        <f ca="1">OFFSET(IND!AO$28,$E133,0)</f>
        <v>9.0665409100219154</v>
      </c>
      <c r="AM133" s="6">
        <f ca="1">OFFSET(IND!AP$28,$E133,0)</f>
        <v>10.308028065752389</v>
      </c>
    </row>
    <row r="134" spans="1:39">
      <c r="A134" s="29" t="s">
        <v>300</v>
      </c>
      <c r="E134" s="115">
        <f>MATCH(F134,IND!$D$29:$D$264,0)</f>
        <v>14</v>
      </c>
      <c r="F134" t="str">
        <f>A134</f>
        <v>IPPPAP</v>
      </c>
      <c r="G134" s="6">
        <f ca="1">OFFSET(IND!J$28,$E134,0)</f>
        <v>2.1800600000000001</v>
      </c>
      <c r="H134" s="6">
        <f ca="1">OFFSET(IND!K$28,$E134,0)</f>
        <v>2.1800600000000001</v>
      </c>
      <c r="I134" s="6">
        <f ca="1">OFFSET(IND!L$28,$E134,0)</f>
        <v>2.1800600000000001</v>
      </c>
      <c r="J134" s="6">
        <f ca="1">OFFSET(IND!M$28,$E134,0)</f>
        <v>2.1800600000000001</v>
      </c>
      <c r="K134" s="6">
        <f ca="1">OFFSET(IND!N$28,$E134,0)</f>
        <v>2.1800600000000001</v>
      </c>
      <c r="L134" s="6">
        <f ca="1">OFFSET(IND!O$28,$E134,0)</f>
        <v>2.1800600000000001</v>
      </c>
      <c r="M134" s="6">
        <f ca="1">OFFSET(IND!P$28,$E134,0)</f>
        <v>2.2166294765726118</v>
      </c>
      <c r="N134" s="6">
        <f ca="1">OFFSET(IND!Q$28,$E134,0)</f>
        <v>2.2151621827595136</v>
      </c>
      <c r="O134" s="182">
        <f ca="1">OFFSET(IND!R$28,$E134,0)</f>
        <v>2.1156043318489735</v>
      </c>
      <c r="P134" s="6">
        <f ca="1">OFFSET(IND!S$28,$E134,0)</f>
        <v>2.1906651951340228</v>
      </c>
      <c r="Q134" s="6">
        <f ca="1">OFFSET(IND!T$28,$E134,0)</f>
        <v>2.2295856427633072</v>
      </c>
      <c r="R134" s="6">
        <f ca="1">OFFSET(IND!U$28,$E134,0)</f>
        <v>2.2768461863131528</v>
      </c>
      <c r="S134" s="6">
        <f ca="1">OFFSET(IND!V$28,$E134,0)</f>
        <v>2.3435669536776405</v>
      </c>
      <c r="T134" s="182">
        <f ca="1">OFFSET(IND!W$28,$E134,0)</f>
        <v>2.3908274972274861</v>
      </c>
      <c r="U134" s="6">
        <f ca="1">OFFSET(IND!X$28,$E134,0)</f>
        <v>2.423261203585223</v>
      </c>
      <c r="V134" s="6">
        <f ca="1">OFFSET(IND!Y$28,$E134,0)</f>
        <v>2.4640350058635212</v>
      </c>
      <c r="W134" s="6">
        <f ca="1">OFFSET(IND!Z$28,$E134,0)</f>
        <v>2.5075888401153397</v>
      </c>
      <c r="X134" s="6">
        <f ca="1">OFFSET(IND!AA$28,$E134,0)</f>
        <v>2.5502159970426517</v>
      </c>
      <c r="Y134" s="6">
        <f ca="1">OFFSET(IND!AB$28,$E134,0)</f>
        <v>2.5891364446719365</v>
      </c>
      <c r="Z134" s="6">
        <f ca="1">OFFSET(IND!AC$28,$E134,0)</f>
        <v>2.6790241451490941</v>
      </c>
      <c r="AA134" s="6">
        <f ca="1">OFFSET(IND!AD$28,$E134,0)</f>
        <v>2.7364781392685149</v>
      </c>
      <c r="AB134" s="6">
        <f ca="1">OFFSET(IND!AE$28,$E134,0)</f>
        <v>2.8087589705800431</v>
      </c>
      <c r="AC134" s="6">
        <f ca="1">OFFSET(IND!AF$28,$E134,0)</f>
        <v>2.8847465111895989</v>
      </c>
      <c r="AD134" s="6">
        <f ca="1">OFFSET(IND!AG$28,$E134,0)</f>
        <v>2.9579540198256344</v>
      </c>
      <c r="AE134" s="6">
        <f ca="1">OFFSET(IND!AH$28,$E134,0)</f>
        <v>3.0154080139450543</v>
      </c>
      <c r="AF134" s="6">
        <f ca="1">OFFSET(IND!AI$28,$E134,0)</f>
        <v>3.0469150429782852</v>
      </c>
      <c r="AG134" s="6">
        <f ca="1">OFFSET(IND!AJ$28,$E134,0)</f>
        <v>3.1015890051241852</v>
      </c>
      <c r="AH134" s="6">
        <f ca="1">OFFSET(IND!AK$28,$E134,0)</f>
        <v>3.14050945275347</v>
      </c>
      <c r="AI134" s="6">
        <f ca="1">OFFSET(IND!AL$28,$E134,0)</f>
        <v>3.2035235108199309</v>
      </c>
      <c r="AJ134" s="6">
        <f ca="1">OFFSET(IND!AM$28,$E134,0)</f>
        <v>3.5306406063708233</v>
      </c>
      <c r="AK134" s="6">
        <f ca="1">OFFSET(IND!AN$28,$E134,0)</f>
        <v>3.7308029084642866</v>
      </c>
      <c r="AL134" s="6">
        <f ca="1">OFFSET(IND!AO$28,$E134,0)</f>
        <v>4.2792414383515434</v>
      </c>
      <c r="AM134" s="6">
        <f ca="1">OFFSET(IND!AP$28,$E134,0)</f>
        <v>4.8065208359958902</v>
      </c>
    </row>
    <row r="135" spans="1:39">
      <c r="A135" s="29" t="s">
        <v>301</v>
      </c>
      <c r="E135" s="115">
        <f>MATCH(F135,IND!$D$29:$D$264,0)</f>
        <v>15</v>
      </c>
      <c r="F135" t="str">
        <f>A135</f>
        <v>IPPPULPD</v>
      </c>
      <c r="G135" s="6">
        <f ca="1">OFFSET(IND!J$28,$E135,0)</f>
        <v>0.65910719806663931</v>
      </c>
      <c r="H135" s="6">
        <f ca="1">OFFSET(IND!K$28,$E135,0)</f>
        <v>0.65910719806663931</v>
      </c>
      <c r="I135" s="6">
        <f ca="1">OFFSET(IND!L$28,$E135,0)</f>
        <v>0.65910719806663931</v>
      </c>
      <c r="J135" s="6">
        <f ca="1">OFFSET(IND!M$28,$E135,0)</f>
        <v>0.65910719806663931</v>
      </c>
      <c r="K135" s="6">
        <f ca="1">OFFSET(IND!N$28,$E135,0)</f>
        <v>0.65910719806663931</v>
      </c>
      <c r="L135" s="6">
        <f ca="1">OFFSET(IND!O$28,$E135,0)</f>
        <v>0.65910719806663931</v>
      </c>
      <c r="M135" s="6">
        <f ca="1">OFFSET(IND!P$28,$E135,0)</f>
        <v>0.6701634099316971</v>
      </c>
      <c r="N135" s="6">
        <f ca="1">OFFSET(IND!Q$28,$E135,0)</f>
        <v>0.66971979649266711</v>
      </c>
      <c r="O135" s="182">
        <f ca="1">OFFSET(IND!R$28,$E135,0)</f>
        <v>0.63962003035816517</v>
      </c>
      <c r="P135" s="6">
        <f ca="1">OFFSET(IND!S$28,$E135,0)</f>
        <v>0.66231351369544578</v>
      </c>
      <c r="Q135" s="6">
        <f ca="1">OFFSET(IND!T$28,$E135,0)</f>
        <v>0.67408050505551709</v>
      </c>
      <c r="R135" s="6">
        <f ca="1">OFFSET(IND!U$28,$E135,0)</f>
        <v>0.68836899456417522</v>
      </c>
      <c r="S135" s="6">
        <f ca="1">OFFSET(IND!V$28,$E135,0)</f>
        <v>0.70854097975286889</v>
      </c>
      <c r="T135" s="182">
        <f ca="1">OFFSET(IND!W$28,$E135,0)</f>
        <v>0.72282946926152702</v>
      </c>
      <c r="U135" s="6">
        <f ca="1">OFFSET(IND!X$28,$E135,0)</f>
        <v>0.73263529539491978</v>
      </c>
      <c r="V135" s="6">
        <f ca="1">OFFSET(IND!Y$28,$E135,0)</f>
        <v>0.74496261967689925</v>
      </c>
      <c r="W135" s="6">
        <f ca="1">OFFSET(IND!Z$28,$E135,0)</f>
        <v>0.75813044334174107</v>
      </c>
      <c r="X135" s="6">
        <f ca="1">OFFSET(IND!AA$28,$E135,0)</f>
        <v>0.7710181005456288</v>
      </c>
      <c r="Y135" s="6">
        <f ca="1">OFFSET(IND!AB$28,$E135,0)</f>
        <v>0.78278509190570023</v>
      </c>
      <c r="Z135" s="6">
        <f ca="1">OFFSET(IND!AC$28,$E135,0)</f>
        <v>0.80996123861824609</v>
      </c>
      <c r="AA135" s="6">
        <f ca="1">OFFSET(IND!AD$28,$E135,0)</f>
        <v>0.82733155919739909</v>
      </c>
      <c r="AB135" s="6">
        <f ca="1">OFFSET(IND!AE$28,$E135,0)</f>
        <v>0.84918454315181724</v>
      </c>
      <c r="AC135" s="6">
        <f ca="1">OFFSET(IND!AF$28,$E135,0)</f>
        <v>0.87215819295005181</v>
      </c>
      <c r="AD135" s="6">
        <f ca="1">OFFSET(IND!AG$28,$E135,0)</f>
        <v>0.89429134336542426</v>
      </c>
      <c r="AE135" s="6">
        <f ca="1">OFFSET(IND!AH$28,$E135,0)</f>
        <v>0.91166166394457715</v>
      </c>
      <c r="AF135" s="6">
        <f ca="1">OFFSET(IND!AI$28,$E135,0)</f>
        <v>0.92118732361701605</v>
      </c>
      <c r="AG135" s="6">
        <f ca="1">OFFSET(IND!AJ$28,$E135,0)</f>
        <v>0.9377171448133067</v>
      </c>
      <c r="AH135" s="6">
        <f ca="1">OFFSET(IND!AK$28,$E135,0)</f>
        <v>0.94948413617337801</v>
      </c>
      <c r="AI135" s="6">
        <f ca="1">OFFSET(IND!AL$28,$E135,0)</f>
        <v>0.96853545551825548</v>
      </c>
      <c r="AJ135" s="6">
        <f ca="1">OFFSET(IND!AM$28,$E135,0)</f>
        <v>1.0674342162350456</v>
      </c>
      <c r="AK135" s="6">
        <f ca="1">OFFSET(IND!AN$28,$E135,0)</f>
        <v>1.1279501718011267</v>
      </c>
      <c r="AL135" s="6">
        <f ca="1">OFFSET(IND!AO$28,$E135,0)</f>
        <v>1.2937620222757817</v>
      </c>
      <c r="AM135" s="6">
        <f ca="1">OFFSET(IND!AP$28,$E135,0)</f>
        <v>1.4531767385586505</v>
      </c>
    </row>
    <row r="136" spans="1:39">
      <c r="A136" s="29" t="s">
        <v>707</v>
      </c>
      <c r="E136" s="115">
        <f>MATCH(F136,IND!$D$29:$D$264,0)</f>
        <v>3</v>
      </c>
      <c r="F136" t="str">
        <f>A136</f>
        <v>IFACR</v>
      </c>
      <c r="G136" s="6">
        <f ca="1">OFFSET(IND!J$28,$E136,0)</f>
        <v>3.484</v>
      </c>
      <c r="H136" s="6">
        <f ca="1">OFFSET(IND!K$28,$E136,0)</f>
        <v>3.484</v>
      </c>
      <c r="I136" s="6">
        <f ca="1">OFFSET(IND!L$28,$E136,0)</f>
        <v>3.484</v>
      </c>
      <c r="J136" s="6">
        <f ca="1">OFFSET(IND!M$28,$E136,0)</f>
        <v>3.484</v>
      </c>
      <c r="K136" s="6">
        <f ca="1">OFFSET(IND!N$28,$E136,0)</f>
        <v>3.484</v>
      </c>
      <c r="L136" s="6">
        <f ca="1">OFFSET(IND!O$28,$E136,0)</f>
        <v>3.484</v>
      </c>
      <c r="M136" s="6">
        <f ca="1">OFFSET(IND!P$28,$E136,0)</f>
        <v>3.4912421940520733</v>
      </c>
      <c r="N136" s="6">
        <f ca="1">OFFSET(IND!Q$28,$E136,0)</f>
        <v>3.4098997971612133</v>
      </c>
      <c r="O136" s="182">
        <f ca="1">OFFSET(IND!R$28,$E136,0)</f>
        <v>3.0970898071479627</v>
      </c>
      <c r="P136" s="6">
        <f ca="1">OFFSET(IND!S$28,$E136,0)</f>
        <v>3.3790450428394809</v>
      </c>
      <c r="Q136" s="6">
        <f ca="1">OFFSET(IND!T$28,$E136,0)</f>
        <v>3.3518684861407824</v>
      </c>
      <c r="R136" s="6">
        <f ca="1">OFFSET(IND!U$28,$E136,0)</f>
        <v>3.3563007535435014</v>
      </c>
      <c r="S136" s="6">
        <f ca="1">OFFSET(IND!V$28,$E136,0)</f>
        <v>3.3774366104143247</v>
      </c>
      <c r="T136" s="182">
        <f ca="1">OFFSET(IND!W$28,$E136,0)</f>
        <v>3.4019167156029231</v>
      </c>
      <c r="U136" s="6">
        <f ca="1">OFFSET(IND!X$28,$E136,0)</f>
        <v>3.5075412423579051</v>
      </c>
      <c r="V136" s="6">
        <f ca="1">OFFSET(IND!Y$28,$E136,0)</f>
        <v>3.6006579806785992</v>
      </c>
      <c r="W136" s="6">
        <f ca="1">OFFSET(IND!Z$28,$E136,0)</f>
        <v>3.8006384966820956</v>
      </c>
      <c r="X136" s="6">
        <f ca="1">OFFSET(IND!AA$28,$E136,0)</f>
        <v>3.9529510816480093</v>
      </c>
      <c r="Y136" s="6">
        <f ca="1">OFFSET(IND!AB$28,$E136,0)</f>
        <v>4.0548002160414889</v>
      </c>
      <c r="Z136" s="6">
        <f ca="1">OFFSET(IND!AC$28,$E136,0)</f>
        <v>4.1405390883732949</v>
      </c>
      <c r="AA136" s="6">
        <f ca="1">OFFSET(IND!AD$28,$E136,0)</f>
        <v>4.2343186818414287</v>
      </c>
      <c r="AB136" s="6">
        <f ca="1">OFFSET(IND!AE$28,$E136,0)</f>
        <v>4.3517881418832571</v>
      </c>
      <c r="AC136" s="6">
        <f ca="1">OFFSET(IND!AF$28,$E136,0)</f>
        <v>4.4939561611144496</v>
      </c>
      <c r="AD136" s="6">
        <f ca="1">OFFSET(IND!AG$28,$E136,0)</f>
        <v>4.8034806951795241</v>
      </c>
      <c r="AE136" s="6">
        <f ca="1">OFFSET(IND!AH$28,$E136,0)</f>
        <v>5.0704095810743768</v>
      </c>
      <c r="AF136" s="6">
        <f ca="1">OFFSET(IND!AI$28,$E136,0)</f>
        <v>5.177475097280313</v>
      </c>
      <c r="AG136" s="6">
        <f ca="1">OFFSET(IND!AJ$28,$E136,0)</f>
        <v>5.2975959779118993</v>
      </c>
      <c r="AH136" s="6">
        <f ca="1">OFFSET(IND!AK$28,$E136,0)</f>
        <v>5.370048927505902</v>
      </c>
      <c r="AI136" s="6">
        <f ca="1">OFFSET(IND!AL$28,$E136,0)</f>
        <v>5.5747558889085305</v>
      </c>
      <c r="AJ136" s="6">
        <f ca="1">OFFSET(IND!AM$28,$E136,0)</f>
        <v>6.1515839661257052</v>
      </c>
      <c r="AK136" s="6">
        <f ca="1">OFFSET(IND!AN$28,$E136,0)</f>
        <v>6.5961580315342569</v>
      </c>
      <c r="AL136" s="6">
        <f ca="1">OFFSET(IND!AO$28,$E136,0)</f>
        <v>7.6396025094614286</v>
      </c>
      <c r="AM136" s="6">
        <f ca="1">OFFSET(IND!AP$28,$E136,0)</f>
        <v>8.6610046520871489</v>
      </c>
    </row>
    <row r="137" spans="1:39">
      <c r="A137" s="29" t="s">
        <v>708</v>
      </c>
      <c r="E137" s="115">
        <f>MATCH(F137,IND!$D$29:$D$264,0)</f>
        <v>4</v>
      </c>
      <c r="F137" t="str">
        <f t="shared" ref="F137:F138" si="5">A137</f>
        <v>IFAMN</v>
      </c>
      <c r="G137" s="6">
        <f ca="1">OFFSET(IND!J$28,$E137,0)</f>
        <v>0.4587</v>
      </c>
      <c r="H137" s="6">
        <f ca="1">OFFSET(IND!K$28,$E137,0)</f>
        <v>0.4587</v>
      </c>
      <c r="I137" s="6">
        <f ca="1">OFFSET(IND!L$28,$E137,0)</f>
        <v>0.4587</v>
      </c>
      <c r="J137" s="6">
        <f ca="1">OFFSET(IND!M$28,$E137,0)</f>
        <v>0.4587</v>
      </c>
      <c r="K137" s="6">
        <f ca="1">OFFSET(IND!N$28,$E137,0)</f>
        <v>0.4587</v>
      </c>
      <c r="L137" s="6">
        <f ca="1">OFFSET(IND!O$28,$E137,0)</f>
        <v>0.4587</v>
      </c>
      <c r="M137" s="6">
        <f ca="1">OFFSET(IND!P$28,$E137,0)</f>
        <v>0.45965350011816469</v>
      </c>
      <c r="N137" s="6">
        <f ca="1">OFFSET(IND!Q$28,$E137,0)</f>
        <v>0.44894404045862463</v>
      </c>
      <c r="O137" s="182">
        <f ca="1">OFFSET(IND!R$28,$E137,0)</f>
        <v>0.40775978603294205</v>
      </c>
      <c r="P137" s="6">
        <f ca="1">OFFSET(IND!S$28,$E137,0)</f>
        <v>0.41577732146701868</v>
      </c>
      <c r="Q137" s="6">
        <f ca="1">OFFSET(IND!T$28,$E137,0)</f>
        <v>0.41243336013841014</v>
      </c>
      <c r="R137" s="6">
        <f ca="1">OFFSET(IND!U$28,$E137,0)</f>
        <v>0.41297873205425162</v>
      </c>
      <c r="S137" s="6">
        <f ca="1">OFFSET(IND!V$28,$E137,0)</f>
        <v>0.41557941060255432</v>
      </c>
      <c r="T137" s="182">
        <f ca="1">OFFSET(IND!W$28,$E137,0)</f>
        <v>0.4185915848812356</v>
      </c>
      <c r="U137" s="6">
        <f ca="1">OFFSET(IND!X$28,$E137,0)</f>
        <v>0.43158823992981826</v>
      </c>
      <c r="V137" s="6">
        <f ca="1">OFFSET(IND!Y$28,$E137,0)</f>
        <v>0.44304586406678148</v>
      </c>
      <c r="W137" s="6">
        <f ca="1">OFFSET(IND!Z$28,$E137,0)</f>
        <v>0.46765262788181944</v>
      </c>
      <c r="X137" s="6">
        <f ca="1">OFFSET(IND!AA$28,$E137,0)</f>
        <v>0.48639405269266761</v>
      </c>
      <c r="Y137" s="6">
        <f ca="1">OFFSET(IND!AB$28,$E137,0)</f>
        <v>0.49892616154442493</v>
      </c>
      <c r="Z137" s="6">
        <f ca="1">OFFSET(IND!AC$28,$E137,0)</f>
        <v>0.50947597021278324</v>
      </c>
      <c r="AA137" s="6">
        <f ca="1">OFFSET(IND!AD$28,$E137,0)</f>
        <v>0.52101515589575398</v>
      </c>
      <c r="AB137" s="6">
        <f ca="1">OFFSET(IND!AE$28,$E137,0)</f>
        <v>0.53546928030994834</v>
      </c>
      <c r="AC137" s="6">
        <f ca="1">OFFSET(IND!AF$28,$E137,0)</f>
        <v>0.55296245885146467</v>
      </c>
      <c r="AD137" s="6">
        <f ca="1">OFFSET(IND!AG$28,$E137,0)</f>
        <v>0.59104815468278149</v>
      </c>
      <c r="AE137" s="6">
        <f ca="1">OFFSET(IND!AH$28,$E137,0)</f>
        <v>0.62389263464457456</v>
      </c>
      <c r="AF137" s="6">
        <f ca="1">OFFSET(IND!AI$28,$E137,0)</f>
        <v>0.63706659740186899</v>
      </c>
      <c r="AG137" s="6">
        <f ca="1">OFFSET(IND!AJ$28,$E137,0)</f>
        <v>0.65184696800009334</v>
      </c>
      <c r="AH137" s="6">
        <f ca="1">OFFSET(IND!AK$28,$E137,0)</f>
        <v>0.66076199959412774</v>
      </c>
      <c r="AI137" s="6">
        <f ca="1">OFFSET(IND!AL$28,$E137,0)</f>
        <v>0.68595033269374073</v>
      </c>
      <c r="AJ137" s="6">
        <f ca="1">OFFSET(IND!AM$28,$E137,0)</f>
        <v>0.75692660849111559</v>
      </c>
      <c r="AK137" s="6">
        <f ca="1">OFFSET(IND!AN$28,$E137,0)</f>
        <v>0.81162958278291208</v>
      </c>
      <c r="AL137" s="6">
        <f ca="1">OFFSET(IND!AO$28,$E137,0)</f>
        <v>0.94002104978968093</v>
      </c>
      <c r="AM137" s="6">
        <f ca="1">OFFSET(IND!AP$28,$E137,0)</f>
        <v>1.0657002998788516</v>
      </c>
    </row>
    <row r="138" spans="1:39">
      <c r="A138" s="29" t="s">
        <v>710</v>
      </c>
      <c r="E138" s="115">
        <f>MATCH(F138,IND!$D$29:$D$264,0)</f>
        <v>2</v>
      </c>
      <c r="F138" t="str">
        <f t="shared" si="5"/>
        <v>IPGMD</v>
      </c>
      <c r="G138" s="6">
        <f ca="1">OFFSET(IND!J$28,$E138,0)</f>
        <v>28</v>
      </c>
      <c r="H138" s="6">
        <f ca="1">OFFSET(IND!K$28,$E138,0)</f>
        <v>28</v>
      </c>
      <c r="I138" s="6">
        <f ca="1">OFFSET(IND!L$28,$E138,0)</f>
        <v>29</v>
      </c>
      <c r="J138" s="6">
        <f ca="1">OFFSET(IND!M$28,$E138,0)</f>
        <v>32</v>
      </c>
      <c r="K138" s="6">
        <f ca="1">OFFSET(IND!N$28,$E138,0)</f>
        <v>31</v>
      </c>
      <c r="L138" s="6">
        <f ca="1">OFFSET(IND!O$28,$E138,0)</f>
        <v>31</v>
      </c>
      <c r="M138" s="6">
        <f ca="1">OFFSET(IND!P$28,$E138,0)</f>
        <v>30.822038664165241</v>
      </c>
      <c r="N138" s="6">
        <f ca="1">OFFSET(IND!Q$28,$E138,0)</f>
        <v>30.425949170614519</v>
      </c>
      <c r="O138" s="182">
        <f ca="1">OFFSET(IND!R$28,$E138,0)</f>
        <v>23.066289237134932</v>
      </c>
      <c r="P138" s="6">
        <f ca="1">OFFSET(IND!S$28,$E138,0)</f>
        <v>26.013053595661749</v>
      </c>
      <c r="Q138" s="6">
        <f ca="1">OFFSET(IND!T$28,$E138,0)</f>
        <v>26.878288437215414</v>
      </c>
      <c r="R138" s="6">
        <f ca="1">OFFSET(IND!U$28,$E138,0)</f>
        <v>27.729595111944604</v>
      </c>
      <c r="S138" s="6">
        <f ca="1">OFFSET(IND!V$28,$E138,0)</f>
        <v>28.546501548946978</v>
      </c>
      <c r="T138" s="182">
        <f ca="1">OFFSET(IND!W$28,$E138,0)</f>
        <v>29.325405099485259</v>
      </c>
      <c r="U138" s="6">
        <f ca="1">OFFSET(IND!X$28,$E138,0)</f>
        <v>29.487251954205412</v>
      </c>
      <c r="V138" s="6">
        <f ca="1">OFFSET(IND!Y$28,$E138,0)</f>
        <v>29.642873929897863</v>
      </c>
      <c r="W138" s="6">
        <f ca="1">OFFSET(IND!Z$28,$E138,0)</f>
        <v>29.863857135381142</v>
      </c>
      <c r="X138" s="6">
        <f ca="1">OFFSET(IND!AA$28,$E138,0)</f>
        <v>30.05371594572593</v>
      </c>
      <c r="Y138" s="6">
        <f ca="1">OFFSET(IND!AB$28,$E138,0)</f>
        <v>30.203113042390683</v>
      </c>
      <c r="Z138" s="6">
        <f ca="1">OFFSET(IND!AC$28,$E138,0)</f>
        <v>30.80692630807739</v>
      </c>
      <c r="AA138" s="6">
        <f ca="1">OFFSET(IND!AD$28,$E138,0)</f>
        <v>31.420076892305644</v>
      </c>
      <c r="AB138" s="6">
        <f ca="1">OFFSET(IND!AE$28,$E138,0)</f>
        <v>32.045677234589284</v>
      </c>
      <c r="AC138" s="6">
        <f ca="1">OFFSET(IND!AF$28,$E138,0)</f>
        <v>32.680614895414479</v>
      </c>
      <c r="AD138" s="6">
        <f ca="1">OFFSET(IND!AG$28,$E138,0)</f>
        <v>33.440050136793637</v>
      </c>
      <c r="AE138" s="6">
        <f ca="1">OFFSET(IND!AH$28,$E138,0)</f>
        <v>34.18392318060355</v>
      </c>
      <c r="AF138" s="6">
        <f ca="1">OFFSET(IND!AI$28,$E138,0)</f>
        <v>34.762836930179461</v>
      </c>
      <c r="AG138" s="6">
        <f ca="1">OFFSET(IND!AJ$28,$E138,0)</f>
        <v>35.363537756352322</v>
      </c>
      <c r="AH138" s="6">
        <f ca="1">OFFSET(IND!AK$28,$E138,0)</f>
        <v>35.939339066414384</v>
      </c>
      <c r="AI138" s="6">
        <f ca="1">OFFSET(IND!AL$28,$E138,0)</f>
        <v>36.596063803836522</v>
      </c>
      <c r="AJ138" s="6">
        <f ca="1">OFFSET(IND!AM$28,$E138,0)</f>
        <v>72.554077507334</v>
      </c>
      <c r="AK138" s="6">
        <f ca="1">OFFSET(IND!AN$28,$E138,0)</f>
        <v>108.54944048499766</v>
      </c>
      <c r="AL138" s="6">
        <f ca="1">OFFSET(IND!AO$28,$E138,0)</f>
        <v>180.49659228713148</v>
      </c>
      <c r="AM138" s="6">
        <f ca="1">OFFSET(IND!AP$28,$E138,0)</f>
        <v>252.44996896829173</v>
      </c>
    </row>
    <row r="139" spans="1:39">
      <c r="E139" s="115"/>
      <c r="G139" s="6"/>
      <c r="H139" s="6"/>
      <c r="I139" s="6"/>
      <c r="J139" s="6"/>
      <c r="K139" s="6"/>
      <c r="L139" s="6"/>
      <c r="M139" s="6"/>
      <c r="N139" s="6"/>
      <c r="O139" s="182"/>
      <c r="P139" s="6"/>
      <c r="Q139" s="6"/>
      <c r="R139" s="6"/>
      <c r="S139" s="6"/>
      <c r="T139" s="182"/>
      <c r="U139" s="6"/>
      <c r="V139" s="6"/>
      <c r="W139" s="6"/>
      <c r="X139" s="6"/>
      <c r="Y139" s="6"/>
      <c r="Z139" s="6"/>
      <c r="AA139" s="6"/>
      <c r="AB139" s="6"/>
      <c r="AC139" s="6"/>
      <c r="AD139" s="6"/>
      <c r="AE139" s="6"/>
      <c r="AF139" s="6"/>
      <c r="AG139" s="6"/>
      <c r="AH139" s="6"/>
      <c r="AI139" s="6"/>
      <c r="AJ139" s="6"/>
      <c r="AK139" s="6"/>
      <c r="AL139" s="6"/>
      <c r="AM139" s="6"/>
    </row>
    <row r="140" spans="1:39">
      <c r="E140" s="115"/>
      <c r="G140" s="6"/>
      <c r="H140" s="6"/>
      <c r="I140" s="6"/>
      <c r="J140" s="6"/>
      <c r="K140" s="6"/>
      <c r="L140" s="6"/>
      <c r="M140" s="6"/>
      <c r="N140" s="6"/>
      <c r="O140" s="182"/>
      <c r="P140" s="6"/>
      <c r="Q140" s="6"/>
      <c r="R140" s="6"/>
      <c r="S140" s="6"/>
      <c r="T140" s="182"/>
      <c r="U140" s="6"/>
      <c r="V140" s="6"/>
      <c r="W140" s="6"/>
      <c r="X140" s="6"/>
      <c r="Y140" s="6"/>
      <c r="Z140" s="6"/>
      <c r="AA140" s="6"/>
      <c r="AB140" s="6"/>
      <c r="AC140" s="6"/>
      <c r="AD140" s="6"/>
      <c r="AE140" s="6"/>
      <c r="AF140" s="6"/>
      <c r="AG140" s="6"/>
      <c r="AH140" s="6"/>
      <c r="AI140" s="6"/>
      <c r="AJ140" s="6"/>
      <c r="AK140" s="6"/>
      <c r="AL140" s="6"/>
      <c r="AM140" s="6"/>
    </row>
    <row r="141" spans="1:39">
      <c r="E141" s="115"/>
      <c r="G141" s="6"/>
      <c r="H141" s="6"/>
      <c r="I141" s="6"/>
      <c r="J141" s="6"/>
      <c r="K141" s="6"/>
      <c r="L141" s="6"/>
      <c r="M141" s="6"/>
      <c r="N141" s="6"/>
      <c r="O141" s="182"/>
      <c r="P141" s="6"/>
      <c r="Q141" s="6"/>
      <c r="R141" s="6"/>
      <c r="S141" s="6"/>
      <c r="T141" s="182"/>
      <c r="U141" s="6"/>
      <c r="V141" s="6"/>
      <c r="W141" s="6"/>
      <c r="X141" s="6"/>
      <c r="Y141" s="6"/>
      <c r="Z141" s="6"/>
      <c r="AA141" s="6"/>
      <c r="AB141" s="6"/>
      <c r="AC141" s="6"/>
      <c r="AD141" s="6"/>
      <c r="AE141" s="6"/>
      <c r="AF141" s="6"/>
      <c r="AG141" s="6"/>
      <c r="AH141" s="6"/>
      <c r="AI141" s="6"/>
      <c r="AJ141" s="6"/>
      <c r="AK141" s="6"/>
      <c r="AL141" s="6"/>
      <c r="AM141" s="6"/>
    </row>
    <row r="142" spans="1:39">
      <c r="E142" s="115"/>
      <c r="G142" s="6"/>
      <c r="H142" s="6"/>
      <c r="I142" s="6"/>
      <c r="J142" s="6"/>
      <c r="K142" s="6"/>
      <c r="L142" s="6"/>
      <c r="M142" s="6"/>
      <c r="N142" s="6"/>
      <c r="O142" s="182"/>
      <c r="P142" s="6"/>
      <c r="Q142" s="6"/>
      <c r="R142" s="6"/>
      <c r="S142" s="6"/>
      <c r="T142" s="182"/>
      <c r="U142" s="6"/>
      <c r="V142" s="6"/>
      <c r="W142" s="6"/>
      <c r="X142" s="6"/>
      <c r="Y142" s="6"/>
      <c r="Z142" s="6"/>
      <c r="AA142" s="6"/>
      <c r="AB142" s="6"/>
      <c r="AC142" s="6"/>
      <c r="AD142" s="6"/>
      <c r="AE142" s="6"/>
      <c r="AF142" s="6"/>
      <c r="AG142" s="6"/>
      <c r="AH142" s="6"/>
      <c r="AI142" s="6"/>
      <c r="AJ142" s="6"/>
      <c r="AK142" s="6"/>
      <c r="AL142" s="6"/>
      <c r="AM142" s="6"/>
    </row>
    <row r="143" spans="1:39">
      <c r="E143" s="115"/>
      <c r="G143" s="6"/>
      <c r="H143" s="6"/>
      <c r="I143" s="6"/>
      <c r="J143" s="6"/>
      <c r="K143" s="6"/>
      <c r="L143" s="6"/>
      <c r="M143" s="6"/>
      <c r="N143" s="6"/>
      <c r="O143" s="182"/>
      <c r="P143" s="6"/>
      <c r="Q143" s="6"/>
      <c r="R143" s="6"/>
      <c r="S143" s="6"/>
      <c r="T143" s="182"/>
      <c r="U143" s="6"/>
      <c r="V143" s="6"/>
      <c r="W143" s="6"/>
      <c r="X143" s="6"/>
      <c r="Y143" s="6"/>
      <c r="Z143" s="6"/>
      <c r="AA143" s="6"/>
      <c r="AB143" s="6"/>
      <c r="AC143" s="6"/>
      <c r="AD143" s="6"/>
      <c r="AE143" s="6"/>
      <c r="AF143" s="6"/>
      <c r="AG143" s="6"/>
      <c r="AH143" s="6"/>
      <c r="AI143" s="6"/>
      <c r="AJ143" s="6"/>
      <c r="AK143" s="6"/>
      <c r="AL143" s="6"/>
      <c r="AM143" s="6"/>
    </row>
    <row r="144" spans="1:39">
      <c r="E144" s="115"/>
      <c r="G144" s="6"/>
      <c r="H144" s="6"/>
      <c r="I144" s="6"/>
      <c r="J144" s="6"/>
      <c r="K144" s="6"/>
      <c r="L144" s="6"/>
      <c r="M144" s="6"/>
      <c r="N144" s="6"/>
      <c r="O144" s="182"/>
      <c r="P144" s="6"/>
      <c r="Q144" s="6"/>
      <c r="R144" s="6"/>
      <c r="S144" s="6"/>
      <c r="T144" s="182"/>
      <c r="U144" s="6"/>
      <c r="V144" s="6"/>
      <c r="W144" s="6"/>
      <c r="X144" s="6"/>
      <c r="Y144" s="6"/>
      <c r="Z144" s="6"/>
      <c r="AA144" s="6"/>
      <c r="AB144" s="6"/>
      <c r="AC144" s="6"/>
      <c r="AD144" s="6"/>
      <c r="AE144" s="6"/>
      <c r="AF144" s="6"/>
      <c r="AG144" s="6"/>
      <c r="AH144" s="6"/>
      <c r="AI144" s="6"/>
      <c r="AJ144" s="6"/>
      <c r="AK144" s="6"/>
      <c r="AL144" s="6"/>
      <c r="AM144" s="6"/>
    </row>
    <row r="145" spans="5:39">
      <c r="E145" s="115"/>
      <c r="G145" s="6"/>
      <c r="H145" s="6"/>
      <c r="I145" s="6"/>
      <c r="J145" s="6"/>
      <c r="K145" s="6"/>
      <c r="L145" s="6"/>
      <c r="M145" s="6"/>
      <c r="N145" s="6"/>
      <c r="O145" s="182"/>
      <c r="P145" s="6"/>
      <c r="Q145" s="6"/>
      <c r="R145" s="6"/>
      <c r="S145" s="6"/>
      <c r="T145" s="182"/>
      <c r="U145" s="6"/>
      <c r="V145" s="6"/>
      <c r="W145" s="6"/>
      <c r="X145" s="6"/>
      <c r="Y145" s="6"/>
      <c r="Z145" s="6"/>
      <c r="AA145" s="6"/>
      <c r="AB145" s="6"/>
      <c r="AC145" s="6"/>
      <c r="AD145" s="6"/>
      <c r="AE145" s="6"/>
      <c r="AF145" s="6"/>
      <c r="AG145" s="6"/>
      <c r="AH145" s="6"/>
      <c r="AI145" s="6"/>
      <c r="AJ145" s="6"/>
      <c r="AK145" s="6"/>
      <c r="AL145" s="6"/>
      <c r="AM145" s="6"/>
    </row>
    <row r="146" spans="5:39">
      <c r="E146" s="115"/>
      <c r="G146" s="6"/>
      <c r="H146" s="6"/>
      <c r="I146" s="6"/>
      <c r="J146" s="6"/>
      <c r="K146" s="6"/>
      <c r="L146" s="6"/>
      <c r="M146" s="6"/>
      <c r="N146" s="6"/>
      <c r="O146" s="182"/>
      <c r="P146" s="6"/>
      <c r="Q146" s="6"/>
      <c r="R146" s="6"/>
      <c r="S146" s="6"/>
      <c r="T146" s="182"/>
      <c r="U146" s="6"/>
      <c r="V146" s="6"/>
      <c r="W146" s="6"/>
      <c r="X146" s="6"/>
      <c r="Y146" s="6"/>
      <c r="Z146" s="6"/>
      <c r="AA146" s="6"/>
      <c r="AB146" s="6"/>
      <c r="AC146" s="6"/>
      <c r="AD146" s="6"/>
      <c r="AE146" s="6"/>
      <c r="AF146" s="6"/>
      <c r="AG146" s="6"/>
      <c r="AH146" s="6"/>
      <c r="AI146" s="6"/>
      <c r="AJ146" s="6"/>
      <c r="AK146" s="6"/>
      <c r="AL146" s="6"/>
      <c r="AM146" s="6"/>
    </row>
    <row r="147" spans="5:39">
      <c r="E147" s="115"/>
      <c r="G147" s="6"/>
      <c r="H147" s="6"/>
      <c r="I147" s="6"/>
      <c r="J147" s="6"/>
      <c r="K147" s="6"/>
      <c r="L147" s="6"/>
      <c r="M147" s="6"/>
      <c r="N147" s="6"/>
      <c r="O147" s="182"/>
      <c r="P147" s="6"/>
      <c r="Q147" s="6"/>
      <c r="R147" s="6"/>
      <c r="S147" s="6"/>
      <c r="T147" s="182"/>
      <c r="U147" s="6"/>
      <c r="V147" s="6"/>
      <c r="W147" s="6"/>
      <c r="X147" s="6"/>
      <c r="Y147" s="6"/>
      <c r="Z147" s="6"/>
      <c r="AA147" s="6"/>
      <c r="AB147" s="6"/>
      <c r="AC147" s="6"/>
      <c r="AD147" s="6"/>
      <c r="AE147" s="6"/>
      <c r="AF147" s="6"/>
      <c r="AG147" s="6"/>
      <c r="AH147" s="6"/>
      <c r="AI147" s="6"/>
      <c r="AJ147" s="6"/>
      <c r="AK147" s="6"/>
      <c r="AL147" s="6"/>
      <c r="AM147" s="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2" customWidth="1"/>
    <col min="2" max="2" width="9.140625" style="12"/>
    <col min="3" max="3" width="11" style="12" customWidth="1"/>
    <col min="4" max="4" width="27.42578125" style="12" customWidth="1"/>
    <col min="5" max="5" width="10.140625" style="12" customWidth="1"/>
    <col min="6" max="6" width="28.85546875" style="12" customWidth="1"/>
    <col min="7" max="16384" width="9.14062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B9" s="13" t="s">
        <v>37</v>
      </c>
      <c r="C9" s="12" t="str">
        <f>[3]AGR!B36</f>
        <v>AH</v>
      </c>
      <c r="D9" s="12" t="str">
        <f>[3]AGR!A36</f>
        <v>Agriculture - Heating</v>
      </c>
      <c r="E9" s="13" t="s">
        <v>38</v>
      </c>
      <c r="F9" s="13" t="s">
        <v>39</v>
      </c>
    </row>
    <row r="10" spans="1:8">
      <c r="B10" s="13" t="s">
        <v>37</v>
      </c>
      <c r="C10" s="12" t="str">
        <f>[3]AGR!B37</f>
        <v>AP</v>
      </c>
      <c r="D10" s="12" t="str">
        <f>[3]AGR!A37</f>
        <v>Agriculture - Processing</v>
      </c>
      <c r="E10" s="13" t="s">
        <v>38</v>
      </c>
      <c r="F10" s="13" t="s">
        <v>39</v>
      </c>
    </row>
    <row r="11" spans="1:8">
      <c r="B11" s="13" t="s">
        <v>37</v>
      </c>
      <c r="C11" s="12" t="str">
        <f>[3]AGR!B38</f>
        <v>AT</v>
      </c>
      <c r="D11" s="12" t="str">
        <f>[3]AGR!A38</f>
        <v>Agriculture - Traction</v>
      </c>
      <c r="E11" s="13" t="s">
        <v>38</v>
      </c>
      <c r="F11" s="13" t="s">
        <v>98</v>
      </c>
    </row>
    <row r="12" spans="1:8">
      <c r="B12" s="13" t="s">
        <v>37</v>
      </c>
      <c r="C12" s="12" t="str">
        <f>[3]AGR!B39</f>
        <v>AI</v>
      </c>
      <c r="D12" s="12" t="str">
        <f>[3]AGR!A39</f>
        <v>Agriculture - Irrigation</v>
      </c>
      <c r="E12" s="13" t="s">
        <v>38</v>
      </c>
      <c r="F12" s="13" t="s">
        <v>39</v>
      </c>
    </row>
    <row r="13" spans="1:8">
      <c r="B13" s="13" t="s">
        <v>37</v>
      </c>
      <c r="C13" s="12" t="str">
        <f>[3]AGR!B40</f>
        <v>AO</v>
      </c>
      <c r="D13" s="12" t="str">
        <f>[3]AGR!A40</f>
        <v>Agriculture - Other</v>
      </c>
      <c r="E13" s="13" t="s">
        <v>38</v>
      </c>
      <c r="F13" s="13"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2" max="2" width="13.140625" customWidth="1"/>
    <col min="3" max="3" width="25.42578125" customWidth="1"/>
    <col min="4" max="4" width="21.85546875" customWidth="1"/>
  </cols>
  <sheetData>
    <row r="1" spans="1:48">
      <c r="A1" t="str">
        <f>IF(AGR,"TS DATA","")</f>
        <v>TS DATA</v>
      </c>
      <c r="B1" t="s">
        <v>17</v>
      </c>
    </row>
    <row r="2" spans="1:48" ht="15.75" thickBot="1">
      <c r="A2" t="s">
        <v>16</v>
      </c>
      <c r="B2" s="311" t="s">
        <v>197</v>
      </c>
      <c r="C2" s="311"/>
    </row>
    <row r="3" spans="1:48">
      <c r="A3" t="s">
        <v>16</v>
      </c>
    </row>
    <row r="4" spans="1:48" ht="15.75" thickBot="1">
      <c r="A4" t="s">
        <v>16</v>
      </c>
      <c r="B4" s="311" t="s">
        <v>11</v>
      </c>
      <c r="C4" s="311"/>
      <c r="D4" s="47"/>
      <c r="E4" s="9"/>
      <c r="F4" s="9"/>
      <c r="G4" s="9"/>
      <c r="H4" s="9"/>
      <c r="I4" s="9"/>
      <c r="K4">
        <v>2012</v>
      </c>
      <c r="L4">
        <v>2013</v>
      </c>
      <c r="M4">
        <v>2014</v>
      </c>
      <c r="N4">
        <v>2015</v>
      </c>
      <c r="O4">
        <v>2016</v>
      </c>
      <c r="P4">
        <v>2017</v>
      </c>
      <c r="Q4">
        <v>2018</v>
      </c>
      <c r="R4">
        <v>2019</v>
      </c>
      <c r="S4">
        <v>2020</v>
      </c>
      <c r="T4">
        <v>2021</v>
      </c>
      <c r="U4">
        <v>2022</v>
      </c>
      <c r="V4">
        <v>2023</v>
      </c>
      <c r="W4">
        <v>2024</v>
      </c>
      <c r="X4">
        <v>2025</v>
      </c>
      <c r="Y4">
        <v>2026</v>
      </c>
      <c r="Z4">
        <v>2027</v>
      </c>
      <c r="AA4">
        <v>2028</v>
      </c>
      <c r="AB4">
        <v>2029</v>
      </c>
      <c r="AC4">
        <v>2030</v>
      </c>
      <c r="AD4">
        <v>2031</v>
      </c>
      <c r="AE4">
        <v>2032</v>
      </c>
      <c r="AF4">
        <v>2033</v>
      </c>
      <c r="AG4">
        <v>2034</v>
      </c>
      <c r="AH4">
        <v>2035</v>
      </c>
      <c r="AI4">
        <v>2036</v>
      </c>
      <c r="AJ4">
        <v>2037</v>
      </c>
      <c r="AK4">
        <v>2038</v>
      </c>
      <c r="AL4">
        <v>2039</v>
      </c>
      <c r="AM4">
        <v>2040</v>
      </c>
      <c r="AN4">
        <v>2045</v>
      </c>
      <c r="AO4">
        <v>2050</v>
      </c>
      <c r="AP4">
        <v>2060</v>
      </c>
    </row>
    <row r="5" spans="1:48">
      <c r="A5" t="s">
        <v>16</v>
      </c>
      <c r="B5" t="s">
        <v>9</v>
      </c>
      <c r="C5" t="s">
        <v>10</v>
      </c>
      <c r="D5" t="s">
        <v>280</v>
      </c>
    </row>
    <row r="6" spans="1:48">
      <c r="A6" t="s">
        <v>16</v>
      </c>
      <c r="B6" s="19" t="s">
        <v>138</v>
      </c>
      <c r="C6" t="s">
        <v>1</v>
      </c>
      <c r="D6">
        <f>MATCH(B6,Drivers!A7:A25,0)</f>
        <v>1</v>
      </c>
      <c r="J6" s="5"/>
      <c r="K6" s="112" cm="1">
        <f t="array" ref="K6">INDEX(Drivers!$C$7:$AG$25,$D$6,MATCH(K$4,Drivers!$C$5:$AG$5,0))</f>
        <v>96.797279590965346</v>
      </c>
      <c r="L6" s="112" cm="1">
        <f t="array" ref="L6">INDEX(Drivers!$C$7:$AG$25,$D$6,MATCH(L$4,Drivers!$C$5:$AG$5,0))</f>
        <v>101.32801029182565</v>
      </c>
      <c r="M6" s="112" cm="1">
        <f t="array" ref="M6">INDEX(Drivers!$C$7:$AG$25,$D$6,MATCH(M$4,Drivers!$C$5:$AG$5,0))</f>
        <v>105.4512845971946</v>
      </c>
      <c r="N6" s="112" cm="1">
        <f t="array" ref="N6">INDEX(Drivers!$C$7:$AG$25,$D$6,MATCH(N$4,Drivers!$C$5:$AG$5,0))</f>
        <v>104.03295587682055</v>
      </c>
      <c r="O6" s="112" cm="1">
        <f t="array" ref="O6">INDEX(Drivers!$C$7:$AG$25,$D$6,MATCH(O$4,Drivers!$C$5:$AG$5,0))</f>
        <v>102.86973222443167</v>
      </c>
      <c r="P6" s="112" cm="1">
        <f t="array" ref="P6">INDEX(Drivers!$C$7:$AG$25,$D$6,MATCH(P$4,Drivers!$C$5:$AG$5,0))</f>
        <v>106.45368114150588</v>
      </c>
      <c r="Q6" s="112" cm="1">
        <f t="array" ref="Q6">INDEX(Drivers!$C$7:$AG$25,$D$6,MATCH(Q$4,Drivers!$C$5:$AG$5,0))</f>
        <v>104.83293209544796</v>
      </c>
      <c r="R6" s="112" cm="1">
        <f t="array" ref="R6">INDEX(Drivers!$C$7:$AG$25,$D$6,MATCH(R$4,Drivers!$C$5:$AG$5,0))</f>
        <v>103.19</v>
      </c>
      <c r="S6" s="112" cm="1">
        <f t="array" ref="S6">INDEX(Drivers!$C$7:$AG$25,$D$6,MATCH(S$4,Drivers!$C$5:$AG$5,0))</f>
        <v>101.98</v>
      </c>
      <c r="T6" s="112" cm="1">
        <f t="array" ref="T6">INDEX(Drivers!$C$7:$AG$25,$D$6,MATCH(T$4,Drivers!$C$5:$AG$5,0))</f>
        <v>104.81361217476683</v>
      </c>
      <c r="U6" s="112" cm="1">
        <f t="array" ref="U6">INDEX(Drivers!$C$7:$AG$25,$D$6,MATCH(U$4,Drivers!$C$5:$AG$5,0))</f>
        <v>107.30679037800688</v>
      </c>
      <c r="V6" s="112" cm="1">
        <f t="array" ref="V6">INDEX(Drivers!$C$7:$AG$25,$D$6,MATCH(V$4,Drivers!$C$5:$AG$5,0))</f>
        <v>109.48957290132547</v>
      </c>
      <c r="W6" s="112" cm="1">
        <f t="array" ref="W6">INDEX(Drivers!$C$7:$AG$25,$D$6,MATCH(W$4,Drivers!$C$5:$AG$5,0))</f>
        <v>111.73243200785468</v>
      </c>
      <c r="X6" s="112" cm="1">
        <f t="array" ref="X6">INDEX(Drivers!$C$7:$AG$25,$D$6,MATCH(X$4,Drivers!$C$5:$AG$5,0))</f>
        <v>113.75501030927835</v>
      </c>
      <c r="Y6" s="112" cm="1">
        <f t="array" ref="Y6">INDEX(Drivers!$C$7:$AG$25,$D$6,MATCH(Y$4,Drivers!$C$5:$AG$5,0))</f>
        <v>115.44716740304369</v>
      </c>
      <c r="Z6" s="112" cm="1">
        <f t="array" ref="Z6">INDEX(Drivers!$C$7:$AG$25,$D$6,MATCH(Z$4,Drivers!$C$5:$AG$5,0))</f>
        <v>117.08926067746685</v>
      </c>
      <c r="AA6" s="112" cm="1">
        <f t="array" ref="AA6">INDEX(Drivers!$C$7:$AG$25,$D$6,MATCH(AA$4,Drivers!$C$5:$AG$5,0))</f>
        <v>120.48358762886598</v>
      </c>
      <c r="AB6" s="112" cm="1">
        <f t="array" ref="AB6">INDEX(Drivers!$C$7:$AG$25,$D$6,MATCH(AB$4,Drivers!$C$5:$AG$5,0))</f>
        <v>123.85788905252824</v>
      </c>
      <c r="AC6" s="112" cm="1">
        <f t="array" ref="AC6">INDEX(Drivers!$C$7:$AG$25,$D$6,MATCH(AC$4,Drivers!$C$5:$AG$5,0))</f>
        <v>126.19086303387334</v>
      </c>
      <c r="AD6" s="112" cm="1">
        <f t="array" ref="AD6">INDEX(Drivers!$C$7:$AG$25,$D$6,MATCH(AD$4,Drivers!$C$5:$AG$5,0))</f>
        <v>128.73410505645555</v>
      </c>
      <c r="AE6" s="112" cm="1">
        <f t="array" ref="AE6">INDEX(Drivers!$C$7:$AG$25,$D$6,MATCH(AE$4,Drivers!$C$5:$AG$5,0))</f>
        <v>130.90687481590575</v>
      </c>
      <c r="AF6" s="112" cm="1">
        <f t="array" ref="AF6">INDEX(Drivers!$C$7:$AG$25,$D$6,MATCH(AF$4,Drivers!$C$5:$AG$5,0))</f>
        <v>133.65037211585664</v>
      </c>
      <c r="AG6" s="112" cm="1">
        <f t="array" ref="AG6">INDEX(Drivers!$C$7:$AG$25,$D$6,MATCH(AG$4,Drivers!$C$5:$AG$5,0))</f>
        <v>136.22365243004418</v>
      </c>
      <c r="AH6" s="112" cm="1">
        <f t="array" ref="AH6">INDEX(Drivers!$C$7:$AG$25,$D$6,MATCH(AH$4,Drivers!$C$5:$AG$5,0))</f>
        <v>140.77945999018161</v>
      </c>
      <c r="AI6" s="112" cm="1">
        <f t="array" ref="AI6">INDEX(Drivers!$C$7:$AG$25,$D$6,MATCH(AI$4,Drivers!$C$5:$AG$5,0))</f>
        <v>145.6957270495827</v>
      </c>
      <c r="AJ6" s="112" cm="1">
        <f t="array" ref="AJ6">INDEX(Drivers!$C$7:$AG$25,$D$6,MATCH(AJ$4,Drivers!$C$5:$AG$5,0))</f>
        <v>147.60816494845361</v>
      </c>
      <c r="AK6" s="112" cm="1">
        <f t="array" ref="AK6">INDEX(Drivers!$C$7:$AG$25,$D$6,MATCH(AK$4,Drivers!$C$5:$AG$5,0))</f>
        <v>149.92111340206185</v>
      </c>
      <c r="AL6" s="112" cm="1">
        <f t="array" ref="AL6">INDEX(Drivers!$C$7:$AG$25,$D$6,MATCH(AL$4,Drivers!$C$5:$AG$5,0))</f>
        <v>151.72341089837997</v>
      </c>
      <c r="AM6" s="112" cm="1">
        <f t="array" ref="AM6">INDEX(Drivers!$C$7:$AG$25,$D$6,MATCH(AM$4,Drivers!$C$5:$AG$5,0))</f>
        <v>154.45689543446241</v>
      </c>
      <c r="AN6" s="112" cm="1">
        <f t="array" ref="AN6">INDEX(Drivers!$C$7:$AG$25,$D$6,MATCH(AN$4,Drivers!$C$5:$AG$5,0))</f>
        <v>166.59236524300439</v>
      </c>
      <c r="AO6" s="112" cm="1">
        <f t="array" ref="AO6">INDEX(Drivers!$C$7:$AG$25,$D$6,MATCH(AO$4,Drivers!$C$5:$AG$5,0))</f>
        <v>170.39721551300934</v>
      </c>
      <c r="AP6" s="112">
        <f>AO6</f>
        <v>170.39721551300934</v>
      </c>
      <c r="AQ6" s="112"/>
      <c r="AR6" s="112"/>
      <c r="AS6" s="18"/>
      <c r="AT6" s="18"/>
      <c r="AU6" s="18"/>
      <c r="AV6" s="18"/>
    </row>
    <row r="7" spans="1:48">
      <c r="A7" t="s">
        <v>16</v>
      </c>
      <c r="B7" s="19"/>
    </row>
    <row r="8" spans="1:48" ht="15.75" thickBot="1">
      <c r="A8" t="s">
        <v>16</v>
      </c>
      <c r="B8" s="311" t="s">
        <v>285</v>
      </c>
      <c r="C8" s="311"/>
    </row>
    <row r="9" spans="1:48">
      <c r="A9" t="s">
        <v>16</v>
      </c>
      <c r="B9" t="str">
        <f>[3]AGR!$B28</f>
        <v>AH</v>
      </c>
      <c r="C9" t="str">
        <f>[3]AGR!$A36</f>
        <v>Agriculture - Heating</v>
      </c>
    </row>
    <row r="10" spans="1:48">
      <c r="A10" t="s">
        <v>16</v>
      </c>
      <c r="B10" t="str">
        <f>[3]AGR!$B29</f>
        <v>AP</v>
      </c>
      <c r="C10" t="str">
        <f>[3]AGR!$A37</f>
        <v>Agriculture - Processing</v>
      </c>
    </row>
    <row r="11" spans="1:48">
      <c r="A11" t="s">
        <v>16</v>
      </c>
      <c r="B11" t="str">
        <f>[3]AGR!$B30</f>
        <v>AT</v>
      </c>
      <c r="C11" t="str">
        <f>[3]AGR!$A38</f>
        <v>Agriculture - Traction</v>
      </c>
    </row>
    <row r="12" spans="1:48">
      <c r="A12" t="s">
        <v>16</v>
      </c>
      <c r="B12" t="str">
        <f>[3]AGR!$B31</f>
        <v>AI</v>
      </c>
      <c r="C12" t="str">
        <f>[3]AGR!$A39</f>
        <v>Agriculture - Irrigation</v>
      </c>
    </row>
    <row r="13" spans="1:48">
      <c r="A13" t="s">
        <v>16</v>
      </c>
      <c r="B13" t="str">
        <f>[3]AGR!$B32</f>
        <v>AO</v>
      </c>
      <c r="C13" t="str">
        <f>[3]AGR!$A40</f>
        <v>Agriculture - Other</v>
      </c>
    </row>
    <row r="14" spans="1:48">
      <c r="A14" t="s">
        <v>16</v>
      </c>
      <c r="B14" s="19"/>
    </row>
    <row r="15" spans="1:48">
      <c r="A15" t="s">
        <v>16</v>
      </c>
      <c r="B15" s="19"/>
    </row>
    <row r="16" spans="1:48" ht="15.75" thickBot="1">
      <c r="A16" t="s">
        <v>16</v>
      </c>
      <c r="B16" s="311" t="s">
        <v>12</v>
      </c>
      <c r="C16" s="311"/>
      <c r="D16">
        <v>2010</v>
      </c>
      <c r="E16">
        <v>2020</v>
      </c>
      <c r="F16">
        <v>2030</v>
      </c>
      <c r="G16">
        <v>2050</v>
      </c>
    </row>
    <row r="17" spans="1:48">
      <c r="A17" t="s">
        <v>16</v>
      </c>
      <c r="B17" s="19" t="str">
        <f>B6</f>
        <v>AGR</v>
      </c>
      <c r="C17" t="str">
        <f>C6</f>
        <v>Agriculture</v>
      </c>
      <c r="D17">
        <v>1</v>
      </c>
      <c r="E17">
        <v>1</v>
      </c>
      <c r="F17">
        <v>1</v>
      </c>
      <c r="G17">
        <v>1</v>
      </c>
      <c r="J17">
        <f>D17</f>
        <v>1</v>
      </c>
      <c r="K17">
        <f>J17</f>
        <v>1</v>
      </c>
      <c r="L17">
        <f t="shared" ref="L17:AP17" si="0">K17</f>
        <v>1</v>
      </c>
      <c r="M17">
        <f t="shared" si="0"/>
        <v>1</v>
      </c>
      <c r="N17">
        <f t="shared" si="0"/>
        <v>1</v>
      </c>
      <c r="O17">
        <f t="shared" si="0"/>
        <v>1</v>
      </c>
      <c r="P17">
        <f t="shared" si="0"/>
        <v>1</v>
      </c>
      <c r="Q17">
        <f t="shared" si="0"/>
        <v>1</v>
      </c>
      <c r="R17">
        <f t="shared" si="0"/>
        <v>1</v>
      </c>
      <c r="S17">
        <f t="shared" si="0"/>
        <v>1</v>
      </c>
      <c r="T17">
        <f t="shared" si="0"/>
        <v>1</v>
      </c>
      <c r="U17">
        <f t="shared" si="0"/>
        <v>1</v>
      </c>
      <c r="V17">
        <f t="shared" si="0"/>
        <v>1</v>
      </c>
      <c r="W17">
        <f t="shared" si="0"/>
        <v>1</v>
      </c>
      <c r="X17">
        <f t="shared" si="0"/>
        <v>1</v>
      </c>
      <c r="Y17">
        <f t="shared" si="0"/>
        <v>1</v>
      </c>
      <c r="Z17">
        <f t="shared" si="0"/>
        <v>1</v>
      </c>
      <c r="AA17">
        <f t="shared" si="0"/>
        <v>1</v>
      </c>
      <c r="AB17">
        <f t="shared" si="0"/>
        <v>1</v>
      </c>
      <c r="AC17">
        <f t="shared" si="0"/>
        <v>1</v>
      </c>
      <c r="AD17">
        <f t="shared" si="0"/>
        <v>1</v>
      </c>
      <c r="AE17">
        <f t="shared" si="0"/>
        <v>1</v>
      </c>
      <c r="AF17">
        <f t="shared" si="0"/>
        <v>1</v>
      </c>
      <c r="AG17">
        <f t="shared" si="0"/>
        <v>1</v>
      </c>
      <c r="AH17">
        <f t="shared" si="0"/>
        <v>1</v>
      </c>
      <c r="AI17">
        <f t="shared" si="0"/>
        <v>1</v>
      </c>
      <c r="AJ17">
        <f t="shared" si="0"/>
        <v>1</v>
      </c>
      <c r="AK17">
        <f t="shared" si="0"/>
        <v>1</v>
      </c>
      <c r="AL17">
        <f t="shared" si="0"/>
        <v>1</v>
      </c>
      <c r="AM17">
        <f t="shared" si="0"/>
        <v>1</v>
      </c>
      <c r="AN17">
        <f t="shared" si="0"/>
        <v>1</v>
      </c>
      <c r="AO17">
        <f t="shared" si="0"/>
        <v>1</v>
      </c>
      <c r="AP17">
        <f t="shared" si="0"/>
        <v>1</v>
      </c>
    </row>
    <row r="18" spans="1:48">
      <c r="A18" t="s">
        <v>16</v>
      </c>
      <c r="B18" s="15"/>
    </row>
    <row r="19" spans="1:48">
      <c r="A19" t="s">
        <v>16</v>
      </c>
      <c r="B19" s="15"/>
    </row>
    <row r="20" spans="1:48">
      <c r="A20" t="s">
        <v>16</v>
      </c>
    </row>
    <row r="21" spans="1:48" ht="23.25">
      <c r="A21" t="s">
        <v>16</v>
      </c>
      <c r="B21" s="10" t="s">
        <v>18</v>
      </c>
      <c r="C21" s="10" t="s">
        <v>19</v>
      </c>
      <c r="D21" s="10" t="s">
        <v>20</v>
      </c>
      <c r="E21" s="10" t="s">
        <v>21</v>
      </c>
      <c r="F21" s="10" t="s">
        <v>22</v>
      </c>
      <c r="G21" s="10" t="s">
        <v>23</v>
      </c>
      <c r="H21" s="10" t="s">
        <v>24</v>
      </c>
      <c r="I21" s="11" t="s">
        <v>25</v>
      </c>
      <c r="J21">
        <v>2012</v>
      </c>
      <c r="K21">
        <v>2013</v>
      </c>
      <c r="L21">
        <v>2014</v>
      </c>
      <c r="M21">
        <v>2015</v>
      </c>
      <c r="N21">
        <v>2016</v>
      </c>
      <c r="O21">
        <v>2017</v>
      </c>
      <c r="P21">
        <v>2018</v>
      </c>
      <c r="Q21">
        <v>2019</v>
      </c>
      <c r="R21">
        <v>2020</v>
      </c>
      <c r="S21">
        <v>2021</v>
      </c>
      <c r="T21">
        <v>2022</v>
      </c>
      <c r="U21">
        <v>2023</v>
      </c>
      <c r="V21">
        <v>2024</v>
      </c>
      <c r="W21">
        <v>2025</v>
      </c>
      <c r="X21">
        <v>2026</v>
      </c>
      <c r="Y21">
        <v>2027</v>
      </c>
      <c r="Z21">
        <v>2028</v>
      </c>
      <c r="AA21">
        <v>2029</v>
      </c>
      <c r="AB21">
        <v>2030</v>
      </c>
      <c r="AC21">
        <v>2031</v>
      </c>
      <c r="AD21">
        <v>2032</v>
      </c>
      <c r="AE21">
        <v>2033</v>
      </c>
      <c r="AF21">
        <v>2034</v>
      </c>
      <c r="AG21">
        <v>2035</v>
      </c>
      <c r="AH21">
        <v>2036</v>
      </c>
      <c r="AI21">
        <v>2037</v>
      </c>
      <c r="AJ21">
        <v>2038</v>
      </c>
      <c r="AK21">
        <v>2039</v>
      </c>
      <c r="AL21">
        <v>2040</v>
      </c>
      <c r="AM21">
        <v>2045</v>
      </c>
      <c r="AN21">
        <v>2050</v>
      </c>
      <c r="AO21">
        <v>2060</v>
      </c>
      <c r="AP21">
        <v>2070</v>
      </c>
    </row>
    <row r="22" spans="1:48">
      <c r="A22" t="str">
        <f>IF('[3]TS BYDem'!$A10="*","*", "")</f>
        <v/>
      </c>
      <c r="B22" s="16" t="str">
        <f>IF(A22="*","","COM_PROJ")</f>
        <v>COM_PROJ</v>
      </c>
      <c r="C22" s="17" t="str">
        <f>IF($A22="*","","-")</f>
        <v>-</v>
      </c>
      <c r="D22" s="16" t="str">
        <f>AGR!B9</f>
        <v>AH</v>
      </c>
      <c r="E22" s="17" t="str">
        <f t="shared" ref="E22:H26" si="1">IF($A22="*","","-")</f>
        <v>-</v>
      </c>
      <c r="F22" s="17" t="str">
        <f t="shared" si="1"/>
        <v>-</v>
      </c>
      <c r="G22" s="17" t="str">
        <f t="shared" si="1"/>
        <v>-</v>
      </c>
      <c r="H22" s="17" t="str">
        <f t="shared" si="1"/>
        <v>-</v>
      </c>
      <c r="I22" s="16">
        <f>IF(A22="*","",0)</f>
        <v>0</v>
      </c>
      <c r="J22" s="3">
        <f>'[3]TS BYDem'!$J10</f>
        <v>2.5043970166379772</v>
      </c>
      <c r="K22" s="3">
        <f>L$6/K$6*J22</f>
        <v>2.6216187866956937</v>
      </c>
      <c r="L22" s="3">
        <f t="shared" ref="L22:AP22" si="2">L$6/K$6*K22*L$17</f>
        <v>2.7443272840111796</v>
      </c>
      <c r="M22" s="3">
        <f t="shared" si="2"/>
        <v>2.8560003953561792</v>
      </c>
      <c r="N22" s="3">
        <f t="shared" si="2"/>
        <v>2.8175869478424151</v>
      </c>
      <c r="O22" s="3">
        <f t="shared" si="2"/>
        <v>2.7860826639088394</v>
      </c>
      <c r="P22" s="3">
        <f t="shared" si="2"/>
        <v>2.8831489022500709</v>
      </c>
      <c r="Q22" s="3">
        <f t="shared" si="2"/>
        <v>2.8392531836346362</v>
      </c>
      <c r="R22" s="3">
        <f t="shared" si="2"/>
        <v>2.7947566681861411</v>
      </c>
      <c r="S22" s="3">
        <f t="shared" si="2"/>
        <v>2.7619855123715737</v>
      </c>
      <c r="T22" s="3">
        <f t="shared" si="2"/>
        <v>2.8387299306338378</v>
      </c>
      <c r="U22" s="3">
        <f t="shared" si="2"/>
        <v>2.9062541714370305</v>
      </c>
      <c r="V22" s="3">
        <f t="shared" si="2"/>
        <v>2.9653717798510706</v>
      </c>
      <c r="W22" s="3">
        <f t="shared" si="2"/>
        <v>3.0261164784049472</v>
      </c>
      <c r="X22" s="3">
        <f t="shared" si="2"/>
        <v>3.0808951797794251</v>
      </c>
      <c r="Y22" s="3">
        <f t="shared" si="2"/>
        <v>3.1267248853848049</v>
      </c>
      <c r="Z22" s="3">
        <f t="shared" si="2"/>
        <v>3.1711986825403216</v>
      </c>
      <c r="AA22" s="3">
        <f t="shared" si="2"/>
        <v>3.2631292754410541</v>
      </c>
      <c r="AB22" s="3">
        <f t="shared" si="2"/>
        <v>3.3545175049618421</v>
      </c>
      <c r="AC22" s="3">
        <f t="shared" si="2"/>
        <v>3.4177028387254724</v>
      </c>
      <c r="AD22" s="3">
        <f t="shared" si="2"/>
        <v>3.4865829879785286</v>
      </c>
      <c r="AE22" s="3">
        <f t="shared" si="2"/>
        <v>3.5454294147025971</v>
      </c>
      <c r="AF22" s="3">
        <f t="shared" si="2"/>
        <v>3.6197331977551057</v>
      </c>
      <c r="AG22" s="3">
        <f t="shared" si="2"/>
        <v>3.6894268920780808</v>
      </c>
      <c r="AH22" s="3">
        <f t="shared" si="2"/>
        <v>3.8128145610156419</v>
      </c>
      <c r="AI22" s="3">
        <f t="shared" si="2"/>
        <v>3.9459647707922199</v>
      </c>
      <c r="AJ22" s="3">
        <f t="shared" si="2"/>
        <v>3.9977604735769989</v>
      </c>
      <c r="AK22" s="3">
        <f t="shared" si="2"/>
        <v>4.0604034439606842</v>
      </c>
      <c r="AL22" s="3">
        <f t="shared" si="2"/>
        <v>4.1092161481557632</v>
      </c>
      <c r="AM22" s="3">
        <f t="shared" si="2"/>
        <v>4.1832487495182997</v>
      </c>
      <c r="AN22" s="112">
        <f t="shared" si="2"/>
        <v>4.5119209577651676</v>
      </c>
      <c r="AO22" s="3">
        <f t="shared" si="2"/>
        <v>4.6149699999547806</v>
      </c>
      <c r="AP22" s="3">
        <f t="shared" si="2"/>
        <v>4.6149699999547806</v>
      </c>
      <c r="AQ22" s="3"/>
      <c r="AR22" s="3"/>
      <c r="AS22" s="3"/>
      <c r="AT22" s="3"/>
      <c r="AU22" s="3"/>
      <c r="AV22" s="3"/>
    </row>
    <row r="23" spans="1:48">
      <c r="A23" t="str">
        <f>IF('[3]TS BYDem'!$A11="*","*", "")</f>
        <v/>
      </c>
      <c r="B23" s="16" t="str">
        <f>IF(A23="*","","COM_PROJ")</f>
        <v>COM_PROJ</v>
      </c>
      <c r="C23" s="17" t="str">
        <f>IF($A23="*","","-")</f>
        <v>-</v>
      </c>
      <c r="D23" s="16" t="str">
        <f>AGR!B10</f>
        <v>AP</v>
      </c>
      <c r="E23" s="17" t="str">
        <f t="shared" si="1"/>
        <v>-</v>
      </c>
      <c r="F23" s="17" t="str">
        <f t="shared" si="1"/>
        <v>-</v>
      </c>
      <c r="G23" s="17" t="str">
        <f t="shared" si="1"/>
        <v>-</v>
      </c>
      <c r="H23" s="17" t="str">
        <f t="shared" si="1"/>
        <v>-</v>
      </c>
      <c r="I23" s="16">
        <f>IF(A23="*","",0)</f>
        <v>0</v>
      </c>
      <c r="J23" s="3">
        <f>'[3]TS BYDem'!$J11</f>
        <v>3.8349683201390801</v>
      </c>
      <c r="K23" s="3">
        <f>L$6/K$6*J23</f>
        <v>4.014469322422439</v>
      </c>
      <c r="L23" s="3">
        <f t="shared" ref="L23:AP23" si="3">L$6/K$6*K23*L$17</f>
        <v>4.2023721176623461</v>
      </c>
      <c r="M23" s="3">
        <f t="shared" si="3"/>
        <v>4.3733764917189628</v>
      </c>
      <c r="N23" s="3">
        <f t="shared" si="3"/>
        <v>4.3145542070317005</v>
      </c>
      <c r="O23" s="3">
        <f t="shared" si="3"/>
        <v>4.266311883617611</v>
      </c>
      <c r="P23" s="3">
        <f t="shared" si="3"/>
        <v>4.4149488395477903</v>
      </c>
      <c r="Q23" s="3">
        <f t="shared" si="3"/>
        <v>4.3477315855894236</v>
      </c>
      <c r="R23" s="3">
        <f t="shared" si="3"/>
        <v>4.2795943349986061</v>
      </c>
      <c r="S23" s="3">
        <f t="shared" si="3"/>
        <v>4.2294120581757717</v>
      </c>
      <c r="T23" s="3">
        <f t="shared" si="3"/>
        <v>4.3469303313680889</v>
      </c>
      <c r="U23" s="3">
        <f t="shared" si="3"/>
        <v>4.4503298014206916</v>
      </c>
      <c r="V23" s="3">
        <f t="shared" si="3"/>
        <v>4.5408562450812031</v>
      </c>
      <c r="W23" s="3">
        <f t="shared" si="3"/>
        <v>4.633874242236959</v>
      </c>
      <c r="X23" s="3">
        <f t="shared" si="3"/>
        <v>4.7177565432434889</v>
      </c>
      <c r="Y23" s="3">
        <f t="shared" si="3"/>
        <v>4.78793530002618</v>
      </c>
      <c r="Z23" s="3">
        <f t="shared" si="3"/>
        <v>4.8560377622295006</v>
      </c>
      <c r="AA23" s="3">
        <f t="shared" si="3"/>
        <v>4.9968105347107556</v>
      </c>
      <c r="AB23" s="3">
        <f t="shared" si="3"/>
        <v>5.1367527893602638</v>
      </c>
      <c r="AC23" s="3">
        <f t="shared" si="3"/>
        <v>5.2335081167588839</v>
      </c>
      <c r="AD23" s="3">
        <f t="shared" si="3"/>
        <v>5.3389838813908561</v>
      </c>
      <c r="AE23" s="3">
        <f t="shared" si="3"/>
        <v>5.4290950661354955</v>
      </c>
      <c r="AF23" s="3">
        <f t="shared" si="3"/>
        <v>5.5428760090849458</v>
      </c>
      <c r="AG23" s="3">
        <f t="shared" si="3"/>
        <v>5.6495975504645415</v>
      </c>
      <c r="AH23" s="3">
        <f t="shared" si="3"/>
        <v>5.8385403571871688</v>
      </c>
      <c r="AI23" s="3">
        <f t="shared" si="3"/>
        <v>6.0424324848812585</v>
      </c>
      <c r="AJ23" s="3">
        <f t="shared" si="3"/>
        <v>6.1217469378131755</v>
      </c>
      <c r="AK23" s="3">
        <f t="shared" si="3"/>
        <v>6.2176717473800487</v>
      </c>
      <c r="AL23" s="3">
        <f t="shared" si="3"/>
        <v>6.2924183522373527</v>
      </c>
      <c r="AM23" s="3">
        <f t="shared" si="3"/>
        <v>6.4057840362709291</v>
      </c>
      <c r="AN23" s="3">
        <f t="shared" si="3"/>
        <v>6.9090778423101078</v>
      </c>
      <c r="AO23" s="3">
        <f t="shared" si="3"/>
        <v>7.0668762303421948</v>
      </c>
      <c r="AP23" s="3">
        <f t="shared" si="3"/>
        <v>7.0668762303421948</v>
      </c>
      <c r="AQ23" s="3"/>
      <c r="AR23" s="3"/>
      <c r="AS23" s="3"/>
      <c r="AT23" s="3"/>
      <c r="AU23" s="3"/>
      <c r="AV23" s="3"/>
    </row>
    <row r="24" spans="1:48">
      <c r="A24" t="str">
        <f>IF('[3]TS BYDem'!$A12="*","*", "")</f>
        <v/>
      </c>
      <c r="B24" s="16" t="str">
        <f>IF(A24="*","","COM_PROJ")</f>
        <v>COM_PROJ</v>
      </c>
      <c r="C24" s="17" t="str">
        <f>IF($A24="*","","-")</f>
        <v>-</v>
      </c>
      <c r="D24" s="16" t="str">
        <f>AGR!B11</f>
        <v>AT</v>
      </c>
      <c r="E24" s="17" t="str">
        <f t="shared" si="1"/>
        <v>-</v>
      </c>
      <c r="F24" s="17" t="str">
        <f t="shared" si="1"/>
        <v>-</v>
      </c>
      <c r="G24" s="17" t="str">
        <f t="shared" si="1"/>
        <v>-</v>
      </c>
      <c r="H24" s="17" t="str">
        <f t="shared" si="1"/>
        <v>-</v>
      </c>
      <c r="I24" s="16">
        <f>IF(A24="*","",0)</f>
        <v>0</v>
      </c>
      <c r="J24" s="3">
        <f>'[3]TS BYDem'!$J12</f>
        <v>14.570390350961301</v>
      </c>
      <c r="K24" s="3">
        <f>L$6/K$6*J24</f>
        <v>15.25237764611645</v>
      </c>
      <c r="L24" s="3">
        <f t="shared" ref="L24:AP24" si="4">L$6/K$6*K24*L$17</f>
        <v>15.966286300929774</v>
      </c>
      <c r="M24" s="3">
        <f t="shared" si="4"/>
        <v>16.615991923957282</v>
      </c>
      <c r="N24" s="3">
        <f t="shared" si="4"/>
        <v>16.392505423500946</v>
      </c>
      <c r="O24" s="3">
        <f t="shared" si="4"/>
        <v>16.209215908463932</v>
      </c>
      <c r="P24" s="3">
        <f t="shared" si="4"/>
        <v>16.773939861229938</v>
      </c>
      <c r="Q24" s="3">
        <f t="shared" si="4"/>
        <v>16.518557926690885</v>
      </c>
      <c r="R24" s="3">
        <f t="shared" si="4"/>
        <v>16.259680602115363</v>
      </c>
      <c r="S24" s="3">
        <f t="shared" si="4"/>
        <v>16.069020523342619</v>
      </c>
      <c r="T24" s="3">
        <f t="shared" si="4"/>
        <v>16.515513680741339</v>
      </c>
      <c r="U24" s="3">
        <f t="shared" si="4"/>
        <v>16.908364550678726</v>
      </c>
      <c r="V24" s="3">
        <f t="shared" si="4"/>
        <v>17.252306276166077</v>
      </c>
      <c r="W24" s="3">
        <f t="shared" si="4"/>
        <v>17.605714287676019</v>
      </c>
      <c r="X24" s="3">
        <f t="shared" si="4"/>
        <v>17.924412583769804</v>
      </c>
      <c r="Y24" s="3">
        <f t="shared" si="4"/>
        <v>18.191046306739359</v>
      </c>
      <c r="Z24" s="3">
        <f t="shared" si="4"/>
        <v>18.449791458023423</v>
      </c>
      <c r="AA24" s="3">
        <f t="shared" si="4"/>
        <v>18.984636618299628</v>
      </c>
      <c r="AB24" s="3">
        <f t="shared" si="4"/>
        <v>19.51632634990164</v>
      </c>
      <c r="AC24" s="3">
        <f t="shared" si="4"/>
        <v>19.883933790445461</v>
      </c>
      <c r="AD24" s="3">
        <f t="shared" si="4"/>
        <v>20.284673232068339</v>
      </c>
      <c r="AE24" s="3">
        <f t="shared" si="4"/>
        <v>20.627037243218599</v>
      </c>
      <c r="AF24" s="3">
        <f t="shared" si="4"/>
        <v>21.059330971583432</v>
      </c>
      <c r="AG24" s="3">
        <f t="shared" si="4"/>
        <v>21.464803556217607</v>
      </c>
      <c r="AH24" s="3">
        <f t="shared" si="4"/>
        <v>22.182663579597168</v>
      </c>
      <c r="AI24" s="3">
        <f t="shared" si="4"/>
        <v>22.957321319112264</v>
      </c>
      <c r="AJ24" s="3">
        <f t="shared" si="4"/>
        <v>23.258664757497975</v>
      </c>
      <c r="AK24" s="3">
        <f t="shared" si="4"/>
        <v>23.623116769367602</v>
      </c>
      <c r="AL24" s="3">
        <f t="shared" si="4"/>
        <v>23.907105350045235</v>
      </c>
      <c r="AM24" s="3">
        <f t="shared" si="4"/>
        <v>24.337821364072973</v>
      </c>
      <c r="AN24" s="3">
        <f t="shared" si="4"/>
        <v>26.250011140635689</v>
      </c>
      <c r="AO24" s="3">
        <f t="shared" si="4"/>
        <v>26.849542588732913</v>
      </c>
      <c r="AP24" s="3">
        <f t="shared" si="4"/>
        <v>26.849542588732913</v>
      </c>
      <c r="AQ24" s="3"/>
      <c r="AR24" s="3"/>
      <c r="AS24" s="3"/>
      <c r="AT24" s="3"/>
      <c r="AU24" s="3"/>
      <c r="AV24" s="3"/>
    </row>
    <row r="25" spans="1:48">
      <c r="A25" t="str">
        <f>IF('[3]TS BYDem'!$A13="*","*", "")</f>
        <v/>
      </c>
      <c r="B25" s="16" t="str">
        <f>IF(A25="*","","COM_PROJ")</f>
        <v>COM_PROJ</v>
      </c>
      <c r="C25" s="17" t="str">
        <f>IF($A25="*","","-")</f>
        <v>-</v>
      </c>
      <c r="D25" s="16" t="str">
        <f>AGR!B12</f>
        <v>AI</v>
      </c>
      <c r="E25" s="17" t="str">
        <f t="shared" si="1"/>
        <v>-</v>
      </c>
      <c r="F25" s="17" t="str">
        <f t="shared" si="1"/>
        <v>-</v>
      </c>
      <c r="G25" s="17" t="str">
        <f t="shared" si="1"/>
        <v>-</v>
      </c>
      <c r="H25" s="17" t="str">
        <f t="shared" si="1"/>
        <v>-</v>
      </c>
      <c r="I25" s="16">
        <f>IF(A25="*","",0)</f>
        <v>0</v>
      </c>
      <c r="J25" s="3">
        <f>'[3]TS BYDem'!$J13</f>
        <v>5.0203080915278155</v>
      </c>
      <c r="K25" s="3">
        <f>L$6/K$6*J25</f>
        <v>5.2552905630825792</v>
      </c>
      <c r="L25" s="3">
        <f t="shared" ref="L25:AP25" si="5">L$6/K$6*K25*L$17</f>
        <v>5.5012717145851271</v>
      </c>
      <c r="M25" s="3">
        <f t="shared" si="5"/>
        <v>5.7251313585500476</v>
      </c>
      <c r="N25" s="3">
        <f t="shared" si="5"/>
        <v>5.6481278562715964</v>
      </c>
      <c r="O25" s="3">
        <f t="shared" si="5"/>
        <v>5.5849744462895625</v>
      </c>
      <c r="P25" s="3">
        <f t="shared" si="5"/>
        <v>5.7795531886060783</v>
      </c>
      <c r="Q25" s="3">
        <f t="shared" si="5"/>
        <v>5.6915599391793839</v>
      </c>
      <c r="R25" s="3">
        <f t="shared" si="5"/>
        <v>5.6023623339008255</v>
      </c>
      <c r="S25" s="3">
        <f t="shared" si="5"/>
        <v>5.5366693556663069</v>
      </c>
      <c r="T25" s="3">
        <f t="shared" si="5"/>
        <v>5.6905110275026907</v>
      </c>
      <c r="U25" s="3">
        <f t="shared" si="5"/>
        <v>5.8258699543127941</v>
      </c>
      <c r="V25" s="3">
        <f t="shared" si="5"/>
        <v>5.9443769665401129</v>
      </c>
      <c r="W25" s="3">
        <f t="shared" si="5"/>
        <v>6.0661456396544233</v>
      </c>
      <c r="X25" s="3">
        <f t="shared" si="5"/>
        <v>6.1759548895164356</v>
      </c>
      <c r="Y25" s="3">
        <f t="shared" si="5"/>
        <v>6.2678250044999997</v>
      </c>
      <c r="Z25" s="3">
        <f t="shared" si="5"/>
        <v>6.3569770687444054</v>
      </c>
      <c r="AA25" s="3">
        <f t="shared" si="5"/>
        <v>6.5412609088593667</v>
      </c>
      <c r="AB25" s="3">
        <f t="shared" si="5"/>
        <v>6.7244575286786645</v>
      </c>
      <c r="AC25" s="3">
        <f t="shared" si="5"/>
        <v>6.8511186931234604</v>
      </c>
      <c r="AD25" s="3">
        <f t="shared" si="5"/>
        <v>6.9891956706727223</v>
      </c>
      <c r="AE25" s="3">
        <f t="shared" si="5"/>
        <v>7.1071590727522116</v>
      </c>
      <c r="AF25" s="3">
        <f t="shared" si="5"/>
        <v>7.2561082532581072</v>
      </c>
      <c r="AG25" s="3">
        <f t="shared" si="5"/>
        <v>7.3958160612508665</v>
      </c>
      <c r="AH25" s="3">
        <f t="shared" si="5"/>
        <v>7.6431586785143084</v>
      </c>
      <c r="AI25" s="3">
        <f t="shared" si="5"/>
        <v>7.9100712610996951</v>
      </c>
      <c r="AJ25" s="3">
        <f t="shared" si="5"/>
        <v>8.0139007993355591</v>
      </c>
      <c r="AK25" s="3">
        <f t="shared" si="5"/>
        <v>8.1394747434846924</v>
      </c>
      <c r="AL25" s="3">
        <f t="shared" si="5"/>
        <v>8.2373245700944064</v>
      </c>
      <c r="AM25" s="3">
        <f t="shared" si="5"/>
        <v>8.3857301404524716</v>
      </c>
      <c r="AN25" s="3">
        <f t="shared" si="5"/>
        <v>9.044585639624545</v>
      </c>
      <c r="AO25" s="3">
        <f t="shared" si="5"/>
        <v>9.2511574958006086</v>
      </c>
      <c r="AP25" s="3">
        <f t="shared" si="5"/>
        <v>9.2511574958006086</v>
      </c>
      <c r="AQ25" s="3"/>
      <c r="AR25" s="3"/>
      <c r="AS25" s="3"/>
      <c r="AT25" s="3"/>
      <c r="AU25" s="3"/>
      <c r="AV25" s="3"/>
    </row>
    <row r="26" spans="1:48">
      <c r="A26" t="str">
        <f>IF('[3]TS BYDem'!$A14="*","*", "")</f>
        <v/>
      </c>
      <c r="B26" s="16" t="str">
        <f>IF(A26="*","","COM_PROJ")</f>
        <v>COM_PROJ</v>
      </c>
      <c r="C26" s="17" t="str">
        <f>IF($A26="*","","-")</f>
        <v>-</v>
      </c>
      <c r="D26" s="16" t="str">
        <f>AGR!B13</f>
        <v>AO</v>
      </c>
      <c r="E26" s="17" t="str">
        <f t="shared" si="1"/>
        <v>-</v>
      </c>
      <c r="F26" s="17" t="str">
        <f t="shared" si="1"/>
        <v>-</v>
      </c>
      <c r="G26" s="17" t="str">
        <f t="shared" si="1"/>
        <v>-</v>
      </c>
      <c r="H26" s="17" t="str">
        <f t="shared" si="1"/>
        <v>-</v>
      </c>
      <c r="I26" s="16">
        <f>IF(A26="*","",0)</f>
        <v>0</v>
      </c>
      <c r="J26" s="3">
        <f>'[3]TS BYDem'!$J14</f>
        <v>8.4310585921569263</v>
      </c>
      <c r="K26" s="3">
        <f>L$6/K$6*J26</f>
        <v>8.8256859635629592</v>
      </c>
      <c r="L26" s="3">
        <f t="shared" ref="L26:AP26" si="6">L$6/K$6*K26*L$17</f>
        <v>9.2387844155053909</v>
      </c>
      <c r="M26" s="3">
        <f t="shared" si="6"/>
        <v>9.6147322139826858</v>
      </c>
      <c r="N26" s="3">
        <f t="shared" si="6"/>
        <v>9.4854132503504491</v>
      </c>
      <c r="O26" s="3">
        <f t="shared" si="6"/>
        <v>9.3793540025621347</v>
      </c>
      <c r="P26" s="3">
        <f t="shared" si="6"/>
        <v>9.7061277278693989</v>
      </c>
      <c r="Q26" s="3">
        <f t="shared" si="6"/>
        <v>9.5583526853610081</v>
      </c>
      <c r="R26" s="3">
        <f t="shared" si="6"/>
        <v>9.4085550588661881</v>
      </c>
      <c r="S26" s="3">
        <f t="shared" si="6"/>
        <v>9.2982308838373289</v>
      </c>
      <c r="T26" s="3">
        <f t="shared" si="6"/>
        <v>9.5565911528727714</v>
      </c>
      <c r="U26" s="3">
        <f t="shared" si="6"/>
        <v>9.7839116722714436</v>
      </c>
      <c r="V26" s="3">
        <f t="shared" si="6"/>
        <v>9.9829312434718869</v>
      </c>
      <c r="W26" s="3">
        <f t="shared" si="6"/>
        <v>10.187428417549409</v>
      </c>
      <c r="X26" s="3">
        <f t="shared" si="6"/>
        <v>10.371841047744317</v>
      </c>
      <c r="Y26" s="3">
        <f t="shared" si="6"/>
        <v>10.526126862115305</v>
      </c>
      <c r="Z26" s="3">
        <f t="shared" si="6"/>
        <v>10.675848007422061</v>
      </c>
      <c r="AA26" s="3">
        <f t="shared" si="6"/>
        <v>10.985332569976883</v>
      </c>
      <c r="AB26" s="3">
        <f t="shared" si="6"/>
        <v>11.292991264906014</v>
      </c>
      <c r="AC26" s="3">
        <f t="shared" si="6"/>
        <v>11.505704843299149</v>
      </c>
      <c r="AD26" s="3">
        <f t="shared" si="6"/>
        <v>11.737590031762053</v>
      </c>
      <c r="AE26" s="3">
        <f t="shared" si="6"/>
        <v>11.935696669149655</v>
      </c>
      <c r="AF26" s="3">
        <f t="shared" si="6"/>
        <v>12.185840533869477</v>
      </c>
      <c r="AG26" s="3">
        <f t="shared" si="6"/>
        <v>12.420464523770923</v>
      </c>
      <c r="AH26" s="3">
        <f t="shared" si="6"/>
        <v>12.835849408615886</v>
      </c>
      <c r="AI26" s="3">
        <f t="shared" si="6"/>
        <v>13.284099910723311</v>
      </c>
      <c r="AJ26" s="3">
        <f t="shared" si="6"/>
        <v>13.458470268976914</v>
      </c>
      <c r="AK26" s="3">
        <f t="shared" si="6"/>
        <v>13.669357979744358</v>
      </c>
      <c r="AL26" s="3">
        <f t="shared" si="6"/>
        <v>13.833686066056654</v>
      </c>
      <c r="AM26" s="3">
        <f t="shared" si="6"/>
        <v>14.082916996963631</v>
      </c>
      <c r="AN26" s="3">
        <f t="shared" si="6"/>
        <v>15.18939277813308</v>
      </c>
      <c r="AO26" s="3">
        <f t="shared" si="6"/>
        <v>15.536307627014592</v>
      </c>
      <c r="AP26" s="3">
        <f t="shared" si="6"/>
        <v>15.536307627014592</v>
      </c>
      <c r="AQ26" s="3"/>
      <c r="AR26" s="3"/>
      <c r="AS26" s="3"/>
      <c r="AT26" s="3"/>
      <c r="AU26" s="3"/>
      <c r="AV26" s="3"/>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2" customWidth="1"/>
    <col min="2" max="2" width="9" style="12"/>
    <col min="3" max="3" width="10.85546875" style="12" customWidth="1"/>
    <col min="4" max="4" width="53.5703125" style="12" customWidth="1"/>
    <col min="5" max="5" width="10" style="12" customWidth="1"/>
    <col min="6" max="6" width="28.140625" style="12" customWidth="1"/>
    <col min="7" max="16384" width="9"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A9" s="21" t="str">
        <f>[4]ITEMS_Comm!A35</f>
        <v>*</v>
      </c>
      <c r="B9" s="13" t="str">
        <f>[4]ITEMS_Comm!B35</f>
        <v>E</v>
      </c>
      <c r="C9" s="21" t="str">
        <f>[4]ITEMS_Comm!C35</f>
        <v/>
      </c>
      <c r="D9" s="21" t="str">
        <f>[4]ITEMS_Comm!D35</f>
        <v/>
      </c>
      <c r="E9" s="13" t="str">
        <f>[4]ITEMS_Comm!E35</f>
        <v>PJ</v>
      </c>
      <c r="F9" s="13" t="str">
        <f>[4]ITEMS_Comm!F35</f>
        <v>COM,NRG,ANNUAL,FOSSIL</v>
      </c>
    </row>
    <row r="10" spans="1:7">
      <c r="A10" s="21" t="str">
        <f>[4]ITEMS_Comm!A36</f>
        <v>*</v>
      </c>
      <c r="B10" s="13" t="str">
        <f>[4]ITEMS_Comm!B36</f>
        <v>E</v>
      </c>
      <c r="C10" s="21" t="str">
        <f>[4]ITEMS_Comm!C36</f>
        <v/>
      </c>
      <c r="D10" s="21" t="str">
        <f>[4]ITEMS_Comm!D36</f>
        <v/>
      </c>
      <c r="E10" s="13" t="str">
        <f>[4]ITEMS_Comm!E36</f>
        <v>PJ</v>
      </c>
      <c r="F10" s="13" t="str">
        <f>[4]ITEMS_Comm!F36</f>
        <v>COM,NRG,ANNUAL,FOSSIL</v>
      </c>
    </row>
    <row r="11" spans="1:7">
      <c r="A11" s="21" t="str">
        <f>[4]ITEMS_Comm!A37</f>
        <v>*</v>
      </c>
      <c r="B11" s="13" t="str">
        <f>[4]ITEMS_Comm!B37</f>
        <v>Demand Commodities</v>
      </c>
      <c r="C11" s="21">
        <f>[4]ITEMS_Comm!C37</f>
        <v>0</v>
      </c>
      <c r="D11" s="21">
        <f>[4]ITEMS_Comm!D37</f>
        <v>0</v>
      </c>
      <c r="E11" s="13">
        <f>[4]ITEMS_Comm!E37</f>
        <v>0</v>
      </c>
      <c r="F11" s="13">
        <f>[4]ITEMS_Comm!F37</f>
        <v>0</v>
      </c>
    </row>
    <row r="12" spans="1:7">
      <c r="A12" s="21" t="str">
        <f>[4]ITEMS_Comm!A38</f>
        <v/>
      </c>
      <c r="B12" s="13" t="str">
        <f>[4]ITEMS_Comm!B38</f>
        <v>E</v>
      </c>
      <c r="C12" s="21" t="str">
        <f>[4]ITEMS_Comm!C38</f>
        <v>IMIK</v>
      </c>
      <c r="D12" s="21" t="str">
        <f>[4]ITEMS_Comm!D38</f>
        <v>Industry-Mining-Elec Heating - Electricity</v>
      </c>
      <c r="E12" s="13" t="str">
        <f>[4]ITEMS_Comm!E38</f>
        <v>PJ</v>
      </c>
      <c r="F12" s="13" t="str">
        <f>[4]ITEMS_Comm!F38</f>
        <v>COM,DEM,ANNUAL,RES</v>
      </c>
    </row>
    <row r="13" spans="1:7">
      <c r="A13" s="21" t="str">
        <f>[4]ITEMS_Comm!A39</f>
        <v/>
      </c>
      <c r="B13" s="13" t="str">
        <f>[4]ITEMS_Comm!B39</f>
        <v>E</v>
      </c>
      <c r="C13" s="21" t="str">
        <f>[4]ITEMS_Comm!C39</f>
        <v>IMIA</v>
      </c>
      <c r="D13" s="21" t="str">
        <f>[4]ITEMS_Comm!D39</f>
        <v>Industry-Mining-Compressed air - Electricity</v>
      </c>
      <c r="E13" s="13" t="str">
        <f>[4]ITEMS_Comm!E39</f>
        <v>PJ</v>
      </c>
      <c r="F13" s="13" t="str">
        <f>[4]ITEMS_Comm!F39</f>
        <v>COM,DEM,ANNUAL,RES</v>
      </c>
    </row>
    <row r="14" spans="1:7">
      <c r="A14" s="21" t="str">
        <f>[4]ITEMS_Comm!A40</f>
        <v/>
      </c>
      <c r="B14" s="13" t="str">
        <f>[4]ITEMS_Comm!B40</f>
        <v>E</v>
      </c>
      <c r="C14" s="21" t="str">
        <f>[4]ITEMS_Comm!C40</f>
        <v>IMIL</v>
      </c>
      <c r="D14" s="21" t="str">
        <f>[4]ITEMS_Comm!D40</f>
        <v>Industry-Mining-Lighting - Electricity</v>
      </c>
      <c r="E14" s="13" t="str">
        <f>[4]ITEMS_Comm!E40</f>
        <v>PJ</v>
      </c>
      <c r="F14" s="13" t="str">
        <f>[4]ITEMS_Comm!F40</f>
        <v>COM,DEM,ANNUAL,RES</v>
      </c>
    </row>
    <row r="15" spans="1:7">
      <c r="A15" s="21" t="str">
        <f>[4]ITEMS_Comm!A41</f>
        <v/>
      </c>
      <c r="B15" s="13" t="str">
        <f>[4]ITEMS_Comm!B41</f>
        <v>E</v>
      </c>
      <c r="C15" s="21" t="str">
        <f>[4]ITEMS_Comm!C41</f>
        <v>IMIC</v>
      </c>
      <c r="D15" s="21" t="str">
        <f>[4]ITEMS_Comm!D41</f>
        <v>Industry-Mining-Cooling - Electricity</v>
      </c>
      <c r="E15" s="13" t="str">
        <f>[4]ITEMS_Comm!E41</f>
        <v>PJ</v>
      </c>
      <c r="F15" s="13" t="str">
        <f>[4]ITEMS_Comm!F41</f>
        <v>COM,DEM,ANNUAL,RES</v>
      </c>
    </row>
    <row r="16" spans="1:7">
      <c r="A16" s="21" t="str">
        <f>[4]ITEMS_Comm!A42</f>
        <v/>
      </c>
      <c r="B16" s="13" t="str">
        <f>[4]ITEMS_Comm!B42</f>
        <v>E</v>
      </c>
      <c r="C16" s="21" t="str">
        <f>[4]ITEMS_Comm!C42</f>
        <v>IMIH</v>
      </c>
      <c r="D16" s="21" t="str">
        <f>[4]ITEMS_Comm!D42</f>
        <v>Industry-Mining-HVAC - Electricity</v>
      </c>
      <c r="E16" s="13" t="str">
        <f>[4]ITEMS_Comm!E42</f>
        <v>PJ</v>
      </c>
      <c r="F16" s="13" t="str">
        <f>[4]ITEMS_Comm!F42</f>
        <v>COM,DEM,ANNUAL,RES</v>
      </c>
    </row>
    <row r="17" spans="1:6">
      <c r="A17" s="21" t="str">
        <f>[4]ITEMS_Comm!A43</f>
        <v/>
      </c>
      <c r="B17" s="13" t="str">
        <f>[4]ITEMS_Comm!B43</f>
        <v>E</v>
      </c>
      <c r="C17" s="21" t="str">
        <f>[4]ITEMS_Comm!C43</f>
        <v>IMIP</v>
      </c>
      <c r="D17" s="21" t="str">
        <f>[4]ITEMS_Comm!D43</f>
        <v>Industry-Mining-Pumping - Electricity</v>
      </c>
      <c r="E17" s="13" t="str">
        <f>[4]ITEMS_Comm!E43</f>
        <v>PJ</v>
      </c>
      <c r="F17" s="13" t="str">
        <f>[4]ITEMS_Comm!F43</f>
        <v>COM,DEM,ANNUAL,RES</v>
      </c>
    </row>
    <row r="18" spans="1:6">
      <c r="A18" s="21" t="str">
        <f>[4]ITEMS_Comm!A44</f>
        <v/>
      </c>
      <c r="B18" s="13" t="str">
        <f>[4]ITEMS_Comm!B44</f>
        <v>E</v>
      </c>
      <c r="C18" s="21" t="str">
        <f>[4]ITEMS_Comm!C44</f>
        <v>IMIF</v>
      </c>
      <c r="D18" s="21" t="str">
        <f>[4]ITEMS_Comm!D44</f>
        <v>Industry-Mining-Fans - Electricity</v>
      </c>
      <c r="E18" s="13" t="str">
        <f>[4]ITEMS_Comm!E44</f>
        <v>PJ</v>
      </c>
      <c r="F18" s="13" t="str">
        <f>[4]ITEMS_Comm!F44</f>
        <v>COM,DEM,ANNUAL,RES</v>
      </c>
    </row>
    <row r="19" spans="1:6">
      <c r="A19" s="21" t="str">
        <f>[4]ITEMS_Comm!A45</f>
        <v/>
      </c>
      <c r="B19" s="13" t="str">
        <f>[4]ITEMS_Comm!B45</f>
        <v>E</v>
      </c>
      <c r="C19" s="21" t="str">
        <f>[4]ITEMS_Comm!C45</f>
        <v>IMIO</v>
      </c>
      <c r="D19" s="21" t="str">
        <f>[4]ITEMS_Comm!D45</f>
        <v>Industry-Mining-Other motive - Electricity</v>
      </c>
      <c r="E19" s="13" t="str">
        <f>[4]ITEMS_Comm!E45</f>
        <v>PJ</v>
      </c>
      <c r="F19" s="13" t="str">
        <f>[4]ITEMS_Comm!F45</f>
        <v>COM,DEM,ANNUAL,RES</v>
      </c>
    </row>
    <row r="20" spans="1:6">
      <c r="A20" s="21" t="str">
        <f>[4]ITEMS_Comm!A46</f>
        <v/>
      </c>
      <c r="B20" s="13" t="str">
        <f>[4]ITEMS_Comm!B46</f>
        <v>E</v>
      </c>
      <c r="C20" s="21" t="str">
        <f>[4]ITEMS_Comm!C46</f>
        <v>IMIE</v>
      </c>
      <c r="D20" s="21" t="str">
        <f>[4]ITEMS_Comm!D46</f>
        <v>Industry-Mining-Electrochemical - Electricity</v>
      </c>
      <c r="E20" s="13" t="str">
        <f>[4]ITEMS_Comm!E46</f>
        <v>PJ</v>
      </c>
      <c r="F20" s="13" t="str">
        <f>[4]ITEMS_Comm!F46</f>
        <v>COM,DEM,ANNUAL,RES</v>
      </c>
    </row>
    <row r="21" spans="1:6">
      <c r="A21" s="21" t="str">
        <f>[4]ITEMS_Comm!A47</f>
        <v>*</v>
      </c>
      <c r="B21" s="13" t="str">
        <f>[4]ITEMS_Comm!B47</f>
        <v>E</v>
      </c>
      <c r="C21" s="21">
        <f>[4]ITEMS_Comm!C47</f>
        <v>0</v>
      </c>
      <c r="D21" s="21" t="str">
        <f>[4]ITEMS_Comm!D47</f>
        <v/>
      </c>
      <c r="E21" s="13" t="str">
        <f>[4]ITEMS_Comm!E47</f>
        <v>PJ</v>
      </c>
      <c r="F21" s="13" t="str">
        <f>[4]ITEMS_Comm!F47</f>
        <v>COM,DEM,ANNUAL,RES</v>
      </c>
    </row>
    <row r="22" spans="1:6">
      <c r="A22" s="21" t="str">
        <f>[4]ITEMS_Comm!A48</f>
        <v/>
      </c>
      <c r="B22" s="13" t="str">
        <f>[4]ITEMS_Comm!B48</f>
        <v>E</v>
      </c>
      <c r="C22" s="21" t="str">
        <f>[4]ITEMS_Comm!C48</f>
        <v>IMIS</v>
      </c>
      <c r="D22" s="21" t="str">
        <f>[4]ITEMS_Comm!D48</f>
        <v>Industry-Mining-boiler/process heating - Coal - Existing</v>
      </c>
      <c r="E22" s="13" t="str">
        <f>[4]ITEMS_Comm!E48</f>
        <v>PJ</v>
      </c>
      <c r="F22" s="13" t="str">
        <f>[4]ITEMS_Comm!F48</f>
        <v>COM,DEM,ANNUAL,RES</v>
      </c>
    </row>
    <row r="23" spans="1:6">
      <c r="A23" s="21" t="str">
        <f>[4]ITEMS_Comm!A49</f>
        <v/>
      </c>
      <c r="B23" s="13" t="str">
        <f>[4]ITEMS_Comm!B49</f>
        <v>E</v>
      </c>
      <c r="C23" s="21" t="str">
        <f>[4]ITEMS_Comm!C49</f>
        <v>IMIS</v>
      </c>
      <c r="D23" s="21" t="str">
        <f>[4]ITEMS_Comm!D49</f>
        <v>Industry-Mining-boiler/process heating - Gas - Existing</v>
      </c>
      <c r="E23" s="13" t="str">
        <f>[4]ITEMS_Comm!E49</f>
        <v>PJ</v>
      </c>
      <c r="F23" s="13" t="str">
        <f>[4]ITEMS_Comm!F49</f>
        <v>COM,DEM,ANNUAL,RES</v>
      </c>
    </row>
    <row r="24" spans="1:6">
      <c r="A24" s="21" t="str">
        <f>[4]ITEMS_Comm!A50</f>
        <v/>
      </c>
      <c r="B24" s="13" t="str">
        <f>[4]ITEMS_Comm!B50</f>
        <v>E</v>
      </c>
      <c r="C24" s="21" t="str">
        <f>[4]ITEMS_Comm!C50</f>
        <v>IMIS</v>
      </c>
      <c r="D24" s="21" t="str">
        <f>[4]ITEMS_Comm!D50</f>
        <v>Industry-Mining-boiler/process heating - Oil HFO - Existing</v>
      </c>
      <c r="E24" s="13" t="str">
        <f>[4]ITEMS_Comm!E50</f>
        <v>PJ</v>
      </c>
      <c r="F24" s="13" t="str">
        <f>[4]ITEMS_Comm!F50</f>
        <v>COM,DEM,ANNUAL,RES</v>
      </c>
    </row>
    <row r="25" spans="1:6">
      <c r="A25" s="21" t="str">
        <f>[4]ITEMS_Comm!A51</f>
        <v/>
      </c>
      <c r="B25" s="13" t="str">
        <f>[4]ITEMS_Comm!B51</f>
        <v>E</v>
      </c>
      <c r="C25" s="21" t="str">
        <f>[4]ITEMS_Comm!C51</f>
        <v>IMIS</v>
      </c>
      <c r="D25" s="21" t="str">
        <f>[4]ITEMS_Comm!D51</f>
        <v>Industry-Mining-boiler/process heating - Oil LPG - Existing</v>
      </c>
      <c r="E25" s="13" t="str">
        <f>[4]ITEMS_Comm!E51</f>
        <v>PJ</v>
      </c>
      <c r="F25" s="13" t="str">
        <f>[4]ITEMS_Comm!F51</f>
        <v>COM,DEM,ANNUAL,RES</v>
      </c>
    </row>
    <row r="26" spans="1:6">
      <c r="A26" s="21" t="str">
        <f>[4]ITEMS_Comm!A52</f>
        <v/>
      </c>
      <c r="B26" s="13" t="str">
        <f>[4]ITEMS_Comm!B52</f>
        <v>E</v>
      </c>
      <c r="C26" s="21" t="str">
        <f>[4]ITEMS_Comm!C52</f>
        <v>IMIS</v>
      </c>
      <c r="D26" s="21" t="str">
        <f>[4]ITEMS_Comm!D52</f>
        <v>Industry-Mining-boiler/process heating - Electricity - Existing</v>
      </c>
      <c r="E26" s="13" t="str">
        <f>[4]ITEMS_Comm!E52</f>
        <v>PJ</v>
      </c>
      <c r="F26" s="13" t="str">
        <f>[4]ITEMS_Comm!F52</f>
        <v>COM,DEM,ANNUAL,RES</v>
      </c>
    </row>
    <row r="27" spans="1:6">
      <c r="A27" s="21" t="str">
        <f>[4]ITEMS_Comm!A53</f>
        <v/>
      </c>
      <c r="B27" s="13" t="str">
        <f>[4]ITEMS_Comm!B53</f>
        <v>E</v>
      </c>
      <c r="C27" s="21" t="str">
        <f>[4]ITEMS_Comm!C53</f>
        <v>IMIS</v>
      </c>
      <c r="D27" s="21" t="str">
        <f>[4]ITEMS_Comm!D53</f>
        <v>Industry-Mining-boiler/process heating - Waste - Existing</v>
      </c>
      <c r="E27" s="13" t="str">
        <f>[4]ITEMS_Comm!E53</f>
        <v>PJ</v>
      </c>
      <c r="F27" s="13" t="str">
        <f>[4]ITEMS_Comm!F53</f>
        <v>COM,DEM,ANNUAL,RES</v>
      </c>
    </row>
    <row r="28" spans="1:6">
      <c r="A28" s="21" t="str">
        <f>[4]ITEMS_Comm!A54</f>
        <v>*</v>
      </c>
      <c r="B28" s="13" t="str">
        <f>[4]ITEMS_Comm!B54</f>
        <v>E</v>
      </c>
      <c r="C28" s="21">
        <f>[4]ITEMS_Comm!C54</f>
        <v>0</v>
      </c>
      <c r="D28" s="21" t="str">
        <f>[4]ITEMS_Comm!D54</f>
        <v/>
      </c>
      <c r="E28" s="13" t="str">
        <f>[4]ITEMS_Comm!E54</f>
        <v>PJ</v>
      </c>
      <c r="F28" s="13" t="str">
        <f>[4]ITEMS_Comm!F54</f>
        <v>COM,DEM,ANNUAL,RES</v>
      </c>
    </row>
    <row r="29" spans="1:6">
      <c r="A29" s="21" t="str">
        <f>[4]ITEMS_Comm!A55</f>
        <v/>
      </c>
      <c r="B29" s="13" t="str">
        <f>[4]ITEMS_Comm!B55</f>
        <v>E</v>
      </c>
      <c r="C29" s="21" t="str">
        <f>[4]ITEMS_Comm!C55</f>
        <v>IMIR</v>
      </c>
      <c r="D29" s="21" t="str">
        <f>[4]ITEMS_Comm!D55</f>
        <v>Industry-Mining-Transport - Oil Diesel - Existing</v>
      </c>
      <c r="E29" s="13" t="str">
        <f>[4]ITEMS_Comm!E55</f>
        <v>PJ</v>
      </c>
      <c r="F29" s="13" t="str">
        <f>[4]ITEMS_Comm!F55</f>
        <v>COM,DEM,ANNUAL,RES</v>
      </c>
    </row>
    <row r="30" spans="1:6">
      <c r="A30" s="21" t="str">
        <f>[4]ITEMS_Comm!A56</f>
        <v>*</v>
      </c>
      <c r="B30" s="13" t="str">
        <f>[4]ITEMS_Comm!B56</f>
        <v>E</v>
      </c>
      <c r="C30" s="21" t="str">
        <f>[4]ITEMS_Comm!C56</f>
        <v>Useful Energy Service</v>
      </c>
      <c r="D30" s="21" t="str">
        <f>[4]ITEMS_Comm!D56</f>
        <v/>
      </c>
      <c r="E30" s="13" t="str">
        <f>[4]ITEMS_Comm!E56</f>
        <v>PJ</v>
      </c>
      <c r="F30" s="13" t="str">
        <f>[4]ITEMS_Comm!F56</f>
        <v>COM,DEM,ANNUAL,RES</v>
      </c>
    </row>
    <row r="31" spans="1:6">
      <c r="A31" s="21" t="str">
        <f>[4]ITEMS_Comm!A57</f>
        <v>*</v>
      </c>
      <c r="B31" s="13" t="str">
        <f>[4]ITEMS_Comm!B57</f>
        <v>E</v>
      </c>
      <c r="C31" s="21">
        <f>[4]ITEMS_Comm!C57</f>
        <v>0</v>
      </c>
      <c r="D31" s="21" t="str">
        <f>[4]ITEMS_Comm!D57</f>
        <v/>
      </c>
      <c r="E31" s="13" t="str">
        <f>[4]ITEMS_Comm!E57</f>
        <v>PJ</v>
      </c>
      <c r="F31" s="13" t="str">
        <f>[4]ITEMS_Comm!F57</f>
        <v>COM,DEM,ANNUAL,RES</v>
      </c>
    </row>
    <row r="32" spans="1:6">
      <c r="A32" s="21" t="str">
        <f>[4]ITEMS_Comm!A58</f>
        <v>*</v>
      </c>
      <c r="B32" s="13" t="str">
        <f>[4]ITEMS_Comm!B58</f>
        <v>E</v>
      </c>
      <c r="C32" s="21">
        <f>[4]ITEMS_Comm!C58</f>
        <v>2</v>
      </c>
      <c r="D32" s="21" t="str">
        <f>[4]ITEMS_Comm!D58</f>
        <v/>
      </c>
      <c r="E32" s="13" t="str">
        <f>[4]ITEMS_Comm!E58</f>
        <v>PJ</v>
      </c>
      <c r="F32" s="13" t="str">
        <f>[4]ITEMS_Comm!F58</f>
        <v>COM,DEM,ANNUAL,RES</v>
      </c>
    </row>
    <row r="33" spans="1:6">
      <c r="A33" s="21" t="str">
        <f>[4]ITEMS_Comm!A59</f>
        <v>*</v>
      </c>
      <c r="B33" s="13" t="str">
        <f>[4]ITEMS_Comm!B59</f>
        <v>E</v>
      </c>
      <c r="C33" s="21" t="str">
        <f>[4]ITEMS_Comm!C59</f>
        <v>IFAK</v>
      </c>
      <c r="D33" s="21" t="str">
        <f>[4]ITEMS_Comm!D59</f>
        <v/>
      </c>
      <c r="E33" s="13" t="str">
        <f>[4]ITEMS_Comm!E59</f>
        <v>PJ</v>
      </c>
      <c r="F33" s="13" t="str">
        <f>[4]ITEMS_Comm!F59</f>
        <v>COM,DEM,ANNUAL,RES</v>
      </c>
    </row>
    <row r="34" spans="1:6">
      <c r="A34" s="21" t="str">
        <f>[4]ITEMS_Comm!A60</f>
        <v>*</v>
      </c>
      <c r="B34" s="13" t="str">
        <f>[4]ITEMS_Comm!B60</f>
        <v>E</v>
      </c>
      <c r="C34" s="21" t="str">
        <f>[4]ITEMS_Comm!C60</f>
        <v>IFAA</v>
      </c>
      <c r="D34" s="21" t="str">
        <f>[4]ITEMS_Comm!D60</f>
        <v/>
      </c>
      <c r="E34" s="13" t="str">
        <f>[4]ITEMS_Comm!E60</f>
        <v>PJ</v>
      </c>
      <c r="F34" s="13" t="str">
        <f>[4]ITEMS_Comm!F60</f>
        <v>COM,DEM,ANNUAL,RES</v>
      </c>
    </row>
    <row r="35" spans="1:6">
      <c r="A35" s="21" t="str">
        <f>[4]ITEMS_Comm!A61</f>
        <v>*</v>
      </c>
      <c r="B35" s="13" t="str">
        <f>[4]ITEMS_Comm!B61</f>
        <v>E</v>
      </c>
      <c r="C35" s="21" t="str">
        <f>[4]ITEMS_Comm!C61</f>
        <v>IFAL</v>
      </c>
      <c r="D35" s="21" t="str">
        <f>[4]ITEMS_Comm!D61</f>
        <v/>
      </c>
      <c r="E35" s="13" t="str">
        <f>[4]ITEMS_Comm!E61</f>
        <v>PJ</v>
      </c>
      <c r="F35" s="13" t="str">
        <f>[4]ITEMS_Comm!F61</f>
        <v>COM,DEM,ANNUAL,RES</v>
      </c>
    </row>
    <row r="36" spans="1:6">
      <c r="A36" s="21" t="str">
        <f>[4]ITEMS_Comm!A62</f>
        <v>*</v>
      </c>
      <c r="B36" s="13" t="str">
        <f>[4]ITEMS_Comm!B62</f>
        <v>E</v>
      </c>
      <c r="C36" s="21" t="str">
        <f>[4]ITEMS_Comm!C62</f>
        <v>IFAC</v>
      </c>
      <c r="D36" s="21" t="str">
        <f>[4]ITEMS_Comm!D62</f>
        <v/>
      </c>
      <c r="E36" s="13" t="str">
        <f>[4]ITEMS_Comm!E62</f>
        <v>PJ</v>
      </c>
      <c r="F36" s="13" t="str">
        <f>[4]ITEMS_Comm!F62</f>
        <v>COM,DEM,ANNUAL,RES</v>
      </c>
    </row>
    <row r="37" spans="1:6">
      <c r="A37" s="21" t="str">
        <f>[4]ITEMS_Comm!A63</f>
        <v>*</v>
      </c>
      <c r="B37" s="13" t="str">
        <f>[4]ITEMS_Comm!B63</f>
        <v>E</v>
      </c>
      <c r="C37" s="21" t="str">
        <f>[4]ITEMS_Comm!C63</f>
        <v>IFAH</v>
      </c>
      <c r="D37" s="21" t="str">
        <f>[4]ITEMS_Comm!D63</f>
        <v/>
      </c>
      <c r="E37" s="13" t="str">
        <f>[4]ITEMS_Comm!E63</f>
        <v>PJ</v>
      </c>
      <c r="F37" s="13" t="str">
        <f>[4]ITEMS_Comm!F63</f>
        <v>COM,DEM,ANNUAL,RES</v>
      </c>
    </row>
    <row r="38" spans="1:6">
      <c r="A38" s="21" t="str">
        <f>[4]ITEMS_Comm!A64</f>
        <v>*</v>
      </c>
      <c r="B38" s="13" t="str">
        <f>[4]ITEMS_Comm!B64</f>
        <v>E</v>
      </c>
      <c r="C38" s="21" t="str">
        <f>[4]ITEMS_Comm!C64</f>
        <v>IFAP</v>
      </c>
      <c r="D38" s="21" t="str">
        <f>[4]ITEMS_Comm!D64</f>
        <v/>
      </c>
      <c r="E38" s="13" t="str">
        <f>[4]ITEMS_Comm!E64</f>
        <v>PJ</v>
      </c>
      <c r="F38" s="13" t="str">
        <f>[4]ITEMS_Comm!F64</f>
        <v>COM,DEM,ANNUAL,RES</v>
      </c>
    </row>
    <row r="39" spans="1:6">
      <c r="A39" s="21" t="str">
        <f>[4]ITEMS_Comm!A65</f>
        <v>*</v>
      </c>
      <c r="B39" s="13" t="str">
        <f>[4]ITEMS_Comm!B65</f>
        <v>E</v>
      </c>
      <c r="C39" s="21" t="str">
        <f>[4]ITEMS_Comm!C65</f>
        <v>IFAF</v>
      </c>
      <c r="D39" s="21" t="str">
        <f>[4]ITEMS_Comm!D65</f>
        <v/>
      </c>
      <c r="E39" s="13" t="str">
        <f>[4]ITEMS_Comm!E65</f>
        <v>PJ</v>
      </c>
      <c r="F39" s="13" t="str">
        <f>[4]ITEMS_Comm!F65</f>
        <v>COM,DEM,ANNUAL,RES</v>
      </c>
    </row>
    <row r="40" spans="1:6">
      <c r="A40" s="21" t="str">
        <f>[4]ITEMS_Comm!A66</f>
        <v>*</v>
      </c>
      <c r="B40" s="13" t="str">
        <f>[4]ITEMS_Comm!B66</f>
        <v>E</v>
      </c>
      <c r="C40" s="21" t="str">
        <f>[4]ITEMS_Comm!C66</f>
        <v>IFAO</v>
      </c>
      <c r="D40" s="21" t="str">
        <f>[4]ITEMS_Comm!D66</f>
        <v/>
      </c>
      <c r="E40" s="13" t="str">
        <f>[4]ITEMS_Comm!E66</f>
        <v>PJ</v>
      </c>
      <c r="F40" s="13" t="str">
        <f>[4]ITEMS_Comm!F66</f>
        <v>COM,DEM,ANNUAL,RES</v>
      </c>
    </row>
    <row r="41" spans="1:6">
      <c r="A41" s="21" t="str">
        <f>[4]ITEMS_Comm!A67</f>
        <v>*</v>
      </c>
      <c r="B41" s="13" t="str">
        <f>[4]ITEMS_Comm!B67</f>
        <v>E</v>
      </c>
      <c r="C41" s="21" t="str">
        <f>[4]ITEMS_Comm!C67</f>
        <v>IFAE</v>
      </c>
      <c r="D41" s="21" t="str">
        <f>[4]ITEMS_Comm!D67</f>
        <v/>
      </c>
      <c r="E41" s="13" t="str">
        <f>[4]ITEMS_Comm!E67</f>
        <v>PJ</v>
      </c>
      <c r="F41" s="13" t="str">
        <f>[4]ITEMS_Comm!F67</f>
        <v>COM,DEM,ANNUAL,RES</v>
      </c>
    </row>
    <row r="42" spans="1:6">
      <c r="A42" s="21" t="str">
        <f>[4]ITEMS_Comm!A68</f>
        <v>*</v>
      </c>
      <c r="B42" s="13" t="str">
        <f>[4]ITEMS_Comm!B68</f>
        <v>E</v>
      </c>
      <c r="C42" s="21">
        <f>[4]ITEMS_Comm!C68</f>
        <v>0</v>
      </c>
      <c r="D42" s="21" t="str">
        <f>[4]ITEMS_Comm!D68</f>
        <v/>
      </c>
      <c r="E42" s="13" t="str">
        <f>[4]ITEMS_Comm!E68</f>
        <v>PJ</v>
      </c>
      <c r="F42" s="13" t="str">
        <f>[4]ITEMS_Comm!F68</f>
        <v>COM,DEM,ANNUAL,RES</v>
      </c>
    </row>
    <row r="43" spans="1:6">
      <c r="A43" s="21" t="str">
        <f>[4]ITEMS_Comm!A69</f>
        <v>*</v>
      </c>
      <c r="B43" s="13" t="str">
        <f>[4]ITEMS_Comm!B69</f>
        <v>E</v>
      </c>
      <c r="C43" s="21" t="str">
        <f>[4]ITEMS_Comm!C69</f>
        <v>IFAS</v>
      </c>
      <c r="D43" s="21" t="str">
        <f>[4]ITEMS_Comm!D69</f>
        <v/>
      </c>
      <c r="E43" s="13" t="str">
        <f>[4]ITEMS_Comm!E69</f>
        <v>PJ</v>
      </c>
      <c r="F43" s="13" t="str">
        <f>[4]ITEMS_Comm!F69</f>
        <v>COM,DEM,ANNUAL,RES</v>
      </c>
    </row>
    <row r="44" spans="1:6">
      <c r="A44" s="21" t="str">
        <f>[4]ITEMS_Comm!A70</f>
        <v>*</v>
      </c>
      <c r="B44" s="13" t="str">
        <f>[4]ITEMS_Comm!B70</f>
        <v>E</v>
      </c>
      <c r="C44" s="21" t="str">
        <f>[4]ITEMS_Comm!C70</f>
        <v>IFAS</v>
      </c>
      <c r="D44" s="21" t="str">
        <f>[4]ITEMS_Comm!D70</f>
        <v/>
      </c>
      <c r="E44" s="13" t="str">
        <f>[4]ITEMS_Comm!E70</f>
        <v>PJ</v>
      </c>
      <c r="F44" s="13" t="str">
        <f>[4]ITEMS_Comm!F70</f>
        <v>COM,DEM,ANNUAL,RES</v>
      </c>
    </row>
    <row r="45" spans="1:6">
      <c r="A45" s="21" t="str">
        <f>[4]ITEMS_Comm!A71</f>
        <v>*</v>
      </c>
      <c r="B45" s="13" t="str">
        <f>[4]ITEMS_Comm!B71</f>
        <v>E</v>
      </c>
      <c r="C45" s="21" t="str">
        <f>[4]ITEMS_Comm!C71</f>
        <v>IFAS</v>
      </c>
      <c r="D45" s="21" t="str">
        <f>[4]ITEMS_Comm!D71</f>
        <v/>
      </c>
      <c r="E45" s="13" t="str">
        <f>[4]ITEMS_Comm!E71</f>
        <v>PJ</v>
      </c>
      <c r="F45" s="13" t="str">
        <f>[4]ITEMS_Comm!F71</f>
        <v>COM,DEM,ANNUAL,RES</v>
      </c>
    </row>
    <row r="46" spans="1:6">
      <c r="A46" s="21" t="str">
        <f>[4]ITEMS_Comm!A72</f>
        <v>*</v>
      </c>
      <c r="B46" s="13" t="str">
        <f>[4]ITEMS_Comm!B72</f>
        <v>E</v>
      </c>
      <c r="C46" s="21" t="str">
        <f>[4]ITEMS_Comm!C72</f>
        <v>IFAS</v>
      </c>
      <c r="D46" s="21" t="str">
        <f>[4]ITEMS_Comm!D72</f>
        <v/>
      </c>
      <c r="E46" s="13" t="str">
        <f>[4]ITEMS_Comm!E72</f>
        <v>PJ</v>
      </c>
      <c r="F46" s="13" t="str">
        <f>[4]ITEMS_Comm!F72</f>
        <v>COM,DEM,ANNUAL,RES</v>
      </c>
    </row>
    <row r="47" spans="1:6">
      <c r="A47" s="21" t="str">
        <f>[4]ITEMS_Comm!A73</f>
        <v>*</v>
      </c>
      <c r="B47" s="13" t="str">
        <f>[4]ITEMS_Comm!B73</f>
        <v>E</v>
      </c>
      <c r="C47" s="21" t="str">
        <f>[4]ITEMS_Comm!C73</f>
        <v>IFAS</v>
      </c>
      <c r="D47" s="21" t="str">
        <f>[4]ITEMS_Comm!D73</f>
        <v/>
      </c>
      <c r="E47" s="13" t="str">
        <f>[4]ITEMS_Comm!E73</f>
        <v>PJ</v>
      </c>
      <c r="F47" s="13" t="str">
        <f>[4]ITEMS_Comm!F73</f>
        <v>COM,DEM,ANNUAL,RES</v>
      </c>
    </row>
    <row r="48" spans="1:6">
      <c r="A48" s="21" t="str">
        <f>[4]ITEMS_Comm!A74</f>
        <v>*</v>
      </c>
      <c r="B48" s="13" t="str">
        <f>[4]ITEMS_Comm!B74</f>
        <v>E</v>
      </c>
      <c r="C48" s="21" t="str">
        <f>[4]ITEMS_Comm!C74</f>
        <v>IFAS</v>
      </c>
      <c r="D48" s="21" t="str">
        <f>[4]ITEMS_Comm!D74</f>
        <v/>
      </c>
      <c r="E48" s="13" t="str">
        <f>[4]ITEMS_Comm!E74</f>
        <v>PJ</v>
      </c>
      <c r="F48" s="13" t="str">
        <f>[4]ITEMS_Comm!F74</f>
        <v>COM,DEM,ANNUAL,RES</v>
      </c>
    </row>
    <row r="49" spans="1:6">
      <c r="A49" s="21" t="str">
        <f>[4]ITEMS_Comm!A75</f>
        <v>*</v>
      </c>
      <c r="B49" s="13" t="str">
        <f>[4]ITEMS_Comm!B75</f>
        <v>E</v>
      </c>
      <c r="C49" s="21">
        <f>[4]ITEMS_Comm!C75</f>
        <v>0</v>
      </c>
      <c r="D49" s="21" t="str">
        <f>[4]ITEMS_Comm!D75</f>
        <v/>
      </c>
      <c r="E49" s="13" t="str">
        <f>[4]ITEMS_Comm!E75</f>
        <v>PJ</v>
      </c>
      <c r="F49" s="13" t="str">
        <f>[4]ITEMS_Comm!F75</f>
        <v>COM,DEM,ANNUAL,RES</v>
      </c>
    </row>
    <row r="50" spans="1:6">
      <c r="A50" s="21" t="str">
        <f>[4]ITEMS_Comm!A76</f>
        <v>*</v>
      </c>
      <c r="B50" s="13" t="str">
        <f>[4]ITEMS_Comm!B76</f>
        <v>E</v>
      </c>
      <c r="C50" s="21" t="str">
        <f>[4]ITEMS_Comm!C76</f>
        <v>IFAR</v>
      </c>
      <c r="D50" s="21" t="str">
        <f>[4]ITEMS_Comm!D76</f>
        <v/>
      </c>
      <c r="E50" s="13" t="str">
        <f>[4]ITEMS_Comm!E76</f>
        <v>PJ</v>
      </c>
      <c r="F50" s="13" t="str">
        <f>[4]ITEMS_Comm!F76</f>
        <v>COM,DEM,ANNUAL,RES</v>
      </c>
    </row>
    <row r="51" spans="1:6">
      <c r="A51" s="21" t="str">
        <f>[4]ITEMS_Comm!A77</f>
        <v>*</v>
      </c>
      <c r="B51" s="13" t="str">
        <f>[4]ITEMS_Comm!B77</f>
        <v>E</v>
      </c>
      <c r="C51" s="21" t="str">
        <f>[4]ITEMS_Comm!C77</f>
        <v>Useful Energy Service</v>
      </c>
      <c r="D51" s="21" t="str">
        <f>[4]ITEMS_Comm!D77</f>
        <v/>
      </c>
      <c r="E51" s="13" t="str">
        <f>[4]ITEMS_Comm!E77</f>
        <v>PJ</v>
      </c>
      <c r="F51" s="13" t="str">
        <f>[4]ITEMS_Comm!F77</f>
        <v>COM,DEM,ANNUAL,RES</v>
      </c>
    </row>
    <row r="52" spans="1:6">
      <c r="A52" s="21" t="str">
        <f>[4]ITEMS_Comm!A78</f>
        <v>*</v>
      </c>
      <c r="B52" s="13" t="str">
        <f>[4]ITEMS_Comm!B78</f>
        <v>E</v>
      </c>
      <c r="C52" s="21">
        <f>[4]ITEMS_Comm!C78</f>
        <v>0</v>
      </c>
      <c r="D52" s="21" t="str">
        <f>[4]ITEMS_Comm!D78</f>
        <v/>
      </c>
      <c r="E52" s="13" t="str">
        <f>[4]ITEMS_Comm!E78</f>
        <v>PJ</v>
      </c>
      <c r="F52" s="13" t="str">
        <f>[4]ITEMS_Comm!F78</f>
        <v>COM,DEM,ANNUAL,RES</v>
      </c>
    </row>
    <row r="53" spans="1:6">
      <c r="A53" s="21" t="str">
        <f>[4]ITEMS_Comm!A79</f>
        <v>*</v>
      </c>
      <c r="B53" s="13" t="str">
        <f>[4]ITEMS_Comm!B79</f>
        <v>E</v>
      </c>
      <c r="C53" s="21">
        <f>[4]ITEMS_Comm!C79</f>
        <v>2</v>
      </c>
      <c r="D53" s="21" t="str">
        <f>[4]ITEMS_Comm!D79</f>
        <v/>
      </c>
      <c r="E53" s="13" t="str">
        <f>[4]ITEMS_Comm!E79</f>
        <v>PJ</v>
      </c>
      <c r="F53" s="13" t="str">
        <f>[4]ITEMS_Comm!F79</f>
        <v>COM,DEM,ANNUAL,RES</v>
      </c>
    </row>
    <row r="54" spans="1:6">
      <c r="A54" s="21" t="str">
        <f>[4]ITEMS_Comm!A80</f>
        <v>*</v>
      </c>
      <c r="B54" s="13" t="str">
        <f>[4]ITEMS_Comm!B80</f>
        <v>E</v>
      </c>
      <c r="C54" s="21" t="str">
        <f>[4]ITEMS_Comm!C80</f>
        <v>IISK</v>
      </c>
      <c r="D54" s="21" t="str">
        <f>[4]ITEMS_Comm!D80</f>
        <v/>
      </c>
      <c r="E54" s="13" t="str">
        <f>[4]ITEMS_Comm!E80</f>
        <v>PJ</v>
      </c>
      <c r="F54" s="13" t="str">
        <f>[4]ITEMS_Comm!F80</f>
        <v>COM,DEM,ANNUAL,RES</v>
      </c>
    </row>
    <row r="55" spans="1:6">
      <c r="A55" s="21" t="str">
        <f>[4]ITEMS_Comm!A81</f>
        <v>*</v>
      </c>
      <c r="B55" s="13" t="str">
        <f>[4]ITEMS_Comm!B81</f>
        <v>E</v>
      </c>
      <c r="C55" s="21" t="str">
        <f>[4]ITEMS_Comm!C81</f>
        <v>IISA</v>
      </c>
      <c r="D55" s="21" t="str">
        <f>[4]ITEMS_Comm!D81</f>
        <v/>
      </c>
      <c r="E55" s="13" t="str">
        <f>[4]ITEMS_Comm!E81</f>
        <v>PJ</v>
      </c>
      <c r="F55" s="13" t="str">
        <f>[4]ITEMS_Comm!F81</f>
        <v>COM,DEM,ANNUAL,RES</v>
      </c>
    </row>
    <row r="56" spans="1:6">
      <c r="A56" s="21" t="str">
        <f>[4]ITEMS_Comm!A82</f>
        <v>*</v>
      </c>
      <c r="B56" s="13" t="str">
        <f>[4]ITEMS_Comm!B82</f>
        <v>E</v>
      </c>
      <c r="C56" s="21" t="str">
        <f>[4]ITEMS_Comm!C82</f>
        <v>IISL</v>
      </c>
      <c r="D56" s="21" t="str">
        <f>[4]ITEMS_Comm!D82</f>
        <v/>
      </c>
      <c r="E56" s="13" t="str">
        <f>[4]ITEMS_Comm!E82</f>
        <v>PJ</v>
      </c>
      <c r="F56" s="13" t="str">
        <f>[4]ITEMS_Comm!F82</f>
        <v>COM,DEM,ANNUAL,RES</v>
      </c>
    </row>
    <row r="57" spans="1:6">
      <c r="A57" s="21" t="str">
        <f>[4]ITEMS_Comm!A83</f>
        <v>*</v>
      </c>
      <c r="B57" s="13" t="str">
        <f>[4]ITEMS_Comm!B83</f>
        <v>E</v>
      </c>
      <c r="C57" s="21" t="str">
        <f>[4]ITEMS_Comm!C83</f>
        <v>IISC</v>
      </c>
      <c r="D57" s="21" t="str">
        <f>[4]ITEMS_Comm!D83</f>
        <v/>
      </c>
      <c r="E57" s="13" t="str">
        <f>[4]ITEMS_Comm!E83</f>
        <v>PJ</v>
      </c>
      <c r="F57" s="13" t="str">
        <f>[4]ITEMS_Comm!F83</f>
        <v>COM,DEM,ANNUAL,RES</v>
      </c>
    </row>
    <row r="58" spans="1:6">
      <c r="A58" s="21" t="str">
        <f>[4]ITEMS_Comm!A84</f>
        <v>*</v>
      </c>
      <c r="B58" s="13" t="str">
        <f>[4]ITEMS_Comm!B84</f>
        <v>E</v>
      </c>
      <c r="C58" s="21" t="str">
        <f>[4]ITEMS_Comm!C84</f>
        <v>IISH</v>
      </c>
      <c r="D58" s="21" t="str">
        <f>[4]ITEMS_Comm!D84</f>
        <v/>
      </c>
      <c r="E58" s="13" t="str">
        <f>[4]ITEMS_Comm!E84</f>
        <v>PJ</v>
      </c>
      <c r="F58" s="13" t="str">
        <f>[4]ITEMS_Comm!F84</f>
        <v>COM,DEM,ANNUAL,RES</v>
      </c>
    </row>
    <row r="59" spans="1:6">
      <c r="A59" s="21" t="str">
        <f>[4]ITEMS_Comm!A85</f>
        <v>*</v>
      </c>
      <c r="B59" s="13" t="str">
        <f>[4]ITEMS_Comm!B85</f>
        <v>E</v>
      </c>
      <c r="C59" s="21" t="str">
        <f>[4]ITEMS_Comm!C85</f>
        <v>IISP</v>
      </c>
      <c r="D59" s="21" t="str">
        <f>[4]ITEMS_Comm!D85</f>
        <v/>
      </c>
      <c r="E59" s="13" t="str">
        <f>[4]ITEMS_Comm!E85</f>
        <v>PJ</v>
      </c>
      <c r="F59" s="13" t="str">
        <f>[4]ITEMS_Comm!F85</f>
        <v>COM,DEM,ANNUAL,RES</v>
      </c>
    </row>
    <row r="60" spans="1:6">
      <c r="A60" s="21" t="str">
        <f>[4]ITEMS_Comm!A86</f>
        <v>*</v>
      </c>
      <c r="B60" s="13" t="str">
        <f>[4]ITEMS_Comm!B86</f>
        <v>E</v>
      </c>
      <c r="C60" s="21" t="str">
        <f>[4]ITEMS_Comm!C86</f>
        <v>IISF</v>
      </c>
      <c r="D60" s="21" t="str">
        <f>[4]ITEMS_Comm!D86</f>
        <v/>
      </c>
      <c r="E60" s="13" t="str">
        <f>[4]ITEMS_Comm!E86</f>
        <v>PJ</v>
      </c>
      <c r="F60" s="13" t="str">
        <f>[4]ITEMS_Comm!F86</f>
        <v>COM,DEM,ANNUAL,RES</v>
      </c>
    </row>
    <row r="61" spans="1:6">
      <c r="A61" s="21" t="str">
        <f>[4]ITEMS_Comm!A87</f>
        <v>*</v>
      </c>
      <c r="B61" s="13" t="str">
        <f>[4]ITEMS_Comm!B87</f>
        <v>E</v>
      </c>
      <c r="C61" s="21" t="str">
        <f>[4]ITEMS_Comm!C87</f>
        <v>IISO</v>
      </c>
      <c r="D61" s="21" t="str">
        <f>[4]ITEMS_Comm!D87</f>
        <v/>
      </c>
      <c r="E61" s="13" t="str">
        <f>[4]ITEMS_Comm!E87</f>
        <v>PJ</v>
      </c>
      <c r="F61" s="13" t="str">
        <f>[4]ITEMS_Comm!F87</f>
        <v>COM,DEM,ANNUAL,RES</v>
      </c>
    </row>
    <row r="62" spans="1:6">
      <c r="A62" s="21" t="str">
        <f>[4]ITEMS_Comm!A88</f>
        <v>*</v>
      </c>
      <c r="B62" s="13" t="str">
        <f>[4]ITEMS_Comm!B88</f>
        <v>E</v>
      </c>
      <c r="C62" s="21" t="str">
        <f>[4]ITEMS_Comm!C88</f>
        <v>IISE</v>
      </c>
      <c r="D62" s="21" t="str">
        <f>[4]ITEMS_Comm!D88</f>
        <v/>
      </c>
      <c r="E62" s="13" t="str">
        <f>[4]ITEMS_Comm!E88</f>
        <v>PJ</v>
      </c>
      <c r="F62" s="13" t="str">
        <f>[4]ITEMS_Comm!F88</f>
        <v>COM,DEM,ANNUAL,RES</v>
      </c>
    </row>
    <row r="63" spans="1:6">
      <c r="A63" s="21" t="str">
        <f>[4]ITEMS_Comm!A89</f>
        <v>*</v>
      </c>
      <c r="B63" s="13" t="str">
        <f>[4]ITEMS_Comm!B89</f>
        <v>E</v>
      </c>
      <c r="C63" s="21" t="str">
        <f>[4]ITEMS_Comm!C89</f>
        <v xml:space="preserve"> </v>
      </c>
      <c r="D63" s="21" t="str">
        <f>[4]ITEMS_Comm!D89</f>
        <v/>
      </c>
      <c r="E63" s="13" t="str">
        <f>[4]ITEMS_Comm!E89</f>
        <v>PJ</v>
      </c>
      <c r="F63" s="13" t="str">
        <f>[4]ITEMS_Comm!F89</f>
        <v>COM,DEM,ANNUAL,RES</v>
      </c>
    </row>
    <row r="64" spans="1:6">
      <c r="A64" s="21" t="str">
        <f>[4]ITEMS_Comm!A90</f>
        <v>*</v>
      </c>
      <c r="B64" s="13" t="str">
        <f>[4]ITEMS_Comm!B90</f>
        <v>E</v>
      </c>
      <c r="C64" s="21" t="str">
        <f>[4]ITEMS_Comm!C90</f>
        <v>IISS</v>
      </c>
      <c r="D64" s="21" t="str">
        <f>[4]ITEMS_Comm!D90</f>
        <v/>
      </c>
      <c r="E64" s="13" t="str">
        <f>[4]ITEMS_Comm!E90</f>
        <v>PJ</v>
      </c>
      <c r="F64" s="13" t="str">
        <f>[4]ITEMS_Comm!F90</f>
        <v>COM,DEM,ANNUAL,RES</v>
      </c>
    </row>
    <row r="65" spans="1:6">
      <c r="A65" s="21" t="str">
        <f>[4]ITEMS_Comm!A91</f>
        <v>*</v>
      </c>
      <c r="B65" s="13" t="str">
        <f>[4]ITEMS_Comm!B91</f>
        <v>E</v>
      </c>
      <c r="C65" s="21" t="str">
        <f>[4]ITEMS_Comm!C91</f>
        <v>IISS</v>
      </c>
      <c r="D65" s="21" t="str">
        <f>[4]ITEMS_Comm!D91</f>
        <v/>
      </c>
      <c r="E65" s="13" t="str">
        <f>[4]ITEMS_Comm!E91</f>
        <v>PJ</v>
      </c>
      <c r="F65" s="13" t="str">
        <f>[4]ITEMS_Comm!F91</f>
        <v>COM,DEM,ANNUAL,RES</v>
      </c>
    </row>
    <row r="66" spans="1:6">
      <c r="A66" s="21" t="str">
        <f>[4]ITEMS_Comm!A92</f>
        <v>*</v>
      </c>
      <c r="B66" s="13" t="str">
        <f>[4]ITEMS_Comm!B92</f>
        <v>E</v>
      </c>
      <c r="C66" s="21" t="str">
        <f>[4]ITEMS_Comm!C92</f>
        <v>IISS</v>
      </c>
      <c r="D66" s="21" t="str">
        <f>[4]ITEMS_Comm!D92</f>
        <v/>
      </c>
      <c r="E66" s="13" t="str">
        <f>[4]ITEMS_Comm!E92</f>
        <v>PJ</v>
      </c>
      <c r="F66" s="13" t="str">
        <f>[4]ITEMS_Comm!F92</f>
        <v>COM,DEM,ANNUAL,RES</v>
      </c>
    </row>
    <row r="67" spans="1:6">
      <c r="A67" s="21" t="str">
        <f>[4]ITEMS_Comm!A93</f>
        <v>*</v>
      </c>
      <c r="B67" s="13" t="str">
        <f>[4]ITEMS_Comm!B93</f>
        <v>E</v>
      </c>
      <c r="C67" s="21" t="str">
        <f>[4]ITEMS_Comm!C93</f>
        <v>IISS</v>
      </c>
      <c r="D67" s="21" t="str">
        <f>[4]ITEMS_Comm!D93</f>
        <v/>
      </c>
      <c r="E67" s="13" t="str">
        <f>[4]ITEMS_Comm!E93</f>
        <v>PJ</v>
      </c>
      <c r="F67" s="13" t="str">
        <f>[4]ITEMS_Comm!F93</f>
        <v>COM,DEM,ANNUAL,RES</v>
      </c>
    </row>
    <row r="68" spans="1:6">
      <c r="A68" s="21" t="str">
        <f>[4]ITEMS_Comm!A94</f>
        <v>*</v>
      </c>
      <c r="B68" s="13" t="str">
        <f>[4]ITEMS_Comm!B94</f>
        <v>E</v>
      </c>
      <c r="C68" s="21" t="str">
        <f>[4]ITEMS_Comm!C94</f>
        <v>IISS</v>
      </c>
      <c r="D68" s="21" t="str">
        <f>[4]ITEMS_Comm!D94</f>
        <v/>
      </c>
      <c r="E68" s="13" t="str">
        <f>[4]ITEMS_Comm!E94</f>
        <v>PJ</v>
      </c>
      <c r="F68" s="13" t="str">
        <f>[4]ITEMS_Comm!F94</f>
        <v>COM,DEM,ANNUAL,RES</v>
      </c>
    </row>
    <row r="69" spans="1:6">
      <c r="A69" s="21" t="str">
        <f>[4]ITEMS_Comm!A95</f>
        <v>*</v>
      </c>
      <c r="B69" s="13" t="str">
        <f>[4]ITEMS_Comm!B95</f>
        <v>E</v>
      </c>
      <c r="C69" s="21" t="str">
        <f>[4]ITEMS_Comm!C95</f>
        <v>IISS</v>
      </c>
      <c r="D69" s="21" t="str">
        <f>[4]ITEMS_Comm!D95</f>
        <v/>
      </c>
      <c r="E69" s="13" t="str">
        <f>[4]ITEMS_Comm!E95</f>
        <v>PJ</v>
      </c>
      <c r="F69" s="13" t="str">
        <f>[4]ITEMS_Comm!F95</f>
        <v>COM,DEM,ANNUAL,RES</v>
      </c>
    </row>
    <row r="70" spans="1:6">
      <c r="A70" s="21" t="str">
        <f>[4]ITEMS_Comm!A96</f>
        <v>*</v>
      </c>
      <c r="B70" s="13" t="str">
        <f>[4]ITEMS_Comm!B96</f>
        <v>E</v>
      </c>
      <c r="C70" s="21">
        <f>[4]ITEMS_Comm!C96</f>
        <v>0</v>
      </c>
      <c r="D70" s="21" t="str">
        <f>[4]ITEMS_Comm!D96</f>
        <v/>
      </c>
      <c r="E70" s="13" t="str">
        <f>[4]ITEMS_Comm!E96</f>
        <v>PJ</v>
      </c>
      <c r="F70" s="13" t="str">
        <f>[4]ITEMS_Comm!F96</f>
        <v>COM,DEM,ANNUAL,RES</v>
      </c>
    </row>
    <row r="71" spans="1:6">
      <c r="A71" s="21" t="str">
        <f>[4]ITEMS_Comm!A97</f>
        <v>*</v>
      </c>
      <c r="B71" s="13" t="str">
        <f>[4]ITEMS_Comm!B97</f>
        <v>E</v>
      </c>
      <c r="C71" s="21" t="str">
        <f>[4]ITEMS_Comm!C97</f>
        <v>IIST</v>
      </c>
      <c r="D71" s="21" t="str">
        <f>[4]ITEMS_Comm!D97</f>
        <v/>
      </c>
      <c r="E71" s="13" t="str">
        <f>[4]ITEMS_Comm!E97</f>
        <v>PJ</v>
      </c>
      <c r="F71" s="13" t="str">
        <f>[4]ITEMS_Comm!F97</f>
        <v>COM,DEM,ANNUAL,RES</v>
      </c>
    </row>
    <row r="72" spans="1:6">
      <c r="A72" s="21" t="str">
        <f>[4]ITEMS_Comm!A98</f>
        <v>*</v>
      </c>
      <c r="B72" s="13" t="str">
        <f>[4]ITEMS_Comm!B98</f>
        <v>E</v>
      </c>
      <c r="C72" s="21" t="str">
        <f>[4]ITEMS_Comm!C98</f>
        <v>Useful Energy Service</v>
      </c>
      <c r="D72" s="21" t="str">
        <f>[4]ITEMS_Comm!D98</f>
        <v/>
      </c>
      <c r="E72" s="13" t="str">
        <f>[4]ITEMS_Comm!E98</f>
        <v>PJ</v>
      </c>
      <c r="F72" s="13" t="str">
        <f>[4]ITEMS_Comm!F98</f>
        <v>COM,DEM,ANNUAL,RES</v>
      </c>
    </row>
    <row r="73" spans="1:6">
      <c r="A73" s="21" t="str">
        <f>[4]ITEMS_Comm!A99</f>
        <v>*</v>
      </c>
      <c r="B73" s="13" t="str">
        <f>[4]ITEMS_Comm!B99</f>
        <v>E</v>
      </c>
      <c r="C73" s="21">
        <f>[4]ITEMS_Comm!C99</f>
        <v>0</v>
      </c>
      <c r="D73" s="21" t="str">
        <f>[4]ITEMS_Comm!D99</f>
        <v/>
      </c>
      <c r="E73" s="13" t="str">
        <f>[4]ITEMS_Comm!E99</f>
        <v>PJ</v>
      </c>
      <c r="F73" s="13" t="str">
        <f>[4]ITEMS_Comm!F99</f>
        <v>COM,DEM,ANNUAL,RES</v>
      </c>
    </row>
    <row r="74" spans="1:6">
      <c r="A74" s="21" t="str">
        <f>[4]ITEMS_Comm!A100</f>
        <v>*</v>
      </c>
      <c r="B74" s="13" t="str">
        <f>[4]ITEMS_Comm!B100</f>
        <v>E</v>
      </c>
      <c r="C74" s="21">
        <f>[4]ITEMS_Comm!C100</f>
        <v>2</v>
      </c>
      <c r="D74" s="21" t="str">
        <f>[4]ITEMS_Comm!D100</f>
        <v/>
      </c>
      <c r="E74" s="13" t="str">
        <f>[4]ITEMS_Comm!E100</f>
        <v>PJ</v>
      </c>
      <c r="F74" s="13" t="str">
        <f>[4]ITEMS_Comm!F100</f>
        <v>COM,DEM,ANNUAL,RES</v>
      </c>
    </row>
    <row r="75" spans="1:6">
      <c r="A75" s="21" t="str">
        <f>[4]ITEMS_Comm!A101</f>
        <v/>
      </c>
      <c r="B75" s="13" t="str">
        <f>[4]ITEMS_Comm!B101</f>
        <v>E</v>
      </c>
      <c r="C75" s="21" t="str">
        <f>[4]ITEMS_Comm!C101</f>
        <v>ICPK</v>
      </c>
      <c r="D75" s="21" t="str">
        <f>[4]ITEMS_Comm!D101</f>
        <v>Industry-Chemicals-Elec Heating - Electricity</v>
      </c>
      <c r="E75" s="13" t="str">
        <f>[4]ITEMS_Comm!E101</f>
        <v>PJ</v>
      </c>
      <c r="F75" s="13" t="str">
        <f>[4]ITEMS_Comm!F101</f>
        <v>COM,DEM,ANNUAL,RES</v>
      </c>
    </row>
    <row r="76" spans="1:6">
      <c r="A76" s="21" t="str">
        <f>[4]ITEMS_Comm!A102</f>
        <v/>
      </c>
      <c r="B76" s="13" t="str">
        <f>[4]ITEMS_Comm!B102</f>
        <v>E</v>
      </c>
      <c r="C76" s="21" t="str">
        <f>[4]ITEMS_Comm!C102</f>
        <v>ICPA</v>
      </c>
      <c r="D76" s="21" t="str">
        <f>[4]ITEMS_Comm!D102</f>
        <v>Industry-Chemicals-Compressed air - Electricity</v>
      </c>
      <c r="E76" s="13" t="str">
        <f>[4]ITEMS_Comm!E102</f>
        <v>PJ</v>
      </c>
      <c r="F76" s="13" t="str">
        <f>[4]ITEMS_Comm!F102</f>
        <v>COM,DEM,ANNUAL,RES</v>
      </c>
    </row>
    <row r="77" spans="1:6">
      <c r="A77" s="21" t="str">
        <f>[4]ITEMS_Comm!A103</f>
        <v/>
      </c>
      <c r="B77" s="13" t="str">
        <f>[4]ITEMS_Comm!B103</f>
        <v>E</v>
      </c>
      <c r="C77" s="21" t="str">
        <f>[4]ITEMS_Comm!C103</f>
        <v>ICPL</v>
      </c>
      <c r="D77" s="21" t="str">
        <f>[4]ITEMS_Comm!D103</f>
        <v>Industry-Chemicals-Lighting - Electricity</v>
      </c>
      <c r="E77" s="13" t="str">
        <f>[4]ITEMS_Comm!E103</f>
        <v>PJ</v>
      </c>
      <c r="F77" s="13" t="str">
        <f>[4]ITEMS_Comm!F103</f>
        <v>COM,DEM,ANNUAL,RES</v>
      </c>
    </row>
    <row r="78" spans="1:6">
      <c r="A78" s="21" t="str">
        <f>[4]ITEMS_Comm!A104</f>
        <v/>
      </c>
      <c r="B78" s="13" t="str">
        <f>[4]ITEMS_Comm!B104</f>
        <v>E</v>
      </c>
      <c r="C78" s="21" t="str">
        <f>[4]ITEMS_Comm!C104</f>
        <v>ICPC</v>
      </c>
      <c r="D78" s="21" t="str">
        <f>[4]ITEMS_Comm!D104</f>
        <v>Industry-Chemicals-Cooling - Electricity</v>
      </c>
      <c r="E78" s="13" t="str">
        <f>[4]ITEMS_Comm!E104</f>
        <v>PJ</v>
      </c>
      <c r="F78" s="13" t="str">
        <f>[4]ITEMS_Comm!F104</f>
        <v>COM,DEM,ANNUAL,RES</v>
      </c>
    </row>
    <row r="79" spans="1:6">
      <c r="A79" s="21" t="str">
        <f>[4]ITEMS_Comm!A105</f>
        <v/>
      </c>
      <c r="B79" s="13" t="str">
        <f>[4]ITEMS_Comm!B105</f>
        <v>E</v>
      </c>
      <c r="C79" s="21" t="str">
        <f>[4]ITEMS_Comm!C105</f>
        <v>ICPH</v>
      </c>
      <c r="D79" s="21" t="str">
        <f>[4]ITEMS_Comm!D105</f>
        <v>Industry-Chemicals-HVAC - Electricity</v>
      </c>
      <c r="E79" s="13" t="str">
        <f>[4]ITEMS_Comm!E105</f>
        <v>PJ</v>
      </c>
      <c r="F79" s="13" t="str">
        <f>[4]ITEMS_Comm!F105</f>
        <v>COM,DEM,ANNUAL,RES</v>
      </c>
    </row>
    <row r="80" spans="1:6">
      <c r="A80" s="21" t="str">
        <f>[4]ITEMS_Comm!A106</f>
        <v/>
      </c>
      <c r="B80" s="13" t="str">
        <f>[4]ITEMS_Comm!B106</f>
        <v>E</v>
      </c>
      <c r="C80" s="21" t="str">
        <f>[4]ITEMS_Comm!C106</f>
        <v>ICPP</v>
      </c>
      <c r="D80" s="21" t="str">
        <f>[4]ITEMS_Comm!D106</f>
        <v>Industry-Chemicals-Pumping - Electricity</v>
      </c>
      <c r="E80" s="13" t="str">
        <f>[4]ITEMS_Comm!E106</f>
        <v>PJ</v>
      </c>
      <c r="F80" s="13" t="str">
        <f>[4]ITEMS_Comm!F106</f>
        <v>COM,DEM,ANNUAL,RES</v>
      </c>
    </row>
    <row r="81" spans="1:6">
      <c r="A81" s="21" t="str">
        <f>[4]ITEMS_Comm!A107</f>
        <v/>
      </c>
      <c r="B81" s="13" t="str">
        <f>[4]ITEMS_Comm!B107</f>
        <v>E</v>
      </c>
      <c r="C81" s="21" t="str">
        <f>[4]ITEMS_Comm!C107</f>
        <v>ICPF</v>
      </c>
      <c r="D81" s="21" t="str">
        <f>[4]ITEMS_Comm!D107</f>
        <v>Industry-Chemicals-Fans - Electricity</v>
      </c>
      <c r="E81" s="13" t="str">
        <f>[4]ITEMS_Comm!E107</f>
        <v>PJ</v>
      </c>
      <c r="F81" s="13" t="str">
        <f>[4]ITEMS_Comm!F107</f>
        <v>COM,DEM,ANNUAL,RES</v>
      </c>
    </row>
    <row r="82" spans="1:6">
      <c r="A82" s="21" t="str">
        <f>[4]ITEMS_Comm!A108</f>
        <v/>
      </c>
      <c r="B82" s="13" t="str">
        <f>[4]ITEMS_Comm!B108</f>
        <v>E</v>
      </c>
      <c r="C82" s="21" t="str">
        <f>[4]ITEMS_Comm!C108</f>
        <v>ICPO</v>
      </c>
      <c r="D82" s="21" t="str">
        <f>[4]ITEMS_Comm!D108</f>
        <v>Industry-Chemicals-Other motive - Electricity</v>
      </c>
      <c r="E82" s="13" t="str">
        <f>[4]ITEMS_Comm!E108</f>
        <v>PJ</v>
      </c>
      <c r="F82" s="13" t="str">
        <f>[4]ITEMS_Comm!F108</f>
        <v>COM,DEM,ANNUAL,RES</v>
      </c>
    </row>
    <row r="83" spans="1:6">
      <c r="A83" s="21" t="str">
        <f>[4]ITEMS_Comm!A109</f>
        <v/>
      </c>
      <c r="B83" s="13" t="str">
        <f>[4]ITEMS_Comm!B109</f>
        <v>E</v>
      </c>
      <c r="C83" s="21" t="str">
        <f>[4]ITEMS_Comm!C109</f>
        <v>ICPE</v>
      </c>
      <c r="D83" s="21" t="str">
        <f>[4]ITEMS_Comm!D109</f>
        <v>Industry-Chemicals-Electrochemical - Electricity</v>
      </c>
      <c r="E83" s="13" t="str">
        <f>[4]ITEMS_Comm!E109</f>
        <v>PJ</v>
      </c>
      <c r="F83" s="13" t="str">
        <f>[4]ITEMS_Comm!F109</f>
        <v>COM,DEM,ANNUAL,RES</v>
      </c>
    </row>
    <row r="84" spans="1:6">
      <c r="A84" s="21" t="str">
        <f>[4]ITEMS_Comm!A110</f>
        <v>*</v>
      </c>
      <c r="B84" s="13" t="str">
        <f>[4]ITEMS_Comm!B110</f>
        <v>E</v>
      </c>
      <c r="C84" s="21" t="str">
        <f>[4]ITEMS_Comm!C110</f>
        <v xml:space="preserve"> </v>
      </c>
      <c r="D84" s="21" t="str">
        <f>[4]ITEMS_Comm!D110</f>
        <v/>
      </c>
      <c r="E84" s="13" t="str">
        <f>[4]ITEMS_Comm!E110</f>
        <v>PJ</v>
      </c>
      <c r="F84" s="13" t="str">
        <f>[4]ITEMS_Comm!F110</f>
        <v>COM,DEM,ANNUAL,RES</v>
      </c>
    </row>
    <row r="85" spans="1:6">
      <c r="A85" s="21" t="str">
        <f>[4]ITEMS_Comm!A111</f>
        <v/>
      </c>
      <c r="B85" s="13" t="str">
        <f>[4]ITEMS_Comm!B111</f>
        <v>E</v>
      </c>
      <c r="C85" s="21" t="str">
        <f>[4]ITEMS_Comm!C111</f>
        <v>ICPS</v>
      </c>
      <c r="D85" s="21" t="str">
        <f>[4]ITEMS_Comm!D111</f>
        <v>Industry-Chemicals-boiler/process heating - Coal - Existing</v>
      </c>
      <c r="E85" s="13" t="str">
        <f>[4]ITEMS_Comm!E111</f>
        <v>PJ</v>
      </c>
      <c r="F85" s="13" t="str">
        <f>[4]ITEMS_Comm!F111</f>
        <v>COM,DEM,ANNUAL,RES</v>
      </c>
    </row>
    <row r="86" spans="1:6">
      <c r="A86" s="21" t="str">
        <f>[4]ITEMS_Comm!A112</f>
        <v/>
      </c>
      <c r="B86" s="13" t="str">
        <f>[4]ITEMS_Comm!B112</f>
        <v>E</v>
      </c>
      <c r="C86" s="21" t="str">
        <f>[4]ITEMS_Comm!C112</f>
        <v>ICPS</v>
      </c>
      <c r="D86" s="21" t="str">
        <f>[4]ITEMS_Comm!D112</f>
        <v>Industry-Chemicals-boiler/process heating - Gas - Existing</v>
      </c>
      <c r="E86" s="13" t="str">
        <f>[4]ITEMS_Comm!E112</f>
        <v>PJ</v>
      </c>
      <c r="F86" s="13" t="str">
        <f>[4]ITEMS_Comm!F112</f>
        <v>COM,DEM,ANNUAL,RES</v>
      </c>
    </row>
    <row r="87" spans="1:6">
      <c r="A87" s="21" t="str">
        <f>[4]ITEMS_Comm!A113</f>
        <v/>
      </c>
      <c r="B87" s="13" t="str">
        <f>[4]ITEMS_Comm!B113</f>
        <v>E</v>
      </c>
      <c r="C87" s="21" t="str">
        <f>[4]ITEMS_Comm!C113</f>
        <v>ICPS</v>
      </c>
      <c r="D87" s="21" t="str">
        <f>[4]ITEMS_Comm!D113</f>
        <v>Industry-Chemicals-boiler/process heating - Oil HFO - Existing</v>
      </c>
      <c r="E87" s="13" t="str">
        <f>[4]ITEMS_Comm!E113</f>
        <v>PJ</v>
      </c>
      <c r="F87" s="13" t="str">
        <f>[4]ITEMS_Comm!F113</f>
        <v>COM,DEM,ANNUAL,RES</v>
      </c>
    </row>
    <row r="88" spans="1:6">
      <c r="A88" s="21" t="str">
        <f>[4]ITEMS_Comm!A114</f>
        <v/>
      </c>
      <c r="B88" s="13" t="str">
        <f>[4]ITEMS_Comm!B114</f>
        <v>E</v>
      </c>
      <c r="C88" s="21" t="str">
        <f>[4]ITEMS_Comm!C114</f>
        <v>ICPS</v>
      </c>
      <c r="D88" s="21" t="str">
        <f>[4]ITEMS_Comm!D114</f>
        <v>Industry-Chemicals-boiler/process heating - Oil LPG - Existing</v>
      </c>
      <c r="E88" s="13" t="str">
        <f>[4]ITEMS_Comm!E114</f>
        <v>PJ</v>
      </c>
      <c r="F88" s="13" t="str">
        <f>[4]ITEMS_Comm!F114</f>
        <v>COM,DEM,ANNUAL,RES</v>
      </c>
    </row>
    <row r="89" spans="1:6">
      <c r="A89" s="21" t="str">
        <f>[4]ITEMS_Comm!A115</f>
        <v/>
      </c>
      <c r="B89" s="13" t="str">
        <f>[4]ITEMS_Comm!B115</f>
        <v>E</v>
      </c>
      <c r="C89" s="21" t="str">
        <f>[4]ITEMS_Comm!C115</f>
        <v>ICPS</v>
      </c>
      <c r="D89" s="21" t="str">
        <f>[4]ITEMS_Comm!D115</f>
        <v>Industry-Chemicals-boiler/process heating - Electricity - Existing</v>
      </c>
      <c r="E89" s="13" t="str">
        <f>[4]ITEMS_Comm!E115</f>
        <v>PJ</v>
      </c>
      <c r="F89" s="13" t="str">
        <f>[4]ITEMS_Comm!F115</f>
        <v>COM,DEM,ANNUAL,RES</v>
      </c>
    </row>
    <row r="90" spans="1:6">
      <c r="A90" s="21" t="str">
        <f>[4]ITEMS_Comm!A116</f>
        <v/>
      </c>
      <c r="B90" s="13" t="str">
        <f>[4]ITEMS_Comm!B116</f>
        <v>E</v>
      </c>
      <c r="C90" s="21" t="str">
        <f>[4]ITEMS_Comm!C116</f>
        <v>ICPS</v>
      </c>
      <c r="D90" s="21" t="str">
        <f>[4]ITEMS_Comm!D116</f>
        <v>Industry-Chemicals-boiler/process heating - Waste - Existing</v>
      </c>
      <c r="E90" s="13" t="str">
        <f>[4]ITEMS_Comm!E116</f>
        <v>PJ</v>
      </c>
      <c r="F90" s="13" t="str">
        <f>[4]ITEMS_Comm!F116</f>
        <v>COM,DEM,ANNUAL,RES</v>
      </c>
    </row>
    <row r="91" spans="1:6">
      <c r="A91" s="21" t="str">
        <f>[4]ITEMS_Comm!A117</f>
        <v>*</v>
      </c>
      <c r="B91" s="13" t="str">
        <f>[4]ITEMS_Comm!B117</f>
        <v>E</v>
      </c>
      <c r="C91" s="21">
        <f>[4]ITEMS_Comm!C117</f>
        <v>0</v>
      </c>
      <c r="D91" s="21" t="str">
        <f>[4]ITEMS_Comm!D117</f>
        <v/>
      </c>
      <c r="E91" s="13" t="str">
        <f>[4]ITEMS_Comm!E117</f>
        <v>PJ</v>
      </c>
      <c r="F91" s="13" t="str">
        <f>[4]ITEMS_Comm!F117</f>
        <v>COM,DEM,ANNUAL,RES</v>
      </c>
    </row>
    <row r="92" spans="1:6">
      <c r="A92" s="21" t="str">
        <f>[4]ITEMS_Comm!A118</f>
        <v/>
      </c>
      <c r="B92" s="13" t="str">
        <f>[4]ITEMS_Comm!B118</f>
        <v>E</v>
      </c>
      <c r="C92" s="21" t="str">
        <f>[4]ITEMS_Comm!C118</f>
        <v>ICPT</v>
      </c>
      <c r="D92" s="21" t="str">
        <f>[4]ITEMS_Comm!D118</f>
        <v>Industry-Chemicals-Ancillary - Gas Material Use - Existing</v>
      </c>
      <c r="E92" s="13" t="str">
        <f>[4]ITEMS_Comm!E118</f>
        <v>PJ</v>
      </c>
      <c r="F92" s="13" t="str">
        <f>[4]ITEMS_Comm!F118</f>
        <v>COM,DEM,ANNUAL,RES</v>
      </c>
    </row>
    <row r="93" spans="1:6">
      <c r="A93" s="21" t="str">
        <f>[4]ITEMS_Comm!A119</f>
        <v>*</v>
      </c>
      <c r="B93" s="13" t="str">
        <f>[4]ITEMS_Comm!B119</f>
        <v>E</v>
      </c>
      <c r="C93" s="21" t="str">
        <f>[4]ITEMS_Comm!C119</f>
        <v>Useful Energy Service</v>
      </c>
      <c r="D93" s="21" t="str">
        <f>[4]ITEMS_Comm!D119</f>
        <v/>
      </c>
      <c r="E93" s="13" t="str">
        <f>[4]ITEMS_Comm!E119</f>
        <v>PJ</v>
      </c>
      <c r="F93" s="13" t="str">
        <f>[4]ITEMS_Comm!F119</f>
        <v>COM,DEM,ANNUAL,RES</v>
      </c>
    </row>
    <row r="94" spans="1:6">
      <c r="A94" s="21" t="str">
        <f>[4]ITEMS_Comm!A120</f>
        <v>*</v>
      </c>
      <c r="B94" s="13" t="str">
        <f>[4]ITEMS_Comm!B120</f>
        <v>E</v>
      </c>
      <c r="C94" s="21">
        <f>[4]ITEMS_Comm!C120</f>
        <v>0</v>
      </c>
      <c r="D94" s="21" t="str">
        <f>[4]ITEMS_Comm!D120</f>
        <v/>
      </c>
      <c r="E94" s="13" t="str">
        <f>[4]ITEMS_Comm!E120</f>
        <v>PJ</v>
      </c>
      <c r="F94" s="13" t="str">
        <f>[4]ITEMS_Comm!F120</f>
        <v>COM,DEM,ANNUAL,RES</v>
      </c>
    </row>
    <row r="95" spans="1:6">
      <c r="A95" s="21" t="str">
        <f>[4]ITEMS_Comm!A121</f>
        <v>*</v>
      </c>
      <c r="B95" s="13" t="str">
        <f>[4]ITEMS_Comm!B121</f>
        <v>E</v>
      </c>
      <c r="C95" s="21">
        <f>[4]ITEMS_Comm!C121</f>
        <v>2</v>
      </c>
      <c r="D95" s="21" t="str">
        <f>[4]ITEMS_Comm!D121</f>
        <v/>
      </c>
      <c r="E95" s="13" t="str">
        <f>[4]ITEMS_Comm!E121</f>
        <v>PJ</v>
      </c>
      <c r="F95" s="13" t="str">
        <f>[4]ITEMS_Comm!F121</f>
        <v>COM,DEM,ANNUAL,RES</v>
      </c>
    </row>
    <row r="96" spans="1:6">
      <c r="A96" s="21" t="str">
        <f>[4]ITEMS_Comm!A122</f>
        <v/>
      </c>
      <c r="B96" s="13" t="str">
        <f>[4]ITEMS_Comm!B122</f>
        <v>E</v>
      </c>
      <c r="C96" s="21" t="str">
        <f>[4]ITEMS_Comm!C122</f>
        <v>INFK</v>
      </c>
      <c r="D96" s="21" t="str">
        <f>[4]ITEMS_Comm!D122</f>
        <v>Industry-Precious &amp; Non-Ferrous metals-Elec Heating - Electricity</v>
      </c>
      <c r="E96" s="13" t="str">
        <f>[4]ITEMS_Comm!E122</f>
        <v>PJ</v>
      </c>
      <c r="F96" s="13" t="str">
        <f>[4]ITEMS_Comm!F122</f>
        <v>COM,DEM,ANNUAL,RES</v>
      </c>
    </row>
    <row r="97" spans="1:6">
      <c r="A97" s="21" t="str">
        <f>[4]ITEMS_Comm!A123</f>
        <v/>
      </c>
      <c r="B97" s="13" t="str">
        <f>[4]ITEMS_Comm!B123</f>
        <v>E</v>
      </c>
      <c r="C97" s="21" t="str">
        <f>[4]ITEMS_Comm!C123</f>
        <v>INFA</v>
      </c>
      <c r="D97" s="21" t="str">
        <f>[4]ITEMS_Comm!D123</f>
        <v>Industry-Precious &amp; Non-Ferrous metals-Compressed air - Electricity</v>
      </c>
      <c r="E97" s="13" t="str">
        <f>[4]ITEMS_Comm!E123</f>
        <v>PJ</v>
      </c>
      <c r="F97" s="13" t="str">
        <f>[4]ITEMS_Comm!F123</f>
        <v>COM,DEM,ANNUAL,RES</v>
      </c>
    </row>
    <row r="98" spans="1:6">
      <c r="A98" s="21" t="str">
        <f>[4]ITEMS_Comm!A124</f>
        <v/>
      </c>
      <c r="B98" s="13" t="str">
        <f>[4]ITEMS_Comm!B124</f>
        <v>E</v>
      </c>
      <c r="C98" s="21" t="str">
        <f>[4]ITEMS_Comm!C124</f>
        <v>INFL</v>
      </c>
      <c r="D98" s="21" t="str">
        <f>[4]ITEMS_Comm!D124</f>
        <v>Industry-Precious &amp; Non-Ferrous metals-Lighting - Electricity</v>
      </c>
      <c r="E98" s="13" t="str">
        <f>[4]ITEMS_Comm!E124</f>
        <v>PJ</v>
      </c>
      <c r="F98" s="13" t="str">
        <f>[4]ITEMS_Comm!F124</f>
        <v>COM,DEM,ANNUAL,RES</v>
      </c>
    </row>
    <row r="99" spans="1:6">
      <c r="A99" s="21" t="str">
        <f>[4]ITEMS_Comm!A125</f>
        <v/>
      </c>
      <c r="B99" s="13" t="str">
        <f>[4]ITEMS_Comm!B125</f>
        <v>E</v>
      </c>
      <c r="C99" s="21" t="str">
        <f>[4]ITEMS_Comm!C125</f>
        <v>INFC</v>
      </c>
      <c r="D99" s="21" t="str">
        <f>[4]ITEMS_Comm!D125</f>
        <v>Industry-Precious &amp; Non-Ferrous metals-Cooling - Electricity</v>
      </c>
      <c r="E99" s="13" t="str">
        <f>[4]ITEMS_Comm!E125</f>
        <v>PJ</v>
      </c>
      <c r="F99" s="13" t="str">
        <f>[4]ITEMS_Comm!F125</f>
        <v>COM,DEM,ANNUAL,RES</v>
      </c>
    </row>
    <row r="100" spans="1:6">
      <c r="A100" s="21" t="str">
        <f>[4]ITEMS_Comm!A126</f>
        <v/>
      </c>
      <c r="B100" s="13" t="str">
        <f>[4]ITEMS_Comm!B126</f>
        <v>E</v>
      </c>
      <c r="C100" s="21" t="str">
        <f>[4]ITEMS_Comm!C126</f>
        <v>INFH</v>
      </c>
      <c r="D100" s="21" t="str">
        <f>[4]ITEMS_Comm!D126</f>
        <v>Industry-Precious &amp; Non-Ferrous metals-HVAC - Electricity</v>
      </c>
      <c r="E100" s="13" t="str">
        <f>[4]ITEMS_Comm!E126</f>
        <v>PJ</v>
      </c>
      <c r="F100" s="13" t="str">
        <f>[4]ITEMS_Comm!F126</f>
        <v>COM,DEM,ANNUAL,RES</v>
      </c>
    </row>
    <row r="101" spans="1:6">
      <c r="A101" s="21" t="str">
        <f>[4]ITEMS_Comm!A127</f>
        <v/>
      </c>
      <c r="B101" s="13" t="str">
        <f>[4]ITEMS_Comm!B127</f>
        <v>E</v>
      </c>
      <c r="C101" s="21" t="str">
        <f>[4]ITEMS_Comm!C127</f>
        <v>INFP</v>
      </c>
      <c r="D101" s="21" t="str">
        <f>[4]ITEMS_Comm!D127</f>
        <v>Industry-Precious &amp; Non-Ferrous metals-Pumping - Electricity</v>
      </c>
      <c r="E101" s="13" t="str">
        <f>[4]ITEMS_Comm!E127</f>
        <v>PJ</v>
      </c>
      <c r="F101" s="13" t="str">
        <f>[4]ITEMS_Comm!F127</f>
        <v>COM,DEM,ANNUAL,RES</v>
      </c>
    </row>
    <row r="102" spans="1:6">
      <c r="A102" s="21" t="str">
        <f>[4]ITEMS_Comm!A128</f>
        <v/>
      </c>
      <c r="B102" s="13" t="str">
        <f>[4]ITEMS_Comm!B128</f>
        <v>E</v>
      </c>
      <c r="C102" s="21" t="str">
        <f>[4]ITEMS_Comm!C128</f>
        <v>INFF</v>
      </c>
      <c r="D102" s="21" t="str">
        <f>[4]ITEMS_Comm!D128</f>
        <v>Industry-Precious &amp; Non-Ferrous metals-Fans - Electricity</v>
      </c>
      <c r="E102" s="13" t="str">
        <f>[4]ITEMS_Comm!E128</f>
        <v>PJ</v>
      </c>
      <c r="F102" s="13" t="str">
        <f>[4]ITEMS_Comm!F128</f>
        <v>COM,DEM,ANNUAL,RES</v>
      </c>
    </row>
    <row r="103" spans="1:6">
      <c r="A103" s="21" t="str">
        <f>[4]ITEMS_Comm!A129</f>
        <v/>
      </c>
      <c r="B103" s="13" t="str">
        <f>[4]ITEMS_Comm!B129</f>
        <v>E</v>
      </c>
      <c r="C103" s="21" t="str">
        <f>[4]ITEMS_Comm!C129</f>
        <v>INFO</v>
      </c>
      <c r="D103" s="21" t="str">
        <f>[4]ITEMS_Comm!D129</f>
        <v>Industry-Precious &amp; Non-Ferrous metals-Other motive - Electricity</v>
      </c>
      <c r="E103" s="13" t="str">
        <f>[4]ITEMS_Comm!E129</f>
        <v>PJ</v>
      </c>
      <c r="F103" s="13" t="str">
        <f>[4]ITEMS_Comm!F129</f>
        <v>COM,DEM,ANNUAL,RES</v>
      </c>
    </row>
    <row r="104" spans="1:6">
      <c r="A104" s="21" t="str">
        <f>[4]ITEMS_Comm!A130</f>
        <v/>
      </c>
      <c r="B104" s="13" t="str">
        <f>[4]ITEMS_Comm!B130</f>
        <v>E</v>
      </c>
      <c r="C104" s="21" t="str">
        <f>[4]ITEMS_Comm!C130</f>
        <v>INFE</v>
      </c>
      <c r="D104" s="21" t="str">
        <f>[4]ITEMS_Comm!D130</f>
        <v>Industry-Precious &amp; Non-Ferrous metals-Electrochemical - Electricity</v>
      </c>
      <c r="E104" s="13" t="str">
        <f>[4]ITEMS_Comm!E130</f>
        <v>PJ</v>
      </c>
      <c r="F104" s="13" t="str">
        <f>[4]ITEMS_Comm!F130</f>
        <v>COM,DEM,ANNUAL,RES</v>
      </c>
    </row>
    <row r="105" spans="1:6">
      <c r="A105" s="21" t="str">
        <f>[4]ITEMS_Comm!A131</f>
        <v>*</v>
      </c>
      <c r="B105" s="13" t="str">
        <f>[4]ITEMS_Comm!B131</f>
        <v>E</v>
      </c>
      <c r="C105" s="21" t="str">
        <f>[4]ITEMS_Comm!C131</f>
        <v xml:space="preserve"> </v>
      </c>
      <c r="D105" s="21" t="str">
        <f>[4]ITEMS_Comm!D131</f>
        <v/>
      </c>
      <c r="E105" s="13" t="str">
        <f>[4]ITEMS_Comm!E131</f>
        <v>PJ</v>
      </c>
      <c r="F105" s="13" t="str">
        <f>[4]ITEMS_Comm!F131</f>
        <v>COM,DEM,ANNUAL,RES</v>
      </c>
    </row>
    <row r="106" spans="1:6">
      <c r="A106" s="21" t="str">
        <f>[4]ITEMS_Comm!A132</f>
        <v/>
      </c>
      <c r="B106" s="13" t="str">
        <f>[4]ITEMS_Comm!B132</f>
        <v>E</v>
      </c>
      <c r="C106" s="21" t="str">
        <f>[4]ITEMS_Comm!C132</f>
        <v>INFS</v>
      </c>
      <c r="D106" s="21" t="str">
        <f>[4]ITEMS_Comm!D132</f>
        <v>Industry-Precious &amp; Non-Ferrous metals-boiler/process heating - Coal - Existing</v>
      </c>
      <c r="E106" s="13" t="str">
        <f>[4]ITEMS_Comm!E132</f>
        <v>PJ</v>
      </c>
      <c r="F106" s="13" t="str">
        <f>[4]ITEMS_Comm!F132</f>
        <v>COM,DEM,ANNUAL,RES</v>
      </c>
    </row>
    <row r="107" spans="1:6">
      <c r="A107" s="21" t="str">
        <f>[4]ITEMS_Comm!A133</f>
        <v/>
      </c>
      <c r="B107" s="13" t="str">
        <f>[4]ITEMS_Comm!B133</f>
        <v>E</v>
      </c>
      <c r="C107" s="21" t="str">
        <f>[4]ITEMS_Comm!C133</f>
        <v>INFS</v>
      </c>
      <c r="D107" s="21" t="str">
        <f>[4]ITEMS_Comm!D133</f>
        <v>Industry-Precious &amp; Non-Ferrous metals-boiler/process heating - Gas - Existing</v>
      </c>
      <c r="E107" s="13" t="str">
        <f>[4]ITEMS_Comm!E133</f>
        <v>PJ</v>
      </c>
      <c r="F107" s="13" t="str">
        <f>[4]ITEMS_Comm!F133</f>
        <v>COM,DEM,ANNUAL,RES</v>
      </c>
    </row>
    <row r="108" spans="1:6">
      <c r="A108" s="21" t="str">
        <f>[4]ITEMS_Comm!A134</f>
        <v/>
      </c>
      <c r="B108" s="13" t="str">
        <f>[4]ITEMS_Comm!B134</f>
        <v>E</v>
      </c>
      <c r="C108" s="21" t="str">
        <f>[4]ITEMS_Comm!C134</f>
        <v>INFS</v>
      </c>
      <c r="D108" s="21" t="str">
        <f>[4]ITEMS_Comm!D134</f>
        <v>Industry-Precious &amp; Non-Ferrous metals-boiler/process heating - Oil HFO - Existing</v>
      </c>
      <c r="E108" s="13" t="str">
        <f>[4]ITEMS_Comm!E134</f>
        <v>PJ</v>
      </c>
      <c r="F108" s="13" t="str">
        <f>[4]ITEMS_Comm!F134</f>
        <v>COM,DEM,ANNUAL,RES</v>
      </c>
    </row>
    <row r="109" spans="1:6">
      <c r="A109" s="21" t="str">
        <f>[4]ITEMS_Comm!A135</f>
        <v/>
      </c>
      <c r="B109" s="13" t="str">
        <f>[4]ITEMS_Comm!B135</f>
        <v>E</v>
      </c>
      <c r="C109" s="21" t="str">
        <f>[4]ITEMS_Comm!C135</f>
        <v>INFS</v>
      </c>
      <c r="D109" s="21" t="str">
        <f>[4]ITEMS_Comm!D135</f>
        <v>Industry-Precious &amp; Non-Ferrous metals-boiler/process heating - Oil LPG - Existing</v>
      </c>
      <c r="E109" s="13" t="str">
        <f>[4]ITEMS_Comm!E135</f>
        <v>PJ</v>
      </c>
      <c r="F109" s="13" t="str">
        <f>[4]ITEMS_Comm!F135</f>
        <v>COM,DEM,ANNUAL,RES</v>
      </c>
    </row>
    <row r="110" spans="1:6">
      <c r="A110" s="21" t="str">
        <f>[4]ITEMS_Comm!A136</f>
        <v/>
      </c>
      <c r="B110" s="13" t="str">
        <f>[4]ITEMS_Comm!B136</f>
        <v>E</v>
      </c>
      <c r="C110" s="21" t="str">
        <f>[4]ITEMS_Comm!C136</f>
        <v>INFS</v>
      </c>
      <c r="D110" s="21" t="str">
        <f>[4]ITEMS_Comm!D136</f>
        <v>Industry-Precious &amp; Non-Ferrous metals-boiler/process heating - Electricity - Existing</v>
      </c>
      <c r="E110" s="13" t="str">
        <f>[4]ITEMS_Comm!E136</f>
        <v>PJ</v>
      </c>
      <c r="F110" s="13" t="str">
        <f>[4]ITEMS_Comm!F136</f>
        <v>COM,DEM,ANNUAL,RES</v>
      </c>
    </row>
    <row r="111" spans="1:6">
      <c r="A111" s="21" t="str">
        <f>[4]ITEMS_Comm!A137</f>
        <v/>
      </c>
      <c r="B111" s="13" t="str">
        <f>[4]ITEMS_Comm!B137</f>
        <v>E</v>
      </c>
      <c r="C111" s="21" t="str">
        <f>[4]ITEMS_Comm!C137</f>
        <v>INFS</v>
      </c>
      <c r="D111" s="21" t="str">
        <f>[4]ITEMS_Comm!D137</f>
        <v>Industry-Precious &amp; Non-Ferrous metals-boiler/process heating - Waste - Existing</v>
      </c>
      <c r="E111" s="13" t="str">
        <f>[4]ITEMS_Comm!E137</f>
        <v>PJ</v>
      </c>
      <c r="F111" s="13" t="str">
        <f>[4]ITEMS_Comm!F137</f>
        <v>COM,DEM,ANNUAL,RES</v>
      </c>
    </row>
    <row r="112" spans="1:6">
      <c r="A112" s="21" t="str">
        <f>[4]ITEMS_Comm!A138</f>
        <v>*</v>
      </c>
      <c r="B112" s="13" t="str">
        <f>[4]ITEMS_Comm!B138</f>
        <v>E</v>
      </c>
      <c r="C112" s="21" t="str">
        <f>[4]ITEMS_Comm!C138</f>
        <v>Useful Energy Service</v>
      </c>
      <c r="D112" s="21" t="str">
        <f>[4]ITEMS_Comm!D138</f>
        <v/>
      </c>
      <c r="E112" s="13" t="str">
        <f>[4]ITEMS_Comm!E138</f>
        <v>PJ</v>
      </c>
      <c r="F112" s="13" t="str">
        <f>[4]ITEMS_Comm!F138</f>
        <v>COM,DEM,ANNUAL,RES</v>
      </c>
    </row>
    <row r="113" spans="1:6">
      <c r="A113" s="21" t="str">
        <f>[4]ITEMS_Comm!A139</f>
        <v>*</v>
      </c>
      <c r="B113" s="13" t="str">
        <f>[4]ITEMS_Comm!B139</f>
        <v>E</v>
      </c>
      <c r="C113" s="21">
        <f>[4]ITEMS_Comm!C139</f>
        <v>0</v>
      </c>
      <c r="D113" s="21" t="str">
        <f>[4]ITEMS_Comm!D139</f>
        <v/>
      </c>
      <c r="E113" s="13" t="str">
        <f>[4]ITEMS_Comm!E139</f>
        <v>PJ</v>
      </c>
      <c r="F113" s="13" t="str">
        <f>[4]ITEMS_Comm!F139</f>
        <v>COM,DEM,ANNUAL,RES</v>
      </c>
    </row>
    <row r="114" spans="1:6">
      <c r="A114" s="21" t="str">
        <f>[4]ITEMS_Comm!A140</f>
        <v>*</v>
      </c>
      <c r="B114" s="13" t="str">
        <f>[4]ITEMS_Comm!B140</f>
        <v>E</v>
      </c>
      <c r="C114" s="21">
        <f>[4]ITEMS_Comm!C140</f>
        <v>2</v>
      </c>
      <c r="D114" s="21" t="str">
        <f>[4]ITEMS_Comm!D140</f>
        <v/>
      </c>
      <c r="E114" s="13" t="str">
        <f>[4]ITEMS_Comm!E140</f>
        <v>PJ</v>
      </c>
      <c r="F114" s="13" t="str">
        <f>[4]ITEMS_Comm!F140</f>
        <v>COM,DEM,ANNUAL,RES</v>
      </c>
    </row>
    <row r="115" spans="1:6">
      <c r="A115" s="21" t="str">
        <f>[4]ITEMS_Comm!A141</f>
        <v>*</v>
      </c>
      <c r="B115" s="13" t="str">
        <f>[4]ITEMS_Comm!B141</f>
        <v>E</v>
      </c>
      <c r="C115" s="21" t="str">
        <f>[4]ITEMS_Comm!C141</f>
        <v>INMK</v>
      </c>
      <c r="D115" s="21" t="str">
        <f>[4]ITEMS_Comm!D141</f>
        <v/>
      </c>
      <c r="E115" s="13" t="str">
        <f>[4]ITEMS_Comm!E141</f>
        <v>PJ</v>
      </c>
      <c r="F115" s="13" t="str">
        <f>[4]ITEMS_Comm!F141</f>
        <v>COM,DEM,ANNUAL,RES</v>
      </c>
    </row>
    <row r="116" spans="1:6">
      <c r="A116" s="21" t="str">
        <f>[4]ITEMS_Comm!A142</f>
        <v>*</v>
      </c>
      <c r="B116" s="13" t="str">
        <f>[4]ITEMS_Comm!B142</f>
        <v>E</v>
      </c>
      <c r="C116" s="21" t="str">
        <f>[4]ITEMS_Comm!C142</f>
        <v>INMA</v>
      </c>
      <c r="D116" s="21" t="str">
        <f>[4]ITEMS_Comm!D142</f>
        <v/>
      </c>
      <c r="E116" s="13" t="str">
        <f>[4]ITEMS_Comm!E142</f>
        <v>PJ</v>
      </c>
      <c r="F116" s="13" t="str">
        <f>[4]ITEMS_Comm!F142</f>
        <v>COM,DEM,ANNUAL,RES</v>
      </c>
    </row>
    <row r="117" spans="1:6">
      <c r="A117" s="21" t="str">
        <f>[4]ITEMS_Comm!A143</f>
        <v>*</v>
      </c>
      <c r="B117" s="13" t="str">
        <f>[4]ITEMS_Comm!B143</f>
        <v>E</v>
      </c>
      <c r="C117" s="21" t="str">
        <f>[4]ITEMS_Comm!C143</f>
        <v>INML</v>
      </c>
      <c r="D117" s="21" t="str">
        <f>[4]ITEMS_Comm!D143</f>
        <v/>
      </c>
      <c r="E117" s="13" t="str">
        <f>[4]ITEMS_Comm!E143</f>
        <v>PJ</v>
      </c>
      <c r="F117" s="13" t="str">
        <f>[4]ITEMS_Comm!F143</f>
        <v>COM,DEM,ANNUAL,RES</v>
      </c>
    </row>
    <row r="118" spans="1:6">
      <c r="A118" s="21" t="str">
        <f>[4]ITEMS_Comm!A144</f>
        <v>*</v>
      </c>
      <c r="B118" s="13" t="str">
        <f>[4]ITEMS_Comm!B144</f>
        <v>E</v>
      </c>
      <c r="C118" s="21" t="str">
        <f>[4]ITEMS_Comm!C144</f>
        <v>INMC</v>
      </c>
      <c r="D118" s="21" t="str">
        <f>[4]ITEMS_Comm!D144</f>
        <v/>
      </c>
      <c r="E118" s="13" t="str">
        <f>[4]ITEMS_Comm!E144</f>
        <v>PJ</v>
      </c>
      <c r="F118" s="13" t="str">
        <f>[4]ITEMS_Comm!F144</f>
        <v>COM,DEM,ANNUAL,RES</v>
      </c>
    </row>
    <row r="119" spans="1:6">
      <c r="A119" s="21" t="str">
        <f>[4]ITEMS_Comm!A145</f>
        <v>*</v>
      </c>
      <c r="B119" s="13" t="str">
        <f>[4]ITEMS_Comm!B145</f>
        <v>E</v>
      </c>
      <c r="C119" s="21" t="str">
        <f>[4]ITEMS_Comm!C145</f>
        <v>INMH</v>
      </c>
      <c r="D119" s="21" t="str">
        <f>[4]ITEMS_Comm!D145</f>
        <v/>
      </c>
      <c r="E119" s="13" t="str">
        <f>[4]ITEMS_Comm!E145</f>
        <v>PJ</v>
      </c>
      <c r="F119" s="13" t="str">
        <f>[4]ITEMS_Comm!F145</f>
        <v>COM,DEM,ANNUAL,RES</v>
      </c>
    </row>
    <row r="120" spans="1:6">
      <c r="A120" s="21" t="str">
        <f>[4]ITEMS_Comm!A146</f>
        <v>*</v>
      </c>
      <c r="B120" s="13" t="str">
        <f>[4]ITEMS_Comm!B146</f>
        <v>E</v>
      </c>
      <c r="C120" s="21" t="str">
        <f>[4]ITEMS_Comm!C146</f>
        <v>INMP</v>
      </c>
      <c r="D120" s="21" t="str">
        <f>[4]ITEMS_Comm!D146</f>
        <v/>
      </c>
      <c r="E120" s="13" t="str">
        <f>[4]ITEMS_Comm!E146</f>
        <v>PJ</v>
      </c>
      <c r="F120" s="13" t="str">
        <f>[4]ITEMS_Comm!F146</f>
        <v>COM,DEM,ANNUAL,RES</v>
      </c>
    </row>
    <row r="121" spans="1:6">
      <c r="A121" s="21" t="str">
        <f>[4]ITEMS_Comm!A147</f>
        <v>*</v>
      </c>
      <c r="B121" s="13" t="str">
        <f>[4]ITEMS_Comm!B147</f>
        <v>E</v>
      </c>
      <c r="C121" s="21" t="str">
        <f>[4]ITEMS_Comm!C147</f>
        <v>INMF</v>
      </c>
      <c r="D121" s="21" t="str">
        <f>[4]ITEMS_Comm!D147</f>
        <v/>
      </c>
      <c r="E121" s="13" t="str">
        <f>[4]ITEMS_Comm!E147</f>
        <v>PJ</v>
      </c>
      <c r="F121" s="13" t="str">
        <f>[4]ITEMS_Comm!F147</f>
        <v>COM,DEM,ANNUAL,RES</v>
      </c>
    </row>
    <row r="122" spans="1:6">
      <c r="A122" s="21" t="str">
        <f>[4]ITEMS_Comm!A148</f>
        <v>*</v>
      </c>
      <c r="B122" s="13" t="str">
        <f>[4]ITEMS_Comm!B148</f>
        <v>E</v>
      </c>
      <c r="C122" s="21" t="str">
        <f>[4]ITEMS_Comm!C148</f>
        <v>INMO</v>
      </c>
      <c r="D122" s="21" t="str">
        <f>[4]ITEMS_Comm!D148</f>
        <v/>
      </c>
      <c r="E122" s="13" t="str">
        <f>[4]ITEMS_Comm!E148</f>
        <v>PJ</v>
      </c>
      <c r="F122" s="13" t="str">
        <f>[4]ITEMS_Comm!F148</f>
        <v>COM,DEM,ANNUAL,RES</v>
      </c>
    </row>
    <row r="123" spans="1:6">
      <c r="A123" s="21" t="str">
        <f>[4]ITEMS_Comm!A149</f>
        <v>*</v>
      </c>
      <c r="B123" s="13" t="str">
        <f>[4]ITEMS_Comm!B149</f>
        <v>E</v>
      </c>
      <c r="C123" s="21" t="str">
        <f>[4]ITEMS_Comm!C149</f>
        <v>INME</v>
      </c>
      <c r="D123" s="21" t="str">
        <f>[4]ITEMS_Comm!D149</f>
        <v/>
      </c>
      <c r="E123" s="13" t="str">
        <f>[4]ITEMS_Comm!E149</f>
        <v>PJ</v>
      </c>
      <c r="F123" s="13" t="str">
        <f>[4]ITEMS_Comm!F149</f>
        <v>COM,DEM,ANNUAL,RES</v>
      </c>
    </row>
    <row r="124" spans="1:6">
      <c r="A124" s="21" t="str">
        <f>[4]ITEMS_Comm!A150</f>
        <v>*</v>
      </c>
      <c r="B124" s="13" t="str">
        <f>[4]ITEMS_Comm!B150</f>
        <v>E</v>
      </c>
      <c r="C124" s="21" t="str">
        <f>[4]ITEMS_Comm!C150</f>
        <v xml:space="preserve"> </v>
      </c>
      <c r="D124" s="21" t="str">
        <f>[4]ITEMS_Comm!D150</f>
        <v/>
      </c>
      <c r="E124" s="13" t="str">
        <f>[4]ITEMS_Comm!E150</f>
        <v>PJ</v>
      </c>
      <c r="F124" s="13" t="str">
        <f>[4]ITEMS_Comm!F150</f>
        <v>COM,DEM,ANNUAL,RES</v>
      </c>
    </row>
    <row r="125" spans="1:6">
      <c r="A125" s="21" t="str">
        <f>[4]ITEMS_Comm!A151</f>
        <v>*</v>
      </c>
      <c r="B125" s="13" t="str">
        <f>[4]ITEMS_Comm!B151</f>
        <v>E</v>
      </c>
      <c r="C125" s="21" t="str">
        <f>[4]ITEMS_Comm!C151</f>
        <v>INMS</v>
      </c>
      <c r="D125" s="21" t="str">
        <f>[4]ITEMS_Comm!D151</f>
        <v/>
      </c>
      <c r="E125" s="13" t="str">
        <f>[4]ITEMS_Comm!E151</f>
        <v>PJ</v>
      </c>
      <c r="F125" s="13" t="str">
        <f>[4]ITEMS_Comm!F151</f>
        <v>COM,DEM,ANNUAL,RES</v>
      </c>
    </row>
    <row r="126" spans="1:6">
      <c r="A126" s="21" t="str">
        <f>[4]ITEMS_Comm!A152</f>
        <v>*</v>
      </c>
      <c r="B126" s="13" t="str">
        <f>[4]ITEMS_Comm!B152</f>
        <v>E</v>
      </c>
      <c r="C126" s="21" t="str">
        <f>[4]ITEMS_Comm!C152</f>
        <v>INMS</v>
      </c>
      <c r="D126" s="21" t="str">
        <f>[4]ITEMS_Comm!D152</f>
        <v/>
      </c>
      <c r="E126" s="13" t="str">
        <f>[4]ITEMS_Comm!E152</f>
        <v>PJ</v>
      </c>
      <c r="F126" s="13" t="str">
        <f>[4]ITEMS_Comm!F152</f>
        <v>COM,DEM,ANNUAL,RES</v>
      </c>
    </row>
    <row r="127" spans="1:6">
      <c r="A127" s="21" t="str">
        <f>[4]ITEMS_Comm!A153</f>
        <v>*</v>
      </c>
      <c r="B127" s="13" t="str">
        <f>[4]ITEMS_Comm!B153</f>
        <v>E</v>
      </c>
      <c r="C127" s="21" t="str">
        <f>[4]ITEMS_Comm!C153</f>
        <v>INMS</v>
      </c>
      <c r="D127" s="21" t="str">
        <f>[4]ITEMS_Comm!D153</f>
        <v/>
      </c>
      <c r="E127" s="13" t="str">
        <f>[4]ITEMS_Comm!E153</f>
        <v>PJ</v>
      </c>
      <c r="F127" s="13" t="str">
        <f>[4]ITEMS_Comm!F153</f>
        <v>COM,DEM,ANNUAL,RES</v>
      </c>
    </row>
    <row r="128" spans="1:6">
      <c r="A128" s="21" t="str">
        <f>[4]ITEMS_Comm!A154</f>
        <v>*</v>
      </c>
      <c r="B128" s="13" t="str">
        <f>[4]ITEMS_Comm!B154</f>
        <v>E</v>
      </c>
      <c r="C128" s="21" t="str">
        <f>[4]ITEMS_Comm!C154</f>
        <v>INMS</v>
      </c>
      <c r="D128" s="21" t="str">
        <f>[4]ITEMS_Comm!D154</f>
        <v/>
      </c>
      <c r="E128" s="13" t="str">
        <f>[4]ITEMS_Comm!E154</f>
        <v>PJ</v>
      </c>
      <c r="F128" s="13" t="str">
        <f>[4]ITEMS_Comm!F154</f>
        <v>COM,DEM,ANNUAL,RES</v>
      </c>
    </row>
    <row r="129" spans="1:6">
      <c r="A129" s="21" t="str">
        <f>[4]ITEMS_Comm!A155</f>
        <v>*</v>
      </c>
      <c r="B129" s="13" t="str">
        <f>[4]ITEMS_Comm!B155</f>
        <v>E</v>
      </c>
      <c r="C129" s="21" t="str">
        <f>[4]ITEMS_Comm!C155</f>
        <v>INMS</v>
      </c>
      <c r="D129" s="21" t="str">
        <f>[4]ITEMS_Comm!D155</f>
        <v/>
      </c>
      <c r="E129" s="13" t="str">
        <f>[4]ITEMS_Comm!E155</f>
        <v>PJ</v>
      </c>
      <c r="F129" s="13" t="str">
        <f>[4]ITEMS_Comm!F155</f>
        <v>COM,DEM,ANNUAL,RES</v>
      </c>
    </row>
    <row r="130" spans="1:6">
      <c r="A130" s="21" t="str">
        <f>[4]ITEMS_Comm!A156</f>
        <v>*</v>
      </c>
      <c r="B130" s="13" t="str">
        <f>[4]ITEMS_Comm!B156</f>
        <v>E</v>
      </c>
      <c r="C130" s="21" t="str">
        <f>[4]ITEMS_Comm!C156</f>
        <v>INMS</v>
      </c>
      <c r="D130" s="21" t="str">
        <f>[4]ITEMS_Comm!D156</f>
        <v/>
      </c>
      <c r="E130" s="13" t="str">
        <f>[4]ITEMS_Comm!E156</f>
        <v>PJ</v>
      </c>
      <c r="F130" s="13" t="str">
        <f>[4]ITEMS_Comm!F156</f>
        <v>COM,DEM,ANNUAL,RES</v>
      </c>
    </row>
    <row r="131" spans="1:6">
      <c r="A131" s="21" t="str">
        <f>[4]ITEMS_Comm!A157</f>
        <v>*</v>
      </c>
      <c r="B131" s="13" t="str">
        <f>[4]ITEMS_Comm!B157</f>
        <v>E</v>
      </c>
      <c r="C131" s="21" t="str">
        <f>[4]ITEMS_Comm!C157</f>
        <v>Useful Energy Service</v>
      </c>
      <c r="D131" s="21" t="str">
        <f>[4]ITEMS_Comm!D157</f>
        <v/>
      </c>
      <c r="E131" s="13" t="str">
        <f>[4]ITEMS_Comm!E157</f>
        <v>PJ</v>
      </c>
      <c r="F131" s="13" t="str">
        <f>[4]ITEMS_Comm!F157</f>
        <v>COM,DEM,ANNUAL,RES</v>
      </c>
    </row>
    <row r="132" spans="1:6">
      <c r="A132" s="21" t="str">
        <f>[4]ITEMS_Comm!A158</f>
        <v>*</v>
      </c>
      <c r="B132" s="13" t="str">
        <f>[4]ITEMS_Comm!B158</f>
        <v>E</v>
      </c>
      <c r="C132" s="21">
        <f>[4]ITEMS_Comm!C158</f>
        <v>0</v>
      </c>
      <c r="D132" s="21" t="str">
        <f>[4]ITEMS_Comm!D158</f>
        <v/>
      </c>
      <c r="E132" s="13" t="str">
        <f>[4]ITEMS_Comm!E158</f>
        <v>PJ</v>
      </c>
      <c r="F132" s="13" t="str">
        <f>[4]ITEMS_Comm!F158</f>
        <v>COM,DEM,ANNUAL,RES</v>
      </c>
    </row>
    <row r="133" spans="1:6">
      <c r="A133" s="21" t="str">
        <f>[4]ITEMS_Comm!A159</f>
        <v>*</v>
      </c>
      <c r="B133" s="13" t="str">
        <f>[4]ITEMS_Comm!B159</f>
        <v>E</v>
      </c>
      <c r="C133" s="21">
        <f>[4]ITEMS_Comm!C159</f>
        <v>2</v>
      </c>
      <c r="D133" s="21" t="str">
        <f>[4]ITEMS_Comm!D159</f>
        <v/>
      </c>
      <c r="E133" s="13" t="str">
        <f>[4]ITEMS_Comm!E159</f>
        <v>PJ</v>
      </c>
      <c r="F133" s="13" t="str">
        <f>[4]ITEMS_Comm!F159</f>
        <v>COM,DEM,ANNUAL,RES</v>
      </c>
    </row>
    <row r="134" spans="1:6">
      <c r="A134" s="21" t="str">
        <f>[4]ITEMS_Comm!A160</f>
        <v/>
      </c>
      <c r="B134" s="13" t="str">
        <f>[4]ITEMS_Comm!B160</f>
        <v>E</v>
      </c>
      <c r="C134" s="21" t="str">
        <f>[4]ITEMS_Comm!C160</f>
        <v>IFBK</v>
      </c>
      <c r="D134" s="21" t="str">
        <f>[4]ITEMS_Comm!D160</f>
        <v>Industry-Food, Beverage &amp; Tabacco-Elec Heating - Electricity</v>
      </c>
      <c r="E134" s="13" t="str">
        <f>[4]ITEMS_Comm!E160</f>
        <v>PJ</v>
      </c>
      <c r="F134" s="13" t="str">
        <f>[4]ITEMS_Comm!F160</f>
        <v>COM,DEM,ANNUAL,RES</v>
      </c>
    </row>
    <row r="135" spans="1:6">
      <c r="A135" s="21" t="str">
        <f>[4]ITEMS_Comm!A161</f>
        <v/>
      </c>
      <c r="B135" s="13" t="str">
        <f>[4]ITEMS_Comm!B161</f>
        <v>E</v>
      </c>
      <c r="C135" s="21" t="str">
        <f>[4]ITEMS_Comm!C161</f>
        <v>IFBA</v>
      </c>
      <c r="D135" s="21" t="str">
        <f>[4]ITEMS_Comm!D161</f>
        <v>Industry-Food, Beverage &amp; Tabacco-Compressed air - Electricity</v>
      </c>
      <c r="E135" s="13" t="str">
        <f>[4]ITEMS_Comm!E161</f>
        <v>PJ</v>
      </c>
      <c r="F135" s="13" t="str">
        <f>[4]ITEMS_Comm!F161</f>
        <v>COM,DEM,ANNUAL,RES</v>
      </c>
    </row>
    <row r="136" spans="1:6">
      <c r="A136" s="21" t="str">
        <f>[4]ITEMS_Comm!A162</f>
        <v/>
      </c>
      <c r="B136" s="13" t="str">
        <f>[4]ITEMS_Comm!B162</f>
        <v>E</v>
      </c>
      <c r="C136" s="21" t="str">
        <f>[4]ITEMS_Comm!C162</f>
        <v>IFBL</v>
      </c>
      <c r="D136" s="21" t="str">
        <f>[4]ITEMS_Comm!D162</f>
        <v>Industry-Food, Beverage &amp; Tabacco-Lighting - Electricity</v>
      </c>
      <c r="E136" s="13" t="str">
        <f>[4]ITEMS_Comm!E162</f>
        <v>PJ</v>
      </c>
      <c r="F136" s="13" t="str">
        <f>[4]ITEMS_Comm!F162</f>
        <v>COM,DEM,ANNUAL,RES</v>
      </c>
    </row>
    <row r="137" spans="1:6">
      <c r="A137" s="21" t="str">
        <f>[4]ITEMS_Comm!A163</f>
        <v/>
      </c>
      <c r="B137" s="13" t="str">
        <f>[4]ITEMS_Comm!B163</f>
        <v>E</v>
      </c>
      <c r="C137" s="21" t="str">
        <f>[4]ITEMS_Comm!C163</f>
        <v>IFBC</v>
      </c>
      <c r="D137" s="21" t="str">
        <f>[4]ITEMS_Comm!D163</f>
        <v>Industry-Food, Beverage &amp; Tabacco-Cooling - Electricity</v>
      </c>
      <c r="E137" s="13" t="str">
        <f>[4]ITEMS_Comm!E163</f>
        <v>PJ</v>
      </c>
      <c r="F137" s="13" t="str">
        <f>[4]ITEMS_Comm!F163</f>
        <v>COM,DEM,ANNUAL,RES</v>
      </c>
    </row>
    <row r="138" spans="1:6">
      <c r="A138" s="21" t="str">
        <f>[4]ITEMS_Comm!A164</f>
        <v/>
      </c>
      <c r="B138" s="13" t="str">
        <f>[4]ITEMS_Comm!B164</f>
        <v>E</v>
      </c>
      <c r="C138" s="21" t="str">
        <f>[4]ITEMS_Comm!C164</f>
        <v>IFBH</v>
      </c>
      <c r="D138" s="21" t="str">
        <f>[4]ITEMS_Comm!D164</f>
        <v>Industry-Food, Beverage &amp; Tabacco-HVAC - Electricity</v>
      </c>
      <c r="E138" s="13" t="str">
        <f>[4]ITEMS_Comm!E164</f>
        <v>PJ</v>
      </c>
      <c r="F138" s="13" t="str">
        <f>[4]ITEMS_Comm!F164</f>
        <v>COM,DEM,ANNUAL,RES</v>
      </c>
    </row>
    <row r="139" spans="1:6">
      <c r="A139" s="21" t="str">
        <f>[4]ITEMS_Comm!A165</f>
        <v/>
      </c>
      <c r="B139" s="13" t="str">
        <f>[4]ITEMS_Comm!B165</f>
        <v>E</v>
      </c>
      <c r="C139" s="21" t="str">
        <f>[4]ITEMS_Comm!C165</f>
        <v>IFBP</v>
      </c>
      <c r="D139" s="21" t="str">
        <f>[4]ITEMS_Comm!D165</f>
        <v>Industry-Food, Beverage &amp; Tabacco-Pumping - Electricity</v>
      </c>
      <c r="E139" s="13" t="str">
        <f>[4]ITEMS_Comm!E165</f>
        <v>PJ</v>
      </c>
      <c r="F139" s="13" t="str">
        <f>[4]ITEMS_Comm!F165</f>
        <v>COM,DEM,ANNUAL,RES</v>
      </c>
    </row>
    <row r="140" spans="1:6">
      <c r="A140" s="21" t="str">
        <f>[4]ITEMS_Comm!A166</f>
        <v/>
      </c>
      <c r="B140" s="13" t="str">
        <f>[4]ITEMS_Comm!B166</f>
        <v>E</v>
      </c>
      <c r="C140" s="21" t="str">
        <f>[4]ITEMS_Comm!C166</f>
        <v>IFBF</v>
      </c>
      <c r="D140" s="21" t="str">
        <f>[4]ITEMS_Comm!D166</f>
        <v>Industry-Food, Beverage &amp; Tabacco-Fans - Electricity</v>
      </c>
      <c r="E140" s="13" t="str">
        <f>[4]ITEMS_Comm!E166</f>
        <v>PJ</v>
      </c>
      <c r="F140" s="13" t="str">
        <f>[4]ITEMS_Comm!F166</f>
        <v>COM,DEM,ANNUAL,RES</v>
      </c>
    </row>
    <row r="141" spans="1:6">
      <c r="A141" s="21" t="str">
        <f>[4]ITEMS_Comm!A167</f>
        <v/>
      </c>
      <c r="B141" s="13" t="str">
        <f>[4]ITEMS_Comm!B167</f>
        <v>E</v>
      </c>
      <c r="C141" s="21" t="str">
        <f>[4]ITEMS_Comm!C167</f>
        <v>IFBO</v>
      </c>
      <c r="D141" s="21" t="str">
        <f>[4]ITEMS_Comm!D167</f>
        <v>Industry-Food, Beverage &amp; Tabacco-Other motive - Electricity</v>
      </c>
      <c r="E141" s="13" t="str">
        <f>[4]ITEMS_Comm!E167</f>
        <v>PJ</v>
      </c>
      <c r="F141" s="13" t="str">
        <f>[4]ITEMS_Comm!F167</f>
        <v>COM,DEM,ANNUAL,RES</v>
      </c>
    </row>
    <row r="142" spans="1:6">
      <c r="A142" s="21" t="str">
        <f>[4]ITEMS_Comm!A168</f>
        <v/>
      </c>
      <c r="B142" s="13" t="str">
        <f>[4]ITEMS_Comm!B168</f>
        <v>E</v>
      </c>
      <c r="C142" s="21" t="str">
        <f>[4]ITEMS_Comm!C168</f>
        <v>IFBE</v>
      </c>
      <c r="D142" s="21" t="str">
        <f>[4]ITEMS_Comm!D168</f>
        <v>Industry-Food, Beverage &amp; Tabacco-Electrochemical - Electricity</v>
      </c>
      <c r="E142" s="13" t="str">
        <f>[4]ITEMS_Comm!E168</f>
        <v>PJ</v>
      </c>
      <c r="F142" s="13" t="str">
        <f>[4]ITEMS_Comm!F168</f>
        <v>COM,DEM,ANNUAL,RES</v>
      </c>
    </row>
    <row r="143" spans="1:6">
      <c r="A143" s="21" t="str">
        <f>[4]ITEMS_Comm!A169</f>
        <v>*</v>
      </c>
      <c r="B143" s="13" t="str">
        <f>[4]ITEMS_Comm!B169</f>
        <v>E</v>
      </c>
      <c r="C143" s="21" t="str">
        <f>[4]ITEMS_Comm!C169</f>
        <v xml:space="preserve"> </v>
      </c>
      <c r="D143" s="21" t="str">
        <f>[4]ITEMS_Comm!D169</f>
        <v/>
      </c>
      <c r="E143" s="13" t="str">
        <f>[4]ITEMS_Comm!E169</f>
        <v>PJ</v>
      </c>
      <c r="F143" s="13" t="str">
        <f>[4]ITEMS_Comm!F169</f>
        <v>COM,DEM,ANNUAL,RES</v>
      </c>
    </row>
    <row r="144" spans="1:6">
      <c r="A144" s="21" t="str">
        <f>[4]ITEMS_Comm!A170</f>
        <v/>
      </c>
      <c r="B144" s="13" t="str">
        <f>[4]ITEMS_Comm!B170</f>
        <v>E</v>
      </c>
      <c r="C144" s="21" t="str">
        <f>[4]ITEMS_Comm!C170</f>
        <v>IFBS</v>
      </c>
      <c r="D144" s="21" t="str">
        <f>[4]ITEMS_Comm!D170</f>
        <v>Industry-Food, Beverage &amp; Tabacco-boiler/process heating - Coal - Existing</v>
      </c>
      <c r="E144" s="13" t="str">
        <f>[4]ITEMS_Comm!E170</f>
        <v>PJ</v>
      </c>
      <c r="F144" s="13" t="str">
        <f>[4]ITEMS_Comm!F170</f>
        <v>COM,DEM,ANNUAL,RES</v>
      </c>
    </row>
    <row r="145" spans="1:6">
      <c r="A145" s="21" t="str">
        <f>[4]ITEMS_Comm!A171</f>
        <v/>
      </c>
      <c r="B145" s="13" t="str">
        <f>[4]ITEMS_Comm!B171</f>
        <v>E</v>
      </c>
      <c r="C145" s="21" t="str">
        <f>[4]ITEMS_Comm!C171</f>
        <v>IFBS</v>
      </c>
      <c r="D145" s="21" t="str">
        <f>[4]ITEMS_Comm!D171</f>
        <v>Industry-Food, Beverage &amp; Tabacco-boiler/process heating - Gas - Existing</v>
      </c>
      <c r="E145" s="13" t="str">
        <f>[4]ITEMS_Comm!E171</f>
        <v>PJ</v>
      </c>
      <c r="F145" s="13" t="str">
        <f>[4]ITEMS_Comm!F171</f>
        <v>COM,DEM,ANNUAL,RES</v>
      </c>
    </row>
    <row r="146" spans="1:6">
      <c r="A146" s="21" t="str">
        <f>[4]ITEMS_Comm!A172</f>
        <v/>
      </c>
      <c r="B146" s="13" t="str">
        <f>[4]ITEMS_Comm!B172</f>
        <v>E</v>
      </c>
      <c r="C146" s="21" t="str">
        <f>[4]ITEMS_Comm!C172</f>
        <v>IFBS</v>
      </c>
      <c r="D146" s="21" t="str">
        <f>[4]ITEMS_Comm!D172</f>
        <v>Industry-Food, Beverage &amp; Tabacco-boiler/process heating - Oil HFO - Existing</v>
      </c>
      <c r="E146" s="13" t="str">
        <f>[4]ITEMS_Comm!E172</f>
        <v>PJ</v>
      </c>
      <c r="F146" s="13" t="str">
        <f>[4]ITEMS_Comm!F172</f>
        <v>COM,DEM,ANNUAL,RES</v>
      </c>
    </row>
    <row r="147" spans="1:6">
      <c r="A147" s="21" t="str">
        <f>[4]ITEMS_Comm!A173</f>
        <v/>
      </c>
      <c r="B147" s="13" t="str">
        <f>[4]ITEMS_Comm!B173</f>
        <v>E</v>
      </c>
      <c r="C147" s="21" t="str">
        <f>[4]ITEMS_Comm!C173</f>
        <v>IFBS</v>
      </c>
      <c r="D147" s="21" t="str">
        <f>[4]ITEMS_Comm!D173</f>
        <v>Industry-Food, Beverage &amp; Tabacco-boiler/process heating - Oil LPG - Existing</v>
      </c>
      <c r="E147" s="13" t="str">
        <f>[4]ITEMS_Comm!E173</f>
        <v>PJ</v>
      </c>
      <c r="F147" s="13" t="str">
        <f>[4]ITEMS_Comm!F173</f>
        <v>COM,DEM,ANNUAL,RES</v>
      </c>
    </row>
    <row r="148" spans="1:6">
      <c r="A148" s="21" t="str">
        <f>[4]ITEMS_Comm!A174</f>
        <v/>
      </c>
      <c r="B148" s="13" t="str">
        <f>[4]ITEMS_Comm!B174</f>
        <v>E</v>
      </c>
      <c r="C148" s="21" t="str">
        <f>[4]ITEMS_Comm!C174</f>
        <v>IFBS</v>
      </c>
      <c r="D148" s="21" t="str">
        <f>[4]ITEMS_Comm!D174</f>
        <v>Industry-Food, Beverage &amp; Tabacco-boiler/process heating - Electricity - Existing</v>
      </c>
      <c r="E148" s="13" t="str">
        <f>[4]ITEMS_Comm!E174</f>
        <v>PJ</v>
      </c>
      <c r="F148" s="13" t="str">
        <f>[4]ITEMS_Comm!F174</f>
        <v>COM,DEM,ANNUAL,RES</v>
      </c>
    </row>
    <row r="149" spans="1:6">
      <c r="A149" s="21" t="str">
        <f>[4]ITEMS_Comm!A175</f>
        <v/>
      </c>
      <c r="B149" s="13" t="str">
        <f>[4]ITEMS_Comm!B175</f>
        <v>E</v>
      </c>
      <c r="C149" s="21" t="str">
        <f>[4]ITEMS_Comm!C175</f>
        <v>IFBS</v>
      </c>
      <c r="D149" s="21" t="str">
        <f>[4]ITEMS_Comm!D175</f>
        <v>Industry-Food, Beverage &amp; Tabacco-boiler/process heating - Biomass bagasse - Existing</v>
      </c>
      <c r="E149" s="13" t="str">
        <f>[4]ITEMS_Comm!E175</f>
        <v>PJ</v>
      </c>
      <c r="F149" s="13" t="str">
        <f>[4]ITEMS_Comm!F175</f>
        <v>COM,DEM,ANNUAL,RES</v>
      </c>
    </row>
    <row r="150" spans="1:6">
      <c r="A150" s="21" t="str">
        <f>[4]ITEMS_Comm!A176</f>
        <v/>
      </c>
      <c r="B150" s="13" t="str">
        <f>[4]ITEMS_Comm!B176</f>
        <v>E</v>
      </c>
      <c r="C150" s="21" t="str">
        <f>[4]ITEMS_Comm!C176</f>
        <v>IFBS</v>
      </c>
      <c r="D150" s="21" t="str">
        <f>[4]ITEMS_Comm!D176</f>
        <v>Industry-Food, Beverage &amp; Tabacco-boiler/process heating - Waste - Existing</v>
      </c>
      <c r="E150" s="13" t="str">
        <f>[4]ITEMS_Comm!E176</f>
        <v>PJ</v>
      </c>
      <c r="F150" s="13" t="str">
        <f>[4]ITEMS_Comm!F176</f>
        <v>COM,DEM,ANNUAL,RES</v>
      </c>
    </row>
    <row r="151" spans="1:6">
      <c r="A151" s="21" t="str">
        <f>[4]ITEMS_Comm!A177</f>
        <v>*</v>
      </c>
      <c r="B151" s="13" t="str">
        <f>[4]ITEMS_Comm!B177</f>
        <v>E</v>
      </c>
      <c r="C151" s="21" t="str">
        <f>[4]ITEMS_Comm!C177</f>
        <v>Useful Energy Service</v>
      </c>
      <c r="D151" s="21" t="str">
        <f>[4]ITEMS_Comm!D177</f>
        <v/>
      </c>
      <c r="E151" s="13" t="str">
        <f>[4]ITEMS_Comm!E177</f>
        <v>PJ</v>
      </c>
      <c r="F151" s="13" t="str">
        <f>[4]ITEMS_Comm!F177</f>
        <v>COM,DEM,ANNUAL,RES</v>
      </c>
    </row>
    <row r="152" spans="1:6">
      <c r="A152" s="21" t="str">
        <f>[4]ITEMS_Comm!A178</f>
        <v>*</v>
      </c>
      <c r="B152" s="13" t="str">
        <f>[4]ITEMS_Comm!B178</f>
        <v>E</v>
      </c>
      <c r="C152" s="21">
        <f>[4]ITEMS_Comm!C178</f>
        <v>0</v>
      </c>
      <c r="D152" s="21" t="str">
        <f>[4]ITEMS_Comm!D178</f>
        <v/>
      </c>
      <c r="E152" s="13" t="str">
        <f>[4]ITEMS_Comm!E178</f>
        <v>PJ</v>
      </c>
      <c r="F152" s="13" t="str">
        <f>[4]ITEMS_Comm!F178</f>
        <v>COM,DEM,ANNUAL,RES</v>
      </c>
    </row>
    <row r="153" spans="1:6">
      <c r="A153" s="21" t="str">
        <f>[4]ITEMS_Comm!A179</f>
        <v>*</v>
      </c>
      <c r="B153" s="13" t="str">
        <f>[4]ITEMS_Comm!B179</f>
        <v>E</v>
      </c>
      <c r="C153" s="21">
        <f>[4]ITEMS_Comm!C179</f>
        <v>2</v>
      </c>
      <c r="D153" s="21" t="str">
        <f>[4]ITEMS_Comm!D179</f>
        <v/>
      </c>
      <c r="E153" s="13" t="str">
        <f>[4]ITEMS_Comm!E179</f>
        <v>PJ</v>
      </c>
      <c r="F153" s="13" t="str">
        <f>[4]ITEMS_Comm!F179</f>
        <v>COM,DEM,ANNUAL,RES</v>
      </c>
    </row>
    <row r="154" spans="1:6">
      <c r="A154" s="21" t="str">
        <f>[4]ITEMS_Comm!A180</f>
        <v>*</v>
      </c>
      <c r="B154" s="13" t="str">
        <f>[4]ITEMS_Comm!B180</f>
        <v>E</v>
      </c>
      <c r="C154" s="21" t="str">
        <f>[4]ITEMS_Comm!C180</f>
        <v>IPPK</v>
      </c>
      <c r="D154" s="21" t="str">
        <f>[4]ITEMS_Comm!D180</f>
        <v/>
      </c>
      <c r="E154" s="13" t="str">
        <f>[4]ITEMS_Comm!E180</f>
        <v>PJ</v>
      </c>
      <c r="F154" s="13" t="str">
        <f>[4]ITEMS_Comm!F180</f>
        <v>COM,DEM,ANNUAL,RES</v>
      </c>
    </row>
    <row r="155" spans="1:6">
      <c r="A155" s="21" t="str">
        <f>[4]ITEMS_Comm!A181</f>
        <v>*</v>
      </c>
      <c r="B155" s="13" t="str">
        <f>[4]ITEMS_Comm!B181</f>
        <v>E</v>
      </c>
      <c r="C155" s="21" t="str">
        <f>[4]ITEMS_Comm!C181</f>
        <v>IPPA</v>
      </c>
      <c r="D155" s="21" t="str">
        <f>[4]ITEMS_Comm!D181</f>
        <v/>
      </c>
      <c r="E155" s="13" t="str">
        <f>[4]ITEMS_Comm!E181</f>
        <v>PJ</v>
      </c>
      <c r="F155" s="13" t="str">
        <f>[4]ITEMS_Comm!F181</f>
        <v>COM,DEM,ANNUAL,RES</v>
      </c>
    </row>
    <row r="156" spans="1:6">
      <c r="A156" s="21" t="str">
        <f>[4]ITEMS_Comm!A182</f>
        <v>*</v>
      </c>
      <c r="B156" s="13" t="str">
        <f>[4]ITEMS_Comm!B182</f>
        <v>E</v>
      </c>
      <c r="C156" s="21" t="str">
        <f>[4]ITEMS_Comm!C182</f>
        <v>IPPL</v>
      </c>
      <c r="D156" s="21" t="str">
        <f>[4]ITEMS_Comm!D182</f>
        <v/>
      </c>
      <c r="E156" s="13" t="str">
        <f>[4]ITEMS_Comm!E182</f>
        <v>PJ</v>
      </c>
      <c r="F156" s="13" t="str">
        <f>[4]ITEMS_Comm!F182</f>
        <v>COM,DEM,ANNUAL,RES</v>
      </c>
    </row>
    <row r="157" spans="1:6">
      <c r="A157" s="21" t="str">
        <f>[4]ITEMS_Comm!A183</f>
        <v>*</v>
      </c>
      <c r="B157" s="13" t="str">
        <f>[4]ITEMS_Comm!B183</f>
        <v>E</v>
      </c>
      <c r="C157" s="21" t="str">
        <f>[4]ITEMS_Comm!C183</f>
        <v>IPPC</v>
      </c>
      <c r="D157" s="21" t="str">
        <f>[4]ITEMS_Comm!D183</f>
        <v/>
      </c>
      <c r="E157" s="13" t="str">
        <f>[4]ITEMS_Comm!E183</f>
        <v>PJ</v>
      </c>
      <c r="F157" s="13" t="str">
        <f>[4]ITEMS_Comm!F183</f>
        <v>COM,DEM,ANNUAL,RES</v>
      </c>
    </row>
    <row r="158" spans="1:6">
      <c r="A158" s="21" t="str">
        <f>[4]ITEMS_Comm!A184</f>
        <v>*</v>
      </c>
      <c r="B158" s="13" t="str">
        <f>[4]ITEMS_Comm!B184</f>
        <v>E</v>
      </c>
      <c r="C158" s="21" t="str">
        <f>[4]ITEMS_Comm!C184</f>
        <v>IPPH</v>
      </c>
      <c r="D158" s="21" t="str">
        <f>[4]ITEMS_Comm!D184</f>
        <v/>
      </c>
      <c r="E158" s="13" t="str">
        <f>[4]ITEMS_Comm!E184</f>
        <v>PJ</v>
      </c>
      <c r="F158" s="13" t="str">
        <f>[4]ITEMS_Comm!F184</f>
        <v>COM,DEM,ANNUAL,RES</v>
      </c>
    </row>
    <row r="159" spans="1:6">
      <c r="A159" s="21" t="str">
        <f>[4]ITEMS_Comm!A185</f>
        <v>*</v>
      </c>
      <c r="B159" s="13" t="str">
        <f>[4]ITEMS_Comm!B185</f>
        <v>E</v>
      </c>
      <c r="C159" s="21" t="str">
        <f>[4]ITEMS_Comm!C185</f>
        <v>IPPP</v>
      </c>
      <c r="D159" s="21" t="str">
        <f>[4]ITEMS_Comm!D185</f>
        <v/>
      </c>
      <c r="E159" s="13" t="str">
        <f>[4]ITEMS_Comm!E185</f>
        <v>PJ</v>
      </c>
      <c r="F159" s="13" t="str">
        <f>[4]ITEMS_Comm!F185</f>
        <v>COM,DEM,ANNUAL,RES</v>
      </c>
    </row>
    <row r="160" spans="1:6">
      <c r="A160" s="21" t="str">
        <f>[4]ITEMS_Comm!A186</f>
        <v>*</v>
      </c>
      <c r="B160" s="13" t="str">
        <f>[4]ITEMS_Comm!B186</f>
        <v>E</v>
      </c>
      <c r="C160" s="21" t="str">
        <f>[4]ITEMS_Comm!C186</f>
        <v>IPPF</v>
      </c>
      <c r="D160" s="21" t="str">
        <f>[4]ITEMS_Comm!D186</f>
        <v/>
      </c>
      <c r="E160" s="13" t="str">
        <f>[4]ITEMS_Comm!E186</f>
        <v>PJ</v>
      </c>
      <c r="F160" s="13" t="str">
        <f>[4]ITEMS_Comm!F186</f>
        <v>COM,DEM,ANNUAL,RES</v>
      </c>
    </row>
    <row r="161" spans="1:6">
      <c r="A161" s="21" t="str">
        <f>[4]ITEMS_Comm!A187</f>
        <v>*</v>
      </c>
      <c r="B161" s="13" t="str">
        <f>[4]ITEMS_Comm!B187</f>
        <v>E</v>
      </c>
      <c r="C161" s="21" t="str">
        <f>[4]ITEMS_Comm!C187</f>
        <v>IPPO</v>
      </c>
      <c r="D161" s="21" t="str">
        <f>[4]ITEMS_Comm!D187</f>
        <v/>
      </c>
      <c r="E161" s="13" t="str">
        <f>[4]ITEMS_Comm!E187</f>
        <v>PJ</v>
      </c>
      <c r="F161" s="13" t="str">
        <f>[4]ITEMS_Comm!F187</f>
        <v>COM,DEM,ANNUAL,RES</v>
      </c>
    </row>
    <row r="162" spans="1:6">
      <c r="A162" s="21" t="str">
        <f>[4]ITEMS_Comm!A188</f>
        <v>*</v>
      </c>
      <c r="B162" s="13" t="str">
        <f>[4]ITEMS_Comm!B188</f>
        <v>E</v>
      </c>
      <c r="C162" s="21" t="str">
        <f>[4]ITEMS_Comm!C188</f>
        <v>IPPE</v>
      </c>
      <c r="D162" s="21" t="str">
        <f>[4]ITEMS_Comm!D188</f>
        <v/>
      </c>
      <c r="E162" s="13" t="str">
        <f>[4]ITEMS_Comm!E188</f>
        <v>PJ</v>
      </c>
      <c r="F162" s="13" t="str">
        <f>[4]ITEMS_Comm!F188</f>
        <v>COM,DEM,ANNUAL,RES</v>
      </c>
    </row>
    <row r="163" spans="1:6">
      <c r="A163" s="21" t="str">
        <f>[4]ITEMS_Comm!A189</f>
        <v>*</v>
      </c>
      <c r="B163" s="13" t="str">
        <f>[4]ITEMS_Comm!B189</f>
        <v>E</v>
      </c>
      <c r="C163" s="21" t="str">
        <f>[4]ITEMS_Comm!C189</f>
        <v xml:space="preserve"> </v>
      </c>
      <c r="D163" s="21" t="str">
        <f>[4]ITEMS_Comm!D189</f>
        <v/>
      </c>
      <c r="E163" s="13" t="str">
        <f>[4]ITEMS_Comm!E189</f>
        <v>PJ</v>
      </c>
      <c r="F163" s="13" t="str">
        <f>[4]ITEMS_Comm!F189</f>
        <v>COM,DEM,ANNUAL,RES</v>
      </c>
    </row>
    <row r="164" spans="1:6">
      <c r="A164" s="21" t="str">
        <f>[4]ITEMS_Comm!A190</f>
        <v>*</v>
      </c>
      <c r="B164" s="13" t="str">
        <f>[4]ITEMS_Comm!B190</f>
        <v>E</v>
      </c>
      <c r="C164" s="21" t="str">
        <f>[4]ITEMS_Comm!C190</f>
        <v>IPPS</v>
      </c>
      <c r="D164" s="21" t="str">
        <f>[4]ITEMS_Comm!D190</f>
        <v/>
      </c>
      <c r="E164" s="13" t="str">
        <f>[4]ITEMS_Comm!E190</f>
        <v>PJ</v>
      </c>
      <c r="F164" s="13" t="str">
        <f>[4]ITEMS_Comm!F190</f>
        <v>COM,DEM,ANNUAL,RES</v>
      </c>
    </row>
    <row r="165" spans="1:6">
      <c r="B165" s="12" t="s">
        <v>37</v>
      </c>
      <c r="C165" s="12" t="s">
        <v>710</v>
      </c>
      <c r="D165" s="12" t="s">
        <v>711</v>
      </c>
      <c r="E165" s="13" t="str">
        <f>[4]ITEMS_Comm!E191</f>
        <v>PJ</v>
      </c>
      <c r="F165" s="13" t="str">
        <f>[4]ITEMS_Comm!F191</f>
        <v>COM,DEM,ANNUAL,RES</v>
      </c>
    </row>
    <row r="166" spans="1:6">
      <c r="E166" s="13"/>
      <c r="F166" s="13"/>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workbookViewId="0">
      <selection activeCell="P39" sqref="P39"/>
    </sheetView>
  </sheetViews>
  <sheetFormatPr defaultColWidth="8.85546875" defaultRowHeight="15"/>
  <cols>
    <col min="2" max="2" width="11.85546875" customWidth="1"/>
    <col min="3" max="3" width="34.85546875" customWidth="1"/>
    <col min="5" max="5" width="6.42578125" customWidth="1"/>
    <col min="6" max="6" width="9.7109375" customWidth="1"/>
    <col min="7" max="8" width="6.42578125" customWidth="1"/>
    <col min="9" max="9" width="9.140625" customWidth="1"/>
    <col min="10" max="10" width="8.85546875" style="2" customWidth="1"/>
    <col min="11" max="11" width="8.42578125" customWidth="1"/>
    <col min="12" max="12" width="8.28515625" customWidth="1"/>
    <col min="13" max="14" width="6.42578125" customWidth="1"/>
    <col min="15" max="15" width="7.140625" customWidth="1"/>
    <col min="16" max="29" width="6.42578125" customWidth="1"/>
    <col min="30" max="46" width="6.140625" customWidth="1"/>
    <col min="47" max="47" width="10.42578125" customWidth="1"/>
    <col min="48" max="48" width="6.140625" customWidth="1"/>
  </cols>
  <sheetData>
    <row r="1" spans="1:48">
      <c r="A1" t="s">
        <v>606</v>
      </c>
      <c r="B1" t="s">
        <v>17</v>
      </c>
      <c r="G1" t="s">
        <v>283</v>
      </c>
    </row>
    <row r="2" spans="1:48" ht="15.75" thickBot="1">
      <c r="A2" t="s">
        <v>16</v>
      </c>
      <c r="B2" s="311" t="s">
        <v>197</v>
      </c>
      <c r="C2" s="311"/>
      <c r="G2" t="s">
        <v>282</v>
      </c>
      <c r="H2">
        <v>1</v>
      </c>
    </row>
    <row r="3" spans="1:48">
      <c r="A3" t="s">
        <v>16</v>
      </c>
      <c r="G3" t="s">
        <v>284</v>
      </c>
      <c r="H3">
        <v>0</v>
      </c>
      <c r="J3" s="2">
        <v>2012</v>
      </c>
      <c r="K3" s="2">
        <v>2013</v>
      </c>
      <c r="L3" s="2">
        <v>2014</v>
      </c>
      <c r="M3" s="2">
        <v>2015</v>
      </c>
      <c r="N3" s="2">
        <v>2016</v>
      </c>
      <c r="O3" s="2">
        <v>2017</v>
      </c>
      <c r="P3" s="2">
        <v>2018</v>
      </c>
      <c r="Q3" s="2">
        <v>2019</v>
      </c>
      <c r="R3" s="2">
        <v>2020</v>
      </c>
      <c r="S3" s="2">
        <v>2021</v>
      </c>
      <c r="T3" s="2">
        <v>2022</v>
      </c>
      <c r="U3" s="2">
        <v>2023</v>
      </c>
      <c r="V3" s="2">
        <v>2024</v>
      </c>
      <c r="W3" s="2">
        <v>2025</v>
      </c>
      <c r="X3" s="2">
        <v>2026</v>
      </c>
      <c r="Y3" s="2">
        <v>2027</v>
      </c>
      <c r="Z3" s="2">
        <v>2028</v>
      </c>
      <c r="AA3" s="2">
        <v>2029</v>
      </c>
      <c r="AB3" s="2">
        <v>2030</v>
      </c>
      <c r="AC3" s="2">
        <v>2031</v>
      </c>
      <c r="AD3" s="2">
        <v>2032</v>
      </c>
      <c r="AE3" s="2">
        <v>2033</v>
      </c>
      <c r="AF3" s="2">
        <v>2034</v>
      </c>
      <c r="AG3" s="2">
        <v>2035</v>
      </c>
      <c r="AH3" s="2">
        <v>2036</v>
      </c>
      <c r="AI3" s="2">
        <v>2037</v>
      </c>
      <c r="AJ3" s="2">
        <v>2038</v>
      </c>
      <c r="AK3" s="2">
        <v>2039</v>
      </c>
      <c r="AL3" s="2">
        <v>2040</v>
      </c>
      <c r="AM3" s="2">
        <v>2045</v>
      </c>
      <c r="AN3" s="2">
        <v>2050</v>
      </c>
      <c r="AO3" s="2">
        <v>2060</v>
      </c>
      <c r="AP3" s="2">
        <v>2070</v>
      </c>
      <c r="AQ3" s="2"/>
      <c r="AR3" s="2"/>
      <c r="AS3" s="2"/>
      <c r="AT3" s="2"/>
      <c r="AU3" s="2"/>
      <c r="AV3" s="2"/>
    </row>
    <row r="4" spans="1:48">
      <c r="A4" t="s">
        <v>16</v>
      </c>
      <c r="D4">
        <v>2012</v>
      </c>
      <c r="E4">
        <v>2020</v>
      </c>
      <c r="F4">
        <v>2030</v>
      </c>
      <c r="G4">
        <v>2050</v>
      </c>
      <c r="H4">
        <v>1</v>
      </c>
      <c r="I4" t="s">
        <v>392</v>
      </c>
      <c r="J4">
        <f>MATCH(J$3,$D$4:$G$4,$H4)</f>
        <v>1</v>
      </c>
      <c r="K4">
        <f t="shared" ref="K4:AP5" si="0">MATCH(K$3,$D$4:$G$4,$H4)</f>
        <v>1</v>
      </c>
      <c r="L4">
        <f t="shared" si="0"/>
        <v>1</v>
      </c>
      <c r="M4">
        <f t="shared" si="0"/>
        <v>1</v>
      </c>
      <c r="N4">
        <f t="shared" si="0"/>
        <v>1</v>
      </c>
      <c r="O4">
        <f t="shared" si="0"/>
        <v>1</v>
      </c>
      <c r="P4">
        <f t="shared" si="0"/>
        <v>1</v>
      </c>
      <c r="Q4">
        <f t="shared" si="0"/>
        <v>1</v>
      </c>
      <c r="R4">
        <f t="shared" si="0"/>
        <v>2</v>
      </c>
      <c r="S4">
        <f t="shared" si="0"/>
        <v>2</v>
      </c>
      <c r="T4">
        <f t="shared" si="0"/>
        <v>2</v>
      </c>
      <c r="U4">
        <f t="shared" si="0"/>
        <v>2</v>
      </c>
      <c r="V4">
        <f t="shared" si="0"/>
        <v>2</v>
      </c>
      <c r="W4">
        <f t="shared" si="0"/>
        <v>2</v>
      </c>
      <c r="X4">
        <f t="shared" si="0"/>
        <v>2</v>
      </c>
      <c r="Y4">
        <f t="shared" si="0"/>
        <v>2</v>
      </c>
      <c r="Z4">
        <f t="shared" si="0"/>
        <v>2</v>
      </c>
      <c r="AA4">
        <f t="shared" si="0"/>
        <v>2</v>
      </c>
      <c r="AB4">
        <f t="shared" si="0"/>
        <v>3</v>
      </c>
      <c r="AC4">
        <f t="shared" si="0"/>
        <v>3</v>
      </c>
      <c r="AD4">
        <f t="shared" si="0"/>
        <v>3</v>
      </c>
      <c r="AE4">
        <f t="shared" si="0"/>
        <v>3</v>
      </c>
      <c r="AF4">
        <f t="shared" si="0"/>
        <v>3</v>
      </c>
      <c r="AG4">
        <f t="shared" si="0"/>
        <v>3</v>
      </c>
      <c r="AH4">
        <f t="shared" si="0"/>
        <v>3</v>
      </c>
      <c r="AI4">
        <f t="shared" si="0"/>
        <v>3</v>
      </c>
      <c r="AJ4">
        <f t="shared" si="0"/>
        <v>3</v>
      </c>
      <c r="AK4">
        <f t="shared" si="0"/>
        <v>3</v>
      </c>
      <c r="AL4">
        <f t="shared" si="0"/>
        <v>3</v>
      </c>
      <c r="AM4">
        <f t="shared" si="0"/>
        <v>3</v>
      </c>
      <c r="AN4">
        <f t="shared" si="0"/>
        <v>4</v>
      </c>
      <c r="AO4">
        <f t="shared" si="0"/>
        <v>4</v>
      </c>
      <c r="AP4">
        <f t="shared" si="0"/>
        <v>4</v>
      </c>
    </row>
    <row r="5" spans="1:48">
      <c r="A5" t="s">
        <v>16</v>
      </c>
      <c r="D5" cm="1">
        <f t="array" ref="D5">INDEX($D4:$G4,0,COUNT($D4:$G4)-D6)</f>
        <v>2050</v>
      </c>
      <c r="E5" cm="1">
        <f t="array" ref="E5">INDEX($D4:$G4,0,COUNT($D4:$G4)-E6)</f>
        <v>2030</v>
      </c>
      <c r="F5" cm="1">
        <f t="array" ref="F5">INDEX($D4:$G4,0,COUNT($D4:$G4)-F6)</f>
        <v>2020</v>
      </c>
      <c r="G5" cm="1">
        <f t="array" ref="G5">INDEX($D4:$G4,0,COUNT($D4:$G4)-G6)</f>
        <v>2012</v>
      </c>
      <c r="H5">
        <v>0</v>
      </c>
      <c r="I5" t="s">
        <v>393</v>
      </c>
      <c r="J5">
        <f t="shared" ref="J5:Y5" si="1">MATCH(J$3,$D$4:$G$4,$H5)</f>
        <v>1</v>
      </c>
      <c r="K5" t="e">
        <f t="shared" si="1"/>
        <v>#N/A</v>
      </c>
      <c r="L5" t="e">
        <f t="shared" si="1"/>
        <v>#N/A</v>
      </c>
      <c r="M5" t="e">
        <f t="shared" si="1"/>
        <v>#N/A</v>
      </c>
      <c r="N5" t="e">
        <f t="shared" si="1"/>
        <v>#N/A</v>
      </c>
      <c r="O5" t="e">
        <f t="shared" si="1"/>
        <v>#N/A</v>
      </c>
      <c r="P5" t="e">
        <f t="shared" si="1"/>
        <v>#N/A</v>
      </c>
      <c r="Q5" t="e">
        <f t="shared" si="1"/>
        <v>#N/A</v>
      </c>
      <c r="R5">
        <f t="shared" si="1"/>
        <v>2</v>
      </c>
      <c r="S5" t="e">
        <f t="shared" si="1"/>
        <v>#N/A</v>
      </c>
      <c r="T5" t="e">
        <f t="shared" si="1"/>
        <v>#N/A</v>
      </c>
      <c r="U5" t="e">
        <f t="shared" si="1"/>
        <v>#N/A</v>
      </c>
      <c r="V5" t="e">
        <f t="shared" si="1"/>
        <v>#N/A</v>
      </c>
      <c r="W5" t="e">
        <f t="shared" si="1"/>
        <v>#N/A</v>
      </c>
      <c r="X5" t="e">
        <f t="shared" si="1"/>
        <v>#N/A</v>
      </c>
      <c r="Y5" t="e">
        <f t="shared" si="1"/>
        <v>#N/A</v>
      </c>
      <c r="Z5" t="e">
        <f t="shared" si="0"/>
        <v>#N/A</v>
      </c>
      <c r="AA5" t="e">
        <f t="shared" si="0"/>
        <v>#N/A</v>
      </c>
      <c r="AB5">
        <f t="shared" si="0"/>
        <v>3</v>
      </c>
      <c r="AC5" t="e">
        <f t="shared" si="0"/>
        <v>#N/A</v>
      </c>
      <c r="AD5" t="e">
        <f t="shared" si="0"/>
        <v>#N/A</v>
      </c>
      <c r="AE5" t="e">
        <f t="shared" si="0"/>
        <v>#N/A</v>
      </c>
      <c r="AF5" t="e">
        <f t="shared" si="0"/>
        <v>#N/A</v>
      </c>
      <c r="AG5" t="e">
        <f t="shared" si="0"/>
        <v>#N/A</v>
      </c>
      <c r="AH5" t="e">
        <f t="shared" si="0"/>
        <v>#N/A</v>
      </c>
      <c r="AI5" t="e">
        <f t="shared" si="0"/>
        <v>#N/A</v>
      </c>
      <c r="AJ5" t="e">
        <f t="shared" si="0"/>
        <v>#N/A</v>
      </c>
      <c r="AK5" t="e">
        <f t="shared" si="0"/>
        <v>#N/A</v>
      </c>
      <c r="AL5" t="e">
        <f t="shared" si="0"/>
        <v>#N/A</v>
      </c>
      <c r="AM5" t="e">
        <f t="shared" si="0"/>
        <v>#N/A</v>
      </c>
      <c r="AN5">
        <f t="shared" si="0"/>
        <v>4</v>
      </c>
      <c r="AO5" t="e">
        <f t="shared" si="0"/>
        <v>#N/A</v>
      </c>
      <c r="AP5" t="e">
        <f t="shared" si="0"/>
        <v>#N/A</v>
      </c>
    </row>
    <row r="6" spans="1:48">
      <c r="A6" t="s">
        <v>16</v>
      </c>
      <c r="D6">
        <v>0</v>
      </c>
      <c r="E6">
        <v>1</v>
      </c>
      <c r="F6">
        <v>2</v>
      </c>
      <c r="G6">
        <v>3</v>
      </c>
      <c r="H6">
        <v>-1</v>
      </c>
      <c r="I6" t="s">
        <v>391</v>
      </c>
      <c r="J6">
        <f>MATCH(J$3,$D$5:$G$5,$H6)</f>
        <v>4</v>
      </c>
      <c r="K6">
        <f t="shared" ref="K6:AP6" si="2">MATCH(K$3,$D$5:$G$5,$H6)</f>
        <v>3</v>
      </c>
      <c r="L6">
        <f t="shared" si="2"/>
        <v>3</v>
      </c>
      <c r="M6">
        <f t="shared" si="2"/>
        <v>3</v>
      </c>
      <c r="N6">
        <f t="shared" si="2"/>
        <v>3</v>
      </c>
      <c r="O6">
        <f t="shared" si="2"/>
        <v>3</v>
      </c>
      <c r="P6">
        <f t="shared" si="2"/>
        <v>3</v>
      </c>
      <c r="Q6">
        <f t="shared" si="2"/>
        <v>3</v>
      </c>
      <c r="R6">
        <f t="shared" si="2"/>
        <v>3</v>
      </c>
      <c r="S6">
        <f t="shared" si="2"/>
        <v>2</v>
      </c>
      <c r="T6">
        <f t="shared" si="2"/>
        <v>2</v>
      </c>
      <c r="U6">
        <f t="shared" si="2"/>
        <v>2</v>
      </c>
      <c r="V6">
        <f t="shared" si="2"/>
        <v>2</v>
      </c>
      <c r="W6">
        <f t="shared" si="2"/>
        <v>2</v>
      </c>
      <c r="X6">
        <f t="shared" si="2"/>
        <v>2</v>
      </c>
      <c r="Y6">
        <f t="shared" si="2"/>
        <v>2</v>
      </c>
      <c r="Z6">
        <f t="shared" si="2"/>
        <v>2</v>
      </c>
      <c r="AA6">
        <f t="shared" si="2"/>
        <v>2</v>
      </c>
      <c r="AB6">
        <f t="shared" si="2"/>
        <v>2</v>
      </c>
      <c r="AC6">
        <f t="shared" si="2"/>
        <v>1</v>
      </c>
      <c r="AD6">
        <f t="shared" si="2"/>
        <v>1</v>
      </c>
      <c r="AE6">
        <f t="shared" si="2"/>
        <v>1</v>
      </c>
      <c r="AF6">
        <f t="shared" si="2"/>
        <v>1</v>
      </c>
      <c r="AG6">
        <f t="shared" si="2"/>
        <v>1</v>
      </c>
      <c r="AH6">
        <f t="shared" si="2"/>
        <v>1</v>
      </c>
      <c r="AI6">
        <f t="shared" si="2"/>
        <v>1</v>
      </c>
      <c r="AJ6">
        <f t="shared" si="2"/>
        <v>1</v>
      </c>
      <c r="AK6">
        <f t="shared" si="2"/>
        <v>1</v>
      </c>
      <c r="AL6">
        <f t="shared" si="2"/>
        <v>1</v>
      </c>
      <c r="AM6">
        <f t="shared" si="2"/>
        <v>1</v>
      </c>
      <c r="AN6">
        <f>MATCH(AN$3,$D$5:$G$5,$H6)</f>
        <v>1</v>
      </c>
      <c r="AO6" t="e">
        <f t="shared" si="2"/>
        <v>#N/A</v>
      </c>
      <c r="AP6" t="e">
        <f t="shared" si="2"/>
        <v>#N/A</v>
      </c>
    </row>
    <row r="7" spans="1:48">
      <c r="A7" t="s">
        <v>16</v>
      </c>
      <c r="I7" t="s">
        <v>394</v>
      </c>
      <c r="J7" s="2">
        <f>IF(ISNA(J4),-1,IF(ISNA(J6),99,IF(ISNA(J5),J4,0)))</f>
        <v>0</v>
      </c>
      <c r="K7" s="2">
        <f t="shared" ref="K7:AP7" si="3">IF(ISNA(K4),-1,IF(ISNA(K6),99,IF(ISNA(K5),K4,0)))</f>
        <v>1</v>
      </c>
      <c r="L7" s="2">
        <f t="shared" si="3"/>
        <v>1</v>
      </c>
      <c r="M7" s="2">
        <f t="shared" si="3"/>
        <v>1</v>
      </c>
      <c r="N7" s="2">
        <f t="shared" si="3"/>
        <v>1</v>
      </c>
      <c r="O7" s="2">
        <f t="shared" si="3"/>
        <v>1</v>
      </c>
      <c r="P7" s="2">
        <f t="shared" si="3"/>
        <v>1</v>
      </c>
      <c r="Q7" s="2">
        <f t="shared" si="3"/>
        <v>1</v>
      </c>
      <c r="R7" s="2">
        <f t="shared" si="3"/>
        <v>0</v>
      </c>
      <c r="S7" s="2">
        <f t="shared" si="3"/>
        <v>2</v>
      </c>
      <c r="T7" s="2">
        <f t="shared" si="3"/>
        <v>2</v>
      </c>
      <c r="U7" s="2">
        <f t="shared" si="3"/>
        <v>2</v>
      </c>
      <c r="V7" s="2">
        <f t="shared" si="3"/>
        <v>2</v>
      </c>
      <c r="W7" s="2">
        <f t="shared" si="3"/>
        <v>2</v>
      </c>
      <c r="X7" s="2">
        <f t="shared" si="3"/>
        <v>2</v>
      </c>
      <c r="Y7" s="2">
        <f t="shared" si="3"/>
        <v>2</v>
      </c>
      <c r="Z7" s="2">
        <f t="shared" si="3"/>
        <v>2</v>
      </c>
      <c r="AA7" s="2">
        <f t="shared" si="3"/>
        <v>2</v>
      </c>
      <c r="AB7" s="2">
        <f t="shared" si="3"/>
        <v>0</v>
      </c>
      <c r="AC7" s="2">
        <f t="shared" si="3"/>
        <v>3</v>
      </c>
      <c r="AD7" s="2">
        <f t="shared" si="3"/>
        <v>3</v>
      </c>
      <c r="AE7" s="2">
        <f t="shared" si="3"/>
        <v>3</v>
      </c>
      <c r="AF7" s="2">
        <f t="shared" si="3"/>
        <v>3</v>
      </c>
      <c r="AG7" s="2">
        <f t="shared" si="3"/>
        <v>3</v>
      </c>
      <c r="AH7" s="2">
        <f t="shared" si="3"/>
        <v>3</v>
      </c>
      <c r="AI7" s="2">
        <f t="shared" si="3"/>
        <v>3</v>
      </c>
      <c r="AJ7" s="2">
        <f t="shared" si="3"/>
        <v>3</v>
      </c>
      <c r="AK7" s="2">
        <f t="shared" si="3"/>
        <v>3</v>
      </c>
      <c r="AL7" s="2">
        <f t="shared" si="3"/>
        <v>3</v>
      </c>
      <c r="AM7" s="2">
        <f t="shared" si="3"/>
        <v>3</v>
      </c>
      <c r="AN7" s="2">
        <f t="shared" si="3"/>
        <v>0</v>
      </c>
      <c r="AO7" s="2">
        <f>IF(ISNA(AO4),-1,IF(ISNA(AO6),99,IF(ISNA(AO5),AO4,0)))</f>
        <v>99</v>
      </c>
      <c r="AP7" s="2">
        <f t="shared" si="3"/>
        <v>99</v>
      </c>
      <c r="AQ7" s="2"/>
      <c r="AR7" s="2"/>
      <c r="AS7" s="2"/>
      <c r="AT7" s="2"/>
      <c r="AU7" s="2"/>
      <c r="AV7" s="2"/>
    </row>
    <row r="8" spans="1:48" ht="15.75" thickBot="1">
      <c r="A8" t="s">
        <v>16</v>
      </c>
      <c r="B8" s="9" t="s">
        <v>715</v>
      </c>
      <c r="C8" s="9"/>
      <c r="D8" s="9"/>
      <c r="E8" s="9"/>
      <c r="F8" s="9"/>
    </row>
    <row r="9" spans="1:48">
      <c r="A9" t="s">
        <v>16</v>
      </c>
      <c r="B9" t="s">
        <v>9</v>
      </c>
      <c r="C9" t="s">
        <v>10</v>
      </c>
      <c r="D9" t="s">
        <v>281</v>
      </c>
      <c r="E9" t="s">
        <v>280</v>
      </c>
      <c r="J9" s="2">
        <f>MATCH(J3,Drivers!$C$5:$AG$5,0)</f>
        <v>1</v>
      </c>
      <c r="K9" s="2">
        <f>MATCH(K3,Drivers!$C$5:$AG$5,0)</f>
        <v>2</v>
      </c>
      <c r="L9" s="2">
        <f>MATCH(L3,Drivers!$C$5:$AG$5,0)</f>
        <v>3</v>
      </c>
      <c r="M9" s="2">
        <f>MATCH(M3,Drivers!$C$5:$AG$5,0)</f>
        <v>4</v>
      </c>
      <c r="N9" s="2">
        <f>MATCH(N3,Drivers!$C$5:$AG$5,0)</f>
        <v>5</v>
      </c>
      <c r="O9" s="2">
        <f>MATCH(O3,Drivers!$C$5:$AG$5,0)</f>
        <v>6</v>
      </c>
      <c r="P9" s="2">
        <f>MATCH(P3,Drivers!$C$5:$AG$5,0)</f>
        <v>7</v>
      </c>
      <c r="Q9" s="2">
        <f>MATCH(Q3,Drivers!$C$5:$AG$5,0)</f>
        <v>8</v>
      </c>
      <c r="R9" s="2">
        <f>MATCH(R3,Drivers!$C$5:$AG$5,0)</f>
        <v>9</v>
      </c>
      <c r="S9" s="2">
        <f>MATCH(S3,Drivers!$C$5:$AG$5,0)</f>
        <v>10</v>
      </c>
      <c r="T9" s="2">
        <f>MATCH(T3,Drivers!$C$5:$AG$5,0)</f>
        <v>11</v>
      </c>
      <c r="U9" s="2">
        <f>MATCH(U3,Drivers!$C$5:$AG$5,0)</f>
        <v>12</v>
      </c>
      <c r="V9" s="2">
        <f>MATCH(V3,Drivers!$C$5:$AG$5,0)</f>
        <v>13</v>
      </c>
      <c r="W9" s="2">
        <f>MATCH(W3,Drivers!$C$5:$AG$5,0)</f>
        <v>14</v>
      </c>
      <c r="X9" s="2">
        <f>MATCH(X3,Drivers!$C$5:$AG$5,0)</f>
        <v>15</v>
      </c>
      <c r="Y9" s="2">
        <f>MATCH(Y3,Drivers!$C$5:$AG$5,0)</f>
        <v>16</v>
      </c>
      <c r="Z9" s="2">
        <f>MATCH(Z3,Drivers!$C$5:$AG$5,0)</f>
        <v>17</v>
      </c>
      <c r="AA9" s="2">
        <f>MATCH(AA3,Drivers!$C$5:$AG$5,0)</f>
        <v>18</v>
      </c>
      <c r="AB9" s="2">
        <f>MATCH(AB3,Drivers!$C$5:$AG$5,0)</f>
        <v>19</v>
      </c>
      <c r="AC9" s="2">
        <f>MATCH(AC3,Drivers!$C$5:$AG$5,0)</f>
        <v>20</v>
      </c>
      <c r="AD9" s="2">
        <f>MATCH(AD3,Drivers!$C$5:$AG$5,0)</f>
        <v>21</v>
      </c>
      <c r="AE9" s="2">
        <f>MATCH(AE3,Drivers!$C$5:$AG$5,0)</f>
        <v>22</v>
      </c>
      <c r="AF9" s="2">
        <f>MATCH(AF3,Drivers!$C$5:$AG$5,0)</f>
        <v>23</v>
      </c>
      <c r="AG9" s="2">
        <f>MATCH(AG3,Drivers!$C$5:$AG$5,0)</f>
        <v>24</v>
      </c>
      <c r="AH9" s="2">
        <f>MATCH(AH3,Drivers!$C$5:$AG$5,0)</f>
        <v>25</v>
      </c>
      <c r="AI9" s="2">
        <f>MATCH(AI3,Drivers!$C$5:$AG$5,0)</f>
        <v>26</v>
      </c>
      <c r="AJ9" s="2">
        <f>MATCH(AJ3,Drivers!$C$5:$AG$5,0)</f>
        <v>27</v>
      </c>
      <c r="AK9" s="2">
        <f>MATCH(AK3,Drivers!$C$5:$AG$5,0)</f>
        <v>28</v>
      </c>
      <c r="AL9" s="2">
        <f>MATCH(AL3,Drivers!$C$5:$AG$5,0)</f>
        <v>29</v>
      </c>
      <c r="AM9" s="2">
        <f>MATCH(AM3,Drivers!$C$5:$AG$5,0)</f>
        <v>30</v>
      </c>
      <c r="AN9" s="2">
        <f>MATCH(AN3,Drivers!$C$5:$AG$5,0)</f>
        <v>31</v>
      </c>
      <c r="AO9">
        <f>AN9+1</f>
        <v>32</v>
      </c>
      <c r="AP9">
        <f>AO9+1</f>
        <v>33</v>
      </c>
    </row>
    <row r="10" spans="1:48">
      <c r="A10" t="s">
        <v>16</v>
      </c>
      <c r="B10" s="3" t="str">
        <f>[4]IND!B10</f>
        <v>MI</v>
      </c>
      <c r="C10" s="3" t="str">
        <f>[4]IND!A10</f>
        <v>Mining</v>
      </c>
      <c r="D10">
        <f>[4]IND!M10</f>
        <v>1</v>
      </c>
      <c r="F10" s="3"/>
      <c r="G10">
        <f>MATCH(B10,Drivers!$A$7:$A$25,0)</f>
        <v>10</v>
      </c>
      <c r="H10" s="3"/>
      <c r="I10" s="3"/>
      <c r="J10" cm="1">
        <f t="array" ref="J10">INDEX(Drivers!$C$7:$AG$25,$G10,J$9)</f>
        <v>186.51301855651582</v>
      </c>
      <c r="K10" cm="1">
        <f t="array" ref="K10">INDEX(Drivers!$C$7:$AG$25,$G10,K$9)</f>
        <v>191.20040429598868</v>
      </c>
      <c r="L10" cm="1">
        <f t="array" ref="L10">INDEX(Drivers!$C$7:$AG$25,$G10,L$9)</f>
        <v>192.19084947996168</v>
      </c>
      <c r="M10" cm="1">
        <f t="array" ref="M10">INDEX(Drivers!$C$7:$AG$25,$G10,M$9)</f>
        <v>198.3568473622208</v>
      </c>
      <c r="N10" cm="1">
        <f t="array" ref="N10">INDEX(Drivers!$C$7:$AG$25,$G10,N$9)</f>
        <v>195.64424405359443</v>
      </c>
      <c r="O10" cm="1">
        <f t="array" ref="O10">INDEX(Drivers!$C$7:$AG$25,$G10,O$9)</f>
        <v>201.78663829260577</v>
      </c>
      <c r="P10" cm="1">
        <f t="array" ref="P10">INDEX(Drivers!$C$7:$AG$25,$G10,P$9)</f>
        <v>200.62824410860065</v>
      </c>
      <c r="Q10" cm="1">
        <f t="array" ref="Q10">INDEX(Drivers!$C$7:$AG$25,$G10,Q$9)</f>
        <v>198.05</v>
      </c>
      <c r="R10" cm="1">
        <f t="array" ref="R10">INDEX(Drivers!$C$7:$AG$25,$G10,R$9)</f>
        <v>190.12</v>
      </c>
      <c r="S10" cm="1">
        <f t="array" ref="S10">INDEX(Drivers!$C$7:$AG$25,$G10,S$9)</f>
        <v>194.67280741721856</v>
      </c>
      <c r="T10" cm="1">
        <f t="array" ref="T10">INDEX(Drivers!$C$7:$AG$25,$G10,T$9)</f>
        <v>197.73487258278149</v>
      </c>
      <c r="U10" cm="1">
        <f t="array" ref="U10">INDEX(Drivers!$C$7:$AG$25,$G10,U$9)</f>
        <v>200.81708291390731</v>
      </c>
      <c r="V10" cm="1">
        <f t="array" ref="V10">INDEX(Drivers!$C$7:$AG$25,$G10,V$9)</f>
        <v>203.97987390728477</v>
      </c>
      <c r="W10" cm="1">
        <f t="array" ref="W10">INDEX(Drivers!$C$7:$AG$25,$G10,W$9)</f>
        <v>206.83041483443708</v>
      </c>
      <c r="X10" cm="1">
        <f t="array" ref="X10">INDEX(Drivers!$C$7:$AG$25,$G10,X$9)</f>
        <v>209.41906860927148</v>
      </c>
      <c r="Y10" cm="1">
        <f t="array" ref="Y10">INDEX(Drivers!$C$7:$AG$25,$G10,Y$9)</f>
        <v>211.91706913907279</v>
      </c>
      <c r="Z10" cm="1">
        <f t="array" ref="Z10">INDEX(Drivers!$C$7:$AG$25,$G10,Z$9)</f>
        <v>218.2225059602649</v>
      </c>
      <c r="AA10" cm="1">
        <f t="array" ref="AA10">INDEX(Drivers!$C$7:$AG$25,$G10,AA$9)</f>
        <v>223.45017642384107</v>
      </c>
      <c r="AB10" cm="1">
        <f t="array" ref="AB10">INDEX(Drivers!$C$7:$AG$25,$G10,AB$9)</f>
        <v>226.56260450331129</v>
      </c>
      <c r="AC10" cm="1">
        <f t="array" ref="AC10">INDEX(Drivers!$C$7:$AG$25,$G10,AC$9)</f>
        <v>229.44336317880797</v>
      </c>
      <c r="AD10" cm="1">
        <f t="array" ref="AD10">INDEX(Drivers!$C$7:$AG$25,$G10,AD$9)</f>
        <v>231.66940397350999</v>
      </c>
      <c r="AE10" cm="1">
        <f t="array" ref="AE10">INDEX(Drivers!$C$7:$AG$25,$G10,AE$9)</f>
        <v>234.47965456953645</v>
      </c>
      <c r="AF10" cm="1">
        <f t="array" ref="AF10">INDEX(Drivers!$C$7:$AG$25,$G10,AF$9)</f>
        <v>237.06830834437091</v>
      </c>
      <c r="AG10" cm="1">
        <f t="array" ref="AG10">INDEX(Drivers!$C$7:$AG$25,$G10,AG$9)</f>
        <v>244.23998728476823</v>
      </c>
      <c r="AH10" cm="1">
        <f t="array" ref="AH10">INDEX(Drivers!$C$7:$AG$25,$G10,AH$9)</f>
        <v>251.84478728476824</v>
      </c>
      <c r="AI10" cm="1">
        <f t="array" ref="AI10">INDEX(Drivers!$C$7:$AG$25,$G10,AI$9)</f>
        <v>253.96002966887423</v>
      </c>
      <c r="AJ10" cm="1">
        <f t="array" ref="AJ10">INDEX(Drivers!$C$7:$AG$25,$G10,AJ$9)</f>
        <v>256.65948185430472</v>
      </c>
      <c r="AK10" cm="1">
        <f t="array" ref="AK10">INDEX(Drivers!$C$7:$AG$25,$G10,AK$9)</f>
        <v>256.68969960264911</v>
      </c>
      <c r="AL10" cm="1">
        <f t="array" ref="AL10">INDEX(Drivers!$C$7:$AG$25,$G10,AL$9)</f>
        <v>259.89278092715239</v>
      </c>
      <c r="AM10" cm="1">
        <f t="array" ref="AM10">INDEX(Drivers!$C$7:$AG$25,$G10,AM$9)</f>
        <v>266.54068556291401</v>
      </c>
      <c r="AN10" cm="1">
        <f t="array" ref="AN10">INDEX(Drivers!$C$7:$AG$25,$G10,AN$9)</f>
        <v>263.57934622516564</v>
      </c>
      <c r="AO10">
        <f>FORECAST(AO$3,$AL10:$AN10,$AL$3:$AN$3)</f>
        <v>268.86745218543058</v>
      </c>
      <c r="AP10">
        <f>FORECAST(AP$3,$AL10:$AN10,$AL$3:$AN$3)</f>
        <v>272.55401748344389</v>
      </c>
    </row>
    <row r="11" spans="1:48">
      <c r="A11" t="s">
        <v>16</v>
      </c>
      <c r="B11" s="3" t="s">
        <v>719</v>
      </c>
      <c r="C11" s="3" t="s">
        <v>709</v>
      </c>
      <c r="D11">
        <f>[4]IND!M11</f>
        <v>0</v>
      </c>
      <c r="F11" s="3"/>
      <c r="G11">
        <f>MATCH(B11,Drivers!$A$7:$A$25,0)</f>
        <v>11</v>
      </c>
      <c r="H11" s="3"/>
      <c r="I11" s="3"/>
      <c r="J11" cm="1">
        <f t="array" ref="J11">INDEX(Drivers!$C$7:$AG$25,$G11,J$9)</f>
        <v>91.99927686334776</v>
      </c>
      <c r="K11" cm="1">
        <f t="array" ref="K11">INDEX(Drivers!$C$7:$AG$25,$G11,K$9)</f>
        <v>94.311373368720652</v>
      </c>
      <c r="L11" cm="1">
        <f t="array" ref="L11">INDEX(Drivers!$C$7:$AG$25,$G11,L$9)</f>
        <v>94.799919645026264</v>
      </c>
      <c r="M11" cm="1">
        <f t="array" ref="M11">INDEX(Drivers!$C$7:$AG$25,$G11,M$9)</f>
        <v>97.841355308332979</v>
      </c>
      <c r="N11" cm="1">
        <f t="array" ref="N11">INDEX(Drivers!$C$7:$AG$25,$G11,N$9)</f>
        <v>96.503338558927737</v>
      </c>
      <c r="O11" cm="1">
        <f t="array" ref="O11">INDEX(Drivers!$C$7:$AG$25,$G11,O$9)</f>
        <v>99.533131506208818</v>
      </c>
      <c r="P11" cm="1">
        <f t="array" ref="P11">INDEX(Drivers!$C$7:$AG$25,$G11,P$9)</f>
        <v>98.961742827413289</v>
      </c>
      <c r="Q11" cm="1">
        <f t="array" ref="Q11">INDEX(Drivers!$C$7:$AG$25,$G11,Q$9)</f>
        <v>97.69</v>
      </c>
      <c r="R11" cm="1">
        <f t="array" ref="R11">INDEX(Drivers!$C$7:$AG$25,$G11,R$9)</f>
        <v>74.06</v>
      </c>
      <c r="S11" cm="1">
        <f t="array" ref="S11">INDEX(Drivers!$C$7:$AG$25,$G11,S$9)</f>
        <v>78.057301308865206</v>
      </c>
      <c r="T11" cm="1">
        <f t="array" ref="T11">INDEX(Drivers!$C$7:$AG$25,$G11,T$9)</f>
        <v>81.994643098097427</v>
      </c>
      <c r="U11" cm="1">
        <f t="array" ref="U11">INDEX(Drivers!$C$7:$AG$25,$G11,U$9)</f>
        <v>86.021924166779115</v>
      </c>
      <c r="V11" cm="1">
        <f t="array" ref="V11">INDEX(Drivers!$C$7:$AG$25,$G11,V$9)</f>
        <v>90.079184995277288</v>
      </c>
      <c r="W11" cm="1">
        <f t="array" ref="W11">INDEX(Drivers!$C$7:$AG$25,$G11,W$9)</f>
        <v>94.156432330319788</v>
      </c>
      <c r="X11" cm="1">
        <f t="array" ref="X11">INDEX(Drivers!$C$7:$AG$25,$G11,X$9)</f>
        <v>94.676081500472264</v>
      </c>
      <c r="Y11" cm="1">
        <f t="array" ref="Y11">INDEX(Drivers!$C$7:$AG$25,$G11,Y$9)</f>
        <v>95.175744164080413</v>
      </c>
      <c r="Z11" cm="1">
        <f t="array" ref="Z11">INDEX(Drivers!$C$7:$AG$25,$G11,Z$9)</f>
        <v>95.885265146403981</v>
      </c>
      <c r="AA11" cm="1">
        <f t="array" ref="AA11">INDEX(Drivers!$C$7:$AG$25,$G11,AA$9)</f>
        <v>96.494853596005925</v>
      </c>
      <c r="AB11" cm="1">
        <f t="array" ref="AB11">INDEX(Drivers!$C$7:$AG$25,$G11,AB$9)</f>
        <v>96.974529753069746</v>
      </c>
      <c r="AC11" cm="1">
        <f t="array" ref="AC11">INDEX(Drivers!$C$7:$AG$25,$G11,AC$9)</f>
        <v>98.913220887869372</v>
      </c>
      <c r="AD11" cm="1">
        <f t="array" ref="AD11">INDEX(Drivers!$C$7:$AG$25,$G11,AD$9)</f>
        <v>100.88189178248548</v>
      </c>
      <c r="AE11" cm="1">
        <f t="array" ref="AE11">INDEX(Drivers!$C$7:$AG$25,$G11,AE$9)</f>
        <v>102.89053569019023</v>
      </c>
      <c r="AF11" cm="1">
        <f t="array" ref="AF11">INDEX(Drivers!$C$7:$AG$25,$G11,AF$9)</f>
        <v>104.92915935771148</v>
      </c>
      <c r="AG11" cm="1">
        <f t="array" ref="AG11">INDEX(Drivers!$C$7:$AG$25,$G11,AG$9)</f>
        <v>107.36751315611926</v>
      </c>
      <c r="AH11" cm="1">
        <f t="array" ref="AH11">INDEX(Drivers!$C$7:$AG$25,$G11,AH$9)</f>
        <v>109.75590068816622</v>
      </c>
      <c r="AI11" cm="1">
        <f t="array" ref="AI11">INDEX(Drivers!$C$7:$AG$25,$G11,AI$9)</f>
        <v>111.61464579678854</v>
      </c>
      <c r="AJ11" cm="1">
        <f t="array" ref="AJ11">INDEX(Drivers!$C$7:$AG$25,$G11,AJ$9)</f>
        <v>113.54334367831601</v>
      </c>
      <c r="AK11" cm="1">
        <f t="array" ref="AK11">INDEX(Drivers!$C$7:$AG$25,$G11,AK$9)</f>
        <v>115.39209553366615</v>
      </c>
      <c r="AL11" cm="1">
        <f t="array" ref="AL11">INDEX(Drivers!$C$7:$AG$25,$G11,AL$9)</f>
        <v>117.50067197409254</v>
      </c>
      <c r="AM11" cm="1">
        <f t="array" ref="AM11">INDEX(Drivers!$C$7:$AG$25,$G11,AM$9)</f>
        <v>232.95272702739169</v>
      </c>
      <c r="AN11" cm="1">
        <f t="array" ref="AN11">INDEX(Drivers!$C$7:$AG$25,$G11,AN$9)</f>
        <v>348.52470111995677</v>
      </c>
      <c r="AO11">
        <f>FORECAST(AO$3,$AL11:$AN11,$AL$3:$AN$3)</f>
        <v>579.52874375927786</v>
      </c>
      <c r="AP11">
        <f>FORECAST(AP$3,$AL11:$AN11,$AL$3:$AN$3)</f>
        <v>810.55277290513914</v>
      </c>
    </row>
    <row r="12" spans="1:48">
      <c r="A12" t="s">
        <v>16</v>
      </c>
      <c r="B12" s="3" t="s">
        <v>703</v>
      </c>
      <c r="C12" s="3" t="s">
        <v>705</v>
      </c>
      <c r="D12">
        <f>[4]IND!M11</f>
        <v>0</v>
      </c>
      <c r="F12" s="3" t="s">
        <v>707</v>
      </c>
      <c r="H12" s="3"/>
      <c r="I12" s="3"/>
      <c r="J12">
        <f>J14</f>
        <v>117.12281075206418</v>
      </c>
      <c r="K12">
        <f t="shared" ref="K12:AN12" si="4">K14</f>
        <v>119.07275947417872</v>
      </c>
      <c r="L12">
        <f t="shared" si="4"/>
        <v>120.12173328694826</v>
      </c>
      <c r="M12">
        <f t="shared" si="4"/>
        <v>120.67779367214723</v>
      </c>
      <c r="N12">
        <f t="shared" si="4"/>
        <v>119.95882677975034</v>
      </c>
      <c r="O12">
        <f t="shared" si="4"/>
        <v>120.88915701956363</v>
      </c>
      <c r="P12">
        <f t="shared" si="4"/>
        <v>121.14044942310186</v>
      </c>
      <c r="Q12">
        <f t="shared" si="4"/>
        <v>118.318</v>
      </c>
      <c r="R12">
        <f t="shared" si="4"/>
        <v>107.464</v>
      </c>
      <c r="S12">
        <f t="shared" si="4"/>
        <v>109.577</v>
      </c>
      <c r="T12">
        <f t="shared" si="4"/>
        <v>110.503</v>
      </c>
      <c r="U12">
        <f t="shared" si="4"/>
        <v>112.52</v>
      </c>
      <c r="V12">
        <f t="shared" si="4"/>
        <v>115.176</v>
      </c>
      <c r="W12">
        <f t="shared" si="4"/>
        <v>118.041</v>
      </c>
      <c r="X12">
        <f t="shared" si="4"/>
        <v>121.706</v>
      </c>
      <c r="Y12">
        <f t="shared" si="4"/>
        <v>124.937</v>
      </c>
      <c r="Z12">
        <f t="shared" si="4"/>
        <v>131.876</v>
      </c>
      <c r="AA12">
        <f t="shared" si="4"/>
        <v>137.161</v>
      </c>
      <c r="AB12">
        <f t="shared" si="4"/>
        <v>140.69499999999999</v>
      </c>
      <c r="AC12">
        <f t="shared" si="4"/>
        <v>143.66999999999999</v>
      </c>
      <c r="AD12">
        <f t="shared" si="4"/>
        <v>146.92400000000001</v>
      </c>
      <c r="AE12">
        <f t="shared" si="4"/>
        <v>151</v>
      </c>
      <c r="AF12">
        <f t="shared" si="4"/>
        <v>155.93299999999999</v>
      </c>
      <c r="AG12">
        <f t="shared" si="4"/>
        <v>166.673</v>
      </c>
      <c r="AH12">
        <f t="shared" si="4"/>
        <v>175.935</v>
      </c>
      <c r="AI12">
        <f t="shared" si="4"/>
        <v>179.65</v>
      </c>
      <c r="AJ12">
        <f t="shared" si="4"/>
        <v>183.81800000000001</v>
      </c>
      <c r="AK12">
        <f t="shared" si="4"/>
        <v>186.33199999999999</v>
      </c>
      <c r="AL12">
        <f t="shared" si="4"/>
        <v>193.435</v>
      </c>
      <c r="AM12">
        <f t="shared" si="4"/>
        <v>213.45</v>
      </c>
      <c r="AN12">
        <f t="shared" si="4"/>
        <v>228.876</v>
      </c>
      <c r="AO12">
        <f t="shared" ref="AO12:AP14" si="5">FORECAST(AO$3,$AL12:$AN12,$AL$3:$AN$3)</f>
        <v>265.08183333333363</v>
      </c>
      <c r="AP12">
        <f t="shared" si="5"/>
        <v>300.52283333333344</v>
      </c>
    </row>
    <row r="13" spans="1:48">
      <c r="A13" t="s">
        <v>16</v>
      </c>
      <c r="B13" s="3" t="s">
        <v>704</v>
      </c>
      <c r="C13" s="3" t="s">
        <v>706</v>
      </c>
      <c r="D13">
        <f>[4]IND!M12</f>
        <v>0</v>
      </c>
      <c r="F13" s="3" t="s">
        <v>708</v>
      </c>
      <c r="H13" s="3"/>
      <c r="I13" s="3"/>
      <c r="J13">
        <f>J14</f>
        <v>117.12281075206418</v>
      </c>
      <c r="K13">
        <f t="shared" ref="K13:AN13" si="6">K14</f>
        <v>119.07275947417872</v>
      </c>
      <c r="L13">
        <f t="shared" si="6"/>
        <v>120.12173328694826</v>
      </c>
      <c r="M13">
        <f t="shared" si="6"/>
        <v>120.67779367214723</v>
      </c>
      <c r="N13">
        <f t="shared" si="6"/>
        <v>119.95882677975034</v>
      </c>
      <c r="O13">
        <f t="shared" si="6"/>
        <v>120.88915701956363</v>
      </c>
      <c r="P13">
        <f t="shared" si="6"/>
        <v>121.14044942310186</v>
      </c>
      <c r="Q13">
        <f t="shared" si="6"/>
        <v>118.318</v>
      </c>
      <c r="R13">
        <f t="shared" si="6"/>
        <v>107.464</v>
      </c>
      <c r="S13">
        <f t="shared" si="6"/>
        <v>109.577</v>
      </c>
      <c r="T13">
        <f t="shared" si="6"/>
        <v>110.503</v>
      </c>
      <c r="U13">
        <f t="shared" si="6"/>
        <v>112.52</v>
      </c>
      <c r="V13">
        <f t="shared" si="6"/>
        <v>115.176</v>
      </c>
      <c r="W13">
        <f t="shared" si="6"/>
        <v>118.041</v>
      </c>
      <c r="X13">
        <f t="shared" si="6"/>
        <v>121.706</v>
      </c>
      <c r="Y13">
        <f t="shared" si="6"/>
        <v>124.937</v>
      </c>
      <c r="Z13">
        <f t="shared" si="6"/>
        <v>131.876</v>
      </c>
      <c r="AA13">
        <f t="shared" si="6"/>
        <v>137.161</v>
      </c>
      <c r="AB13">
        <f t="shared" si="6"/>
        <v>140.69499999999999</v>
      </c>
      <c r="AC13">
        <f t="shared" si="6"/>
        <v>143.66999999999999</v>
      </c>
      <c r="AD13">
        <f t="shared" si="6"/>
        <v>146.92400000000001</v>
      </c>
      <c r="AE13">
        <f t="shared" si="6"/>
        <v>151</v>
      </c>
      <c r="AF13">
        <f t="shared" si="6"/>
        <v>155.93299999999999</v>
      </c>
      <c r="AG13">
        <f t="shared" si="6"/>
        <v>166.673</v>
      </c>
      <c r="AH13">
        <f t="shared" si="6"/>
        <v>175.935</v>
      </c>
      <c r="AI13">
        <f t="shared" si="6"/>
        <v>179.65</v>
      </c>
      <c r="AJ13">
        <f t="shared" si="6"/>
        <v>183.81800000000001</v>
      </c>
      <c r="AK13">
        <f t="shared" si="6"/>
        <v>186.33199999999999</v>
      </c>
      <c r="AL13">
        <f t="shared" si="6"/>
        <v>193.435</v>
      </c>
      <c r="AM13">
        <f t="shared" si="6"/>
        <v>213.45</v>
      </c>
      <c r="AN13">
        <f t="shared" si="6"/>
        <v>228.876</v>
      </c>
      <c r="AO13">
        <f t="shared" si="5"/>
        <v>265.08183333333363</v>
      </c>
      <c r="AP13">
        <f t="shared" si="5"/>
        <v>300.52283333333344</v>
      </c>
    </row>
    <row r="14" spans="1:48">
      <c r="A14" t="s">
        <v>16</v>
      </c>
      <c r="B14" s="3" t="str">
        <f>[4]IND!B12</f>
        <v>IS</v>
      </c>
      <c r="C14" s="3" t="str">
        <f>[4]IND!A12</f>
        <v>Iron &amp; Steel</v>
      </c>
      <c r="D14">
        <f>[4]IND!M12</f>
        <v>0</v>
      </c>
      <c r="F14" s="3" t="s">
        <v>292</v>
      </c>
      <c r="G14">
        <f>MATCH(B14,Drivers!$A$88:$A$104,0)</f>
        <v>1</v>
      </c>
      <c r="H14" s="3"/>
      <c r="I14" s="3"/>
      <c r="J14" s="189" cm="1">
        <f t="array" ref="J14">INDEX(Drivers!$C$88:$AG$104,$G14,J$9)</f>
        <v>117.12281075206418</v>
      </c>
      <c r="K14" s="189" cm="1">
        <f t="array" ref="K14">INDEX(Drivers!$C$88:$AG$104,$G14,K$9)</f>
        <v>119.07275947417872</v>
      </c>
      <c r="L14" s="189" cm="1">
        <f t="array" ref="L14">INDEX(Drivers!$C$88:$AG$104,$G14,L$9)</f>
        <v>120.12173328694826</v>
      </c>
      <c r="M14" s="189" cm="1">
        <f t="array" ref="M14">INDEX(Drivers!$C$88:$AG$104,$G14,M$9)</f>
        <v>120.67779367214723</v>
      </c>
      <c r="N14" s="189" cm="1">
        <f t="array" ref="N14">INDEX(Drivers!$C$88:$AG$104,$G14,N$9)</f>
        <v>119.95882677975034</v>
      </c>
      <c r="O14" s="189" cm="1">
        <f t="array" ref="O14">INDEX(Drivers!$C$88:$AG$104,$G14,O$9)</f>
        <v>120.88915701956363</v>
      </c>
      <c r="P14" s="189" cm="1">
        <f t="array" ref="P14">INDEX(Drivers!$C$88:$AG$104,$G14,P$9)</f>
        <v>121.14044942310186</v>
      </c>
      <c r="Q14" s="189" cm="1">
        <f t="array" ref="Q14">INDEX(Drivers!$C$88:$AG$104,$G14,Q$9)</f>
        <v>118.318</v>
      </c>
      <c r="R14" s="189" cm="1">
        <f t="array" ref="R14">INDEX(Drivers!$C$88:$AG$104,$G14,R$9)</f>
        <v>107.464</v>
      </c>
      <c r="S14" s="189" cm="1">
        <f t="array" ref="S14">INDEX(Drivers!$C$88:$AG$104,$G14,S$9)</f>
        <v>109.577</v>
      </c>
      <c r="T14" s="189" cm="1">
        <f t="array" ref="T14">INDEX(Drivers!$C$88:$AG$104,$G14,T$9)</f>
        <v>110.503</v>
      </c>
      <c r="U14" s="189" cm="1">
        <f t="array" ref="U14">INDEX(Drivers!$C$88:$AG$104,$G14,U$9)</f>
        <v>112.52</v>
      </c>
      <c r="V14" s="189" cm="1">
        <f t="array" ref="V14">INDEX(Drivers!$C$88:$AG$104,$G14,V$9)</f>
        <v>115.176</v>
      </c>
      <c r="W14" s="189" cm="1">
        <f t="array" ref="W14">INDEX(Drivers!$C$88:$AG$104,$G14,W$9)</f>
        <v>118.041</v>
      </c>
      <c r="X14" s="189" cm="1">
        <f t="array" ref="X14">INDEX(Drivers!$C$88:$AG$104,$G14,X$9)</f>
        <v>121.706</v>
      </c>
      <c r="Y14" s="189" cm="1">
        <f t="array" ref="Y14">INDEX(Drivers!$C$88:$AG$104,$G14,Y$9)</f>
        <v>124.937</v>
      </c>
      <c r="Z14" s="189" cm="1">
        <f t="array" ref="Z14">INDEX(Drivers!$C$88:$AG$104,$G14,Z$9)</f>
        <v>131.876</v>
      </c>
      <c r="AA14" s="189" cm="1">
        <f t="array" ref="AA14">INDEX(Drivers!$C$88:$AG$104,$G14,AA$9)</f>
        <v>137.161</v>
      </c>
      <c r="AB14" s="189" cm="1">
        <f t="array" ref="AB14">INDEX(Drivers!$C$88:$AG$104,$G14,AB$9)</f>
        <v>140.69499999999999</v>
      </c>
      <c r="AC14" s="189" cm="1">
        <f t="array" ref="AC14">INDEX(Drivers!$C$88:$AG$104,$G14,AC$9)</f>
        <v>143.66999999999999</v>
      </c>
      <c r="AD14" s="189" cm="1">
        <f t="array" ref="AD14">INDEX(Drivers!$C$88:$AG$104,$G14,AD$9)</f>
        <v>146.92400000000001</v>
      </c>
      <c r="AE14" s="189" cm="1">
        <f t="array" ref="AE14">INDEX(Drivers!$C$88:$AG$104,$G14,AE$9)</f>
        <v>151</v>
      </c>
      <c r="AF14" s="189" cm="1">
        <f t="array" ref="AF14">INDEX(Drivers!$C$88:$AG$104,$G14,AF$9)</f>
        <v>155.93299999999999</v>
      </c>
      <c r="AG14" s="189" cm="1">
        <f t="array" ref="AG14">INDEX(Drivers!$C$88:$AG$104,$G14,AG$9)</f>
        <v>166.673</v>
      </c>
      <c r="AH14" s="189" cm="1">
        <f t="array" ref="AH14">INDEX(Drivers!$C$88:$AG$104,$G14,AH$9)</f>
        <v>175.935</v>
      </c>
      <c r="AI14" s="189" cm="1">
        <f t="array" ref="AI14">INDEX(Drivers!$C$88:$AG$104,$G14,AI$9)</f>
        <v>179.65</v>
      </c>
      <c r="AJ14" s="189" cm="1">
        <f t="array" ref="AJ14">INDEX(Drivers!$C$88:$AG$104,$G14,AJ$9)</f>
        <v>183.81800000000001</v>
      </c>
      <c r="AK14" s="189" cm="1">
        <f t="array" ref="AK14">INDEX(Drivers!$C$88:$AG$104,$G14,AK$9)</f>
        <v>186.33199999999999</v>
      </c>
      <c r="AL14" s="189" cm="1">
        <f t="array" ref="AL14">INDEX(Drivers!$C$88:$AG$104,$G14,AL$9)</f>
        <v>193.435</v>
      </c>
      <c r="AM14" s="189" cm="1">
        <f t="array" ref="AM14">INDEX(Drivers!$C$88:$AG$104,$G14,AM$9)</f>
        <v>213.45</v>
      </c>
      <c r="AN14" s="189" cm="1">
        <f t="array" ref="AN14">INDEX(Drivers!$C$88:$AG$104,$G14,AN$9)</f>
        <v>228.876</v>
      </c>
      <c r="AO14">
        <f t="shared" si="5"/>
        <v>265.08183333333363</v>
      </c>
      <c r="AP14">
        <f t="shared" si="5"/>
        <v>300.52283333333344</v>
      </c>
    </row>
    <row r="15" spans="1:48">
      <c r="A15" t="s">
        <v>16</v>
      </c>
      <c r="B15" s="3" t="str">
        <f>[4]IND!B14</f>
        <v>CP</v>
      </c>
      <c r="C15" s="3" t="str">
        <f>[4]IND!A14</f>
        <v>Chemicals</v>
      </c>
      <c r="D15">
        <f>[4]IND!M14</f>
        <v>1</v>
      </c>
      <c r="F15" s="3"/>
      <c r="G15">
        <f>MATCH(B15,Drivers!$A$7:$A$25,0)</f>
        <v>3</v>
      </c>
      <c r="H15" s="3"/>
      <c r="I15" s="3"/>
      <c r="J15" cm="1">
        <f t="array" ref="J15">INDEX(Drivers!$C$7:$AG$25,$G15,J$9)</f>
        <v>72.107894835057621</v>
      </c>
      <c r="K15" cm="1">
        <f t="array" ref="K15">INDEX(Drivers!$C$7:$AG$25,$G15,K$9)</f>
        <v>74.266300997437128</v>
      </c>
      <c r="L15" cm="1">
        <f t="array" ref="L15">INDEX(Drivers!$C$7:$AG$25,$G15,L$9)</f>
        <v>75.801027741220466</v>
      </c>
      <c r="M15" cm="1">
        <f t="array" ref="M15">INDEX(Drivers!$C$7:$AG$25,$G15,M$9)</f>
        <v>76.644854367250801</v>
      </c>
      <c r="N15" cm="1">
        <f t="array" ref="N15">INDEX(Drivers!$C$7:$AG$25,$G15,N$9)</f>
        <v>77.466834349241523</v>
      </c>
      <c r="O15" cm="1">
        <f t="array" ref="O15">INDEX(Drivers!$C$7:$AG$25,$G15,O$9)</f>
        <v>78.131791577197461</v>
      </c>
      <c r="P15" cm="1">
        <f t="array" ref="P15">INDEX(Drivers!$C$7:$AG$25,$G15,P$9)</f>
        <v>79.016580660802092</v>
      </c>
      <c r="Q15" cm="1">
        <f t="array" ref="Q15">INDEX(Drivers!$C$7:$AG$25,$G15,Q$9)</f>
        <v>78.849999999999994</v>
      </c>
      <c r="R15" cm="1">
        <f t="array" ref="R15">INDEX(Drivers!$C$7:$AG$25,$G15,R$9)</f>
        <v>77.7</v>
      </c>
      <c r="S15" cm="1">
        <f t="array" ref="S15">INDEX(Drivers!$C$7:$AG$25,$G15,S$9)</f>
        <v>76.739381841596909</v>
      </c>
      <c r="T15" cm="1">
        <f t="array" ref="T15">INDEX(Drivers!$C$7:$AG$25,$G15,T$9)</f>
        <v>77.259716677398572</v>
      </c>
      <c r="U15" cm="1">
        <f t="array" ref="U15">INDEX(Drivers!$C$7:$AG$25,$G15,U$9)</f>
        <v>78.16029620090147</v>
      </c>
      <c r="V15" cm="1">
        <f t="array" ref="V15">INDEX(Drivers!$C$7:$AG$25,$G15,V$9)</f>
        <v>78.950804893754011</v>
      </c>
      <c r="W15" cm="1">
        <f t="array" ref="W15">INDEX(Drivers!$C$7:$AG$25,$G15,W$9)</f>
        <v>79.691281390856389</v>
      </c>
      <c r="X15" cm="1">
        <f t="array" ref="X15">INDEX(Drivers!$C$7:$AG$25,$G15,X$9)</f>
        <v>80.371719253058558</v>
      </c>
      <c r="Y15" cm="1">
        <f t="array" ref="Y15">INDEX(Drivers!$C$7:$AG$25,$G15,Y$9)</f>
        <v>81.052157115260755</v>
      </c>
      <c r="Z15" cm="1">
        <f t="array" ref="Z15">INDEX(Drivers!$C$7:$AG$25,$G15,Z$9)</f>
        <v>82.062807469414011</v>
      </c>
      <c r="AA15" cm="1">
        <f t="array" ref="AA15">INDEX(Drivers!$C$7:$AG$25,$G15,AA$9)</f>
        <v>82.513097231165446</v>
      </c>
      <c r="AB15" cm="1">
        <f t="array" ref="AB15">INDEX(Drivers!$C$7:$AG$25,$G15,AB$9)</f>
        <v>83.093470701867332</v>
      </c>
      <c r="AC15" cm="1">
        <f t="array" ref="AC15">INDEX(Drivers!$C$7:$AG$25,$G15,AC$9)</f>
        <v>83.883979394719859</v>
      </c>
      <c r="AD15" cm="1">
        <f t="array" ref="AD15">INDEX(Drivers!$C$7:$AG$25,$G15,AD$9)</f>
        <v>84.724520283322576</v>
      </c>
      <c r="AE15" cm="1">
        <f t="array" ref="AE15">INDEX(Drivers!$C$7:$AG$25,$G15,AE$9)</f>
        <v>85.905280103026371</v>
      </c>
      <c r="AF15" cm="1">
        <f t="array" ref="AF15">INDEX(Drivers!$C$7:$AG$25,$G15,AF$9)</f>
        <v>87.136072118480328</v>
      </c>
      <c r="AG15" cm="1">
        <f t="array" ref="AG15">INDEX(Drivers!$C$7:$AG$25,$G15,AG$9)</f>
        <v>68.504082421120373</v>
      </c>
      <c r="AH15" cm="1">
        <f t="array" ref="AH15">INDEX(Drivers!$C$7:$AG$25,$G15,AH$9)</f>
        <v>52.934063103670283</v>
      </c>
      <c r="AI15" cm="1">
        <f t="array" ref="AI15">INDEX(Drivers!$C$7:$AG$25,$G15,AI$9)</f>
        <v>50.61256922086281</v>
      </c>
      <c r="AJ15" cm="1">
        <f t="array" ref="AJ15">INDEX(Drivers!$C$7:$AG$25,$G15,AJ$9)</f>
        <v>54.274925949774598</v>
      </c>
      <c r="AK15" cm="1">
        <f t="array" ref="AK15">INDEX(Drivers!$C$7:$AG$25,$G15,AK$9)</f>
        <v>56.886606567933001</v>
      </c>
      <c r="AL15" cm="1">
        <f t="array" ref="AL15">INDEX(Drivers!$C$7:$AG$25,$G15,AL$9)</f>
        <v>51.062858982614266</v>
      </c>
      <c r="AM15" cm="1">
        <f t="array" ref="AM15">INDEX(Drivers!$C$7:$AG$25,$G15,AM$9)</f>
        <v>54.815273663876333</v>
      </c>
      <c r="AN15" cm="1">
        <f t="array" ref="AN15">INDEX(Drivers!$C$7:$AG$25,$G15,AN$9)</f>
        <v>58.747804249838978</v>
      </c>
      <c r="AO15">
        <f t="shared" ref="AO15:AP25" si="7">FORECAST(AO$3,$AL15:$AN15,$AL$3:$AN$3)</f>
        <v>66.402730199613643</v>
      </c>
      <c r="AP15">
        <f t="shared" si="7"/>
        <v>74.087675466838391</v>
      </c>
    </row>
    <row r="16" spans="1:48">
      <c r="A16" t="s">
        <v>16</v>
      </c>
      <c r="B16" s="3" t="s">
        <v>712</v>
      </c>
      <c r="C16" s="3" t="s">
        <v>716</v>
      </c>
      <c r="D16">
        <v>0</v>
      </c>
      <c r="F16" s="3" t="s">
        <v>717</v>
      </c>
      <c r="G16">
        <f>MATCH(B16,Drivers!$A$88:$A$104,0)</f>
        <v>2</v>
      </c>
      <c r="H16" s="3"/>
      <c r="I16" s="3"/>
      <c r="J16" s="189" cm="1">
        <f t="array" ref="J16">INDEX(Drivers!$C$88:$AG$104,$G16,J$9)</f>
        <v>8.9365799535127532</v>
      </c>
      <c r="K16" s="189" cm="1">
        <f t="array" ref="K16">INDEX(Drivers!$C$88:$AG$104,$G16,K$9)</f>
        <v>9.0598644843951579</v>
      </c>
      <c r="L16" s="189" cm="1">
        <f t="array" ref="L16">INDEX(Drivers!$C$88:$AG$104,$G16,L$9)</f>
        <v>9.1538107433496982</v>
      </c>
      <c r="M16" s="189" cm="1">
        <f t="array" ref="M16">INDEX(Drivers!$C$88:$AG$104,$G16,M$9)</f>
        <v>9.1222677109859784</v>
      </c>
      <c r="N16" s="189" cm="1">
        <f t="array" ref="N16">INDEX(Drivers!$C$88:$AG$104,$G16,N$9)</f>
        <v>9.1065639127530105</v>
      </c>
      <c r="O16" s="189" cm="1">
        <f t="array" ref="O16">INDEX(Drivers!$C$88:$AG$104,$G16,O$9)</f>
        <v>9.1664973983391231</v>
      </c>
      <c r="P16" s="189" cm="1">
        <f t="array" ref="P16">INDEX(Drivers!$C$88:$AG$104,$G16,P$9)</f>
        <v>9.2089562288318536</v>
      </c>
      <c r="Q16" s="189" cm="1">
        <f t="array" ref="Q16">INDEX(Drivers!$C$88:$AG$104,$G16,Q$9)</f>
        <v>9.1050000000000004</v>
      </c>
      <c r="R16" s="189" cm="1">
        <f t="array" ref="R16">INDEX(Drivers!$C$88:$AG$104,$G16,R$9)</f>
        <v>8.6709999999999994</v>
      </c>
      <c r="S16" s="189" cm="1">
        <f t="array" ref="S16">INDEX(Drivers!$C$88:$AG$104,$G16,S$9)</f>
        <v>8.7420000000000009</v>
      </c>
      <c r="T16" s="189" cm="1">
        <f t="array" ref="T16">INDEX(Drivers!$C$88:$AG$104,$G16,T$9)</f>
        <v>8.8580000000000005</v>
      </c>
      <c r="U16" s="189" cm="1">
        <f t="array" ref="U16">INDEX(Drivers!$C$88:$AG$104,$G16,U$9)</f>
        <v>8.9559999999999995</v>
      </c>
      <c r="V16" s="189" cm="1">
        <f t="array" ref="V16">INDEX(Drivers!$C$88:$AG$104,$G16,V$9)</f>
        <v>9.0570000000000004</v>
      </c>
      <c r="W16" s="189" cm="1">
        <f t="array" ref="W16">INDEX(Drivers!$C$88:$AG$104,$G16,W$9)</f>
        <v>9.157</v>
      </c>
      <c r="X16" s="189" cm="1">
        <f t="array" ref="X16">INDEX(Drivers!$C$88:$AG$104,$G16,X$9)</f>
        <v>9.2420000000000009</v>
      </c>
      <c r="Y16" s="189" cm="1">
        <f t="array" ref="Y16">INDEX(Drivers!$C$88:$AG$104,$G16,Y$9)</f>
        <v>9.3409999999999993</v>
      </c>
      <c r="Z16" s="189" cm="1">
        <f t="array" ref="Z16">INDEX(Drivers!$C$88:$AG$104,$G16,Z$9)</f>
        <v>9.3659999999999997</v>
      </c>
      <c r="AA16" s="189" cm="1">
        <f t="array" ref="AA16">INDEX(Drivers!$C$88:$AG$104,$G16,AA$9)</f>
        <v>9.4169999999999998</v>
      </c>
      <c r="AB16" s="189" cm="1">
        <f t="array" ref="AB16">INDEX(Drivers!$C$88:$AG$104,$G16,AB$9)</f>
        <v>9.51</v>
      </c>
      <c r="AC16" s="189" cm="1">
        <f t="array" ref="AC16">INDEX(Drivers!$C$88:$AG$104,$G16,AC$9)</f>
        <v>8.3460000000000001</v>
      </c>
      <c r="AD16" s="189" cm="1">
        <f t="array" ref="AD16">INDEX(Drivers!$C$88:$AG$104,$G16,AD$9)</f>
        <v>7.7060000000000004</v>
      </c>
      <c r="AE16" s="189" cm="1">
        <f t="array" ref="AE16">INDEX(Drivers!$C$88:$AG$104,$G16,AE$9)</f>
        <v>7.6909999999999998</v>
      </c>
      <c r="AF16" s="189" cm="1">
        <f t="array" ref="AF16">INDEX(Drivers!$C$88:$AG$104,$G16,AF$9)</f>
        <v>7.83</v>
      </c>
      <c r="AG16" s="189" cm="1">
        <f t="array" ref="AG16">INDEX(Drivers!$C$88:$AG$104,$G16,AG$9)</f>
        <v>8.0020000000000007</v>
      </c>
      <c r="AH16" s="189" cm="1">
        <f t="array" ref="AH16">INDEX(Drivers!$C$88:$AG$104,$G16,AH$9)</f>
        <v>8.1920000000000002</v>
      </c>
      <c r="AI16" s="189" cm="1">
        <f t="array" ref="AI16">INDEX(Drivers!$C$88:$AG$104,$G16,AI$9)</f>
        <v>8.4</v>
      </c>
      <c r="AJ16" s="189" cm="1">
        <f t="array" ref="AJ16">INDEX(Drivers!$C$88:$AG$104,$G16,AJ$9)</f>
        <v>8.6069999999999993</v>
      </c>
      <c r="AK16" s="189" cm="1">
        <f t="array" ref="AK16">INDEX(Drivers!$C$88:$AG$104,$G16,AK$9)</f>
        <v>8.8249999999999993</v>
      </c>
      <c r="AL16" s="189" cm="1">
        <f t="array" ref="AL16">INDEX(Drivers!$C$88:$AG$104,$G16,AL$9)</f>
        <v>9.0540000000000003</v>
      </c>
      <c r="AM16" s="189" cm="1">
        <f t="array" ref="AM16">INDEX(Drivers!$C$88:$AG$104,$G16,AM$9)</f>
        <v>10.702999999999999</v>
      </c>
      <c r="AN16" s="189" cm="1">
        <f t="array" ref="AN16">INDEX(Drivers!$C$88:$AG$104,$G16,AN$9)</f>
        <v>16.475000000000001</v>
      </c>
      <c r="AO16">
        <f t="shared" si="7"/>
        <v>23.208833333333359</v>
      </c>
      <c r="AP16">
        <f t="shared" si="7"/>
        <v>30.629833333333409</v>
      </c>
    </row>
    <row r="17" spans="1:42">
      <c r="A17" t="s">
        <v>16</v>
      </c>
      <c r="B17" s="3" t="str">
        <f>[4]IND!B15</f>
        <v>NF</v>
      </c>
      <c r="C17" s="3" t="str">
        <f>[4]IND!A15</f>
        <v>Precious &amp; Non-Ferrous metals</v>
      </c>
      <c r="D17">
        <f>[4]IND!M15</f>
        <v>1</v>
      </c>
      <c r="F17" s="3"/>
      <c r="G17">
        <f>MATCH(B17,Drivers!$A$7:$A$25,0)</f>
        <v>12</v>
      </c>
      <c r="H17" s="3"/>
      <c r="I17" s="3"/>
      <c r="J17" cm="1">
        <f t="array" ref="J17">INDEX(Drivers!$C$7:$AG$25,$G17,J$9)</f>
        <v>18.748363502594032</v>
      </c>
      <c r="K17" cm="1">
        <f t="array" ref="K17">INDEX(Drivers!$C$7:$AG$25,$G17,K$9)</f>
        <v>15.909210489014884</v>
      </c>
      <c r="L17" cm="1">
        <f t="array" ref="L17">INDEX(Drivers!$C$7:$AG$25,$G17,L$9)</f>
        <v>14.603991495393339</v>
      </c>
      <c r="M17" cm="1">
        <f t="array" ref="M17">INDEX(Drivers!$C$7:$AG$25,$G17,M$9)</f>
        <v>14.80978596739901</v>
      </c>
      <c r="N17" cm="1">
        <f t="array" ref="N17">INDEX(Drivers!$C$7:$AG$25,$G17,N$9)</f>
        <v>14.414883061658401</v>
      </c>
      <c r="O17" cm="1">
        <f t="array" ref="O17">INDEX(Drivers!$C$7:$AG$25,$G17,O$9)</f>
        <v>13.877221828490436</v>
      </c>
      <c r="P17" cm="1">
        <f t="array" ref="P17">INDEX(Drivers!$C$7:$AG$25,$G17,P$9)</f>
        <v>13.621369241672575</v>
      </c>
      <c r="Q17" cm="1">
        <f t="array" ref="Q17">INDEX(Drivers!$C$7:$AG$25,$G17,Q$9)</f>
        <v>13.08</v>
      </c>
      <c r="R17" cm="1">
        <f t="array" ref="R17">INDEX(Drivers!$C$7:$AG$25,$G17,R$9)</f>
        <v>12.33</v>
      </c>
      <c r="S17" cm="1">
        <f t="array" ref="S17">INDEX(Drivers!$C$7:$AG$25,$G17,S$9)</f>
        <v>11.69295</v>
      </c>
      <c r="T17" cm="1">
        <f t="array" ref="T17">INDEX(Drivers!$C$7:$AG$25,$G17,T$9)</f>
        <v>10.963424999999999</v>
      </c>
      <c r="U17" cm="1">
        <f t="array" ref="U17">INDEX(Drivers!$C$7:$AG$25,$G17,U$9)</f>
        <v>10.74765</v>
      </c>
      <c r="V17" cm="1">
        <f t="array" ref="V17">INDEX(Drivers!$C$7:$AG$25,$G17,V$9)</f>
        <v>10.74765</v>
      </c>
      <c r="W17" cm="1">
        <f t="array" ref="W17">INDEX(Drivers!$C$7:$AG$25,$G17,W$9)</f>
        <v>10.901774999999999</v>
      </c>
      <c r="X17" cm="1">
        <f t="array" ref="X17">INDEX(Drivers!$C$7:$AG$25,$G17,X$9)</f>
        <v>11.569649999999999</v>
      </c>
      <c r="Y17" cm="1">
        <f t="array" ref="Y17">INDEX(Drivers!$C$7:$AG$25,$G17,Y$9)</f>
        <v>12.052574999999999</v>
      </c>
      <c r="Z17" cm="1">
        <f t="array" ref="Z17">INDEX(Drivers!$C$7:$AG$25,$G17,Z$9)</f>
        <v>13.809599999999998</v>
      </c>
      <c r="AA17" cm="1">
        <f t="array" ref="AA17">INDEX(Drivers!$C$7:$AG$25,$G17,AA$9)</f>
        <v>14.8782</v>
      </c>
      <c r="AB17" cm="1">
        <f t="array" ref="AB17">INDEX(Drivers!$C$7:$AG$25,$G17,AB$9)</f>
        <v>15.176174999999999</v>
      </c>
      <c r="AC17" cm="1">
        <f t="array" ref="AC17">INDEX(Drivers!$C$7:$AG$25,$G17,AC$9)</f>
        <v>15.135074999999999</v>
      </c>
      <c r="AD17" cm="1">
        <f t="array" ref="AD17">INDEX(Drivers!$C$7:$AG$25,$G17,AD$9)</f>
        <v>15.063149999999998</v>
      </c>
      <c r="AE17" cm="1">
        <f t="array" ref="AE17">INDEX(Drivers!$C$7:$AG$25,$G17,AE$9)</f>
        <v>15.145349999999997</v>
      </c>
      <c r="AF17" cm="1">
        <f t="array" ref="AF17">INDEX(Drivers!$C$7:$AG$25,$G17,AF$9)</f>
        <v>15.453599999999998</v>
      </c>
      <c r="AG17" cm="1">
        <f t="array" ref="AG17">INDEX(Drivers!$C$7:$AG$25,$G17,AG$9)</f>
        <v>18.402525000000001</v>
      </c>
      <c r="AH17" cm="1">
        <f t="array" ref="AH17">INDEX(Drivers!$C$7:$AG$25,$G17,AH$9)</f>
        <v>21.238425000000003</v>
      </c>
      <c r="AI17" cm="1">
        <f t="array" ref="AI17">INDEX(Drivers!$C$7:$AG$25,$G17,AI$9)</f>
        <v>20.806875000000002</v>
      </c>
      <c r="AJ17" cm="1">
        <f t="array" ref="AJ17">INDEX(Drivers!$C$7:$AG$25,$G17,AJ$9)</f>
        <v>20.919900000000002</v>
      </c>
      <c r="AK17" cm="1">
        <f t="array" ref="AK17">INDEX(Drivers!$C$7:$AG$25,$G17,AK$9)</f>
        <v>20.128725000000003</v>
      </c>
      <c r="AL17" cm="1">
        <f t="array" ref="AL17">INDEX(Drivers!$C$7:$AG$25,$G17,AL$9)</f>
        <v>21.341175000000003</v>
      </c>
      <c r="AM17" cm="1">
        <f t="array" ref="AM17">INDEX(Drivers!$C$7:$AG$25,$G17,AM$9)</f>
        <v>18.484725000000001</v>
      </c>
      <c r="AN17" cm="1">
        <f t="array" ref="AN17">INDEX(Drivers!$C$7:$AG$25,$G17,AN$9)</f>
        <v>17.148975000000004</v>
      </c>
      <c r="AO17">
        <f t="shared" si="7"/>
        <v>12.703325000000063</v>
      </c>
      <c r="AP17">
        <f t="shared" si="7"/>
        <v>8.5111249999999927</v>
      </c>
    </row>
    <row r="18" spans="1:42">
      <c r="A18" t="s">
        <v>16</v>
      </c>
      <c r="B18" s="3" t="str">
        <f>[4]IND!B16</f>
        <v>NM</v>
      </c>
      <c r="C18" s="3" t="str">
        <f>[4]IND!A16</f>
        <v>N.M.M Products</v>
      </c>
      <c r="D18">
        <f>[4]IND!M16</f>
        <v>0</v>
      </c>
      <c r="F18" s="3" t="s">
        <v>293</v>
      </c>
      <c r="G18">
        <f>MATCH(B18,Drivers!$A$7:$A$25,0)</f>
        <v>13</v>
      </c>
      <c r="H18" s="3"/>
      <c r="I18" s="3"/>
      <c r="J18" cm="1">
        <f t="array" ref="J18">INDEX(Drivers!$C$7:$AG$25,$G18,J$9)</f>
        <v>16.099074173411047</v>
      </c>
      <c r="K18" cm="1">
        <f t="array" ref="K18">INDEX(Drivers!$C$7:$AG$25,$G18,K$9)</f>
        <v>16.518849146566016</v>
      </c>
      <c r="L18" cm="1">
        <f t="array" ref="L18">INDEX(Drivers!$C$7:$AG$25,$G18,L$9)</f>
        <v>16.808536607755151</v>
      </c>
      <c r="M18" cm="1">
        <f t="array" ref="M18">INDEX(Drivers!$C$7:$AG$25,$G18,M$9)</f>
        <v>17.0461507724374</v>
      </c>
      <c r="N18" cm="1">
        <f t="array" ref="N18">INDEX(Drivers!$C$7:$AG$25,$G18,N$9)</f>
        <v>17.232929214387152</v>
      </c>
      <c r="O18" cm="1">
        <f t="array" ref="O18">INDEX(Drivers!$C$7:$AG$25,$G18,O$9)</f>
        <v>17.424562753451802</v>
      </c>
      <c r="P18" cm="1">
        <f t="array" ref="P18">INDEX(Drivers!$C$7:$AG$25,$G18,P$9)</f>
        <v>17.64894439854638</v>
      </c>
      <c r="Q18" cm="1">
        <f t="array" ref="Q18">INDEX(Drivers!$C$7:$AG$25,$G18,Q$9)</f>
        <v>17.63</v>
      </c>
      <c r="R18" cm="1">
        <f t="array" ref="R18">INDEX(Drivers!$C$7:$AG$25,$G18,R$9)</f>
        <v>16.46</v>
      </c>
      <c r="S18" cm="1">
        <f t="array" ref="S18">INDEX(Drivers!$C$7:$AG$25,$G18,S$9)</f>
        <v>16.992588522588527</v>
      </c>
      <c r="T18" cm="1">
        <f t="array" ref="T18">INDEX(Drivers!$C$7:$AG$25,$G18,T$9)</f>
        <v>17.384493284493288</v>
      </c>
      <c r="U18" cm="1">
        <f t="array" ref="U18">INDEX(Drivers!$C$7:$AG$25,$G18,U$9)</f>
        <v>17.806544566544567</v>
      </c>
      <c r="V18" cm="1">
        <f t="array" ref="V18">INDEX(Drivers!$C$7:$AG$25,$G18,V$9)</f>
        <v>18.258742368742372</v>
      </c>
      <c r="W18" cm="1">
        <f t="array" ref="W18">INDEX(Drivers!$C$7:$AG$25,$G18,W$9)</f>
        <v>18.690842490842495</v>
      </c>
      <c r="X18" cm="1">
        <f t="array" ref="X18">INDEX(Drivers!$C$7:$AG$25,$G18,X$9)</f>
        <v>19.092796092796096</v>
      </c>
      <c r="Y18" cm="1">
        <f t="array" ref="Y18">INDEX(Drivers!$C$7:$AG$25,$G18,Y$9)</f>
        <v>19.494749694749697</v>
      </c>
      <c r="Z18" cm="1">
        <f t="array" ref="Z18">INDEX(Drivers!$C$7:$AG$25,$G18,Z$9)</f>
        <v>20.067533577533581</v>
      </c>
      <c r="AA18" cm="1">
        <f t="array" ref="AA18">INDEX(Drivers!$C$7:$AG$25,$G18,AA$9)</f>
        <v>20.630268620268627</v>
      </c>
      <c r="AB18" cm="1">
        <f t="array" ref="AB18">INDEX(Drivers!$C$7:$AG$25,$G18,AB$9)</f>
        <v>21.092515262515263</v>
      </c>
      <c r="AC18" cm="1">
        <f t="array" ref="AC18">INDEX(Drivers!$C$7:$AG$25,$G18,AC$9)</f>
        <v>21.615054945054947</v>
      </c>
      <c r="AD18" cm="1">
        <f t="array" ref="AD18">INDEX(Drivers!$C$7:$AG$25,$G18,AD$9)</f>
        <v>22.137594627594627</v>
      </c>
      <c r="AE18" cm="1">
        <f t="array" ref="AE18">INDEX(Drivers!$C$7:$AG$25,$G18,AE$9)</f>
        <v>22.790769230769229</v>
      </c>
      <c r="AF18" cm="1">
        <f t="array" ref="AF18">INDEX(Drivers!$C$7:$AG$25,$G18,AF$9)</f>
        <v>23.464041514041515</v>
      </c>
      <c r="AG18" cm="1">
        <f t="array" ref="AG18">INDEX(Drivers!$C$7:$AG$25,$G18,AG$9)</f>
        <v>24.227753357753361</v>
      </c>
      <c r="AH18" cm="1">
        <f t="array" ref="AH18">INDEX(Drivers!$C$7:$AG$25,$G18,AH$9)</f>
        <v>24.860830280830282</v>
      </c>
      <c r="AI18" cm="1">
        <f t="array" ref="AI18">INDEX(Drivers!$C$7:$AG$25,$G18,AI$9)</f>
        <v>25.182393162393161</v>
      </c>
      <c r="AJ18" cm="1">
        <f t="array" ref="AJ18">INDEX(Drivers!$C$7:$AG$25,$G18,AJ$9)</f>
        <v>25.634590964590966</v>
      </c>
      <c r="AK18" cm="1">
        <f t="array" ref="AK18">INDEX(Drivers!$C$7:$AG$25,$G18,AK$9)</f>
        <v>26.197326007326005</v>
      </c>
      <c r="AL18" cm="1">
        <f t="array" ref="AL18">INDEX(Drivers!$C$7:$AG$25,$G18,AL$9)</f>
        <v>26.780158730158725</v>
      </c>
      <c r="AM18" cm="1">
        <f t="array" ref="AM18">INDEX(Drivers!$C$7:$AG$25,$G18,AM$9)</f>
        <v>29.865152625152621</v>
      </c>
      <c r="AN18" cm="1">
        <f t="array" ref="AN18">INDEX(Drivers!$C$7:$AG$25,$G18,AN$9)</f>
        <v>31.79452991452991</v>
      </c>
      <c r="AO18">
        <f t="shared" si="7"/>
        <v>37.001503866503867</v>
      </c>
      <c r="AP18">
        <f t="shared" si="7"/>
        <v>42.015875050875024</v>
      </c>
    </row>
    <row r="19" spans="1:42">
      <c r="A19" t="s">
        <v>16</v>
      </c>
      <c r="B19" s="3" t="str">
        <f t="shared" ref="B19:D21" si="8">B18</f>
        <v>NM</v>
      </c>
      <c r="C19" s="3" t="str">
        <f t="shared" si="8"/>
        <v>N.M.M Products</v>
      </c>
      <c r="D19">
        <f t="shared" si="8"/>
        <v>0</v>
      </c>
      <c r="F19" s="3" t="s">
        <v>297</v>
      </c>
      <c r="G19">
        <f>MATCH(B19,Drivers!$A$7:$A$25,0)</f>
        <v>13</v>
      </c>
      <c r="H19" s="3"/>
      <c r="I19" s="3"/>
      <c r="J19" cm="1">
        <f t="array" ref="J19">INDEX(Drivers!$C$7:$AG$25,$G19,J$9)</f>
        <v>16.099074173411047</v>
      </c>
      <c r="K19" cm="1">
        <f t="array" ref="K19">INDEX(Drivers!$C$7:$AG$25,$G19,K$9)</f>
        <v>16.518849146566016</v>
      </c>
      <c r="L19" cm="1">
        <f t="array" ref="L19">INDEX(Drivers!$C$7:$AG$25,$G19,L$9)</f>
        <v>16.808536607755151</v>
      </c>
      <c r="M19" cm="1">
        <f t="array" ref="M19">INDEX(Drivers!$C$7:$AG$25,$G19,M$9)</f>
        <v>17.0461507724374</v>
      </c>
      <c r="N19" cm="1">
        <f t="array" ref="N19">INDEX(Drivers!$C$7:$AG$25,$G19,N$9)</f>
        <v>17.232929214387152</v>
      </c>
      <c r="O19" cm="1">
        <f t="array" ref="O19">INDEX(Drivers!$C$7:$AG$25,$G19,O$9)</f>
        <v>17.424562753451802</v>
      </c>
      <c r="P19" cm="1">
        <f t="array" ref="P19">INDEX(Drivers!$C$7:$AG$25,$G19,P$9)</f>
        <v>17.64894439854638</v>
      </c>
      <c r="Q19" cm="1">
        <f t="array" ref="Q19">INDEX(Drivers!$C$7:$AG$25,$G19,Q$9)</f>
        <v>17.63</v>
      </c>
      <c r="R19" cm="1">
        <f t="array" ref="R19">INDEX(Drivers!$C$7:$AG$25,$G19,R$9)</f>
        <v>16.46</v>
      </c>
      <c r="S19" cm="1">
        <f t="array" ref="S19">INDEX(Drivers!$C$7:$AG$25,$G19,S$9)</f>
        <v>16.992588522588527</v>
      </c>
      <c r="T19" cm="1">
        <f t="array" ref="T19">INDEX(Drivers!$C$7:$AG$25,$G19,T$9)</f>
        <v>17.384493284493288</v>
      </c>
      <c r="U19" cm="1">
        <f t="array" ref="U19">INDEX(Drivers!$C$7:$AG$25,$G19,U$9)</f>
        <v>17.806544566544567</v>
      </c>
      <c r="V19" cm="1">
        <f t="array" ref="V19">INDEX(Drivers!$C$7:$AG$25,$G19,V$9)</f>
        <v>18.258742368742372</v>
      </c>
      <c r="W19" cm="1">
        <f t="array" ref="W19">INDEX(Drivers!$C$7:$AG$25,$G19,W$9)</f>
        <v>18.690842490842495</v>
      </c>
      <c r="X19" cm="1">
        <f t="array" ref="X19">INDEX(Drivers!$C$7:$AG$25,$G19,X$9)</f>
        <v>19.092796092796096</v>
      </c>
      <c r="Y19" cm="1">
        <f t="array" ref="Y19">INDEX(Drivers!$C$7:$AG$25,$G19,Y$9)</f>
        <v>19.494749694749697</v>
      </c>
      <c r="Z19" cm="1">
        <f t="array" ref="Z19">INDEX(Drivers!$C$7:$AG$25,$G19,Z$9)</f>
        <v>20.067533577533581</v>
      </c>
      <c r="AA19" cm="1">
        <f t="array" ref="AA19">INDEX(Drivers!$C$7:$AG$25,$G19,AA$9)</f>
        <v>20.630268620268627</v>
      </c>
      <c r="AB19" cm="1">
        <f t="array" ref="AB19">INDEX(Drivers!$C$7:$AG$25,$G19,AB$9)</f>
        <v>21.092515262515263</v>
      </c>
      <c r="AC19" cm="1">
        <f t="array" ref="AC19">INDEX(Drivers!$C$7:$AG$25,$G19,AC$9)</f>
        <v>21.615054945054947</v>
      </c>
      <c r="AD19" cm="1">
        <f t="array" ref="AD19">INDEX(Drivers!$C$7:$AG$25,$G19,AD$9)</f>
        <v>22.137594627594627</v>
      </c>
      <c r="AE19" cm="1">
        <f t="array" ref="AE19">INDEX(Drivers!$C$7:$AG$25,$G19,AE$9)</f>
        <v>22.790769230769229</v>
      </c>
      <c r="AF19" cm="1">
        <f t="array" ref="AF19">INDEX(Drivers!$C$7:$AG$25,$G19,AF$9)</f>
        <v>23.464041514041515</v>
      </c>
      <c r="AG19" cm="1">
        <f t="array" ref="AG19">INDEX(Drivers!$C$7:$AG$25,$G19,AG$9)</f>
        <v>24.227753357753361</v>
      </c>
      <c r="AH19" cm="1">
        <f t="array" ref="AH19">INDEX(Drivers!$C$7:$AG$25,$G19,AH$9)</f>
        <v>24.860830280830282</v>
      </c>
      <c r="AI19" cm="1">
        <f t="array" ref="AI19">INDEX(Drivers!$C$7:$AG$25,$G19,AI$9)</f>
        <v>25.182393162393161</v>
      </c>
      <c r="AJ19" cm="1">
        <f t="array" ref="AJ19">INDEX(Drivers!$C$7:$AG$25,$G19,AJ$9)</f>
        <v>25.634590964590966</v>
      </c>
      <c r="AK19" cm="1">
        <f t="array" ref="AK19">INDEX(Drivers!$C$7:$AG$25,$G19,AK$9)</f>
        <v>26.197326007326005</v>
      </c>
      <c r="AL19" cm="1">
        <f t="array" ref="AL19">INDEX(Drivers!$C$7:$AG$25,$G19,AL$9)</f>
        <v>26.780158730158725</v>
      </c>
      <c r="AM19" cm="1">
        <f t="array" ref="AM19">INDEX(Drivers!$C$7:$AG$25,$G19,AM$9)</f>
        <v>29.865152625152621</v>
      </c>
      <c r="AN19" cm="1">
        <f t="array" ref="AN19">INDEX(Drivers!$C$7:$AG$25,$G19,AN$9)</f>
        <v>31.79452991452991</v>
      </c>
      <c r="AO19">
        <f t="shared" si="7"/>
        <v>37.001503866503867</v>
      </c>
      <c r="AP19">
        <f t="shared" si="7"/>
        <v>42.015875050875024</v>
      </c>
    </row>
    <row r="20" spans="1:42">
      <c r="A20" t="s">
        <v>16</v>
      </c>
      <c r="B20" s="3" t="str">
        <f t="shared" si="8"/>
        <v>NM</v>
      </c>
      <c r="C20" s="3" t="str">
        <f t="shared" si="8"/>
        <v>N.M.M Products</v>
      </c>
      <c r="D20">
        <f t="shared" si="8"/>
        <v>0</v>
      </c>
      <c r="F20" s="3" t="s">
        <v>298</v>
      </c>
      <c r="G20">
        <f>MATCH(B20,Drivers!$A$7:$A$25,0)</f>
        <v>13</v>
      </c>
      <c r="H20" s="3"/>
      <c r="I20" s="3"/>
      <c r="J20" cm="1">
        <f t="array" ref="J20">INDEX(Drivers!$C$7:$AG$25,$G20,J$9)</f>
        <v>16.099074173411047</v>
      </c>
      <c r="K20" cm="1">
        <f t="array" ref="K20">INDEX(Drivers!$C$7:$AG$25,$G20,K$9)</f>
        <v>16.518849146566016</v>
      </c>
      <c r="L20" cm="1">
        <f t="array" ref="L20">INDEX(Drivers!$C$7:$AG$25,$G20,L$9)</f>
        <v>16.808536607755151</v>
      </c>
      <c r="M20" cm="1">
        <f t="array" ref="M20">INDEX(Drivers!$C$7:$AG$25,$G20,M$9)</f>
        <v>17.0461507724374</v>
      </c>
      <c r="N20" cm="1">
        <f t="array" ref="N20">INDEX(Drivers!$C$7:$AG$25,$G20,N$9)</f>
        <v>17.232929214387152</v>
      </c>
      <c r="O20" cm="1">
        <f t="array" ref="O20">INDEX(Drivers!$C$7:$AG$25,$G20,O$9)</f>
        <v>17.424562753451802</v>
      </c>
      <c r="P20" cm="1">
        <f t="array" ref="P20">INDEX(Drivers!$C$7:$AG$25,$G20,P$9)</f>
        <v>17.64894439854638</v>
      </c>
      <c r="Q20" cm="1">
        <f t="array" ref="Q20">INDEX(Drivers!$C$7:$AG$25,$G20,Q$9)</f>
        <v>17.63</v>
      </c>
      <c r="R20" cm="1">
        <f t="array" ref="R20">INDEX(Drivers!$C$7:$AG$25,$G20,R$9)</f>
        <v>16.46</v>
      </c>
      <c r="S20" cm="1">
        <f t="array" ref="S20">INDEX(Drivers!$C$7:$AG$25,$G20,S$9)</f>
        <v>16.992588522588527</v>
      </c>
      <c r="T20" cm="1">
        <f t="array" ref="T20">INDEX(Drivers!$C$7:$AG$25,$G20,T$9)</f>
        <v>17.384493284493288</v>
      </c>
      <c r="U20" cm="1">
        <f t="array" ref="U20">INDEX(Drivers!$C$7:$AG$25,$G20,U$9)</f>
        <v>17.806544566544567</v>
      </c>
      <c r="V20" cm="1">
        <f t="array" ref="V20">INDEX(Drivers!$C$7:$AG$25,$G20,V$9)</f>
        <v>18.258742368742372</v>
      </c>
      <c r="W20" cm="1">
        <f t="array" ref="W20">INDEX(Drivers!$C$7:$AG$25,$G20,W$9)</f>
        <v>18.690842490842495</v>
      </c>
      <c r="X20" cm="1">
        <f t="array" ref="X20">INDEX(Drivers!$C$7:$AG$25,$G20,X$9)</f>
        <v>19.092796092796096</v>
      </c>
      <c r="Y20" cm="1">
        <f t="array" ref="Y20">INDEX(Drivers!$C$7:$AG$25,$G20,Y$9)</f>
        <v>19.494749694749697</v>
      </c>
      <c r="Z20" cm="1">
        <f t="array" ref="Z20">INDEX(Drivers!$C$7:$AG$25,$G20,Z$9)</f>
        <v>20.067533577533581</v>
      </c>
      <c r="AA20" cm="1">
        <f t="array" ref="AA20">INDEX(Drivers!$C$7:$AG$25,$G20,AA$9)</f>
        <v>20.630268620268627</v>
      </c>
      <c r="AB20" cm="1">
        <f t="array" ref="AB20">INDEX(Drivers!$C$7:$AG$25,$G20,AB$9)</f>
        <v>21.092515262515263</v>
      </c>
      <c r="AC20" cm="1">
        <f t="array" ref="AC20">INDEX(Drivers!$C$7:$AG$25,$G20,AC$9)</f>
        <v>21.615054945054947</v>
      </c>
      <c r="AD20" cm="1">
        <f t="array" ref="AD20">INDEX(Drivers!$C$7:$AG$25,$G20,AD$9)</f>
        <v>22.137594627594627</v>
      </c>
      <c r="AE20" cm="1">
        <f t="array" ref="AE20">INDEX(Drivers!$C$7:$AG$25,$G20,AE$9)</f>
        <v>22.790769230769229</v>
      </c>
      <c r="AF20" cm="1">
        <f t="array" ref="AF20">INDEX(Drivers!$C$7:$AG$25,$G20,AF$9)</f>
        <v>23.464041514041515</v>
      </c>
      <c r="AG20" cm="1">
        <f t="array" ref="AG20">INDEX(Drivers!$C$7:$AG$25,$G20,AG$9)</f>
        <v>24.227753357753361</v>
      </c>
      <c r="AH20" cm="1">
        <f t="array" ref="AH20">INDEX(Drivers!$C$7:$AG$25,$G20,AH$9)</f>
        <v>24.860830280830282</v>
      </c>
      <c r="AI20" cm="1">
        <f t="array" ref="AI20">INDEX(Drivers!$C$7:$AG$25,$G20,AI$9)</f>
        <v>25.182393162393161</v>
      </c>
      <c r="AJ20" cm="1">
        <f t="array" ref="AJ20">INDEX(Drivers!$C$7:$AG$25,$G20,AJ$9)</f>
        <v>25.634590964590966</v>
      </c>
      <c r="AK20" cm="1">
        <f t="array" ref="AK20">INDEX(Drivers!$C$7:$AG$25,$G20,AK$9)</f>
        <v>26.197326007326005</v>
      </c>
      <c r="AL20" cm="1">
        <f t="array" ref="AL20">INDEX(Drivers!$C$7:$AG$25,$G20,AL$9)</f>
        <v>26.780158730158725</v>
      </c>
      <c r="AM20" cm="1">
        <f t="array" ref="AM20">INDEX(Drivers!$C$7:$AG$25,$G20,AM$9)</f>
        <v>29.865152625152621</v>
      </c>
      <c r="AN20" cm="1">
        <f t="array" ref="AN20">INDEX(Drivers!$C$7:$AG$25,$G20,AN$9)</f>
        <v>31.79452991452991</v>
      </c>
      <c r="AO20">
        <f t="shared" si="7"/>
        <v>37.001503866503867</v>
      </c>
      <c r="AP20">
        <f t="shared" si="7"/>
        <v>42.015875050875024</v>
      </c>
    </row>
    <row r="21" spans="1:42">
      <c r="A21" t="s">
        <v>16</v>
      </c>
      <c r="B21" s="3" t="str">
        <f t="shared" si="8"/>
        <v>NM</v>
      </c>
      <c r="C21" s="3" t="str">
        <f t="shared" si="8"/>
        <v>N.M.M Products</v>
      </c>
      <c r="D21">
        <f t="shared" si="8"/>
        <v>0</v>
      </c>
      <c r="F21" s="3" t="s">
        <v>299</v>
      </c>
      <c r="G21">
        <f>MATCH(B21,Drivers!$A$7:$A$25,0)</f>
        <v>13</v>
      </c>
      <c r="H21" s="3"/>
      <c r="I21" s="3"/>
      <c r="J21" cm="1">
        <f t="array" ref="J21">INDEX(Drivers!$C$7:$AG$25,$G21,J$9)</f>
        <v>16.099074173411047</v>
      </c>
      <c r="K21" cm="1">
        <f t="array" ref="K21">INDEX(Drivers!$C$7:$AG$25,$G21,K$9)</f>
        <v>16.518849146566016</v>
      </c>
      <c r="L21" cm="1">
        <f t="array" ref="L21">INDEX(Drivers!$C$7:$AG$25,$G21,L$9)</f>
        <v>16.808536607755151</v>
      </c>
      <c r="M21" cm="1">
        <f t="array" ref="M21">INDEX(Drivers!$C$7:$AG$25,$G21,M$9)</f>
        <v>17.0461507724374</v>
      </c>
      <c r="N21" cm="1">
        <f t="array" ref="N21">INDEX(Drivers!$C$7:$AG$25,$G21,N$9)</f>
        <v>17.232929214387152</v>
      </c>
      <c r="O21" cm="1">
        <f t="array" ref="O21">INDEX(Drivers!$C$7:$AG$25,$G21,O$9)</f>
        <v>17.424562753451802</v>
      </c>
      <c r="P21" cm="1">
        <f t="array" ref="P21">INDEX(Drivers!$C$7:$AG$25,$G21,P$9)</f>
        <v>17.64894439854638</v>
      </c>
      <c r="Q21" cm="1">
        <f t="array" ref="Q21">INDEX(Drivers!$C$7:$AG$25,$G21,Q$9)</f>
        <v>17.63</v>
      </c>
      <c r="R21" cm="1">
        <f t="array" ref="R21">INDEX(Drivers!$C$7:$AG$25,$G21,R$9)</f>
        <v>16.46</v>
      </c>
      <c r="S21" cm="1">
        <f t="array" ref="S21">INDEX(Drivers!$C$7:$AG$25,$G21,S$9)</f>
        <v>16.992588522588527</v>
      </c>
      <c r="T21" cm="1">
        <f t="array" ref="T21">INDEX(Drivers!$C$7:$AG$25,$G21,T$9)</f>
        <v>17.384493284493288</v>
      </c>
      <c r="U21" cm="1">
        <f t="array" ref="U21">INDEX(Drivers!$C$7:$AG$25,$G21,U$9)</f>
        <v>17.806544566544567</v>
      </c>
      <c r="V21" cm="1">
        <f t="array" ref="V21">INDEX(Drivers!$C$7:$AG$25,$G21,V$9)</f>
        <v>18.258742368742372</v>
      </c>
      <c r="W21" cm="1">
        <f t="array" ref="W21">INDEX(Drivers!$C$7:$AG$25,$G21,W$9)</f>
        <v>18.690842490842495</v>
      </c>
      <c r="X21" cm="1">
        <f t="array" ref="X21">INDEX(Drivers!$C$7:$AG$25,$G21,X$9)</f>
        <v>19.092796092796096</v>
      </c>
      <c r="Y21" cm="1">
        <f t="array" ref="Y21">INDEX(Drivers!$C$7:$AG$25,$G21,Y$9)</f>
        <v>19.494749694749697</v>
      </c>
      <c r="Z21" cm="1">
        <f t="array" ref="Z21">INDEX(Drivers!$C$7:$AG$25,$G21,Z$9)</f>
        <v>20.067533577533581</v>
      </c>
      <c r="AA21" cm="1">
        <f t="array" ref="AA21">INDEX(Drivers!$C$7:$AG$25,$G21,AA$9)</f>
        <v>20.630268620268627</v>
      </c>
      <c r="AB21" cm="1">
        <f t="array" ref="AB21">INDEX(Drivers!$C$7:$AG$25,$G21,AB$9)</f>
        <v>21.092515262515263</v>
      </c>
      <c r="AC21" cm="1">
        <f t="array" ref="AC21">INDEX(Drivers!$C$7:$AG$25,$G21,AC$9)</f>
        <v>21.615054945054947</v>
      </c>
      <c r="AD21" cm="1">
        <f t="array" ref="AD21">INDEX(Drivers!$C$7:$AG$25,$G21,AD$9)</f>
        <v>22.137594627594627</v>
      </c>
      <c r="AE21" cm="1">
        <f t="array" ref="AE21">INDEX(Drivers!$C$7:$AG$25,$G21,AE$9)</f>
        <v>22.790769230769229</v>
      </c>
      <c r="AF21" cm="1">
        <f t="array" ref="AF21">INDEX(Drivers!$C$7:$AG$25,$G21,AF$9)</f>
        <v>23.464041514041515</v>
      </c>
      <c r="AG21" cm="1">
        <f t="array" ref="AG21">INDEX(Drivers!$C$7:$AG$25,$G21,AG$9)</f>
        <v>24.227753357753361</v>
      </c>
      <c r="AH21" cm="1">
        <f t="array" ref="AH21">INDEX(Drivers!$C$7:$AG$25,$G21,AH$9)</f>
        <v>24.860830280830282</v>
      </c>
      <c r="AI21" cm="1">
        <f t="array" ref="AI21">INDEX(Drivers!$C$7:$AG$25,$G21,AI$9)</f>
        <v>25.182393162393161</v>
      </c>
      <c r="AJ21" cm="1">
        <f t="array" ref="AJ21">INDEX(Drivers!$C$7:$AG$25,$G21,AJ$9)</f>
        <v>25.634590964590966</v>
      </c>
      <c r="AK21" cm="1">
        <f t="array" ref="AK21">INDEX(Drivers!$C$7:$AG$25,$G21,AK$9)</f>
        <v>26.197326007326005</v>
      </c>
      <c r="AL21" cm="1">
        <f t="array" ref="AL21">INDEX(Drivers!$C$7:$AG$25,$G21,AL$9)</f>
        <v>26.780158730158725</v>
      </c>
      <c r="AM21" cm="1">
        <f t="array" ref="AM21">INDEX(Drivers!$C$7:$AG$25,$G21,AM$9)</f>
        <v>29.865152625152621</v>
      </c>
      <c r="AN21" cm="1">
        <f t="array" ref="AN21">INDEX(Drivers!$C$7:$AG$25,$G21,AN$9)</f>
        <v>31.79452991452991</v>
      </c>
      <c r="AO21">
        <f t="shared" si="7"/>
        <v>37.001503866503867</v>
      </c>
      <c r="AP21">
        <f t="shared" si="7"/>
        <v>42.015875050875024</v>
      </c>
    </row>
    <row r="22" spans="1:42">
      <c r="A22" t="s">
        <v>16</v>
      </c>
      <c r="B22" s="3" t="str">
        <f>[4]IND!B17</f>
        <v>FB</v>
      </c>
      <c r="C22" s="3" t="str">
        <f>[4]IND!A17</f>
        <v>Food, Beverage &amp; Tabacco</v>
      </c>
      <c r="D22">
        <f>[4]IND!M17</f>
        <v>1</v>
      </c>
      <c r="F22" s="3"/>
      <c r="G22">
        <f>MATCH(B22,Drivers!$A$7:$A$25,0)</f>
        <v>5</v>
      </c>
      <c r="H22" s="3"/>
      <c r="I22" s="3"/>
      <c r="J22" cm="1">
        <f t="array" ref="J22">INDEX(Drivers!$C$7:$AG$25,$G22,J$9)</f>
        <v>138.08343097582718</v>
      </c>
      <c r="K22" cm="1">
        <f t="array" ref="K22">INDEX(Drivers!$C$7:$AG$25,$G22,K$9)</f>
        <v>143.16360238477418</v>
      </c>
      <c r="L22" cm="1">
        <f t="array" ref="L22">INDEX(Drivers!$C$7:$AG$25,$G22,L$9)</f>
        <v>146.98438355117329</v>
      </c>
      <c r="M22" cm="1">
        <f t="array" ref="M22">INDEX(Drivers!$C$7:$AG$25,$G22,M$9)</f>
        <v>148.78204922418408</v>
      </c>
      <c r="N22" cm="1">
        <f t="array" ref="N22">INDEX(Drivers!$C$7:$AG$25,$G22,N$9)</f>
        <v>151.86270236184362</v>
      </c>
      <c r="O22" cm="1">
        <f t="array" ref="O22">INDEX(Drivers!$C$7:$AG$25,$G22,O$9)</f>
        <v>153.55950890468549</v>
      </c>
      <c r="P22" cm="1">
        <f t="array" ref="P22">INDEX(Drivers!$C$7:$AG$25,$G22,P$9)</f>
        <v>155.74281242834212</v>
      </c>
      <c r="Q22" cm="1">
        <f t="array" ref="Q22">INDEX(Drivers!$C$7:$AG$25,$G22,Q$9)</f>
        <v>155.24</v>
      </c>
      <c r="R22" cm="1">
        <f t="array" ref="R22">INDEX(Drivers!$C$7:$AG$25,$G22,R$9)</f>
        <v>152.88999999999999</v>
      </c>
      <c r="S22" cm="1">
        <f t="array" ref="S22">INDEX(Drivers!$C$7:$AG$25,$G22,S$9)</f>
        <v>159.64838910102907</v>
      </c>
      <c r="T22" cm="1">
        <f t="array" ref="T22">INDEX(Drivers!$C$7:$AG$25,$G22,T$9)</f>
        <v>165.60527085625526</v>
      </c>
      <c r="U22" cm="1">
        <f t="array" ref="U22">INDEX(Drivers!$C$7:$AG$25,$G22,U$9)</f>
        <v>171.00802407611155</v>
      </c>
      <c r="V22" cm="1">
        <f t="array" ref="V22">INDEX(Drivers!$C$7:$AG$25,$G22,V$9)</f>
        <v>176.48993851530645</v>
      </c>
      <c r="W22" cm="1">
        <f t="array" ref="W22">INDEX(Drivers!$C$7:$AG$25,$G22,W$9)</f>
        <v>181.3682486570448</v>
      </c>
      <c r="X22" cm="1">
        <f t="array" ref="X22">INDEX(Drivers!$C$7:$AG$25,$G22,X$9)</f>
        <v>185.44505145298035</v>
      </c>
      <c r="Y22" cm="1">
        <f t="array" ref="Y22">INDEX(Drivers!$C$7:$AG$25,$G22,Y$9)</f>
        <v>189.51195909649857</v>
      </c>
      <c r="Z22" cm="1">
        <f t="array" ref="Z22">INDEX(Drivers!$C$7:$AG$25,$G22,Z$9)</f>
        <v>196.75521066597628</v>
      </c>
      <c r="AA22" cm="1">
        <f t="array" ref="AA22">INDEX(Drivers!$C$7:$AG$25,$G22,AA$9)</f>
        <v>203.02873729855671</v>
      </c>
      <c r="AB22" cm="1">
        <f t="array" ref="AB22">INDEX(Drivers!$C$7:$AG$25,$G22,AB$9)</f>
        <v>207.55082195327159</v>
      </c>
      <c r="AC22" cm="1">
        <f t="array" ref="AC22">INDEX(Drivers!$C$7:$AG$25,$G22,AC$9)</f>
        <v>212.64682544819104</v>
      </c>
      <c r="AD22" cm="1">
        <f t="array" ref="AD22">INDEX(Drivers!$C$7:$AG$25,$G22,AD$9)</f>
        <v>217.16891010290593</v>
      </c>
      <c r="AE22" cm="1">
        <f t="array" ref="AE22">INDEX(Drivers!$C$7:$AG$25,$G22,AE$9)</f>
        <v>222.71019545660471</v>
      </c>
      <c r="AF22" cm="1">
        <f t="array" ref="AF22">INDEX(Drivers!$C$7:$AG$25,$G22,AF$9)</f>
        <v>228.0733680667918</v>
      </c>
      <c r="AG22" cm="1">
        <f t="array" ref="AG22">INDEX(Drivers!$C$7:$AG$25,$G22,AG$9)</f>
        <v>238.55233447673291</v>
      </c>
      <c r="AH22" cm="1">
        <f t="array" ref="AH22">INDEX(Drivers!$C$7:$AG$25,$G22,AH$9)</f>
        <v>249.27867969710698</v>
      </c>
      <c r="AI22" cm="1">
        <f t="array" ref="AI22">INDEX(Drivers!$C$7:$AG$25,$G22,AI$9)</f>
        <v>252.7716685004207</v>
      </c>
      <c r="AJ22" cm="1">
        <f t="array" ref="AJ22">INDEX(Drivers!$C$7:$AG$25,$G22,AJ$9)</f>
        <v>256.4724555044981</v>
      </c>
      <c r="AK22" cm="1">
        <f t="array" ref="AK22">INDEX(Drivers!$C$7:$AG$25,$G22,AK$9)</f>
        <v>258.71865510322954</v>
      </c>
      <c r="AL22" cm="1">
        <f t="array" ref="AL22">INDEX(Drivers!$C$7:$AG$25,$G22,AL$9)</f>
        <v>264.13130347550322</v>
      </c>
      <c r="AM22" cm="1">
        <f t="array" ref="AM22">INDEX(Drivers!$C$7:$AG$25,$G22,AM$9)</f>
        <v>284.95070416154294</v>
      </c>
      <c r="AN22" cm="1">
        <f t="array" ref="AN22">INDEX(Drivers!$C$7:$AG$25,$G22,AN$9)</f>
        <v>290.85811015468255</v>
      </c>
      <c r="AO22">
        <f t="shared" si="7"/>
        <v>320.07024928267947</v>
      </c>
      <c r="AP22">
        <f t="shared" si="7"/>
        <v>346.79705596185886</v>
      </c>
    </row>
    <row r="23" spans="1:42">
      <c r="A23" t="s">
        <v>16</v>
      </c>
      <c r="B23" s="3" t="str">
        <f>[4]IND!B18</f>
        <v>PP</v>
      </c>
      <c r="C23" s="3" t="str">
        <f>[4]IND!A18</f>
        <v>Pulp &amp; Paper Products</v>
      </c>
      <c r="D23">
        <f>[4]IND!M18</f>
        <v>0</v>
      </c>
      <c r="F23" s="3" t="s">
        <v>300</v>
      </c>
      <c r="G23">
        <f>MATCH(B23,Drivers!$A$7:$A$25,0)</f>
        <v>16</v>
      </c>
      <c r="H23" s="3"/>
      <c r="I23" s="3"/>
      <c r="J23" cm="1">
        <f t="array" ref="J23">INDEX(Drivers!$C$7:$AG$25,$G23,J$9)</f>
        <v>21.771602125906632</v>
      </c>
      <c r="K23" cm="1">
        <f t="array" ref="K23">INDEX(Drivers!$C$7:$AG$25,$G23,K$9)</f>
        <v>22.321967288291042</v>
      </c>
      <c r="L23" cm="1">
        <f t="array" ref="L23">INDEX(Drivers!$C$7:$AG$25,$G23,L$9)</f>
        <v>22.799481809844082</v>
      </c>
      <c r="M23" cm="1">
        <f t="array" ref="M23">INDEX(Drivers!$C$7:$AG$25,$G23,M$9)</f>
        <v>23.061502598593702</v>
      </c>
      <c r="N23" cm="1">
        <f t="array" ref="N23">INDEX(Drivers!$C$7:$AG$25,$G23,N$9)</f>
        <v>23.492490064200549</v>
      </c>
      <c r="O23" cm="1">
        <f t="array" ref="O23">INDEX(Drivers!$C$7:$AG$25,$G23,O$9)</f>
        <v>23.649212778966675</v>
      </c>
      <c r="P23" cm="1">
        <f t="array" ref="P23">INDEX(Drivers!$C$7:$AG$25,$G23,P$9)</f>
        <v>24.045917150718431</v>
      </c>
      <c r="Q23" cm="1">
        <f t="array" ref="Q23">INDEX(Drivers!$C$7:$AG$25,$G23,Q$9)</f>
        <v>24.03</v>
      </c>
      <c r="R23" cm="1">
        <f t="array" ref="R23">INDEX(Drivers!$C$7:$AG$25,$G23,R$9)</f>
        <v>22.95</v>
      </c>
      <c r="S23" cm="1">
        <f t="array" ref="S23">INDEX(Drivers!$C$7:$AG$25,$G23,S$9)</f>
        <v>23.764257555847571</v>
      </c>
      <c r="T23" cm="1">
        <f t="array" ref="T23">INDEX(Drivers!$C$7:$AG$25,$G23,T$9)</f>
        <v>24.186465177398162</v>
      </c>
      <c r="U23" cm="1">
        <f t="array" ref="U23">INDEX(Drivers!$C$7:$AG$25,$G23,U$9)</f>
        <v>24.699145860709596</v>
      </c>
      <c r="V23" cm="1">
        <f t="array" ref="V23">INDEX(Drivers!$C$7:$AG$25,$G23,V$9)</f>
        <v>25.422930354796321</v>
      </c>
      <c r="W23" cm="1">
        <f t="array" ref="W23">INDEX(Drivers!$C$7:$AG$25,$G23,W$9)</f>
        <v>25.935611038107755</v>
      </c>
      <c r="X23" cm="1">
        <f t="array" ref="X23">INDEX(Drivers!$C$7:$AG$25,$G23,X$9)</f>
        <v>26.287450722733247</v>
      </c>
      <c r="Y23" cm="1">
        <f t="array" ref="Y23">INDEX(Drivers!$C$7:$AG$25,$G23,Y$9)</f>
        <v>26.729763469119579</v>
      </c>
      <c r="Z23" cm="1">
        <f t="array" ref="Z23">INDEX(Drivers!$C$7:$AG$25,$G23,Z$9)</f>
        <v>27.202233902759527</v>
      </c>
      <c r="AA23" cm="1">
        <f t="array" ref="AA23">INDEX(Drivers!$C$7:$AG$25,$G23,AA$9)</f>
        <v>27.664651773981607</v>
      </c>
      <c r="AB23" cm="1">
        <f t="array" ref="AB23">INDEX(Drivers!$C$7:$AG$25,$G23,AB$9)</f>
        <v>28.086859395532201</v>
      </c>
      <c r="AC23" cm="1">
        <f t="array" ref="AC23">INDEX(Drivers!$C$7:$AG$25,$G23,AC$9)</f>
        <v>29.061957950065711</v>
      </c>
      <c r="AD23" cm="1">
        <f t="array" ref="AD23">INDEX(Drivers!$C$7:$AG$25,$G23,AD$9)</f>
        <v>29.685216819973729</v>
      </c>
      <c r="AE23" cm="1">
        <f t="array" ref="AE23">INDEX(Drivers!$C$7:$AG$25,$G23,AE$9)</f>
        <v>30.46931668856768</v>
      </c>
      <c r="AF23" cm="1">
        <f t="array" ref="AF23">INDEX(Drivers!$C$7:$AG$25,$G23,AF$9)</f>
        <v>31.293626806833121</v>
      </c>
      <c r="AG23" cm="1">
        <f t="array" ref="AG23">INDEX(Drivers!$C$7:$AG$25,$G23,AG$9)</f>
        <v>32.087779237844948</v>
      </c>
      <c r="AH23" cm="1">
        <f t="array" ref="AH23">INDEX(Drivers!$C$7:$AG$25,$G23,AH$9)</f>
        <v>32.711038107752962</v>
      </c>
      <c r="AI23" cm="1">
        <f t="array" ref="AI23">INDEX(Drivers!$C$7:$AG$25,$G23,AI$9)</f>
        <v>33.05282522996059</v>
      </c>
      <c r="AJ23" cm="1">
        <f t="array" ref="AJ23">INDEX(Drivers!$C$7:$AG$25,$G23,AJ$9)</f>
        <v>33.64592641261499</v>
      </c>
      <c r="AK23" cm="1">
        <f t="array" ref="AK23">INDEX(Drivers!$C$7:$AG$25,$G23,AK$9)</f>
        <v>34.068134034165581</v>
      </c>
      <c r="AL23" cm="1">
        <f t="array" ref="AL23">INDEX(Drivers!$C$7:$AG$25,$G23,AL$9)</f>
        <v>34.751708278580828</v>
      </c>
      <c r="AM23" cm="1">
        <f t="array" ref="AM23">INDEX(Drivers!$C$7:$AG$25,$G23,AM$9)</f>
        <v>38.300262812089372</v>
      </c>
      <c r="AN23" cm="1">
        <f t="array" ref="AN23">INDEX(Drivers!$C$7:$AG$25,$G23,AN$9)</f>
        <v>40.471616294349552</v>
      </c>
      <c r="AO23">
        <f t="shared" si="7"/>
        <v>46.421057818659619</v>
      </c>
      <c r="AP23">
        <f t="shared" si="7"/>
        <v>52.140965834428243</v>
      </c>
    </row>
    <row r="24" spans="1:42">
      <c r="A24" t="s">
        <v>16</v>
      </c>
      <c r="B24" s="3" t="str">
        <f>B23</f>
        <v>PP</v>
      </c>
      <c r="C24" s="3" t="str">
        <f>C23</f>
        <v>Pulp &amp; Paper Products</v>
      </c>
      <c r="D24">
        <f>D23</f>
        <v>0</v>
      </c>
      <c r="F24" s="3" t="s">
        <v>301</v>
      </c>
      <c r="G24">
        <f>MATCH(B24,Drivers!$A$7:$A$25,0)</f>
        <v>16</v>
      </c>
      <c r="H24" s="3"/>
      <c r="I24" s="3"/>
      <c r="J24" cm="1">
        <f t="array" ref="J24">INDEX(Drivers!$C$7:$AG$25,$G24,J$9)</f>
        <v>21.771602125906632</v>
      </c>
      <c r="K24" cm="1">
        <f t="array" ref="K24">INDEX(Drivers!$C$7:$AG$25,$G24,K$9)</f>
        <v>22.321967288291042</v>
      </c>
      <c r="L24" cm="1">
        <f t="array" ref="L24">INDEX(Drivers!$C$7:$AG$25,$G24,L$9)</f>
        <v>22.799481809844082</v>
      </c>
      <c r="M24" cm="1">
        <f t="array" ref="M24">INDEX(Drivers!$C$7:$AG$25,$G24,M$9)</f>
        <v>23.061502598593702</v>
      </c>
      <c r="N24" cm="1">
        <f t="array" ref="N24">INDEX(Drivers!$C$7:$AG$25,$G24,N$9)</f>
        <v>23.492490064200549</v>
      </c>
      <c r="O24" cm="1">
        <f t="array" ref="O24">INDEX(Drivers!$C$7:$AG$25,$G24,O$9)</f>
        <v>23.649212778966675</v>
      </c>
      <c r="P24" cm="1">
        <f t="array" ref="P24">INDEX(Drivers!$C$7:$AG$25,$G24,P$9)</f>
        <v>24.045917150718431</v>
      </c>
      <c r="Q24" cm="1">
        <f t="array" ref="Q24">INDEX(Drivers!$C$7:$AG$25,$G24,Q$9)</f>
        <v>24.03</v>
      </c>
      <c r="R24" cm="1">
        <f t="array" ref="R24">INDEX(Drivers!$C$7:$AG$25,$G24,R$9)</f>
        <v>22.95</v>
      </c>
      <c r="S24" cm="1">
        <f t="array" ref="S24">INDEX(Drivers!$C$7:$AG$25,$G24,S$9)</f>
        <v>23.764257555847571</v>
      </c>
      <c r="T24" cm="1">
        <f t="array" ref="T24">INDEX(Drivers!$C$7:$AG$25,$G24,T$9)</f>
        <v>24.186465177398162</v>
      </c>
      <c r="U24" cm="1">
        <f t="array" ref="U24">INDEX(Drivers!$C$7:$AG$25,$G24,U$9)</f>
        <v>24.699145860709596</v>
      </c>
      <c r="V24" cm="1">
        <f t="array" ref="V24">INDEX(Drivers!$C$7:$AG$25,$G24,V$9)</f>
        <v>25.422930354796321</v>
      </c>
      <c r="W24" cm="1">
        <f t="array" ref="W24">INDEX(Drivers!$C$7:$AG$25,$G24,W$9)</f>
        <v>25.935611038107755</v>
      </c>
      <c r="X24" cm="1">
        <f t="array" ref="X24">INDEX(Drivers!$C$7:$AG$25,$G24,X$9)</f>
        <v>26.287450722733247</v>
      </c>
      <c r="Y24" cm="1">
        <f t="array" ref="Y24">INDEX(Drivers!$C$7:$AG$25,$G24,Y$9)</f>
        <v>26.729763469119579</v>
      </c>
      <c r="Z24" cm="1">
        <f t="array" ref="Z24">INDEX(Drivers!$C$7:$AG$25,$G24,Z$9)</f>
        <v>27.202233902759527</v>
      </c>
      <c r="AA24" cm="1">
        <f t="array" ref="AA24">INDEX(Drivers!$C$7:$AG$25,$G24,AA$9)</f>
        <v>27.664651773981607</v>
      </c>
      <c r="AB24" cm="1">
        <f t="array" ref="AB24">INDEX(Drivers!$C$7:$AG$25,$G24,AB$9)</f>
        <v>28.086859395532201</v>
      </c>
      <c r="AC24" cm="1">
        <f t="array" ref="AC24">INDEX(Drivers!$C$7:$AG$25,$G24,AC$9)</f>
        <v>29.061957950065711</v>
      </c>
      <c r="AD24" cm="1">
        <f t="array" ref="AD24">INDEX(Drivers!$C$7:$AG$25,$G24,AD$9)</f>
        <v>29.685216819973729</v>
      </c>
      <c r="AE24" cm="1">
        <f t="array" ref="AE24">INDEX(Drivers!$C$7:$AG$25,$G24,AE$9)</f>
        <v>30.46931668856768</v>
      </c>
      <c r="AF24" cm="1">
        <f t="array" ref="AF24">INDEX(Drivers!$C$7:$AG$25,$G24,AF$9)</f>
        <v>31.293626806833121</v>
      </c>
      <c r="AG24" cm="1">
        <f t="array" ref="AG24">INDEX(Drivers!$C$7:$AG$25,$G24,AG$9)</f>
        <v>32.087779237844948</v>
      </c>
      <c r="AH24" cm="1">
        <f t="array" ref="AH24">INDEX(Drivers!$C$7:$AG$25,$G24,AH$9)</f>
        <v>32.711038107752962</v>
      </c>
      <c r="AI24" cm="1">
        <f t="array" ref="AI24">INDEX(Drivers!$C$7:$AG$25,$G24,AI$9)</f>
        <v>33.05282522996059</v>
      </c>
      <c r="AJ24" cm="1">
        <f t="array" ref="AJ24">INDEX(Drivers!$C$7:$AG$25,$G24,AJ$9)</f>
        <v>33.64592641261499</v>
      </c>
      <c r="AK24" cm="1">
        <f t="array" ref="AK24">INDEX(Drivers!$C$7:$AG$25,$G24,AK$9)</f>
        <v>34.068134034165581</v>
      </c>
      <c r="AL24" cm="1">
        <f t="array" ref="AL24">INDEX(Drivers!$C$7:$AG$25,$G24,AL$9)</f>
        <v>34.751708278580828</v>
      </c>
      <c r="AM24" cm="1">
        <f t="array" ref="AM24">INDEX(Drivers!$C$7:$AG$25,$G24,AM$9)</f>
        <v>38.300262812089372</v>
      </c>
      <c r="AN24" cm="1">
        <f t="array" ref="AN24">INDEX(Drivers!$C$7:$AG$25,$G24,AN$9)</f>
        <v>40.471616294349552</v>
      </c>
      <c r="AO24">
        <f t="shared" si="7"/>
        <v>46.421057818659619</v>
      </c>
      <c r="AP24">
        <f t="shared" si="7"/>
        <v>52.140965834428243</v>
      </c>
    </row>
    <row r="25" spans="1:42">
      <c r="A25" t="s">
        <v>16</v>
      </c>
      <c r="B25" s="3" t="str">
        <f>[4]IND!B19</f>
        <v>OT</v>
      </c>
      <c r="C25" s="3" t="str">
        <f>[4]IND!A19</f>
        <v>Other</v>
      </c>
      <c r="D25">
        <f>[4]IND!M19</f>
        <v>1</v>
      </c>
      <c r="F25" s="3"/>
      <c r="G25">
        <f>MATCH(B25,Drivers!$A$7:$A$25,0)</f>
        <v>14</v>
      </c>
      <c r="H25" s="3"/>
      <c r="I25" s="3"/>
      <c r="J25" cm="1">
        <f t="array" ref="J25">INDEX(Drivers!$C$7:$AG$25,$G25,J$9)</f>
        <v>335.77331305186084</v>
      </c>
      <c r="K25" cm="1">
        <f t="array" ref="K25">INDEX(Drivers!$C$7:$AG$25,$G25,K$9)</f>
        <v>345.12368336779264</v>
      </c>
      <c r="L25" cm="1">
        <f t="array" ref="L25">INDEX(Drivers!$C$7:$AG$25,$G25,L$9)</f>
        <v>351.73654833895557</v>
      </c>
      <c r="M25" cm="1">
        <f t="array" ref="M25">INDEX(Drivers!$C$7:$AG$25,$G25,M$9)</f>
        <v>356.62847152051233</v>
      </c>
      <c r="N25" cm="1">
        <f t="array" ref="N25">INDEX(Drivers!$C$7:$AG$25,$G25,N$9)</f>
        <v>360.31274126727499</v>
      </c>
      <c r="O25" cm="1">
        <f t="array" ref="O25">INDEX(Drivers!$C$7:$AG$25,$G25,O$9)</f>
        <v>363.08022098030375</v>
      </c>
      <c r="P25" cm="1">
        <f t="array" ref="P25">INDEX(Drivers!$C$7:$AG$25,$G25,P$9)</f>
        <v>367.26352107202263</v>
      </c>
      <c r="Q25" cm="1">
        <f t="array" ref="Q25">INDEX(Drivers!$C$7:$AG$25,$G25,Q$9)</f>
        <v>366.87</v>
      </c>
      <c r="R25" cm="1">
        <f t="array" ref="R25">INDEX(Drivers!$C$7:$AG$25,$G25,R$9)</f>
        <v>340.31</v>
      </c>
      <c r="S25" cm="1">
        <f t="array" ref="S25">INDEX(Drivers!$C$7:$AG$25,$G25,S$9)</f>
        <v>350.9399823024512</v>
      </c>
      <c r="T25" cm="1">
        <f t="array" ref="T25">INDEX(Drivers!$C$7:$AG$25,$G25,T$9)</f>
        <v>358.31773205910991</v>
      </c>
      <c r="U25" cm="1">
        <f t="array" ref="U25">INDEX(Drivers!$C$7:$AG$25,$G25,U$9)</f>
        <v>366.37804914019421</v>
      </c>
      <c r="V25" cm="1">
        <f t="array" ref="V25">INDEX(Drivers!$C$7:$AG$25,$G25,V$9)</f>
        <v>375.47225496268777</v>
      </c>
      <c r="W25" cm="1">
        <f t="array" ref="W25">INDEX(Drivers!$C$7:$AG$25,$G25,W$9)</f>
        <v>384.25529038728149</v>
      </c>
      <c r="X25" cm="1">
        <f t="array" ref="X25">INDEX(Drivers!$C$7:$AG$25,$G25,X$9)</f>
        <v>393.17885437866869</v>
      </c>
      <c r="Y25" cm="1">
        <f t="array" ref="Y25">INDEX(Drivers!$C$7:$AG$25,$G25,Y$9)</f>
        <v>401.72098368875925</v>
      </c>
      <c r="Z25" cm="1">
        <f t="array" ref="Z25">INDEX(Drivers!$C$7:$AG$25,$G25,Z$9)</f>
        <v>415.51285874406415</v>
      </c>
      <c r="AA25" cm="1">
        <f t="array" ref="AA25">INDEX(Drivers!$C$7:$AG$25,$G25,AA$9)</f>
        <v>428.31099607704357</v>
      </c>
      <c r="AB25" cm="1">
        <f t="array" ref="AB25">INDEX(Drivers!$C$7:$AG$25,$G25,AB$9)</f>
        <v>438.16807126213047</v>
      </c>
      <c r="AC25" cm="1">
        <f t="array" ref="AC25">INDEX(Drivers!$C$7:$AG$25,$G25,AC$9)</f>
        <v>448.67760050733006</v>
      </c>
      <c r="AD25" cm="1">
        <f t="array" ref="AD25">INDEX(Drivers!$C$7:$AG$25,$G25,AD$9)</f>
        <v>459.57860218859724</v>
      </c>
      <c r="AE25" cm="1">
        <f t="array" ref="AE25">INDEX(Drivers!$C$7:$AG$25,$G25,AE$9)</f>
        <v>473.17975990325374</v>
      </c>
      <c r="AF25" cm="1">
        <f t="array" ref="AF25">INDEX(Drivers!$C$7:$AG$25,$G25,AF$9)</f>
        <v>487.34303188508432</v>
      </c>
      <c r="AG25" cm="1">
        <f t="array" ref="AG25">INDEX(Drivers!$C$7:$AG$25,$G25,AG$9)</f>
        <v>507.33823938884512</v>
      </c>
      <c r="AH25" cm="1">
        <f t="array" ref="AH25">INDEX(Drivers!$C$7:$AG$25,$G25,AH$9)</f>
        <v>524.90431023803251</v>
      </c>
      <c r="AI25" cm="1">
        <f t="array" ref="AI25">INDEX(Drivers!$C$7:$AG$25,$G25,AI$9)</f>
        <v>532.27202223992026</v>
      </c>
      <c r="AJ25" cm="1">
        <f t="array" ref="AJ25">INDEX(Drivers!$C$7:$AG$25,$G25,AJ$9)</f>
        <v>541.8179270271072</v>
      </c>
      <c r="AK25" cm="1">
        <f t="array" ref="AK25">INDEX(Drivers!$C$7:$AG$25,$G25,AK$9)</f>
        <v>552.98994808719033</v>
      </c>
      <c r="AL25" cm="1">
        <f t="array" ref="AL25">INDEX(Drivers!$C$7:$AG$25,$G25,AL$9)</f>
        <v>566.02899153467285</v>
      </c>
      <c r="AM25" cm="1">
        <f t="array" ref="AM25">INDEX(Drivers!$C$7:$AG$25,$G25,AM$9)</f>
        <v>629.00586496770245</v>
      </c>
      <c r="AN25" cm="1">
        <f t="array" ref="AN25">INDEX(Drivers!$C$7:$AG$25,$G25,AN$9)</f>
        <v>673.35266554582256</v>
      </c>
      <c r="AO25">
        <f t="shared" si="7"/>
        <v>783.78135169945745</v>
      </c>
      <c r="AP25">
        <f t="shared" si="7"/>
        <v>891.10502571060715</v>
      </c>
    </row>
    <row r="26" spans="1:42">
      <c r="A26" t="s">
        <v>16</v>
      </c>
      <c r="B26" s="3"/>
    </row>
    <row r="27" spans="1:42" ht="15.75" thickBot="1">
      <c r="A27" t="s">
        <v>16</v>
      </c>
      <c r="B27" s="9" t="s">
        <v>291</v>
      </c>
      <c r="C27" s="9"/>
      <c r="D27" s="9"/>
      <c r="E27" s="9"/>
      <c r="F27" s="9"/>
    </row>
    <row r="28" spans="1:42">
      <c r="A28" t="s">
        <v>16</v>
      </c>
      <c r="B28" t="s">
        <v>9</v>
      </c>
      <c r="C28" t="s">
        <v>10</v>
      </c>
      <c r="D28" t="s">
        <v>281</v>
      </c>
      <c r="E28" t="s">
        <v>280</v>
      </c>
    </row>
    <row r="29" spans="1:42">
      <c r="A29" s="48" t="str">
        <f t="shared" ref="A29:A34" si="9">IF(D10,"*","")</f>
        <v>*</v>
      </c>
      <c r="B29" s="16" t="s">
        <v>288</v>
      </c>
      <c r="C29" s="17" t="s">
        <v>137</v>
      </c>
      <c r="D29" s="48">
        <f>F10</f>
        <v>0</v>
      </c>
      <c r="E29" s="17" t="s">
        <v>137</v>
      </c>
      <c r="F29" s="17" t="s">
        <v>137</v>
      </c>
      <c r="G29" s="17" t="s">
        <v>137</v>
      </c>
      <c r="H29" s="17" t="s">
        <v>137</v>
      </c>
      <c r="I29" s="16">
        <v>0</v>
      </c>
      <c r="J29" s="98">
        <v>0</v>
      </c>
      <c r="K29">
        <f t="shared" ref="K29:AP29" si="10">J29*K10/J10</f>
        <v>0</v>
      </c>
      <c r="L29">
        <f t="shared" si="10"/>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row>
    <row r="30" spans="1:42">
      <c r="A30" s="48" t="str">
        <f t="shared" si="9"/>
        <v/>
      </c>
      <c r="B30" s="16" t="s">
        <v>288</v>
      </c>
      <c r="C30" s="17" t="s">
        <v>137</v>
      </c>
      <c r="D30" s="48" t="s">
        <v>710</v>
      </c>
      <c r="E30" s="17" t="s">
        <v>137</v>
      </c>
      <c r="F30" s="17" t="s">
        <v>137</v>
      </c>
      <c r="G30" s="17" t="s">
        <v>137</v>
      </c>
      <c r="H30" s="17" t="s">
        <v>137</v>
      </c>
      <c r="I30" s="16">
        <v>0</v>
      </c>
      <c r="J30" s="126">
        <f>[5]CommData_BASE!E8</f>
        <v>28</v>
      </c>
      <c r="K30" s="126">
        <f>[5]CommData_BASE!F8</f>
        <v>28</v>
      </c>
      <c r="L30" s="126">
        <f>[5]CommData_BASE!G8</f>
        <v>29</v>
      </c>
      <c r="M30" s="126">
        <f>[5]CommData_BASE!H8</f>
        <v>32</v>
      </c>
      <c r="N30" s="126">
        <f>[5]CommData_BASE!I8</f>
        <v>31</v>
      </c>
      <c r="O30" s="126">
        <f>[5]CommData_BASE!J8</f>
        <v>31</v>
      </c>
      <c r="P30" s="126">
        <f>[5]CommData_BASE!K8</f>
        <v>30.822038664165241</v>
      </c>
      <c r="Q30" s="126">
        <f>[5]CommData_BASE!L8</f>
        <v>30.425949170614519</v>
      </c>
      <c r="R30">
        <f t="shared" ref="R30:AP30" si="11">Q30*R11/Q11</f>
        <v>23.066289237134932</v>
      </c>
      <c r="S30">
        <f t="shared" ref="S30:AC30" si="12">R30*(S11*S48)/(R11*R48)</f>
        <v>26.013053595661749</v>
      </c>
      <c r="T30">
        <f t="shared" si="12"/>
        <v>26.878288437215414</v>
      </c>
      <c r="U30">
        <f t="shared" si="12"/>
        <v>27.729595111944604</v>
      </c>
      <c r="V30">
        <f t="shared" si="12"/>
        <v>28.546501548946978</v>
      </c>
      <c r="W30">
        <f t="shared" si="12"/>
        <v>29.325405099485259</v>
      </c>
      <c r="X30">
        <f t="shared" si="12"/>
        <v>29.487251954205412</v>
      </c>
      <c r="Y30">
        <f t="shared" si="12"/>
        <v>29.642873929897863</v>
      </c>
      <c r="Z30">
        <f t="shared" si="12"/>
        <v>29.863857135381142</v>
      </c>
      <c r="AA30">
        <f t="shared" si="12"/>
        <v>30.05371594572593</v>
      </c>
      <c r="AB30">
        <f t="shared" si="12"/>
        <v>30.203113042390683</v>
      </c>
      <c r="AC30">
        <f t="shared" si="12"/>
        <v>30.80692630807739</v>
      </c>
      <c r="AD30">
        <f t="shared" si="11"/>
        <v>31.420076892305644</v>
      </c>
      <c r="AE30">
        <f t="shared" si="11"/>
        <v>32.045677234589284</v>
      </c>
      <c r="AF30">
        <f t="shared" si="11"/>
        <v>32.680614895414479</v>
      </c>
      <c r="AG30">
        <f t="shared" si="11"/>
        <v>33.440050136793637</v>
      </c>
      <c r="AH30">
        <f t="shared" si="11"/>
        <v>34.18392318060355</v>
      </c>
      <c r="AI30">
        <f t="shared" si="11"/>
        <v>34.762836930179461</v>
      </c>
      <c r="AJ30">
        <f t="shared" si="11"/>
        <v>35.363537756352322</v>
      </c>
      <c r="AK30">
        <f t="shared" si="11"/>
        <v>35.939339066414384</v>
      </c>
      <c r="AL30">
        <f t="shared" si="11"/>
        <v>36.596063803836522</v>
      </c>
      <c r="AM30">
        <f t="shared" si="11"/>
        <v>72.554077507334</v>
      </c>
      <c r="AN30">
        <f t="shared" si="11"/>
        <v>108.54944048499766</v>
      </c>
      <c r="AO30">
        <f t="shared" si="11"/>
        <v>180.49659228713148</v>
      </c>
      <c r="AP30">
        <f t="shared" si="11"/>
        <v>252.44996896829173</v>
      </c>
    </row>
    <row r="31" spans="1:42">
      <c r="A31" s="48" t="str">
        <f t="shared" si="9"/>
        <v/>
      </c>
      <c r="B31" s="16" t="s">
        <v>288</v>
      </c>
      <c r="C31" s="17" t="s">
        <v>137</v>
      </c>
      <c r="D31" s="48" t="str">
        <f t="shared" ref="D31:D44" si="13">F12</f>
        <v>IFACR</v>
      </c>
      <c r="E31" s="17" t="s">
        <v>137</v>
      </c>
      <c r="F31" s="17" t="s">
        <v>137</v>
      </c>
      <c r="G31" s="17" t="s">
        <v>137</v>
      </c>
      <c r="H31" s="17" t="s">
        <v>137</v>
      </c>
      <c r="I31" s="16">
        <v>0</v>
      </c>
      <c r="J31" s="126">
        <f>[6]CommData_BASE!E8</f>
        <v>3.484</v>
      </c>
      <c r="K31" s="126">
        <f>[6]CommData_BASE!F8</f>
        <v>3.484</v>
      </c>
      <c r="L31" s="126">
        <f>[6]CommData_BASE!G8</f>
        <v>3.484</v>
      </c>
      <c r="M31" s="126">
        <f>[6]CommData_BASE!H8</f>
        <v>3.484</v>
      </c>
      <c r="N31" s="126">
        <f>[6]CommData_BASE!I8</f>
        <v>3.484</v>
      </c>
      <c r="O31" s="126">
        <f>[6]CommData_BASE!J8</f>
        <v>3.484</v>
      </c>
      <c r="P31">
        <f t="shared" ref="P31:R32" si="14">O31*P12/O12</f>
        <v>3.4912421940520733</v>
      </c>
      <c r="Q31">
        <f t="shared" si="14"/>
        <v>3.4098997971612133</v>
      </c>
      <c r="R31">
        <f t="shared" si="14"/>
        <v>3.0970898071479627</v>
      </c>
      <c r="S31">
        <f t="shared" ref="S31:AC31" si="15">R31*(S12*S49)/(R12*R49)</f>
        <v>3.3790450428394809</v>
      </c>
      <c r="T31">
        <f t="shared" si="15"/>
        <v>3.3518684861407824</v>
      </c>
      <c r="U31">
        <f t="shared" si="15"/>
        <v>3.3563007535435014</v>
      </c>
      <c r="V31">
        <f t="shared" si="15"/>
        <v>3.3774366104143247</v>
      </c>
      <c r="W31">
        <f t="shared" si="15"/>
        <v>3.4019167156029231</v>
      </c>
      <c r="X31">
        <f t="shared" si="15"/>
        <v>3.5075412423579051</v>
      </c>
      <c r="Y31">
        <f t="shared" si="15"/>
        <v>3.6006579806785992</v>
      </c>
      <c r="Z31">
        <f t="shared" si="15"/>
        <v>3.8006384966820956</v>
      </c>
      <c r="AA31">
        <f t="shared" si="15"/>
        <v>3.9529510816480093</v>
      </c>
      <c r="AB31">
        <f t="shared" si="15"/>
        <v>4.0548002160414889</v>
      </c>
      <c r="AC31">
        <f t="shared" si="15"/>
        <v>4.1405390883732949</v>
      </c>
      <c r="AD31">
        <f t="shared" ref="AD31:AP31" si="16">AC31*(AD12*AD49)/(AC12*AC49)</f>
        <v>4.2343186818414287</v>
      </c>
      <c r="AE31">
        <f t="shared" si="16"/>
        <v>4.3517881418832571</v>
      </c>
      <c r="AF31">
        <f t="shared" si="16"/>
        <v>4.4939561611144496</v>
      </c>
      <c r="AG31">
        <f t="shared" si="16"/>
        <v>4.8034806951795241</v>
      </c>
      <c r="AH31">
        <f t="shared" si="16"/>
        <v>5.0704095810743768</v>
      </c>
      <c r="AI31">
        <f t="shared" si="16"/>
        <v>5.177475097280313</v>
      </c>
      <c r="AJ31">
        <f t="shared" si="16"/>
        <v>5.2975959779118993</v>
      </c>
      <c r="AK31">
        <f t="shared" si="16"/>
        <v>5.370048927505902</v>
      </c>
      <c r="AL31">
        <f t="shared" si="16"/>
        <v>5.5747558889085305</v>
      </c>
      <c r="AM31">
        <f t="shared" si="16"/>
        <v>6.1515839661257052</v>
      </c>
      <c r="AN31">
        <f t="shared" si="16"/>
        <v>6.5961580315342569</v>
      </c>
      <c r="AO31">
        <f t="shared" si="16"/>
        <v>7.6396025094614286</v>
      </c>
      <c r="AP31">
        <f t="shared" si="16"/>
        <v>8.6610046520871489</v>
      </c>
    </row>
    <row r="32" spans="1:42">
      <c r="A32" s="48" t="str">
        <f t="shared" si="9"/>
        <v/>
      </c>
      <c r="B32" s="16" t="s">
        <v>288</v>
      </c>
      <c r="C32" s="17" t="s">
        <v>137</v>
      </c>
      <c r="D32" s="48" t="str">
        <f t="shared" si="13"/>
        <v>IFAMN</v>
      </c>
      <c r="E32" s="17" t="s">
        <v>137</v>
      </c>
      <c r="F32" s="17" t="s">
        <v>137</v>
      </c>
      <c r="G32" s="17" t="s">
        <v>137</v>
      </c>
      <c r="H32" s="17" t="s">
        <v>137</v>
      </c>
      <c r="I32" s="16">
        <v>0</v>
      </c>
      <c r="J32" s="126">
        <f>[7]CommData_BASE!$E$8</f>
        <v>0.4587</v>
      </c>
      <c r="K32" s="126">
        <f>J32</f>
        <v>0.4587</v>
      </c>
      <c r="L32" s="126">
        <f t="shared" ref="L32:N32" si="17">K32</f>
        <v>0.4587</v>
      </c>
      <c r="M32" s="126">
        <f t="shared" si="17"/>
        <v>0.4587</v>
      </c>
      <c r="N32" s="126">
        <f t="shared" si="17"/>
        <v>0.4587</v>
      </c>
      <c r="O32" s="126">
        <f>[7]CommData_BASE!$F$8</f>
        <v>0.4587</v>
      </c>
      <c r="P32">
        <f t="shared" si="14"/>
        <v>0.45965350011816469</v>
      </c>
      <c r="Q32">
        <f t="shared" si="14"/>
        <v>0.44894404045862463</v>
      </c>
      <c r="R32">
        <f t="shared" si="14"/>
        <v>0.40775978603294205</v>
      </c>
      <c r="S32">
        <f>R32*(S13*S51)/(R13*R51)</f>
        <v>0.41577732146701868</v>
      </c>
      <c r="T32">
        <f t="shared" ref="T32:AC32" si="18">S32*(T13*T49)/(S13*S49)</f>
        <v>0.41243336013841014</v>
      </c>
      <c r="U32">
        <f t="shared" si="18"/>
        <v>0.41297873205425162</v>
      </c>
      <c r="V32">
        <f t="shared" si="18"/>
        <v>0.41557941060255432</v>
      </c>
      <c r="W32">
        <f t="shared" si="18"/>
        <v>0.4185915848812356</v>
      </c>
      <c r="X32">
        <f t="shared" si="18"/>
        <v>0.43158823992981826</v>
      </c>
      <c r="Y32">
        <f t="shared" si="18"/>
        <v>0.44304586406678148</v>
      </c>
      <c r="Z32">
        <f t="shared" si="18"/>
        <v>0.46765262788181944</v>
      </c>
      <c r="AA32">
        <f t="shared" si="18"/>
        <v>0.48639405269266761</v>
      </c>
      <c r="AB32">
        <f t="shared" si="18"/>
        <v>0.49892616154442493</v>
      </c>
      <c r="AC32">
        <f t="shared" si="18"/>
        <v>0.50947597021278324</v>
      </c>
      <c r="AD32">
        <f t="shared" ref="AD32:AP32" si="19">AC32*(AD13*AD51)/(AC13*AC51)</f>
        <v>0.52101515589575398</v>
      </c>
      <c r="AE32">
        <f t="shared" si="19"/>
        <v>0.53546928030994834</v>
      </c>
      <c r="AF32">
        <f t="shared" si="19"/>
        <v>0.55296245885146467</v>
      </c>
      <c r="AG32">
        <f t="shared" si="19"/>
        <v>0.59104815468278149</v>
      </c>
      <c r="AH32">
        <f t="shared" si="19"/>
        <v>0.62389263464457456</v>
      </c>
      <c r="AI32">
        <f t="shared" si="19"/>
        <v>0.63706659740186899</v>
      </c>
      <c r="AJ32">
        <f t="shared" si="19"/>
        <v>0.65184696800009334</v>
      </c>
      <c r="AK32">
        <f t="shared" si="19"/>
        <v>0.66076199959412774</v>
      </c>
      <c r="AL32">
        <f t="shared" si="19"/>
        <v>0.68595033269374073</v>
      </c>
      <c r="AM32">
        <f t="shared" si="19"/>
        <v>0.75692660849111559</v>
      </c>
      <c r="AN32">
        <f t="shared" si="19"/>
        <v>0.81162958278291208</v>
      </c>
      <c r="AO32">
        <f t="shared" si="19"/>
        <v>0.94002104978968093</v>
      </c>
      <c r="AP32">
        <f t="shared" si="19"/>
        <v>1.0657002998788516</v>
      </c>
    </row>
    <row r="33" spans="1:42">
      <c r="A33" s="48" t="str">
        <f t="shared" si="9"/>
        <v/>
      </c>
      <c r="B33" s="16" t="s">
        <v>288</v>
      </c>
      <c r="C33" s="17" t="s">
        <v>137</v>
      </c>
      <c r="D33" s="48" t="str">
        <f t="shared" si="13"/>
        <v>IISCRS</v>
      </c>
      <c r="E33" s="17" t="s">
        <v>137</v>
      </c>
      <c r="F33" s="17" t="s">
        <v>137</v>
      </c>
      <c r="G33" s="17" t="s">
        <v>137</v>
      </c>
      <c r="H33" s="17" t="s">
        <v>137</v>
      </c>
      <c r="I33" s="16">
        <v>0</v>
      </c>
      <c r="J33" s="125">
        <f>'[8]I&amp;S SATIM input'!D18</f>
        <v>6.94</v>
      </c>
      <c r="K33" s="125">
        <f>'[8]I&amp;S SATIM input'!E18</f>
        <v>7.1</v>
      </c>
      <c r="L33" s="125">
        <f>'[8]I&amp;S SATIM input'!F18</f>
        <v>6.5</v>
      </c>
      <c r="M33" s="125">
        <f>'[8]I&amp;S SATIM input'!G18</f>
        <v>6.4000000000000012</v>
      </c>
      <c r="N33" s="125">
        <f>'[8]I&amp;S SATIM input'!H18</f>
        <v>6.0910000000000002</v>
      </c>
      <c r="O33" s="125">
        <f>'[8]I&amp;S SATIM input'!I18</f>
        <v>6.23</v>
      </c>
      <c r="P33" s="125">
        <f>'[8]I&amp;S SATIM input'!J18</f>
        <v>6.3</v>
      </c>
      <c r="Q33" s="125">
        <f>'[8]I&amp;S SATIM input'!K18</f>
        <v>6.1267974837582679</v>
      </c>
      <c r="R33" s="125">
        <f>'[8]I&amp;S SATIM input'!L18</f>
        <v>5.0030232389251985</v>
      </c>
      <c r="S33">
        <f t="shared" ref="S33:AP33" si="20">R33*S14/R14</f>
        <v>5.1013946759073407</v>
      </c>
      <c r="T33">
        <f t="shared" si="20"/>
        <v>5.1445049223084123</v>
      </c>
      <c r="U33">
        <f t="shared" si="20"/>
        <v>5.2384070464887156</v>
      </c>
      <c r="V33">
        <f t="shared" si="20"/>
        <v>5.3620580340062602</v>
      </c>
      <c r="W33">
        <f t="shared" si="20"/>
        <v>5.4954390879361403</v>
      </c>
      <c r="X33">
        <f t="shared" si="20"/>
        <v>5.6660644152146791</v>
      </c>
      <c r="Y33">
        <f t="shared" si="20"/>
        <v>5.8164847242015707</v>
      </c>
      <c r="Z33">
        <f t="shared" si="20"/>
        <v>6.1395322401594914</v>
      </c>
      <c r="AA33">
        <f t="shared" si="20"/>
        <v>6.3855772209690613</v>
      </c>
      <c r="AB33">
        <f t="shared" si="20"/>
        <v>6.5501037984867567</v>
      </c>
      <c r="AC33">
        <f t="shared" si="20"/>
        <v>6.688605940002077</v>
      </c>
      <c r="AD33">
        <f t="shared" si="20"/>
        <v>6.8400970218477433</v>
      </c>
      <c r="AE33">
        <f t="shared" si="20"/>
        <v>7.0298565945591553</v>
      </c>
      <c r="AF33">
        <f t="shared" si="20"/>
        <v>7.2595140950953159</v>
      </c>
      <c r="AG33">
        <f t="shared" si="20"/>
        <v>7.7595184648010473</v>
      </c>
      <c r="AH33">
        <f t="shared" si="20"/>
        <v>8.1907140394951323</v>
      </c>
      <c r="AI33">
        <f t="shared" si="20"/>
        <v>8.3636671338579625</v>
      </c>
      <c r="AJ33">
        <f t="shared" si="20"/>
        <v>8.5577097980044705</v>
      </c>
      <c r="AK33">
        <f t="shared" si="20"/>
        <v>8.674749927002626</v>
      </c>
      <c r="AL33">
        <f t="shared" si="20"/>
        <v>9.0054325189970204</v>
      </c>
      <c r="AM33">
        <f t="shared" si="20"/>
        <v>9.9372376828387505</v>
      </c>
      <c r="AN33">
        <f t="shared" si="20"/>
        <v>10.655400383684245</v>
      </c>
      <c r="AO33">
        <f t="shared" si="20"/>
        <v>12.340975325537524</v>
      </c>
      <c r="AP33">
        <f t="shared" si="20"/>
        <v>13.990943190224741</v>
      </c>
    </row>
    <row r="34" spans="1:42">
      <c r="A34" s="48" t="str">
        <f t="shared" si="9"/>
        <v>*</v>
      </c>
      <c r="B34" s="16" t="s">
        <v>288</v>
      </c>
      <c r="C34" s="17" t="s">
        <v>137</v>
      </c>
      <c r="D34" s="48">
        <f t="shared" si="13"/>
        <v>0</v>
      </c>
      <c r="E34" s="17" t="s">
        <v>137</v>
      </c>
      <c r="F34" s="17" t="s">
        <v>137</v>
      </c>
      <c r="G34" s="17" t="s">
        <v>137</v>
      </c>
      <c r="H34" s="17" t="s">
        <v>137</v>
      </c>
      <c r="I34" s="16">
        <v>0</v>
      </c>
      <c r="J34" s="98">
        <v>0</v>
      </c>
      <c r="K34">
        <f t="shared" ref="K34:R34" si="21">J34*K15/J15</f>
        <v>0</v>
      </c>
      <c r="L34">
        <f t="shared" si="21"/>
        <v>0</v>
      </c>
      <c r="M34">
        <f t="shared" si="21"/>
        <v>0</v>
      </c>
      <c r="N34">
        <f t="shared" si="21"/>
        <v>0</v>
      </c>
      <c r="O34">
        <f t="shared" si="21"/>
        <v>0</v>
      </c>
      <c r="P34">
        <f t="shared" si="21"/>
        <v>0</v>
      </c>
      <c r="Q34">
        <f t="shared" si="21"/>
        <v>0</v>
      </c>
      <c r="R34">
        <f t="shared" si="21"/>
        <v>0</v>
      </c>
      <c r="S34">
        <f t="shared" ref="S34:AP34" si="22">R34*S15/R15</f>
        <v>0</v>
      </c>
      <c r="T34">
        <f t="shared" si="22"/>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row>
    <row r="35" spans="1:42">
      <c r="A35" s="48" t="str">
        <f t="shared" ref="A35:A36" si="23">IF(D16,"*","")</f>
        <v/>
      </c>
      <c r="B35" s="16" t="s">
        <v>288</v>
      </c>
      <c r="C35" s="17" t="s">
        <v>137</v>
      </c>
      <c r="D35" s="48" t="str">
        <f t="shared" si="13"/>
        <v>ICPNH3</v>
      </c>
      <c r="E35" s="17" t="s">
        <v>137</v>
      </c>
      <c r="F35" s="17" t="s">
        <v>137</v>
      </c>
      <c r="G35" s="17" t="s">
        <v>137</v>
      </c>
      <c r="H35" s="17" t="s">
        <v>137</v>
      </c>
      <c r="I35" s="16">
        <v>0</v>
      </c>
      <c r="J35" s="98">
        <f>[9]CommData_BASE!$E$8</f>
        <v>8.4021746293245467</v>
      </c>
      <c r="K35" s="98">
        <f>[9]CommData_BASE!$E$8</f>
        <v>8.4021746293245467</v>
      </c>
      <c r="L35" s="98">
        <f>[9]CommData_BASE!$E$8</f>
        <v>8.4021746293245467</v>
      </c>
      <c r="M35" s="98">
        <f>[9]CommData_BASE!$E$8</f>
        <v>8.4021746293245467</v>
      </c>
      <c r="N35" s="98">
        <f>[9]CommData_BASE!$E$8</f>
        <v>8.4021746293245467</v>
      </c>
      <c r="O35" s="98">
        <f>[9]CommData_BASE!$E$8</f>
        <v>8.4021746293245467</v>
      </c>
      <c r="P35">
        <f>O35*P16/O16</f>
        <v>8.4410931488914045</v>
      </c>
      <c r="Q35">
        <f t="shared" ref="Q35:AP35" si="24">P35*Q16/P16</f>
        <v>8.3458050196862938</v>
      </c>
      <c r="R35">
        <f t="shared" si="24"/>
        <v>7.9479928968368858</v>
      </c>
      <c r="S35">
        <f t="shared" si="24"/>
        <v>8.0130727602523439</v>
      </c>
      <c r="T35">
        <f t="shared" si="24"/>
        <v>8.1194004244240734</v>
      </c>
      <c r="U35">
        <f t="shared" si="24"/>
        <v>8.209228968293294</v>
      </c>
      <c r="V35">
        <f t="shared" si="24"/>
        <v>8.3018073655462672</v>
      </c>
      <c r="W35">
        <f t="shared" si="24"/>
        <v>8.393469145004655</v>
      </c>
      <c r="X35">
        <f t="shared" si="24"/>
        <v>8.4713816575442866</v>
      </c>
      <c r="Y35">
        <f t="shared" si="24"/>
        <v>8.562126819208089</v>
      </c>
      <c r="Z35">
        <f t="shared" si="24"/>
        <v>8.5850422640726851</v>
      </c>
      <c r="AA35">
        <f t="shared" si="24"/>
        <v>8.6317897715964627</v>
      </c>
      <c r="AB35">
        <f t="shared" si="24"/>
        <v>8.7170352264927651</v>
      </c>
      <c r="AC35">
        <f t="shared" si="24"/>
        <v>7.6500921135971209</v>
      </c>
      <c r="AD35">
        <f t="shared" si="24"/>
        <v>7.0634567250634328</v>
      </c>
      <c r="AE35">
        <f t="shared" si="24"/>
        <v>7.0497074581446739</v>
      </c>
      <c r="AF35">
        <f t="shared" si="24"/>
        <v>7.177117331591834</v>
      </c>
      <c r="AG35">
        <f t="shared" si="24"/>
        <v>7.3347755922602627</v>
      </c>
      <c r="AH35">
        <f t="shared" si="24"/>
        <v>7.5089329732312002</v>
      </c>
      <c r="AI35">
        <f t="shared" si="24"/>
        <v>7.6995894745046485</v>
      </c>
      <c r="AJ35">
        <f t="shared" si="24"/>
        <v>7.8893293579835122</v>
      </c>
      <c r="AK35">
        <f t="shared" si="24"/>
        <v>8.0891520372027994</v>
      </c>
      <c r="AL35">
        <f t="shared" si="24"/>
        <v>8.299057512162511</v>
      </c>
      <c r="AM35">
        <f t="shared" si="24"/>
        <v>9.8105602554313407</v>
      </c>
      <c r="AN35">
        <f t="shared" si="24"/>
        <v>15.101278165769537</v>
      </c>
      <c r="AO35">
        <f t="shared" si="24"/>
        <v>21.273629624865023</v>
      </c>
      <c r="AP35">
        <f t="shared" si="24"/>
        <v>28.075850278472092</v>
      </c>
    </row>
    <row r="36" spans="1:42">
      <c r="A36" s="48" t="str">
        <f t="shared" si="23"/>
        <v>*</v>
      </c>
      <c r="B36" s="16" t="s">
        <v>288</v>
      </c>
      <c r="C36" s="17" t="s">
        <v>137</v>
      </c>
      <c r="D36" s="48">
        <f t="shared" si="13"/>
        <v>0</v>
      </c>
      <c r="E36" s="17" t="s">
        <v>137</v>
      </c>
      <c r="F36" s="17" t="s">
        <v>137</v>
      </c>
      <c r="G36" s="17" t="s">
        <v>137</v>
      </c>
      <c r="H36" s="17" t="s">
        <v>137</v>
      </c>
      <c r="I36" s="16">
        <v>0</v>
      </c>
      <c r="J36" s="125">
        <f>'[8]I&amp;S SATIM input'!D21</f>
        <v>0</v>
      </c>
      <c r="K36" s="125">
        <f>'[8]I&amp;S SATIM input'!E21</f>
        <v>0</v>
      </c>
      <c r="L36" s="125">
        <f>'[8]I&amp;S SATIM input'!F21</f>
        <v>0</v>
      </c>
      <c r="M36" s="125">
        <f>'[8]I&amp;S SATIM input'!G21</f>
        <v>0</v>
      </c>
      <c r="N36" s="125">
        <f>'[8]I&amp;S SATIM input'!H21</f>
        <v>0</v>
      </c>
      <c r="O36" s="125">
        <f>'[8]I&amp;S SATIM input'!I21</f>
        <v>0</v>
      </c>
      <c r="P36" s="125">
        <f>'[8]I&amp;S SATIM input'!J21</f>
        <v>0</v>
      </c>
      <c r="Q36" s="125">
        <f>'[8]I&amp;S SATIM input'!K21</f>
        <v>0</v>
      </c>
      <c r="R36" s="125">
        <f>'[8]I&amp;S SATIM input'!L21</f>
        <v>0</v>
      </c>
      <c r="S36">
        <f t="shared" ref="S36" si="25">R36*S17/R17</f>
        <v>0</v>
      </c>
      <c r="T36">
        <f t="shared" ref="T36" si="26">S36*T17/S17</f>
        <v>0</v>
      </c>
      <c r="U36">
        <f t="shared" ref="U36" si="27">T36*U17/T17</f>
        <v>0</v>
      </c>
      <c r="V36">
        <f t="shared" ref="V36" si="28">U36*V17/U17</f>
        <v>0</v>
      </c>
      <c r="W36">
        <f t="shared" ref="W36" si="29">V36*W17/V17</f>
        <v>0</v>
      </c>
      <c r="X36">
        <f t="shared" ref="X36" si="30">W36*X17/W17</f>
        <v>0</v>
      </c>
      <c r="Y36">
        <f t="shared" ref="Y36" si="31">X36*Y17/X17</f>
        <v>0</v>
      </c>
      <c r="Z36">
        <f t="shared" ref="Z36" si="32">Y36*Z17/Y17</f>
        <v>0</v>
      </c>
      <c r="AA36">
        <f t="shared" ref="AA36" si="33">Z36*AA17/Z17</f>
        <v>0</v>
      </c>
      <c r="AB36">
        <f t="shared" ref="AB36" si="34">AA36*AB17/AA17</f>
        <v>0</v>
      </c>
      <c r="AC36">
        <f t="shared" ref="AC36" si="35">AB36*AC17/AB17</f>
        <v>0</v>
      </c>
      <c r="AD36">
        <f t="shared" ref="AD36" si="36">AC36*AD17/AC17</f>
        <v>0</v>
      </c>
      <c r="AE36">
        <f t="shared" ref="AE36" si="37">AD36*AE17/AD17</f>
        <v>0</v>
      </c>
      <c r="AF36">
        <f t="shared" ref="AF36" si="38">AE36*AF17/AE17</f>
        <v>0</v>
      </c>
      <c r="AG36">
        <f t="shared" ref="AG36" si="39">AF36*AG17/AF17</f>
        <v>0</v>
      </c>
      <c r="AH36">
        <f t="shared" ref="AH36" si="40">AG36*AH17/AG17</f>
        <v>0</v>
      </c>
      <c r="AI36">
        <f t="shared" ref="AI36" si="41">AH36*AI17/AH17</f>
        <v>0</v>
      </c>
      <c r="AJ36">
        <f t="shared" ref="AJ36" si="42">AI36*AJ17/AI17</f>
        <v>0</v>
      </c>
      <c r="AK36">
        <f t="shared" ref="AK36" si="43">AJ36*AK17/AJ17</f>
        <v>0</v>
      </c>
      <c r="AL36">
        <f t="shared" ref="AL36" si="44">AK36*AL17/AK17</f>
        <v>0</v>
      </c>
      <c r="AM36">
        <f t="shared" ref="AM36" si="45">AL36*AM17/AL17</f>
        <v>0</v>
      </c>
      <c r="AN36">
        <f t="shared" ref="AN36" si="46">AM36*AN17/AM17</f>
        <v>0</v>
      </c>
      <c r="AO36">
        <f t="shared" ref="AO36" si="47">AN36*AO17/AN17</f>
        <v>0</v>
      </c>
      <c r="AP36">
        <f t="shared" ref="AP36" si="48">AO36*AP17/AO17</f>
        <v>0</v>
      </c>
    </row>
    <row r="37" spans="1:42">
      <c r="A37" s="48" t="str">
        <f t="shared" ref="A37:A44" si="49">IF(D18,"*","")</f>
        <v/>
      </c>
      <c r="B37" s="16" t="s">
        <v>288</v>
      </c>
      <c r="C37" s="17" t="s">
        <v>137</v>
      </c>
      <c r="D37" s="48" t="str">
        <f t="shared" si="13"/>
        <v>INMCEM</v>
      </c>
      <c r="E37" s="17" t="s">
        <v>137</v>
      </c>
      <c r="F37" s="17" t="s">
        <v>137</v>
      </c>
      <c r="G37" s="17" t="s">
        <v>137</v>
      </c>
      <c r="H37" s="17" t="s">
        <v>137</v>
      </c>
      <c r="I37" s="16">
        <v>0</v>
      </c>
      <c r="J37" s="98">
        <f>'[10]NMM-TSData'!J14</f>
        <v>14.27</v>
      </c>
      <c r="K37" s="98">
        <f>'[10]NMM-TSData'!K14</f>
        <v>14.368</v>
      </c>
      <c r="L37" s="98">
        <f>'[10]NMM-TSData'!L14</f>
        <v>14.465999999999999</v>
      </c>
      <c r="M37" s="98">
        <f>'[10]NMM-TSData'!M14</f>
        <v>14.564</v>
      </c>
      <c r="N37" s="98">
        <f>'[10]NMM-TSData'!N14</f>
        <v>14.662000000000001</v>
      </c>
      <c r="O37" s="98">
        <f>'[10]NMM-TSData'!O14</f>
        <v>14.759960880300349</v>
      </c>
      <c r="P37">
        <f t="shared" ref="P37:R44" si="50">O37*P18/O18</f>
        <v>14.950029598277064</v>
      </c>
      <c r="Q37">
        <f t="shared" si="50"/>
        <v>14.933982218184843</v>
      </c>
      <c r="R37">
        <f t="shared" si="50"/>
        <v>13.942901152088631</v>
      </c>
      <c r="S37">
        <f t="shared" ref="S37:AP37" si="51">R37*S18/R18</f>
        <v>14.394045084360123</v>
      </c>
      <c r="T37">
        <f t="shared" si="51"/>
        <v>14.726018921314614</v>
      </c>
      <c r="U37">
        <f t="shared" si="51"/>
        <v>15.083529207265602</v>
      </c>
      <c r="V37">
        <f t="shared" si="51"/>
        <v>15.466575942213096</v>
      </c>
      <c r="W37">
        <f t="shared" si="51"/>
        <v>15.832598377829589</v>
      </c>
      <c r="X37">
        <f t="shared" si="51"/>
        <v>16.173084364449579</v>
      </c>
      <c r="Y37">
        <f t="shared" si="51"/>
        <v>16.513570351069568</v>
      </c>
      <c r="Z37">
        <f t="shared" si="51"/>
        <v>16.998762882003057</v>
      </c>
      <c r="AA37">
        <f t="shared" si="51"/>
        <v>17.475443263271046</v>
      </c>
      <c r="AB37">
        <f t="shared" si="51"/>
        <v>17.867002147884033</v>
      </c>
      <c r="AC37">
        <f t="shared" si="51"/>
        <v>18.309633930490023</v>
      </c>
      <c r="AD37">
        <f t="shared" si="51"/>
        <v>18.752265713096008</v>
      </c>
      <c r="AE37">
        <f t="shared" si="51"/>
        <v>19.305555441353494</v>
      </c>
      <c r="AF37">
        <f t="shared" si="51"/>
        <v>19.875869468941982</v>
      </c>
      <c r="AG37">
        <f t="shared" si="51"/>
        <v>20.522792843519966</v>
      </c>
      <c r="AH37">
        <f t="shared" si="51"/>
        <v>21.05905827244645</v>
      </c>
      <c r="AI37">
        <f t="shared" si="51"/>
        <v>21.331447061742441</v>
      </c>
      <c r="AJ37">
        <f t="shared" si="51"/>
        <v>21.714493796689933</v>
      </c>
      <c r="AK37">
        <f t="shared" si="51"/>
        <v>22.191174177957919</v>
      </c>
      <c r="AL37">
        <f t="shared" si="51"/>
        <v>22.684878858556907</v>
      </c>
      <c r="AM37">
        <f t="shared" si="51"/>
        <v>25.298108805865343</v>
      </c>
      <c r="AN37">
        <f t="shared" si="51"/>
        <v>26.932441541641303</v>
      </c>
      <c r="AO37">
        <f t="shared" si="51"/>
        <v>31.343153759981114</v>
      </c>
      <c r="AP37">
        <f t="shared" si="51"/>
        <v>35.590716443065482</v>
      </c>
    </row>
    <row r="38" spans="1:42">
      <c r="A38" s="48" t="str">
        <f t="shared" si="49"/>
        <v/>
      </c>
      <c r="B38" s="16" t="s">
        <v>288</v>
      </c>
      <c r="C38" s="17" t="s">
        <v>137</v>
      </c>
      <c r="D38" s="48" t="str">
        <f t="shared" si="13"/>
        <v>INMLIM</v>
      </c>
      <c r="E38" s="17" t="s">
        <v>137</v>
      </c>
      <c r="F38" s="17" t="s">
        <v>137</v>
      </c>
      <c r="G38" s="17" t="s">
        <v>137</v>
      </c>
      <c r="H38" s="17" t="s">
        <v>137</v>
      </c>
      <c r="I38" s="16">
        <v>0</v>
      </c>
      <c r="J38" s="125">
        <f>'[10]NMM-TSData'!J16</f>
        <v>1.2</v>
      </c>
      <c r="K38" s="125">
        <f>'[10]NMM-TSData'!K16</f>
        <v>1.1733333333333333</v>
      </c>
      <c r="L38" s="125">
        <f>'[10]NMM-TSData'!L16</f>
        <v>1.1466666666666667</v>
      </c>
      <c r="M38" s="125">
        <f>'[10]NMM-TSData'!M16</f>
        <v>1.1200000000000001</v>
      </c>
      <c r="N38" s="125">
        <f>'[10]NMM-TSData'!N16</f>
        <v>1.1200000000000001</v>
      </c>
      <c r="O38" s="125">
        <f>'[10]NMM-TSData'!O16</f>
        <v>1.3591716472036741</v>
      </c>
      <c r="P38">
        <f t="shared" si="50"/>
        <v>1.3766741334629091</v>
      </c>
      <c r="Q38">
        <f t="shared" si="50"/>
        <v>1.3751964097609202</v>
      </c>
      <c r="R38">
        <f t="shared" si="50"/>
        <v>1.2839326661749715</v>
      </c>
      <c r="S38">
        <f t="shared" ref="S38:AP38" si="52">R38*S19/R19</f>
        <v>1.3254762750316711</v>
      </c>
      <c r="T38">
        <f t="shared" si="52"/>
        <v>1.3560461004167894</v>
      </c>
      <c r="U38">
        <f t="shared" si="52"/>
        <v>1.3889674508315319</v>
      </c>
      <c r="V38">
        <f t="shared" si="52"/>
        <v>1.4242403262758996</v>
      </c>
      <c r="W38">
        <f t="shared" si="52"/>
        <v>1.4579455183671841</v>
      </c>
      <c r="X38">
        <f t="shared" si="52"/>
        <v>1.4892991854288438</v>
      </c>
      <c r="Y38">
        <f t="shared" si="52"/>
        <v>1.5206528524905036</v>
      </c>
      <c r="Z38">
        <f t="shared" si="52"/>
        <v>1.565331828053369</v>
      </c>
      <c r="AA38">
        <f t="shared" si="52"/>
        <v>1.6092269619396928</v>
      </c>
      <c r="AB38">
        <f t="shared" si="52"/>
        <v>1.6452836790606014</v>
      </c>
      <c r="AC38">
        <f t="shared" si="52"/>
        <v>1.6860434462407592</v>
      </c>
      <c r="AD38">
        <f t="shared" si="52"/>
        <v>1.726803213420917</v>
      </c>
      <c r="AE38">
        <f t="shared" si="52"/>
        <v>1.7777529223961144</v>
      </c>
      <c r="AF38">
        <f t="shared" si="52"/>
        <v>1.8302703147243948</v>
      </c>
      <c r="AG38">
        <f t="shared" si="52"/>
        <v>1.8898422821415488</v>
      </c>
      <c r="AH38">
        <f t="shared" si="52"/>
        <v>1.9392243077636628</v>
      </c>
      <c r="AI38">
        <f t="shared" si="52"/>
        <v>1.9643072414129905</v>
      </c>
      <c r="AJ38">
        <f t="shared" si="52"/>
        <v>1.9995801168573581</v>
      </c>
      <c r="AK38">
        <f t="shared" si="52"/>
        <v>2.0434752507436817</v>
      </c>
      <c r="AL38">
        <f t="shared" si="52"/>
        <v>2.0889380679830882</v>
      </c>
      <c r="AM38">
        <f t="shared" si="52"/>
        <v>2.3295774626813279</v>
      </c>
      <c r="AN38">
        <f t="shared" si="52"/>
        <v>2.4800750645772953</v>
      </c>
      <c r="AO38">
        <f t="shared" si="52"/>
        <v>2.8862356933052147</v>
      </c>
      <c r="AP38">
        <f t="shared" si="52"/>
        <v>3.2773726898994195</v>
      </c>
    </row>
    <row r="39" spans="1:42">
      <c r="A39" s="48" t="str">
        <f t="shared" si="49"/>
        <v/>
      </c>
      <c r="B39" s="16" t="s">
        <v>288</v>
      </c>
      <c r="C39" s="17" t="s">
        <v>137</v>
      </c>
      <c r="D39" s="48" t="str">
        <f t="shared" si="13"/>
        <v>INMGLA</v>
      </c>
      <c r="E39" s="17" t="s">
        <v>137</v>
      </c>
      <c r="F39" s="17" t="s">
        <v>137</v>
      </c>
      <c r="G39" s="17" t="s">
        <v>137</v>
      </c>
      <c r="H39" s="17" t="s">
        <v>137</v>
      </c>
      <c r="I39" s="16">
        <v>0</v>
      </c>
      <c r="J39" s="98">
        <f>'[10]NMM-TSData'!J15</f>
        <v>1.27</v>
      </c>
      <c r="K39" s="98">
        <f>'[10]NMM-TSData'!K15</f>
        <v>1.2484871200000001</v>
      </c>
      <c r="L39" s="98">
        <f>'[10]NMM-TSData'!L15</f>
        <v>1.2269742400000001</v>
      </c>
      <c r="M39" s="98">
        <f>'[10]NMM-TSData'!M15</f>
        <v>1.2054613600000001</v>
      </c>
      <c r="N39" s="98">
        <f>'[10]NMM-TSData'!N15</f>
        <v>1.1839484800000002</v>
      </c>
      <c r="O39" s="98">
        <f>'[10]NMM-TSData'!O15</f>
        <v>1.1624356</v>
      </c>
      <c r="P39">
        <f t="shared" si="50"/>
        <v>1.1774046535099847</v>
      </c>
      <c r="Q39">
        <f t="shared" si="50"/>
        <v>1.1761408259119843</v>
      </c>
      <c r="R39">
        <f t="shared" si="50"/>
        <v>1.098087237351745</v>
      </c>
      <c r="S39">
        <f t="shared" ref="S39:AP39" si="53">R39*S20/R20</f>
        <v>1.133617532577412</v>
      </c>
      <c r="T39">
        <f t="shared" si="53"/>
        <v>1.1597624668000726</v>
      </c>
      <c r="U39">
        <f t="shared" si="53"/>
        <v>1.1879185498090914</v>
      </c>
      <c r="V39">
        <f t="shared" si="53"/>
        <v>1.2180857816044692</v>
      </c>
      <c r="W39">
        <f t="shared" si="53"/>
        <v>1.2469122475422747</v>
      </c>
      <c r="X39">
        <f t="shared" si="53"/>
        <v>1.2737275646937214</v>
      </c>
      <c r="Y39">
        <f t="shared" si="53"/>
        <v>1.3005428818451681</v>
      </c>
      <c r="Z39">
        <f t="shared" si="53"/>
        <v>1.3387547087859797</v>
      </c>
      <c r="AA39">
        <f t="shared" si="53"/>
        <v>1.3762961527980053</v>
      </c>
      <c r="AB39">
        <f t="shared" si="53"/>
        <v>1.4071337675221687</v>
      </c>
      <c r="AC39">
        <f t="shared" si="53"/>
        <v>1.4419936798190496</v>
      </c>
      <c r="AD39">
        <f t="shared" si="53"/>
        <v>1.4768535921159303</v>
      </c>
      <c r="AE39">
        <f t="shared" si="53"/>
        <v>1.5204284824870313</v>
      </c>
      <c r="AF39">
        <f t="shared" si="53"/>
        <v>1.5653441387157048</v>
      </c>
      <c r="AG39">
        <f t="shared" si="53"/>
        <v>1.6162932413034539</v>
      </c>
      <c r="AH39">
        <f t="shared" si="53"/>
        <v>1.6585273658169823</v>
      </c>
      <c r="AI39">
        <f t="shared" si="53"/>
        <v>1.6799796195381398</v>
      </c>
      <c r="AJ39">
        <f t="shared" si="53"/>
        <v>1.7101468513335176</v>
      </c>
      <c r="AK39">
        <f t="shared" si="53"/>
        <v>1.7476882953455428</v>
      </c>
      <c r="AL39">
        <f t="shared" si="53"/>
        <v>1.7865705052151406</v>
      </c>
      <c r="AM39">
        <f t="shared" si="53"/>
        <v>1.9923780643524946</v>
      </c>
      <c r="AN39">
        <f t="shared" si="53"/>
        <v>2.1210915866794391</v>
      </c>
      <c r="AO39">
        <f t="shared" si="53"/>
        <v>2.4684616742788061</v>
      </c>
      <c r="AP39">
        <f t="shared" si="53"/>
        <v>2.8029827557431024</v>
      </c>
    </row>
    <row r="40" spans="1:42">
      <c r="A40" s="48" t="str">
        <f t="shared" si="49"/>
        <v/>
      </c>
      <c r="B40" s="16" t="s">
        <v>288</v>
      </c>
      <c r="C40" s="17" t="s">
        <v>137</v>
      </c>
      <c r="D40" s="48" t="str">
        <f t="shared" si="13"/>
        <v>INMBRI</v>
      </c>
      <c r="E40" s="17" t="s">
        <v>137</v>
      </c>
      <c r="F40" s="17" t="s">
        <v>137</v>
      </c>
      <c r="G40" s="17" t="s">
        <v>137</v>
      </c>
      <c r="H40" s="17" t="s">
        <v>137</v>
      </c>
      <c r="I40" s="16">
        <v>0</v>
      </c>
      <c r="J40" s="126">
        <f>'[10]NMM-TSData'!J13</f>
        <v>3.2959999999999998</v>
      </c>
      <c r="K40" s="126">
        <f>'[10]NMM-TSData'!K13</f>
        <v>4.5590000000000002</v>
      </c>
      <c r="L40" s="126">
        <f>'[10]NMM-TSData'!L13</f>
        <v>5.8220999999999998</v>
      </c>
      <c r="M40" s="126">
        <f>'[10]NMM-TSData'!M13</f>
        <v>7.0850999999999997</v>
      </c>
      <c r="N40" s="126">
        <f>'[10]NMM-TSData'!N13</f>
        <v>8.3482000000000003</v>
      </c>
      <c r="O40" s="126">
        <f>'[10]NMM-TSData'!O13</f>
        <v>9.6111784370000013</v>
      </c>
      <c r="P40">
        <f t="shared" si="50"/>
        <v>9.7349446433321738</v>
      </c>
      <c r="Q40">
        <f t="shared" si="50"/>
        <v>9.7244951418217358</v>
      </c>
      <c r="R40">
        <f t="shared" si="50"/>
        <v>9.0791372679742359</v>
      </c>
      <c r="S40">
        <f t="shared" ref="S40:AP40" si="54">R40*S21/R21</f>
        <v>9.3729066667548437</v>
      </c>
      <c r="T40">
        <f t="shared" si="54"/>
        <v>9.589076601706612</v>
      </c>
      <c r="U40">
        <f t="shared" si="54"/>
        <v>9.8218749931931288</v>
      </c>
      <c r="V40">
        <f t="shared" si="54"/>
        <v>10.071301841214401</v>
      </c>
      <c r="W40">
        <f t="shared" si="54"/>
        <v>10.309643051545837</v>
      </c>
      <c r="X40">
        <f t="shared" si="54"/>
        <v>10.531355805342521</v>
      </c>
      <c r="Y40">
        <f t="shared" si="54"/>
        <v>10.753068559139205</v>
      </c>
      <c r="Z40">
        <f t="shared" si="54"/>
        <v>11.06900923329948</v>
      </c>
      <c r="AA40">
        <f t="shared" si="54"/>
        <v>11.37940708861484</v>
      </c>
      <c r="AB40">
        <f t="shared" si="54"/>
        <v>11.634376755481025</v>
      </c>
      <c r="AC40">
        <f t="shared" si="54"/>
        <v>11.922603335416715</v>
      </c>
      <c r="AD40">
        <f t="shared" si="54"/>
        <v>12.210829915352404</v>
      </c>
      <c r="AE40">
        <f t="shared" si="54"/>
        <v>12.571113140272015</v>
      </c>
      <c r="AF40">
        <f t="shared" si="54"/>
        <v>12.942482002881464</v>
      </c>
      <c r="AG40">
        <f t="shared" si="54"/>
        <v>13.363736235095168</v>
      </c>
      <c r="AH40">
        <f t="shared" si="54"/>
        <v>13.712933822324944</v>
      </c>
      <c r="AI40">
        <f t="shared" si="54"/>
        <v>13.89030402536229</v>
      </c>
      <c r="AJ40">
        <f t="shared" si="54"/>
        <v>14.139730873383563</v>
      </c>
      <c r="AK40">
        <f t="shared" si="54"/>
        <v>14.450128728698919</v>
      </c>
      <c r="AL40">
        <f t="shared" si="54"/>
        <v>14.77161222170411</v>
      </c>
      <c r="AM40">
        <f t="shared" si="54"/>
        <v>16.473257607093668</v>
      </c>
      <c r="AN40">
        <f t="shared" si="54"/>
        <v>17.537478825317756</v>
      </c>
      <c r="AO40">
        <f t="shared" si="54"/>
        <v>20.409582790125643</v>
      </c>
      <c r="AP40">
        <f t="shared" si="54"/>
        <v>23.175449393739271</v>
      </c>
    </row>
    <row r="41" spans="1:42">
      <c r="A41" s="48" t="str">
        <f t="shared" si="49"/>
        <v>*</v>
      </c>
      <c r="B41" s="16" t="s">
        <v>288</v>
      </c>
      <c r="C41" s="17" t="s">
        <v>137</v>
      </c>
      <c r="D41" s="48">
        <f t="shared" si="13"/>
        <v>0</v>
      </c>
      <c r="E41" s="17" t="s">
        <v>137</v>
      </c>
      <c r="F41" s="17" t="s">
        <v>137</v>
      </c>
      <c r="G41" s="17" t="s">
        <v>137</v>
      </c>
      <c r="H41" s="17" t="s">
        <v>137</v>
      </c>
      <c r="I41" s="16">
        <v>0</v>
      </c>
      <c r="J41" s="98">
        <v>0</v>
      </c>
      <c r="K41">
        <f>J41*K22/J22</f>
        <v>0</v>
      </c>
      <c r="L41">
        <f>K41*L22/K22</f>
        <v>0</v>
      </c>
      <c r="M41">
        <f>L41*M22/L22</f>
        <v>0</v>
      </c>
      <c r="N41">
        <f>M41*N22/M22</f>
        <v>0</v>
      </c>
      <c r="O41">
        <f>N41*O22/N22</f>
        <v>0</v>
      </c>
      <c r="P41">
        <f t="shared" si="50"/>
        <v>0</v>
      </c>
      <c r="Q41">
        <f t="shared" si="50"/>
        <v>0</v>
      </c>
      <c r="R41">
        <f t="shared" si="50"/>
        <v>0</v>
      </c>
      <c r="S41">
        <f t="shared" ref="S41:AP41" si="55">R41*S22/R22</f>
        <v>0</v>
      </c>
      <c r="T41">
        <f t="shared" si="55"/>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row>
    <row r="42" spans="1:42">
      <c r="A42" s="48" t="str">
        <f t="shared" si="49"/>
        <v/>
      </c>
      <c r="B42" s="16" t="s">
        <v>288</v>
      </c>
      <c r="C42" s="17" t="s">
        <v>137</v>
      </c>
      <c r="D42" s="48" t="str">
        <f t="shared" si="13"/>
        <v>IPPPAP</v>
      </c>
      <c r="E42" s="17" t="s">
        <v>137</v>
      </c>
      <c r="F42" s="17" t="s">
        <v>137</v>
      </c>
      <c r="G42" s="17" t="s">
        <v>137</v>
      </c>
      <c r="H42" s="17" t="s">
        <v>137</v>
      </c>
      <c r="I42" s="16">
        <v>0</v>
      </c>
      <c r="J42" s="125">
        <f>[11]CommData_BASE!$E$9</f>
        <v>2.1800600000000001</v>
      </c>
      <c r="K42" s="125">
        <f>[11]CommData_BASE!$E$9</f>
        <v>2.1800600000000001</v>
      </c>
      <c r="L42" s="125">
        <f>[11]CommData_BASE!$E$9</f>
        <v>2.1800600000000001</v>
      </c>
      <c r="M42" s="125">
        <f>[11]CommData_BASE!$E$9</f>
        <v>2.1800600000000001</v>
      </c>
      <c r="N42" s="125">
        <f>[11]CommData_BASE!$E$9</f>
        <v>2.1800600000000001</v>
      </c>
      <c r="O42" s="125">
        <f>[11]CommData_BASE!$E$9</f>
        <v>2.1800600000000001</v>
      </c>
      <c r="P42">
        <f t="shared" si="50"/>
        <v>2.2166294765726118</v>
      </c>
      <c r="Q42">
        <f t="shared" si="50"/>
        <v>2.2151621827595136</v>
      </c>
      <c r="R42">
        <f t="shared" si="50"/>
        <v>2.1156043318489735</v>
      </c>
      <c r="S42">
        <f t="shared" ref="S42:AP42" si="56">R42*S23/R23</f>
        <v>2.1906651951340228</v>
      </c>
      <c r="T42">
        <f t="shared" si="56"/>
        <v>2.2295856427633072</v>
      </c>
      <c r="U42">
        <f t="shared" si="56"/>
        <v>2.2768461863131528</v>
      </c>
      <c r="V42">
        <f t="shared" si="56"/>
        <v>2.3435669536776405</v>
      </c>
      <c r="W42">
        <f t="shared" si="56"/>
        <v>2.3908274972274861</v>
      </c>
      <c r="X42">
        <f t="shared" si="56"/>
        <v>2.423261203585223</v>
      </c>
      <c r="Y42">
        <f t="shared" si="56"/>
        <v>2.4640350058635212</v>
      </c>
      <c r="Z42">
        <f t="shared" si="56"/>
        <v>2.5075888401153397</v>
      </c>
      <c r="AA42">
        <f t="shared" si="56"/>
        <v>2.5502159970426517</v>
      </c>
      <c r="AB42">
        <f t="shared" si="56"/>
        <v>2.5891364446719365</v>
      </c>
      <c r="AC42">
        <f t="shared" si="56"/>
        <v>2.6790241451490941</v>
      </c>
      <c r="AD42">
        <f t="shared" si="56"/>
        <v>2.7364781392685149</v>
      </c>
      <c r="AE42">
        <f t="shared" si="56"/>
        <v>2.8087589705800431</v>
      </c>
      <c r="AF42">
        <f t="shared" si="56"/>
        <v>2.8847465111895989</v>
      </c>
      <c r="AG42">
        <f t="shared" si="56"/>
        <v>2.9579540198256344</v>
      </c>
      <c r="AH42">
        <f t="shared" si="56"/>
        <v>3.0154080139450543</v>
      </c>
      <c r="AI42">
        <f t="shared" si="56"/>
        <v>3.0469150429782852</v>
      </c>
      <c r="AJ42">
        <f t="shared" si="56"/>
        <v>3.1015890051241852</v>
      </c>
      <c r="AK42">
        <f t="shared" si="56"/>
        <v>3.14050945275347</v>
      </c>
      <c r="AL42">
        <f t="shared" si="56"/>
        <v>3.2035235108199309</v>
      </c>
      <c r="AM42">
        <f t="shared" si="56"/>
        <v>3.5306406063708233</v>
      </c>
      <c r="AN42">
        <f t="shared" si="56"/>
        <v>3.7308029084642866</v>
      </c>
      <c r="AO42">
        <f t="shared" si="56"/>
        <v>4.2792414383515434</v>
      </c>
      <c r="AP42">
        <f t="shared" si="56"/>
        <v>4.8065208359958902</v>
      </c>
    </row>
    <row r="43" spans="1:42">
      <c r="A43" s="48" t="str">
        <f t="shared" si="49"/>
        <v/>
      </c>
      <c r="B43" s="16" t="s">
        <v>288</v>
      </c>
      <c r="C43" s="17" t="s">
        <v>137</v>
      </c>
      <c r="D43" s="48" t="str">
        <f t="shared" si="13"/>
        <v>IPPPULPD</v>
      </c>
      <c r="E43" s="17" t="s">
        <v>137</v>
      </c>
      <c r="F43" s="17" t="s">
        <v>137</v>
      </c>
      <c r="G43" s="17" t="s">
        <v>137</v>
      </c>
      <c r="H43" s="17" t="s">
        <v>137</v>
      </c>
      <c r="I43" s="16">
        <v>0</v>
      </c>
      <c r="J43" s="125">
        <f>[11]CommData_BASE!$E$8</f>
        <v>0.65910719806663931</v>
      </c>
      <c r="K43" s="125">
        <f>[11]CommData_BASE!$E$8</f>
        <v>0.65910719806663931</v>
      </c>
      <c r="L43" s="125">
        <f>[11]CommData_BASE!$E$8</f>
        <v>0.65910719806663931</v>
      </c>
      <c r="M43" s="125">
        <f>[11]CommData_BASE!$E$8</f>
        <v>0.65910719806663931</v>
      </c>
      <c r="N43" s="125">
        <f>[11]CommData_BASE!$E$8</f>
        <v>0.65910719806663931</v>
      </c>
      <c r="O43" s="125">
        <f>[11]CommData_BASE!$E$8</f>
        <v>0.65910719806663931</v>
      </c>
      <c r="P43">
        <f t="shared" si="50"/>
        <v>0.6701634099316971</v>
      </c>
      <c r="Q43">
        <f t="shared" si="50"/>
        <v>0.66971979649266711</v>
      </c>
      <c r="R43">
        <f t="shared" si="50"/>
        <v>0.63962003035816517</v>
      </c>
      <c r="S43">
        <f t="shared" ref="S43:AP43" si="57">R43*S24/R24</f>
        <v>0.66231351369544578</v>
      </c>
      <c r="T43">
        <f t="shared" si="57"/>
        <v>0.67408050505551709</v>
      </c>
      <c r="U43">
        <f t="shared" si="57"/>
        <v>0.68836899456417522</v>
      </c>
      <c r="V43">
        <f t="shared" si="57"/>
        <v>0.70854097975286889</v>
      </c>
      <c r="W43">
        <f t="shared" si="57"/>
        <v>0.72282946926152702</v>
      </c>
      <c r="X43">
        <f t="shared" si="57"/>
        <v>0.73263529539491978</v>
      </c>
      <c r="Y43">
        <f t="shared" si="57"/>
        <v>0.74496261967689925</v>
      </c>
      <c r="Z43">
        <f t="shared" si="57"/>
        <v>0.75813044334174107</v>
      </c>
      <c r="AA43">
        <f t="shared" si="57"/>
        <v>0.7710181005456288</v>
      </c>
      <c r="AB43">
        <f t="shared" si="57"/>
        <v>0.78278509190570023</v>
      </c>
      <c r="AC43">
        <f t="shared" si="57"/>
        <v>0.80996123861824609</v>
      </c>
      <c r="AD43">
        <f t="shared" si="57"/>
        <v>0.82733155919739909</v>
      </c>
      <c r="AE43">
        <f t="shared" si="57"/>
        <v>0.84918454315181724</v>
      </c>
      <c r="AF43">
        <f t="shared" si="57"/>
        <v>0.87215819295005181</v>
      </c>
      <c r="AG43">
        <f t="shared" si="57"/>
        <v>0.89429134336542426</v>
      </c>
      <c r="AH43">
        <f t="shared" si="57"/>
        <v>0.91166166394457715</v>
      </c>
      <c r="AI43">
        <f t="shared" si="57"/>
        <v>0.92118732361701605</v>
      </c>
      <c r="AJ43">
        <f t="shared" si="57"/>
        <v>0.9377171448133067</v>
      </c>
      <c r="AK43">
        <f t="shared" si="57"/>
        <v>0.94948413617337801</v>
      </c>
      <c r="AL43">
        <f t="shared" si="57"/>
        <v>0.96853545551825548</v>
      </c>
      <c r="AM43">
        <f t="shared" si="57"/>
        <v>1.0674342162350456</v>
      </c>
      <c r="AN43">
        <f t="shared" si="57"/>
        <v>1.1279501718011267</v>
      </c>
      <c r="AO43">
        <f t="shared" si="57"/>
        <v>1.2937620222757817</v>
      </c>
      <c r="AP43">
        <f t="shared" si="57"/>
        <v>1.4531767385586505</v>
      </c>
    </row>
    <row r="44" spans="1:42">
      <c r="A44" s="48" t="str">
        <f t="shared" si="49"/>
        <v>*</v>
      </c>
      <c r="B44" s="16" t="s">
        <v>288</v>
      </c>
      <c r="C44" s="17" t="s">
        <v>137</v>
      </c>
      <c r="D44" s="48">
        <f t="shared" si="13"/>
        <v>0</v>
      </c>
      <c r="E44" s="17" t="s">
        <v>137</v>
      </c>
      <c r="F44" s="17" t="s">
        <v>137</v>
      </c>
      <c r="G44" s="17" t="s">
        <v>137</v>
      </c>
      <c r="H44" s="17" t="s">
        <v>137</v>
      </c>
      <c r="I44" s="16">
        <v>0</v>
      </c>
      <c r="J44" s="98">
        <v>0</v>
      </c>
      <c r="K44">
        <f>J44*K25/J25</f>
        <v>0</v>
      </c>
      <c r="L44">
        <f>K44*L25/K25</f>
        <v>0</v>
      </c>
      <c r="M44">
        <f>L44*M25/L25</f>
        <v>0</v>
      </c>
      <c r="N44">
        <f>M44*N25/M25</f>
        <v>0</v>
      </c>
      <c r="O44">
        <f>N44*O25/N25</f>
        <v>0</v>
      </c>
      <c r="P44">
        <f t="shared" si="50"/>
        <v>0</v>
      </c>
      <c r="Q44">
        <f t="shared" si="50"/>
        <v>0</v>
      </c>
      <c r="R44">
        <f t="shared" si="50"/>
        <v>0</v>
      </c>
      <c r="S44">
        <f t="shared" ref="S44:AP44" si="58">R44*S25/R25</f>
        <v>0</v>
      </c>
      <c r="T44">
        <f t="shared" si="58"/>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row>
    <row r="45" spans="1:42">
      <c r="A45" t="s">
        <v>16</v>
      </c>
      <c r="B45" s="3"/>
      <c r="S45" s="189" t="s">
        <v>660</v>
      </c>
      <c r="X45" s="23">
        <v>2025</v>
      </c>
    </row>
    <row r="46" spans="1:42" ht="15.75" thickBot="1">
      <c r="A46" t="s">
        <v>16</v>
      </c>
      <c r="B46" s="9" t="s">
        <v>290</v>
      </c>
      <c r="C46" s="9"/>
      <c r="D46">
        <v>2010</v>
      </c>
      <c r="E46">
        <v>2020</v>
      </c>
      <c r="F46">
        <v>2030</v>
      </c>
      <c r="G46">
        <v>2050</v>
      </c>
      <c r="S46" s="189" t="s">
        <v>659</v>
      </c>
    </row>
    <row r="47" spans="1:42">
      <c r="A47" t="s">
        <v>16</v>
      </c>
      <c r="B47" s="3" t="str">
        <f t="shared" ref="B47:C53" si="59">B10</f>
        <v>MI</v>
      </c>
      <c r="C47" s="3" t="str">
        <f t="shared" si="59"/>
        <v>Mining</v>
      </c>
      <c r="D47">
        <v>1</v>
      </c>
      <c r="E47">
        <v>1.0220604419830652</v>
      </c>
      <c r="F47">
        <v>1.0684529596700734</v>
      </c>
      <c r="G47">
        <f>F47</f>
        <v>1.0684529596700734</v>
      </c>
      <c r="J47" cm="1">
        <f t="array" ref="J47">IF(J$7=-1,K47,IF(J$7=99,I47,IF(J$7=0,INDEX($D47:$G47,0,J$5),(INDEX($D47:$G47,0,J$7+1)-INDEX($D47:$G47,0,J$7))/(INDEX($D$4:$G$4,0,J$7+1)-INDEX($D$4:$G$4,0,J$7))+I47)))</f>
        <v>1</v>
      </c>
      <c r="K47" cm="1">
        <f t="array" ref="K47">IF(K$7=-1,L47,IF(K$7=99,J47,IF(K$7=0,INDEX($D47:$G47,0,K$5),(INDEX($D47:$G47,0,K$7+1)-INDEX($D47:$G47,0,K$7))/(INDEX($D$4:$G$4,0,K$7+1)-INDEX($D$4:$G$4,0,K$7))+J47)))</f>
        <v>1.0027575552478831</v>
      </c>
      <c r="L47" cm="1">
        <f t="array" ref="L47">IF(L$7=-1,M47,IF(L$7=99,K47,IF(L$7=0,INDEX($D47:$G47,0,L$5),(INDEX($D47:$G47,0,L$7+1)-INDEX($D47:$G47,0,L$7))/(INDEX($D$4:$G$4,0,L$7+1)-INDEX($D$4:$G$4,0,L$7))+K47)))</f>
        <v>1.0055151104957663</v>
      </c>
      <c r="M47" cm="1">
        <f t="array" ref="M47">IF(M$7=-1,N47,IF(M$7=99,L47,IF(M$7=0,INDEX($D47:$G47,0,M$5),(INDEX($D47:$G47,0,M$7+1)-INDEX($D47:$G47,0,M$7))/(INDEX($D$4:$G$4,0,M$7+1)-INDEX($D$4:$G$4,0,M$7))+L47)))</f>
        <v>1.0082726657436494</v>
      </c>
      <c r="N47" cm="1">
        <f t="array" ref="N47">IF(N$7=-1,O47,IF(N$7=99,M47,IF(N$7=0,INDEX($D47:$G47,0,N$5),(INDEX($D47:$G47,0,N$7+1)-INDEX($D47:$G47,0,N$7))/(INDEX($D$4:$G$4,0,N$7+1)-INDEX($D$4:$G$4,0,N$7))+M47)))</f>
        <v>1.0110302209915325</v>
      </c>
      <c r="O47" cm="1">
        <f t="array" ref="O47">IF(O$7=-1,P47,IF(O$7=99,N47,IF(O$7=0,INDEX($D47:$G47,0,O$5),(INDEX($D47:$G47,0,O$7+1)-INDEX($D47:$G47,0,O$7))/(INDEX($D$4:$G$4,0,O$7+1)-INDEX($D$4:$G$4,0,O$7))+N47)))</f>
        <v>1.0137877762394156</v>
      </c>
      <c r="P47" cm="1">
        <f t="array" ref="P47">IF(P$7=-1,Q47,IF(P$7=99,O47,IF(P$7=0,INDEX($D47:$G47,0,P$5),(INDEX($D47:$G47,0,P$7+1)-INDEX($D47:$G47,0,P$7))/(INDEX($D$4:$G$4,0,P$7+1)-INDEX($D$4:$G$4,0,P$7))+O47)))</f>
        <v>1.0165453314872988</v>
      </c>
      <c r="Q47" cm="1">
        <f t="array" ref="Q47">IF(Q$7=-1,R47,IF(Q$7=99,P47,IF(Q$7=0,INDEX($D47:$G47,0,Q$5),(INDEX($D47:$G47,0,Q$7+1)-INDEX($D47:$G47,0,Q$7))/(INDEX($D$4:$G$4,0,Q$7+1)-INDEX($D$4:$G$4,0,Q$7))+P47)))</f>
        <v>1.0193028867351819</v>
      </c>
      <c r="R47" cm="1">
        <f t="array" ref="R47">IF(R$7=-1,S47,IF(R$7=99,Q47,IF(R$7=0,INDEX($D47:$G47,0,R$5),(INDEX($D47:$G47,0,R$7+1)-INDEX($D47:$G47,0,R$7))/(INDEX($D$4:$G$4,0,R$7+1)-INDEX($D$4:$G$4,0,R$7))+Q47)))</f>
        <v>1.0220604419830652</v>
      </c>
      <c r="S47" s="189">
        <v>1.0900000000000001</v>
      </c>
      <c r="T47" s="294">
        <f t="shared" ref="T47:AA47" si="60">IF(T$63=1,($AB47-$S47)/$AC$63+S47,$AB47)</f>
        <v>1.0846132399175183</v>
      </c>
      <c r="U47" s="294">
        <f t="shared" si="60"/>
        <v>1.0792264798350366</v>
      </c>
      <c r="V47" s="294">
        <f t="shared" si="60"/>
        <v>1.0738397197525549</v>
      </c>
      <c r="W47" s="294">
        <f t="shared" si="60"/>
        <v>1.0684529596700731</v>
      </c>
      <c r="X47" s="294">
        <f t="shared" si="60"/>
        <v>1.0684529596700734</v>
      </c>
      <c r="Y47" s="294">
        <f t="shared" si="60"/>
        <v>1.0684529596700734</v>
      </c>
      <c r="Z47" s="294">
        <f t="shared" si="60"/>
        <v>1.0684529596700734</v>
      </c>
      <c r="AA47" s="294">
        <f t="shared" si="60"/>
        <v>1.0684529596700734</v>
      </c>
      <c r="AB47" cm="1">
        <f t="array" ref="AB47">IF(AB$7=-1,AC47,IF(AB$7=99,AA47,IF(AB$7=0,INDEX($D47:$G47,0,AB$5),(INDEX($D47:$G47,0,AB$7+1)-INDEX($D47:$G47,0,AB$7))/(INDEX($D$4:$G$4,0,AB$7+1)-INDEX($D$4:$G$4,0,AB$7))+AA47)))</f>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IF(AP$7=-1,AQ47,IF(AP$7=99,AO47,IF(AP$7=0,INDEX($D47:$G47,0,AP$5),(INDEX($D47:$G47,0,AP$7+1)-INDEX($D47:$G47,0,AP$7))/(INDEX($D$4:$G$4,0,AP$7+1)-INDEX($D$4:$G$4,0,AP$7))+AO47)))</f>
        <v>1.0684529596700734</v>
      </c>
    </row>
    <row r="48" spans="1:42">
      <c r="A48" t="s">
        <v>16</v>
      </c>
      <c r="B48" s="3" t="str">
        <f t="shared" si="59"/>
        <v>PG</v>
      </c>
      <c r="C48" s="3" t="str">
        <f t="shared" si="59"/>
        <v>PGM</v>
      </c>
      <c r="D48">
        <v>1</v>
      </c>
      <c r="E48">
        <v>1</v>
      </c>
      <c r="F48">
        <v>1</v>
      </c>
      <c r="G48">
        <v>1</v>
      </c>
      <c r="J48" cm="1">
        <f t="array" ref="J48">IF(J$7=-1,K48,IF(J$7=99,I48,IF(J$7=0,INDEX($D48:$G48,0,J$5),(INDEX($D48:$G48,0,J$7+1)-INDEX($D48:$G48,0,J$7))/(INDEX($D$4:$G$4,0,J$7+1)-INDEX($D$4:$G$4,0,J$7))+I48)))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s="189">
        <v>1.07</v>
      </c>
      <c r="T48" s="294">
        <f t="shared" ref="T48" si="61">IF(T$63=1,($AB48-$S48)/$AC$63+S48,$AB48)</f>
        <v>1.0525</v>
      </c>
      <c r="U48" s="294">
        <f t="shared" ref="U48:AA48" si="62">IF(U$63=1,($AB48-$S48)/$AC$63+T48,$AB48)</f>
        <v>1.0349999999999999</v>
      </c>
      <c r="V48" s="294">
        <f t="shared" si="62"/>
        <v>1.0174999999999998</v>
      </c>
      <c r="W48" s="294">
        <f t="shared" si="62"/>
        <v>0.99999999999999978</v>
      </c>
      <c r="X48" s="294">
        <f t="shared" si="62"/>
        <v>1</v>
      </c>
      <c r="Y48" s="294">
        <f t="shared" si="62"/>
        <v>1</v>
      </c>
      <c r="Z48" s="294">
        <f t="shared" si="62"/>
        <v>1</v>
      </c>
      <c r="AA48" s="294">
        <f t="shared" si="62"/>
        <v>1</v>
      </c>
      <c r="AB48" cm="1">
        <f t="array" ref="AB48">IF(AB$7=-1,AC48,IF(AB$7=99,AA48,IF(AB$7=0,INDEX($D48:$G48,0,AB$5),(INDEX($D48:$G48,0,AB$7+1)-INDEX($D48:$G48,0,AB$7))/(INDEX($D$4:$G$4,0,AB$7+1)-INDEX($D$4:$G$4,0,AB$7))+AA48)))</f>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IF(AP$7=-1,AQ48,IF(AP$7=99,AO48,IF(AP$7=0,INDEX($D48:$G48,0,AP$5),(INDEX($D48:$G48,0,AP$7+1)-INDEX($D48:$G48,0,AP$7))/(INDEX($D$4:$G$4,0,AP$7+1)-INDEX($D$4:$G$4,0,AP$7))+AO48)))</f>
        <v>1</v>
      </c>
    </row>
    <row r="49" spans="1:42">
      <c r="A49" t="s">
        <v>16</v>
      </c>
      <c r="B49" s="3" t="str">
        <f t="shared" si="59"/>
        <v>FAC</v>
      </c>
      <c r="C49" s="3" t="str">
        <f t="shared" si="59"/>
        <v>FerroChrome</v>
      </c>
      <c r="D49">
        <v>1</v>
      </c>
      <c r="E49">
        <v>1</v>
      </c>
      <c r="F49">
        <v>1</v>
      </c>
      <c r="G49">
        <v>1</v>
      </c>
      <c r="J49" cm="1">
        <f t="array" ref="J49">IF(J$7=-1,K49,IF(J$7=99,I49,IF(J$7=0,INDEX($D49:$G49,0,J$5),(INDEX($D49:$G49,0,J$7+1)-INDEX($D49:$G49,0,J$7))/(INDEX($D$4:$G$4,0,J$7+1)-INDEX($D$4:$G$4,0,J$7))+I49)))</f>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s="189">
        <v>1.07</v>
      </c>
      <c r="T49" s="294">
        <f t="shared" ref="T49:AA49" si="63">IF(T$63=1,($AB49-$S49)/$AC$63+S49,$AB49)</f>
        <v>1.0525</v>
      </c>
      <c r="U49" s="294">
        <f t="shared" si="63"/>
        <v>1.0349999999999999</v>
      </c>
      <c r="V49" s="294">
        <f t="shared" si="63"/>
        <v>1.0174999999999998</v>
      </c>
      <c r="W49" s="294">
        <f t="shared" si="63"/>
        <v>0.99999999999999978</v>
      </c>
      <c r="X49" s="294">
        <f t="shared" si="63"/>
        <v>1</v>
      </c>
      <c r="Y49" s="294">
        <f t="shared" si="63"/>
        <v>1</v>
      </c>
      <c r="Z49" s="294">
        <f t="shared" si="63"/>
        <v>1</v>
      </c>
      <c r="AA49" s="294">
        <f t="shared" si="63"/>
        <v>1</v>
      </c>
      <c r="AB49" cm="1">
        <f t="array" ref="AB49">IF(AB$7=-1,AC49,IF(AB$7=99,AA49,IF(AB$7=0,INDEX($D49:$G49,0,AB$5),(INDEX($D49:$G49,0,AB$7+1)-INDEX($D49:$G49,0,AB$7))/(INDEX($D$4:$G$4,0,AB$7+1)-INDEX($D$4:$G$4,0,AB$7))+AA49)))</f>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IF(AP$7=-1,AQ49,IF(AP$7=99,AO49,IF(AP$7=0,INDEX($D49:$G49,0,AP$5),(INDEX($D49:$G49,0,AP$7+1)-INDEX($D49:$G49,0,AP$7))/(INDEX($D$4:$G$4,0,AP$7+1)-INDEX($D$4:$G$4,0,AP$7))+AO49)))</f>
        <v>1</v>
      </c>
    </row>
    <row r="50" spans="1:42">
      <c r="A50" t="s">
        <v>16</v>
      </c>
      <c r="B50" s="3" t="str">
        <f t="shared" si="59"/>
        <v>FAM</v>
      </c>
      <c r="C50" s="3" t="str">
        <f t="shared" si="59"/>
        <v>FerroManganese</v>
      </c>
      <c r="D50">
        <v>1</v>
      </c>
      <c r="E50">
        <v>1</v>
      </c>
      <c r="F50">
        <v>1</v>
      </c>
      <c r="G50">
        <v>1</v>
      </c>
      <c r="J50" cm="1">
        <f t="array" ref="J50">IF(J$7=-1,K50,IF(J$7=99,I50,IF(J$7=0,INDEX($D50:$G50,0,J$5),(INDEX($D50:$G50,0,J$7+1)-INDEX($D50:$G50,0,J$7))/(INDEX($D$4:$G$4,0,J$7+1)-INDEX($D$4:$G$4,0,J$7))+I50)))</f>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s="189">
        <v>1.07</v>
      </c>
      <c r="T50" s="294">
        <f t="shared" ref="T50" si="64">IF(T$63=1,($AB50-$S50)/$AC$63+S50,$AB50)</f>
        <v>1.0525</v>
      </c>
      <c r="U50" s="294">
        <f t="shared" ref="U50" si="65">IF(U$63=1,($AB50-$S50)/$AC$63+T50,$AB50)</f>
        <v>1.0349999999999999</v>
      </c>
      <c r="V50" s="294">
        <f t="shared" ref="V50" si="66">IF(V$63=1,($AB50-$S50)/$AC$63+U50,$AB50)</f>
        <v>1.0174999999999998</v>
      </c>
      <c r="W50" s="294">
        <f t="shared" ref="W50" si="67">IF(W$63=1,($AB50-$S50)/$AC$63+V50,$AB50)</f>
        <v>0.99999999999999978</v>
      </c>
      <c r="X50" s="294">
        <f t="shared" ref="X50" si="68">IF(X$63=1,($AB50-$S50)/$AC$63+W50,$AB50)</f>
        <v>1</v>
      </c>
      <c r="Y50" s="294">
        <f t="shared" ref="Y50" si="69">IF(Y$63=1,($AB50-$S50)/$AC$63+X50,$AB50)</f>
        <v>1</v>
      </c>
      <c r="Z50" s="294">
        <f t="shared" ref="Z50" si="70">IF(Z$63=1,($AB50-$S50)/$AC$63+Y50,$AB50)</f>
        <v>1</v>
      </c>
      <c r="AA50" s="294">
        <f t="shared" ref="AA50" si="71">IF(AA$63=1,($AB50-$S50)/$AC$63+Z50,$AB50)</f>
        <v>1</v>
      </c>
      <c r="AB50" cm="1">
        <f t="array" ref="AB50">IF(AB$7=-1,AC50,IF(AB$7=99,AA50,IF(AB$7=0,INDEX($D50:$G50,0,AB$5),(INDEX($D50:$G50,0,AB$7+1)-INDEX($D50:$G50,0,AB$7))/(INDEX($D$4:$G$4,0,AB$7+1)-INDEX($D$4:$G$4,0,AB$7))+AA50)))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IF(AP$7=-1,AQ50,IF(AP$7=99,AO50,IF(AP$7=0,INDEX($D50:$G50,0,AP$5),(INDEX($D50:$G50,0,AP$7+1)-INDEX($D50:$G50,0,AP$7))/(INDEX($D$4:$G$4,0,AP$7+1)-INDEX($D$4:$G$4,0,AP$7))+AO50)))</f>
        <v>1</v>
      </c>
    </row>
    <row r="51" spans="1:42">
      <c r="A51" t="s">
        <v>16</v>
      </c>
      <c r="B51" s="3" t="str">
        <f t="shared" si="59"/>
        <v>IS</v>
      </c>
      <c r="C51" s="3" t="str">
        <f t="shared" si="59"/>
        <v>Iron &amp; Steel</v>
      </c>
      <c r="D51">
        <v>1</v>
      </c>
      <c r="E51">
        <v>1</v>
      </c>
      <c r="F51">
        <v>1</v>
      </c>
      <c r="G51">
        <v>1</v>
      </c>
      <c r="J51" cm="1">
        <f t="array" ref="J51">IF(J$7=-1,K51,IF(J$7=99,I51,IF(J$7=0,INDEX($D51:$G51,0,J$5),(INDEX($D51:$G51,0,J$7+1)-INDEX($D51:$G51,0,J$7))/(INDEX($D$4:$G$4,0,J$7+1)-INDEX($D$4:$G$4,0,J$7))+I51)))</f>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s="294">
        <f t="shared" ref="T51:AA51" si="72">IF(T$63=1,($AB51-$S51)/$AC$63+S51,$AB51)</f>
        <v>1</v>
      </c>
      <c r="U51" s="294">
        <f t="shared" si="72"/>
        <v>1</v>
      </c>
      <c r="V51" s="294">
        <f t="shared" si="72"/>
        <v>1</v>
      </c>
      <c r="W51" s="294">
        <f t="shared" si="72"/>
        <v>1</v>
      </c>
      <c r="X51" s="294">
        <f t="shared" si="72"/>
        <v>1</v>
      </c>
      <c r="Y51" s="294">
        <f t="shared" si="72"/>
        <v>1</v>
      </c>
      <c r="Z51" s="294">
        <f t="shared" si="72"/>
        <v>1</v>
      </c>
      <c r="AA51" s="294">
        <f t="shared" si="72"/>
        <v>1</v>
      </c>
      <c r="AB51" cm="1">
        <f t="array" ref="AB51">IF(AB$7=-1,AC51,IF(AB$7=99,AA51,IF(AB$7=0,INDEX($D51:$G51,0,AB$5),(INDEX($D51:$G51,0,AB$7+1)-INDEX($D51:$G51,0,AB$7))/(INDEX($D$4:$G$4,0,AB$7+1)-INDEX($D$4:$G$4,0,AB$7))+AA51)))</f>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IF(AP$7=-1,AQ51,IF(AP$7=99,AO51,IF(AP$7=0,INDEX($D51:$G51,0,AP$5),(INDEX($D51:$G51,0,AP$7+1)-INDEX($D51:$G51,0,AP$7))/(INDEX($D$4:$G$4,0,AP$7+1)-INDEX($D$4:$G$4,0,AP$7))+AO51)))</f>
        <v>1</v>
      </c>
    </row>
    <row r="52" spans="1:42">
      <c r="A52" t="s">
        <v>16</v>
      </c>
      <c r="B52" s="3" t="str">
        <f t="shared" si="59"/>
        <v>CP</v>
      </c>
      <c r="C52" s="3" t="str">
        <f t="shared" si="59"/>
        <v>Chemicals</v>
      </c>
      <c r="D52">
        <v>1</v>
      </c>
      <c r="E52">
        <v>1</v>
      </c>
      <c r="F52">
        <v>1</v>
      </c>
      <c r="G52">
        <v>1</v>
      </c>
      <c r="J52" cm="1">
        <f t="array" ref="J52">IF(J$7=-1,K52,IF(J$7=99,I52,IF(J$7=0,INDEX($D52:$G52,0,J$5),(INDEX($D52:$G52,0,J$7+1)-INDEX($D52:$G52,0,J$7))/(INDEX($D$4:$G$4,0,J$7+1)-INDEX($D$4:$G$4,0,J$7))+I52)))</f>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s="189">
        <v>1.054</v>
      </c>
      <c r="T52" s="294">
        <f t="shared" ref="T52:AA52" si="73">IF(T$63=1,($AB52-$S52)/$AC$63+S52,$AB52)</f>
        <v>1.0405</v>
      </c>
      <c r="U52" s="294">
        <f t="shared" si="73"/>
        <v>1.0269999999999999</v>
      </c>
      <c r="V52" s="294">
        <f t="shared" si="73"/>
        <v>1.0134999999999998</v>
      </c>
      <c r="W52" s="294">
        <f t="shared" si="73"/>
        <v>0.99999999999999978</v>
      </c>
      <c r="X52" s="294">
        <f t="shared" si="73"/>
        <v>1</v>
      </c>
      <c r="Y52" s="294">
        <f t="shared" si="73"/>
        <v>1</v>
      </c>
      <c r="Z52" s="294">
        <f t="shared" si="73"/>
        <v>1</v>
      </c>
      <c r="AA52" s="294">
        <f t="shared" si="73"/>
        <v>1</v>
      </c>
      <c r="AB52" cm="1">
        <f t="array" ref="AB52">IF(AB$7=-1,AC52,IF(AB$7=99,AA52,IF(AB$7=0,INDEX($D52:$G52,0,AB$5),(INDEX($D52:$G52,0,AB$7+1)-INDEX($D52:$G52,0,AB$7))/(INDEX($D$4:$G$4,0,AB$7+1)-INDEX($D$4:$G$4,0,AB$7))+AA52)))</f>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IF(AP$7=-1,AQ52,IF(AP$7=99,AO52,IF(AP$7=0,INDEX($D52:$G52,0,AP$5),(INDEX($D52:$G52,0,AP$7+1)-INDEX($D52:$G52,0,AP$7))/(INDEX($D$4:$G$4,0,AP$7+1)-INDEX($D$4:$G$4,0,AP$7))+AO52)))</f>
        <v>1</v>
      </c>
    </row>
    <row r="53" spans="1:42">
      <c r="A53" t="s">
        <v>16</v>
      </c>
      <c r="B53" s="3" t="str">
        <f t="shared" si="59"/>
        <v>am</v>
      </c>
      <c r="C53" s="3" t="str">
        <f t="shared" si="59"/>
        <v>Ammonia</v>
      </c>
      <c r="D53">
        <v>1</v>
      </c>
      <c r="E53">
        <v>1</v>
      </c>
      <c r="F53">
        <v>1</v>
      </c>
      <c r="G53">
        <v>1</v>
      </c>
      <c r="J53" cm="1">
        <f t="array" ref="J53">IF(J$7=-1,K53,IF(J$7=99,I53,IF(J$7=0,INDEX($D53:$G53,0,J$5),(INDEX($D53:$G53,0,J$7+1)-INDEX($D53:$G53,0,J$7))/(INDEX($D$4:$G$4,0,J$7+1)-INDEX($D$4:$G$4,0,J$7))+I53)))</f>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s="189">
        <v>1.054</v>
      </c>
      <c r="T53" s="294">
        <f t="shared" ref="T53" si="74">IF(T$63=1,($AB53-$S53)/$AC$63+S53,$AB53)</f>
        <v>1.0405</v>
      </c>
      <c r="U53" s="294">
        <f t="shared" ref="U53" si="75">IF(U$63=1,($AB53-$S53)/$AC$63+T53,$AB53)</f>
        <v>1.0269999999999999</v>
      </c>
      <c r="V53" s="294">
        <f t="shared" ref="V53" si="76">IF(V$63=1,($AB53-$S53)/$AC$63+U53,$AB53)</f>
        <v>1.0134999999999998</v>
      </c>
      <c r="W53" s="294">
        <f t="shared" ref="W53" si="77">IF(W$63=1,($AB53-$S53)/$AC$63+V53,$AB53)</f>
        <v>0.99999999999999978</v>
      </c>
      <c r="X53" s="294">
        <f t="shared" ref="X53" si="78">IF(X$63=1,($AB53-$S53)/$AC$63+W53,$AB53)</f>
        <v>1</v>
      </c>
      <c r="Y53" s="294">
        <f t="shared" ref="Y53" si="79">IF(Y$63=1,($AB53-$S53)/$AC$63+X53,$AB53)</f>
        <v>1</v>
      </c>
      <c r="Z53" s="294">
        <f t="shared" ref="Z53" si="80">IF(Z$63=1,($AB53-$S53)/$AC$63+Y53,$AB53)</f>
        <v>1</v>
      </c>
      <c r="AA53" s="294">
        <f t="shared" ref="AA53" si="81">IF(AA$63=1,($AB53-$S53)/$AC$63+Z53,$AB53)</f>
        <v>1</v>
      </c>
      <c r="AB53" cm="1">
        <f t="array" ref="AB53">IF(AB$7=-1,AC53,IF(AB$7=99,AA53,IF(AB$7=0,INDEX($D53:$G53,0,AB$5),(INDEX($D53:$G53,0,AB$7+1)-INDEX($D53:$G53,0,AB$7))/(INDEX($D$4:$G$4,0,AB$7+1)-INDEX($D$4:$G$4,0,AB$7))+AA53)))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IF(AP$7=-1,AQ53,IF(AP$7=99,AO53,IF(AP$7=0,INDEX($D53:$G53,0,AP$5),(INDEX($D53:$G53,0,AP$7+1)-INDEX($D53:$G53,0,AP$7))/(INDEX($D$4:$G$4,0,AP$7+1)-INDEX($D$4:$G$4,0,AP$7))+AO53)))</f>
        <v>1</v>
      </c>
    </row>
    <row r="54" spans="1:42">
      <c r="A54" t="s">
        <v>16</v>
      </c>
      <c r="B54" s="3" t="str">
        <f t="shared" ref="B54:C62" si="82">B17</f>
        <v>NF</v>
      </c>
      <c r="C54" s="3" t="str">
        <f t="shared" si="82"/>
        <v>Precious &amp; Non-Ferrous metals</v>
      </c>
      <c r="D54">
        <v>1</v>
      </c>
      <c r="E54">
        <v>1</v>
      </c>
      <c r="F54">
        <v>1</v>
      </c>
      <c r="G54">
        <v>1</v>
      </c>
      <c r="J54" cm="1">
        <f t="array" ref="J54">IF(J$7=-1,K54,IF(J$7=99,I54,IF(J$7=0,INDEX($D54:$G54,0,J$5),(INDEX($D54:$G54,0,J$7+1)-INDEX($D54:$G54,0,J$7))/(INDEX($D$4:$G$4,0,J$7+1)-INDEX($D$4:$G$4,0,J$7))+I54)))</f>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s="189">
        <v>1.1000000000000001</v>
      </c>
      <c r="T54" s="294">
        <f t="shared" ref="T54:AA54" si="83">IF(T$63=1,($AB54-$S54)/$AC$63+S54,$AB54)</f>
        <v>1.0750000000000002</v>
      </c>
      <c r="U54" s="294">
        <f t="shared" si="83"/>
        <v>1.0500000000000003</v>
      </c>
      <c r="V54" s="294">
        <f t="shared" si="83"/>
        <v>1.0250000000000004</v>
      </c>
      <c r="W54" s="294">
        <f t="shared" si="83"/>
        <v>1.0000000000000004</v>
      </c>
      <c r="X54" s="294">
        <f t="shared" si="83"/>
        <v>1</v>
      </c>
      <c r="Y54" s="294">
        <f t="shared" si="83"/>
        <v>1</v>
      </c>
      <c r="Z54" s="294">
        <f t="shared" si="83"/>
        <v>1</v>
      </c>
      <c r="AA54" s="294">
        <f t="shared" si="83"/>
        <v>1</v>
      </c>
      <c r="AB54" cm="1">
        <f t="array" ref="AB54">IF(AB$7=-1,AC54,IF(AB$7=99,AA54,IF(AB$7=0,INDEX($D54:$G54,0,AB$5),(INDEX($D54:$G54,0,AB$7+1)-INDEX($D54:$G54,0,AB$7))/(INDEX($D$4:$G$4,0,AB$7+1)-INDEX($D$4:$G$4,0,AB$7))+AA54)))</f>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IF(AP$7=-1,AQ54,IF(AP$7=99,AO54,IF(AP$7=0,INDEX($D54:$G54,0,AP$5),(INDEX($D54:$G54,0,AP$7+1)-INDEX($D54:$G54,0,AP$7))/(INDEX($D$4:$G$4,0,AP$7+1)-INDEX($D$4:$G$4,0,AP$7))+AO54)))</f>
        <v>1</v>
      </c>
    </row>
    <row r="55" spans="1:42">
      <c r="A55" t="s">
        <v>16</v>
      </c>
      <c r="B55" s="3" t="str">
        <f t="shared" si="82"/>
        <v>NM</v>
      </c>
      <c r="C55" s="3" t="str">
        <f t="shared" si="82"/>
        <v>N.M.M Products</v>
      </c>
      <c r="D55">
        <v>1</v>
      </c>
      <c r="E55">
        <v>1</v>
      </c>
      <c r="F55">
        <v>1</v>
      </c>
      <c r="G55">
        <v>1</v>
      </c>
      <c r="J55" cm="1">
        <f t="array" ref="J55">IF(J$7=-1,K55,IF(J$7=99,I55,IF(J$7=0,INDEX($D55:$G55,0,J$5),(INDEX($D55:$G55,0,J$7+1)-INDEX($D55:$G55,0,J$7))/(INDEX($D$4:$G$4,0,J$7+1)-INDEX($D$4:$G$4,0,J$7))+I55)))</f>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s="294">
        <f t="shared" ref="T55:AA55" si="84">IF(T$63=1,($AB55-$S55)/$AC$63+S55,$AB55)</f>
        <v>1</v>
      </c>
      <c r="U55" s="294">
        <f t="shared" si="84"/>
        <v>1</v>
      </c>
      <c r="V55" s="294">
        <f t="shared" si="84"/>
        <v>1</v>
      </c>
      <c r="W55" s="294">
        <f t="shared" si="84"/>
        <v>1</v>
      </c>
      <c r="X55" s="294">
        <f t="shared" si="84"/>
        <v>1</v>
      </c>
      <c r="Y55" s="294">
        <f t="shared" si="84"/>
        <v>1</v>
      </c>
      <c r="Z55" s="294">
        <f t="shared" si="84"/>
        <v>1</v>
      </c>
      <c r="AA55" s="294">
        <f t="shared" si="84"/>
        <v>1</v>
      </c>
      <c r="AB55" cm="1">
        <f t="array" ref="AB55">IF(AB$7=-1,AC55,IF(AB$7=99,AA55,IF(AB$7=0,INDEX($D55:$G55,0,AB$5),(INDEX($D55:$G55,0,AB$7+1)-INDEX($D55:$G55,0,AB$7))/(INDEX($D$4:$G$4,0,AB$7+1)-INDEX($D$4:$G$4,0,AB$7))+AA55)))</f>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IF(AP$7=-1,AQ55,IF(AP$7=99,AO55,IF(AP$7=0,INDEX($D55:$G55,0,AP$5),(INDEX($D55:$G55,0,AP$7+1)-INDEX($D55:$G55,0,AP$7))/(INDEX($D$4:$G$4,0,AP$7+1)-INDEX($D$4:$G$4,0,AP$7))+AO55)))</f>
        <v>1</v>
      </c>
    </row>
    <row r="56" spans="1:42">
      <c r="A56" t="s">
        <v>16</v>
      </c>
      <c r="B56" s="3" t="str">
        <f t="shared" si="82"/>
        <v>NM</v>
      </c>
      <c r="C56" s="3" t="str">
        <f t="shared" si="82"/>
        <v>N.M.M Products</v>
      </c>
      <c r="D56">
        <v>1</v>
      </c>
      <c r="E56">
        <v>1</v>
      </c>
      <c r="F56">
        <v>1</v>
      </c>
      <c r="G56">
        <v>1</v>
      </c>
      <c r="J56" cm="1">
        <f t="array" ref="J56">IF(J$7=-1,K56,IF(J$7=99,I56,IF(J$7=0,INDEX($D56:$G56,0,J$5),(INDEX($D56:$G56,0,J$7+1)-INDEX($D56:$G56,0,J$7))/(INDEX($D$4:$G$4,0,J$7+1)-INDEX($D$4:$G$4,0,J$7))+I56)))</f>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s="294">
        <f t="shared" ref="T56:AA56" si="85">IF(T$63=1,($AB56-$S56)/$AC$63+S56,$AB56)</f>
        <v>1</v>
      </c>
      <c r="U56" s="294">
        <f t="shared" si="85"/>
        <v>1</v>
      </c>
      <c r="V56" s="294">
        <f t="shared" si="85"/>
        <v>1</v>
      </c>
      <c r="W56" s="294">
        <f t="shared" si="85"/>
        <v>1</v>
      </c>
      <c r="X56" s="294">
        <f t="shared" si="85"/>
        <v>1</v>
      </c>
      <c r="Y56" s="294">
        <f t="shared" si="85"/>
        <v>1</v>
      </c>
      <c r="Z56" s="294">
        <f t="shared" si="85"/>
        <v>1</v>
      </c>
      <c r="AA56" s="294">
        <f t="shared" si="85"/>
        <v>1</v>
      </c>
      <c r="AB56" cm="1">
        <f t="array" ref="AB56">IF(AB$7=-1,AC56,IF(AB$7=99,AA56,IF(AB$7=0,INDEX($D56:$G56,0,AB$5),(INDEX($D56:$G56,0,AB$7+1)-INDEX($D56:$G56,0,AB$7))/(INDEX($D$4:$G$4,0,AB$7+1)-INDEX($D$4:$G$4,0,AB$7))+AA56)))</f>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IF(AP$7=-1,AQ56,IF(AP$7=99,AO56,IF(AP$7=0,INDEX($D56:$G56,0,AP$5),(INDEX($D56:$G56,0,AP$7+1)-INDEX($D56:$G56,0,AP$7))/(INDEX($D$4:$G$4,0,AP$7+1)-INDEX($D$4:$G$4,0,AP$7))+AO56)))</f>
        <v>1</v>
      </c>
    </row>
    <row r="57" spans="1:42">
      <c r="A57" t="s">
        <v>16</v>
      </c>
      <c r="B57" s="3" t="str">
        <f t="shared" si="82"/>
        <v>NM</v>
      </c>
      <c r="C57" s="3" t="str">
        <f t="shared" si="82"/>
        <v>N.M.M Products</v>
      </c>
      <c r="D57">
        <v>1</v>
      </c>
      <c r="E57">
        <v>1</v>
      </c>
      <c r="F57">
        <v>1</v>
      </c>
      <c r="G57">
        <v>1</v>
      </c>
      <c r="J57" cm="1">
        <f t="array" ref="J57">IF(J$7=-1,K57,IF(J$7=99,I57,IF(J$7=0,INDEX($D57:$G57,0,J$5),(INDEX($D57:$G57,0,J$7+1)-INDEX($D57:$G57,0,J$7))/(INDEX($D$4:$G$4,0,J$7+1)-INDEX($D$4:$G$4,0,J$7))+I57)))</f>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s="294">
        <f t="shared" ref="T57:AA57" si="86">IF(T$63=1,($AB57-$S57)/$AC$63+S57,$AB57)</f>
        <v>1</v>
      </c>
      <c r="U57" s="294">
        <f t="shared" si="86"/>
        <v>1</v>
      </c>
      <c r="V57" s="294">
        <f t="shared" si="86"/>
        <v>1</v>
      </c>
      <c r="W57" s="294">
        <f t="shared" si="86"/>
        <v>1</v>
      </c>
      <c r="X57" s="294">
        <f t="shared" si="86"/>
        <v>1</v>
      </c>
      <c r="Y57" s="294">
        <f t="shared" si="86"/>
        <v>1</v>
      </c>
      <c r="Z57" s="294">
        <f t="shared" si="86"/>
        <v>1</v>
      </c>
      <c r="AA57" s="294">
        <f t="shared" si="86"/>
        <v>1</v>
      </c>
      <c r="AB57" cm="1">
        <f t="array" ref="AB57">IF(AB$7=-1,AC57,IF(AB$7=99,AA57,IF(AB$7=0,INDEX($D57:$G57,0,AB$5),(INDEX($D57:$G57,0,AB$7+1)-INDEX($D57:$G57,0,AB$7))/(INDEX($D$4:$G$4,0,AB$7+1)-INDEX($D$4:$G$4,0,AB$7))+AA57)))</f>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IF(AP$7=-1,AQ57,IF(AP$7=99,AO57,IF(AP$7=0,INDEX($D57:$G57,0,AP$5),(INDEX($D57:$G57,0,AP$7+1)-INDEX($D57:$G57,0,AP$7))/(INDEX($D$4:$G$4,0,AP$7+1)-INDEX($D$4:$G$4,0,AP$7))+AO57)))</f>
        <v>1</v>
      </c>
    </row>
    <row r="58" spans="1:42">
      <c r="A58" t="s">
        <v>16</v>
      </c>
      <c r="B58" s="3" t="str">
        <f t="shared" si="82"/>
        <v>NM</v>
      </c>
      <c r="C58" s="3" t="str">
        <f t="shared" si="82"/>
        <v>N.M.M Products</v>
      </c>
      <c r="D58">
        <v>1</v>
      </c>
      <c r="E58">
        <v>1</v>
      </c>
      <c r="F58">
        <v>1</v>
      </c>
      <c r="G58">
        <v>1</v>
      </c>
      <c r="J58" cm="1">
        <f t="array" ref="J58">IF(J$7=-1,K58,IF(J$7=99,I58,IF(J$7=0,INDEX($D58:$G58,0,J$5),(INDEX($D58:$G58,0,J$7+1)-INDEX($D58:$G58,0,J$7))/(INDEX($D$4:$G$4,0,J$7+1)-INDEX($D$4:$G$4,0,J$7))+I58)))</f>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s="294">
        <f t="shared" ref="T58:AA58" si="87">IF(T$63=1,($AB58-$S58)/$AC$63+S58,$AB58)</f>
        <v>1</v>
      </c>
      <c r="U58" s="294">
        <f t="shared" si="87"/>
        <v>1</v>
      </c>
      <c r="V58" s="294">
        <f t="shared" si="87"/>
        <v>1</v>
      </c>
      <c r="W58" s="294">
        <f t="shared" si="87"/>
        <v>1</v>
      </c>
      <c r="X58" s="294">
        <f t="shared" si="87"/>
        <v>1</v>
      </c>
      <c r="Y58" s="294">
        <f t="shared" si="87"/>
        <v>1</v>
      </c>
      <c r="Z58" s="294">
        <f t="shared" si="87"/>
        <v>1</v>
      </c>
      <c r="AA58" s="294">
        <f t="shared" si="87"/>
        <v>1</v>
      </c>
      <c r="AB58" cm="1">
        <f t="array" ref="AB58">IF(AB$7=-1,AC58,IF(AB$7=99,AA58,IF(AB$7=0,INDEX($D58:$G58,0,AB$5),(INDEX($D58:$G58,0,AB$7+1)-INDEX($D58:$G58,0,AB$7))/(INDEX($D$4:$G$4,0,AB$7+1)-INDEX($D$4:$G$4,0,AB$7))+AA58)))</f>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IF(AP$7=-1,AQ58,IF(AP$7=99,AO58,IF(AP$7=0,INDEX($D58:$G58,0,AP$5),(INDEX($D58:$G58,0,AP$7+1)-INDEX($D58:$G58,0,AP$7))/(INDEX($D$4:$G$4,0,AP$7+1)-INDEX($D$4:$G$4,0,AP$7))+AO58)))</f>
        <v>1</v>
      </c>
    </row>
    <row r="59" spans="1:42">
      <c r="A59" t="s">
        <v>16</v>
      </c>
      <c r="B59" s="3" t="str">
        <f t="shared" si="82"/>
        <v>FB</v>
      </c>
      <c r="C59" s="3" t="str">
        <f t="shared" si="82"/>
        <v>Food, Beverage &amp; Tabacco</v>
      </c>
      <c r="D59">
        <v>1</v>
      </c>
      <c r="E59">
        <v>1</v>
      </c>
      <c r="F59">
        <v>1</v>
      </c>
      <c r="G59">
        <v>1</v>
      </c>
      <c r="J59" cm="1">
        <f t="array" ref="J59">IF(J$7=-1,K59,IF(J$7=99,I59,IF(J$7=0,INDEX($D59:$G59,0,J$5),(INDEX($D59:$G59,0,J$7+1)-INDEX($D59:$G59,0,J$7))/(INDEX($D$4:$G$4,0,J$7+1)-INDEX($D$4:$G$4,0,J$7))+I59)))</f>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s="189">
        <v>1.0229999999999999</v>
      </c>
      <c r="T59" s="294">
        <f t="shared" ref="T59:AA59" si="88">IF(T$63=1,($AB59-$S59)/$AC$63+S59,$AB59)</f>
        <v>1.01725</v>
      </c>
      <c r="U59" s="294">
        <f t="shared" si="88"/>
        <v>1.0115000000000001</v>
      </c>
      <c r="V59" s="294">
        <f t="shared" si="88"/>
        <v>1.0057500000000001</v>
      </c>
      <c r="W59" s="294">
        <f t="shared" si="88"/>
        <v>1.0000000000000002</v>
      </c>
      <c r="X59" s="294">
        <f t="shared" si="88"/>
        <v>1</v>
      </c>
      <c r="Y59" s="294">
        <f t="shared" si="88"/>
        <v>1</v>
      </c>
      <c r="Z59" s="294">
        <f t="shared" si="88"/>
        <v>1</v>
      </c>
      <c r="AA59" s="294">
        <f t="shared" si="88"/>
        <v>1</v>
      </c>
      <c r="AB59" cm="1">
        <f t="array" ref="AB59">IF(AB$7=-1,AC59,IF(AB$7=99,AA59,IF(AB$7=0,INDEX($D59:$G59,0,AB$5),(INDEX($D59:$G59,0,AB$7+1)-INDEX($D59:$G59,0,AB$7))/(INDEX($D$4:$G$4,0,AB$7+1)-INDEX($D$4:$G$4,0,AB$7))+AA59)))</f>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IF(AP$7=-1,AQ59,IF(AP$7=99,AO59,IF(AP$7=0,INDEX($D59:$G59,0,AP$5),(INDEX($D59:$G59,0,AP$7+1)-INDEX($D59:$G59,0,AP$7))/(INDEX($D$4:$G$4,0,AP$7+1)-INDEX($D$4:$G$4,0,AP$7))+AO59)))</f>
        <v>1</v>
      </c>
    </row>
    <row r="60" spans="1:42">
      <c r="A60" t="s">
        <v>16</v>
      </c>
      <c r="B60" s="3" t="str">
        <f t="shared" si="82"/>
        <v>PP</v>
      </c>
      <c r="C60" s="3" t="str">
        <f t="shared" si="82"/>
        <v>Pulp &amp; Paper Products</v>
      </c>
      <c r="D60">
        <v>1</v>
      </c>
      <c r="E60">
        <v>1</v>
      </c>
      <c r="F60">
        <v>1</v>
      </c>
      <c r="G60">
        <v>1</v>
      </c>
      <c r="J60" cm="1">
        <f t="array" ref="J60">IF(J$7=-1,K60,IF(J$7=99,I60,IF(J$7=0,INDEX($D60:$G60,0,J$5),(INDEX($D60:$G60,0,J$7+1)-INDEX($D60:$G60,0,J$7))/(INDEX($D$4:$G$4,0,J$7+1)-INDEX($D$4:$G$4,0,J$7))+I60)))</f>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s="294">
        <f t="shared" ref="T60:AA60" si="89">IF(T$63=1,($AB60-$S60)/$AC$63+S60,$AB60)</f>
        <v>1</v>
      </c>
      <c r="U60" s="294">
        <f t="shared" si="89"/>
        <v>1</v>
      </c>
      <c r="V60" s="294">
        <f t="shared" si="89"/>
        <v>1</v>
      </c>
      <c r="W60" s="294">
        <f t="shared" si="89"/>
        <v>1</v>
      </c>
      <c r="X60" s="294">
        <f t="shared" si="89"/>
        <v>1</v>
      </c>
      <c r="Y60" s="294">
        <f t="shared" si="89"/>
        <v>1</v>
      </c>
      <c r="Z60" s="294">
        <f t="shared" si="89"/>
        <v>1</v>
      </c>
      <c r="AA60" s="294">
        <f t="shared" si="89"/>
        <v>1</v>
      </c>
      <c r="AB60" cm="1">
        <f t="array" ref="AB60">IF(AB$7=-1,AC60,IF(AB$7=99,AA60,IF(AB$7=0,INDEX($D60:$G60,0,AB$5),(INDEX($D60:$G60,0,AB$7+1)-INDEX($D60:$G60,0,AB$7))/(INDEX($D$4:$G$4,0,AB$7+1)-INDEX($D$4:$G$4,0,AB$7))+AA60)))</f>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IF(AP$7=-1,AQ60,IF(AP$7=99,AO60,IF(AP$7=0,INDEX($D60:$G60,0,AP$5),(INDEX($D60:$G60,0,AP$7+1)-INDEX($D60:$G60,0,AP$7))/(INDEX($D$4:$G$4,0,AP$7+1)-INDEX($D$4:$G$4,0,AP$7))+AO60)))</f>
        <v>1</v>
      </c>
    </row>
    <row r="61" spans="1:42">
      <c r="A61" t="s">
        <v>16</v>
      </c>
      <c r="B61" s="3" t="str">
        <f t="shared" si="82"/>
        <v>PP</v>
      </c>
      <c r="C61" s="3" t="str">
        <f t="shared" si="82"/>
        <v>Pulp &amp; Paper Products</v>
      </c>
      <c r="D61">
        <v>1</v>
      </c>
      <c r="E61">
        <v>1</v>
      </c>
      <c r="F61">
        <v>1</v>
      </c>
      <c r="G61">
        <v>1</v>
      </c>
      <c r="J61" cm="1">
        <f t="array" ref="J61">IF(J$7=-1,K61,IF(J$7=99,I61,IF(J$7=0,INDEX($D61:$G61,0,J$5),(INDEX($D61:$G61,0,J$7+1)-INDEX($D61:$G61,0,J$7))/(INDEX($D$4:$G$4,0,J$7+1)-INDEX($D$4:$G$4,0,J$7))+I61)))</f>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s="294">
        <f t="shared" ref="T61:AA61" si="90">IF(T$63=1,($AB61-$S61)/$AC$63+S61,$AB61)</f>
        <v>1</v>
      </c>
      <c r="U61" s="294">
        <f t="shared" si="90"/>
        <v>1</v>
      </c>
      <c r="V61" s="294">
        <f t="shared" si="90"/>
        <v>1</v>
      </c>
      <c r="W61" s="294">
        <f t="shared" si="90"/>
        <v>1</v>
      </c>
      <c r="X61" s="294">
        <f t="shared" si="90"/>
        <v>1</v>
      </c>
      <c r="Y61" s="294">
        <f t="shared" si="90"/>
        <v>1</v>
      </c>
      <c r="Z61" s="294">
        <f t="shared" si="90"/>
        <v>1</v>
      </c>
      <c r="AA61" s="294">
        <f t="shared" si="90"/>
        <v>1</v>
      </c>
      <c r="AB61" cm="1">
        <f t="array" ref="AB61">IF(AB$7=-1,AC61,IF(AB$7=99,AA61,IF(AB$7=0,INDEX($D61:$G61,0,AB$5),(INDEX($D61:$G61,0,AB$7+1)-INDEX($D61:$G61,0,AB$7))/(INDEX($D$4:$G$4,0,AB$7+1)-INDEX($D$4:$G$4,0,AB$7))+AA61)))</f>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IF(AP$7=-1,AQ61,IF(AP$7=99,AO61,IF(AP$7=0,INDEX($D61:$G61,0,AP$5),(INDEX($D61:$G61,0,AP$7+1)-INDEX($D61:$G61,0,AP$7))/(INDEX($D$4:$G$4,0,AP$7+1)-INDEX($D$4:$G$4,0,AP$7))+AO61)))</f>
        <v>1</v>
      </c>
    </row>
    <row r="62" spans="1:42">
      <c r="A62" t="s">
        <v>16</v>
      </c>
      <c r="B62" s="3" t="str">
        <f t="shared" si="82"/>
        <v>OT</v>
      </c>
      <c r="C62" s="3" t="str">
        <f t="shared" si="82"/>
        <v>Other</v>
      </c>
      <c r="D62">
        <v>1</v>
      </c>
      <c r="E62">
        <v>1</v>
      </c>
      <c r="F62">
        <v>1</v>
      </c>
      <c r="G62">
        <v>1</v>
      </c>
      <c r="J62" cm="1">
        <f t="array" ref="J62">IF(J$7=-1,K62,IF(J$7=99,I62,IF(J$7=0,INDEX($D62:$G62,0,J$5),(INDEX($D62:$G62,0,J$7+1)-INDEX($D62:$G62,0,J$7))/(INDEX($D$4:$G$4,0,J$7+1)-INDEX($D$4:$G$4,0,J$7))+I62)))</f>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s="294">
        <f t="shared" ref="T62:AA62" si="91">IF(T$63=1,($AB62-$S62)/$AC$63+S62,$AB62)</f>
        <v>1</v>
      </c>
      <c r="U62" s="294">
        <f t="shared" si="91"/>
        <v>1</v>
      </c>
      <c r="V62" s="294">
        <f t="shared" si="91"/>
        <v>1</v>
      </c>
      <c r="W62" s="294">
        <f t="shared" si="91"/>
        <v>1</v>
      </c>
      <c r="X62" s="294">
        <f t="shared" si="91"/>
        <v>1</v>
      </c>
      <c r="Y62" s="294">
        <f t="shared" si="91"/>
        <v>1</v>
      </c>
      <c r="Z62" s="294">
        <f t="shared" si="91"/>
        <v>1</v>
      </c>
      <c r="AA62" s="294">
        <f t="shared" si="91"/>
        <v>1</v>
      </c>
      <c r="AB62" cm="1">
        <f t="array" ref="AB62">IF(AB$7=-1,AC62,IF(AB$7=99,AA62,IF(AB$7=0,INDEX($D62:$G62,0,AB$5),(INDEX($D62:$G62,0,AB$7+1)-INDEX($D62:$G62,0,AB$7))/(INDEX($D$4:$G$4,0,AB$7+1)-INDEX($D$4:$G$4,0,AB$7))+AA62)))</f>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IF(AP$7=-1,AQ62,IF(AP$7=99,AO62,IF(AP$7=0,INDEX($D62:$G62,0,AP$5),(INDEX($D62:$G62,0,AP$7+1)-INDEX($D62:$G62,0,AP$7))/(INDEX($D$4:$G$4,0,AP$7+1)-INDEX($D$4:$G$4,0,AP$7))+AO62)))</f>
        <v>1</v>
      </c>
    </row>
    <row r="63" spans="1:42">
      <c r="A63" t="s">
        <v>16</v>
      </c>
      <c r="B63" s="3"/>
      <c r="T63" s="295">
        <f t="shared" ref="T63:AB63" si="92">IF(T3&lt;=$X$45,1,0)</f>
        <v>1</v>
      </c>
      <c r="U63" s="295">
        <f t="shared" si="92"/>
        <v>1</v>
      </c>
      <c r="V63" s="295">
        <f t="shared" si="92"/>
        <v>1</v>
      </c>
      <c r="W63" s="295">
        <f t="shared" si="92"/>
        <v>1</v>
      </c>
      <c r="X63" s="295">
        <f t="shared" si="92"/>
        <v>0</v>
      </c>
      <c r="Y63" s="295">
        <f t="shared" si="92"/>
        <v>0</v>
      </c>
      <c r="Z63" s="295">
        <f t="shared" si="92"/>
        <v>0</v>
      </c>
      <c r="AA63" s="295">
        <f t="shared" si="92"/>
        <v>0</v>
      </c>
      <c r="AB63" s="295">
        <f t="shared" si="92"/>
        <v>0</v>
      </c>
      <c r="AC63" s="295">
        <f>SUM(T63:AB63)</f>
        <v>4</v>
      </c>
    </row>
    <row r="64" spans="1:42" ht="15.75" thickBot="1">
      <c r="A64" t="s">
        <v>16</v>
      </c>
      <c r="B64" s="9" t="s">
        <v>289</v>
      </c>
      <c r="C64" s="9"/>
    </row>
    <row r="65" spans="1:48">
      <c r="A65" t="s">
        <v>16</v>
      </c>
      <c r="B65" s="3" t="s">
        <v>107</v>
      </c>
      <c r="C65" s="3" t="s">
        <v>108</v>
      </c>
    </row>
    <row r="66" spans="1:48">
      <c r="A66" t="s">
        <v>16</v>
      </c>
      <c r="B66" s="3" t="s">
        <v>109</v>
      </c>
      <c r="C66" s="3" t="s">
        <v>110</v>
      </c>
    </row>
    <row r="67" spans="1:48">
      <c r="A67" t="s">
        <v>16</v>
      </c>
      <c r="B67" s="3" t="s">
        <v>111</v>
      </c>
      <c r="C67" s="3" t="s">
        <v>73</v>
      </c>
    </row>
    <row r="68" spans="1:48">
      <c r="A68" t="s">
        <v>16</v>
      </c>
      <c r="B68" s="3" t="s">
        <v>112</v>
      </c>
      <c r="C68" s="3" t="s">
        <v>72</v>
      </c>
    </row>
    <row r="69" spans="1:48">
      <c r="A69" t="s">
        <v>16</v>
      </c>
      <c r="B69" s="3" t="s">
        <v>113</v>
      </c>
      <c r="C69" s="3" t="s">
        <v>114</v>
      </c>
    </row>
    <row r="70" spans="1:48">
      <c r="A70" t="s">
        <v>16</v>
      </c>
      <c r="B70" s="3" t="s">
        <v>115</v>
      </c>
      <c r="C70" s="3" t="s">
        <v>116</v>
      </c>
    </row>
    <row r="71" spans="1:48">
      <c r="A71" t="s">
        <v>16</v>
      </c>
      <c r="B71" s="3" t="s">
        <v>117</v>
      </c>
      <c r="C71" s="3" t="s">
        <v>118</v>
      </c>
    </row>
    <row r="72" spans="1:48">
      <c r="A72" t="s">
        <v>16</v>
      </c>
      <c r="B72" s="3" t="s">
        <v>119</v>
      </c>
      <c r="C72" s="3" t="s">
        <v>120</v>
      </c>
    </row>
    <row r="73" spans="1:48">
      <c r="A73" t="s">
        <v>16</v>
      </c>
      <c r="B73" s="3" t="s">
        <v>37</v>
      </c>
      <c r="C73" s="3" t="s">
        <v>121</v>
      </c>
    </row>
    <row r="74" spans="1:48">
      <c r="A74" t="s">
        <v>16</v>
      </c>
      <c r="B74" s="3" t="s">
        <v>122</v>
      </c>
      <c r="C74" s="3" t="s">
        <v>123</v>
      </c>
    </row>
    <row r="75" spans="1:48">
      <c r="A75" t="s">
        <v>16</v>
      </c>
      <c r="B75" s="3" t="s">
        <v>221</v>
      </c>
      <c r="C75" s="3" t="s">
        <v>220</v>
      </c>
    </row>
    <row r="76" spans="1:48">
      <c r="A76" t="s">
        <v>16</v>
      </c>
      <c r="B76" s="3" t="s">
        <v>124</v>
      </c>
      <c r="C76" s="3" t="s">
        <v>2</v>
      </c>
      <c r="P76" t="str">
        <f>ADDRESS(ROW(),1)</f>
        <v>$A$76</v>
      </c>
    </row>
    <row r="77" spans="1:48">
      <c r="A77" t="s">
        <v>16</v>
      </c>
      <c r="B77" s="3"/>
      <c r="C77" s="3"/>
      <c r="P77" t="str" cm="1">
        <f t="array" aca="1" ref="P77" ca="1">INDIRECT(P76)</f>
        <v>*</v>
      </c>
    </row>
    <row r="78" spans="1:48" ht="23.25">
      <c r="A78" t="s">
        <v>16</v>
      </c>
      <c r="B78" s="10" t="s">
        <v>18</v>
      </c>
      <c r="C78" s="10" t="s">
        <v>19</v>
      </c>
      <c r="D78" s="10" t="s">
        <v>20</v>
      </c>
      <c r="E78" s="10" t="s">
        <v>21</v>
      </c>
      <c r="F78" s="10" t="s">
        <v>22</v>
      </c>
      <c r="G78" s="10" t="s">
        <v>23</v>
      </c>
      <c r="H78" s="10" t="s">
        <v>24</v>
      </c>
      <c r="I78" s="11" t="s">
        <v>25</v>
      </c>
      <c r="J78" s="2">
        <f t="shared" ref="J78:AP78" si="93">J3</f>
        <v>2012</v>
      </c>
      <c r="K78" s="2">
        <f t="shared" si="93"/>
        <v>2013</v>
      </c>
      <c r="L78" s="2">
        <f t="shared" si="93"/>
        <v>2014</v>
      </c>
      <c r="M78" s="2">
        <f t="shared" si="93"/>
        <v>2015</v>
      </c>
      <c r="N78" s="2">
        <f t="shared" si="93"/>
        <v>2016</v>
      </c>
      <c r="O78" s="2">
        <f t="shared" si="93"/>
        <v>2017</v>
      </c>
      <c r="P78" s="2">
        <f t="shared" si="93"/>
        <v>2018</v>
      </c>
      <c r="Q78" s="2">
        <f t="shared" si="93"/>
        <v>2019</v>
      </c>
      <c r="R78" s="2">
        <f t="shared" si="93"/>
        <v>2020</v>
      </c>
      <c r="S78" s="2">
        <f t="shared" si="93"/>
        <v>2021</v>
      </c>
      <c r="T78" s="2">
        <f t="shared" si="93"/>
        <v>2022</v>
      </c>
      <c r="U78" s="2">
        <f t="shared" si="93"/>
        <v>2023</v>
      </c>
      <c r="V78" s="2">
        <f t="shared" si="93"/>
        <v>2024</v>
      </c>
      <c r="W78" s="2">
        <f t="shared" si="93"/>
        <v>2025</v>
      </c>
      <c r="X78" s="2">
        <f t="shared" si="93"/>
        <v>2026</v>
      </c>
      <c r="Y78" s="2">
        <f t="shared" si="93"/>
        <v>2027</v>
      </c>
      <c r="Z78" s="2">
        <f t="shared" si="93"/>
        <v>2028</v>
      </c>
      <c r="AA78" s="2">
        <f t="shared" si="93"/>
        <v>2029</v>
      </c>
      <c r="AB78" s="2">
        <f t="shared" si="93"/>
        <v>2030</v>
      </c>
      <c r="AC78" s="2">
        <f t="shared" si="93"/>
        <v>2031</v>
      </c>
      <c r="AD78" s="2">
        <f t="shared" si="93"/>
        <v>2032</v>
      </c>
      <c r="AE78" s="2">
        <f t="shared" si="93"/>
        <v>2033</v>
      </c>
      <c r="AF78" s="2">
        <f t="shared" si="93"/>
        <v>2034</v>
      </c>
      <c r="AG78" s="2">
        <f t="shared" si="93"/>
        <v>2035</v>
      </c>
      <c r="AH78" s="2">
        <f t="shared" si="93"/>
        <v>2036</v>
      </c>
      <c r="AI78" s="2">
        <f t="shared" si="93"/>
        <v>2037</v>
      </c>
      <c r="AJ78" s="2">
        <f t="shared" si="93"/>
        <v>2038</v>
      </c>
      <c r="AK78" s="2">
        <f t="shared" si="93"/>
        <v>2039</v>
      </c>
      <c r="AL78" s="2">
        <f t="shared" si="93"/>
        <v>2040</v>
      </c>
      <c r="AM78" s="2">
        <f t="shared" si="93"/>
        <v>2045</v>
      </c>
      <c r="AN78" s="2">
        <f t="shared" si="93"/>
        <v>2050</v>
      </c>
      <c r="AO78" s="2">
        <f t="shared" si="93"/>
        <v>2060</v>
      </c>
      <c r="AP78" s="2">
        <f t="shared" si="93"/>
        <v>2070</v>
      </c>
      <c r="AQ78" s="2"/>
      <c r="AR78" s="2"/>
      <c r="AS78" s="2"/>
      <c r="AT78" s="2"/>
      <c r="AU78" s="2"/>
      <c r="AV78" s="2"/>
    </row>
    <row r="79" spans="1:48" s="2" customFormat="1">
      <c r="A79" s="2" t="s">
        <v>16</v>
      </c>
      <c r="B79" s="2">
        <v>1</v>
      </c>
      <c r="C79" s="1" t="str">
        <f ca="1">OFFSET($C$9,$B79,0)</f>
        <v>Mining</v>
      </c>
      <c r="D79" s="1" t="str">
        <f ca="1">OFFSET($B$9,$B79,0)</f>
        <v>MI</v>
      </c>
      <c r="J79" s="2">
        <f t="shared" ref="J79:AP79" ca="1" si="94">SUMIF($B$10:$B$25,$D79,J$10:J$25)*SUMIF($B$10:$B$25,$D79,J$47:J$62)</f>
        <v>186.51301855651582</v>
      </c>
      <c r="K79" s="2">
        <f t="shared" ca="1" si="94"/>
        <v>191.72764997425244</v>
      </c>
      <c r="L79" s="2">
        <f t="shared" ca="1" si="94"/>
        <v>193.25080325111884</v>
      </c>
      <c r="M79" s="2">
        <f t="shared" ca="1" si="94"/>
        <v>199.99778725841253</v>
      </c>
      <c r="N79" s="2">
        <f t="shared" ca="1" si="94"/>
        <v>197.80224330122689</v>
      </c>
      <c r="O79" s="2">
        <f t="shared" ca="1" si="94"/>
        <v>204.56882730948811</v>
      </c>
      <c r="P79" s="2">
        <f t="shared" ca="1" si="94"/>
        <v>203.94770491309214</v>
      </c>
      <c r="Q79" s="2">
        <f t="shared" ca="1" si="94"/>
        <v>201.87293671790277</v>
      </c>
      <c r="R79" s="2">
        <f t="shared" ca="1" si="94"/>
        <v>194.31413122982036</v>
      </c>
      <c r="S79" s="2">
        <f t="shared" ca="1" si="94"/>
        <v>212.19336008476824</v>
      </c>
      <c r="T79" s="2">
        <f t="shared" ca="1" si="94"/>
        <v>214.4658607966883</v>
      </c>
      <c r="U79" s="2">
        <f t="shared" ca="1" si="94"/>
        <v>216.72711348391687</v>
      </c>
      <c r="V79" s="2">
        <f t="shared" ca="1" si="94"/>
        <v>219.04169063176016</v>
      </c>
      <c r="W79" s="2">
        <f t="shared" ca="1" si="94"/>
        <v>220.98856887964331</v>
      </c>
      <c r="X79" s="2">
        <f t="shared" ca="1" si="94"/>
        <v>223.75442366692627</v>
      </c>
      <c r="Y79" s="2">
        <f t="shared" ca="1" si="94"/>
        <v>226.4234197262499</v>
      </c>
      <c r="Z79" s="2">
        <f t="shared" ca="1" si="94"/>
        <v>233.16048235986526</v>
      </c>
      <c r="AA79" s="2">
        <f t="shared" ca="1" si="94"/>
        <v>238.74600233885303</v>
      </c>
      <c r="AB79" s="2">
        <f t="shared" ca="1" si="94"/>
        <v>242.07148533212325</v>
      </c>
      <c r="AC79" s="2">
        <f t="shared" ca="1" si="94"/>
        <v>245.14944046505292</v>
      </c>
      <c r="AD79" s="2">
        <f t="shared" ca="1" si="94"/>
        <v>247.52786034049859</v>
      </c>
      <c r="AE79" s="2">
        <f t="shared" ca="1" si="94"/>
        <v>250.53048090723766</v>
      </c>
      <c r="AF79" s="2">
        <f t="shared" ca="1" si="94"/>
        <v>253.29633569452065</v>
      </c>
      <c r="AG79" s="2">
        <f t="shared" ca="1" si="94"/>
        <v>260.95893728419168</v>
      </c>
      <c r="AH79" s="2">
        <f t="shared" ca="1" si="94"/>
        <v>269.08430835189068</v>
      </c>
      <c r="AI79" s="2">
        <f t="shared" ca="1" si="94"/>
        <v>271.34434533760833</v>
      </c>
      <c r="AJ79" s="2">
        <f t="shared" ca="1" si="94"/>
        <v>274.22858301461935</v>
      </c>
      <c r="AK79" s="2">
        <f t="shared" ca="1" si="94"/>
        <v>274.26086925727247</v>
      </c>
      <c r="AL79" s="2">
        <f t="shared" ca="1" si="94"/>
        <v>277.68321097850196</v>
      </c>
      <c r="AM79" s="2">
        <f t="shared" ca="1" si="94"/>
        <v>284.78618436218585</v>
      </c>
      <c r="AN79" s="2">
        <f t="shared" ca="1" si="94"/>
        <v>281.62213258218122</v>
      </c>
      <c r="AO79" s="2">
        <f t="shared" ca="1" si="94"/>
        <v>287.27222504647523</v>
      </c>
      <c r="AP79" s="2">
        <f t="shared" ca="1" si="94"/>
        <v>291.21114665015455</v>
      </c>
    </row>
    <row r="80" spans="1:48">
      <c r="A80" s="48" t="str">
        <f>'[4]TS BYDem'!A10</f>
        <v/>
      </c>
      <c r="B80" t="s">
        <v>288</v>
      </c>
      <c r="C80" t="s">
        <v>137</v>
      </c>
      <c r="D80" s="3" t="str">
        <f>'[4]TS BYDem'!D10</f>
        <v>IMIK</v>
      </c>
      <c r="E80" t="s">
        <v>137</v>
      </c>
      <c r="F80" t="s">
        <v>137</v>
      </c>
      <c r="G80" t="s">
        <v>137</v>
      </c>
      <c r="H80" t="s">
        <v>137</v>
      </c>
      <c r="I80">
        <v>0</v>
      </c>
      <c r="J80">
        <f>INDEX('[4]TS BYDem'!$J$10:$J$203,MATCH(D80,'[4]TS BYDem'!$D$10:$D$203,0))</f>
        <v>2.1376388478991801</v>
      </c>
      <c r="K80">
        <f t="shared" ref="K80:Z95" ca="1" si="95">K$79/J$79*J80</f>
        <v>2.1974041060152065</v>
      </c>
      <c r="L80">
        <f t="shared" ca="1" si="95"/>
        <v>2.2148610730469636</v>
      </c>
      <c r="M80" s="171">
        <f>O80</f>
        <v>1.5483671599004531</v>
      </c>
      <c r="N80" s="171">
        <f>O80</f>
        <v>1.5483671599004531</v>
      </c>
      <c r="O80" s="171">
        <f>INDEX('[4]TS BYDem'!$O$10:$O$203,MATCH(D80,'[4]TS BYDem'!$D$10:$D$203,0))</f>
        <v>1.5483671599004531</v>
      </c>
      <c r="P80">
        <f t="shared" ca="1" si="95"/>
        <v>1.5436659278823255</v>
      </c>
      <c r="Q80">
        <f t="shared" ca="1" si="95"/>
        <v>1.527962152384913</v>
      </c>
      <c r="R80">
        <f t="shared" ca="1" si="95"/>
        <v>1.4707500818082182</v>
      </c>
      <c r="S80">
        <f t="shared" ca="1" si="95"/>
        <v>1.6060767157213311</v>
      </c>
      <c r="T80">
        <f t="shared" ca="1" si="95"/>
        <v>1.6232771148215523</v>
      </c>
      <c r="U80">
        <f t="shared" ca="1" si="95"/>
        <v>1.6403923784088259</v>
      </c>
      <c r="V80">
        <f t="shared" ca="1" si="95"/>
        <v>1.6579112511125087</v>
      </c>
      <c r="W80">
        <f t="shared" ca="1" si="95"/>
        <v>1.6726470365349193</v>
      </c>
      <c r="X80">
        <f t="shared" ca="1" si="95"/>
        <v>1.6935815981590294</v>
      </c>
      <c r="Y80">
        <f t="shared" ca="1" si="95"/>
        <v>1.7137830428391043</v>
      </c>
      <c r="Z80">
        <f t="shared" ca="1" si="95"/>
        <v>1.7647753991686488</v>
      </c>
      <c r="AA80">
        <f t="shared" ref="AA80:AP95" ca="1" si="96">AA$79/Z$79*Z80</f>
        <v>1.8070518096079993</v>
      </c>
      <c r="AB80">
        <f t="shared" ca="1" si="96"/>
        <v>1.832222158019867</v>
      </c>
      <c r="AC80">
        <f t="shared" ca="1" si="96"/>
        <v>1.855518985352534</v>
      </c>
      <c r="AD80">
        <f t="shared" ca="1" si="96"/>
        <v>1.8735210792005041</v>
      </c>
      <c r="AE80">
        <f t="shared" ca="1" si="96"/>
        <v>1.8962477044655883</v>
      </c>
      <c r="AF80">
        <f t="shared" ca="1" si="96"/>
        <v>1.9171822660896984</v>
      </c>
      <c r="AG80">
        <f t="shared" ca="1" si="96"/>
        <v>1.9751799621066874</v>
      </c>
      <c r="AH80">
        <f t="shared" ca="1" si="96"/>
        <v>2.0366803279674</v>
      </c>
      <c r="AI80">
        <f t="shared" ca="1" si="96"/>
        <v>2.0537863899948832</v>
      </c>
      <c r="AJ80">
        <f t="shared" ca="1" si="96"/>
        <v>2.0756169834394802</v>
      </c>
      <c r="AK80">
        <f t="shared" ca="1" si="96"/>
        <v>2.0758613557541588</v>
      </c>
      <c r="AL80">
        <f t="shared" ca="1" si="96"/>
        <v>2.1017648211100615</v>
      </c>
      <c r="AM80">
        <f t="shared" ca="1" si="96"/>
        <v>2.1555267303392935</v>
      </c>
      <c r="AN80">
        <f t="shared" ca="1" si="96"/>
        <v>2.1315782435008175</v>
      </c>
      <c r="AO80">
        <f t="shared" ca="1" si="96"/>
        <v>2.1743433985695249</v>
      </c>
      <c r="AP80">
        <f t="shared" ca="1" si="96"/>
        <v>2.2041568209602813</v>
      </c>
    </row>
    <row r="81" spans="1:42">
      <c r="A81" s="48" t="str">
        <f>'[4]TS BYDem'!A11</f>
        <v/>
      </c>
      <c r="B81" t="s">
        <v>288</v>
      </c>
      <c r="C81" t="s">
        <v>137</v>
      </c>
      <c r="D81" s="3" t="str">
        <f>'[4]TS BYDem'!D11</f>
        <v>IMIA</v>
      </c>
      <c r="E81" t="s">
        <v>137</v>
      </c>
      <c r="F81" t="s">
        <v>137</v>
      </c>
      <c r="G81" t="s">
        <v>137</v>
      </c>
      <c r="H81" t="s">
        <v>137</v>
      </c>
      <c r="I81">
        <v>0</v>
      </c>
      <c r="J81">
        <f>INDEX('[4]TS BYDem'!$J$10:$J$203,MATCH(D81,'[4]TS BYDem'!$D$10:$D$203,0))</f>
        <v>0.99318058118269725</v>
      </c>
      <c r="K81">
        <f t="shared" ca="1" si="95"/>
        <v>1.0209484587400051</v>
      </c>
      <c r="L81">
        <f t="shared" ca="1" si="95"/>
        <v>1.0290592397914098</v>
      </c>
      <c r="M81" s="171">
        <f t="shared" ref="M81:M88" si="97">O81</f>
        <v>0.71939570019765287</v>
      </c>
      <c r="N81" s="171">
        <f t="shared" ref="N81:N90" si="98">O81</f>
        <v>0.71939570019765287</v>
      </c>
      <c r="O81" s="171">
        <f>INDEX('[4]TS BYDem'!$O$10:$O$203,MATCH(D81,'[4]TS BYDem'!$D$10:$D$203,0))</f>
        <v>0.71939570019765287</v>
      </c>
      <c r="P81">
        <f t="shared" ca="1" si="95"/>
        <v>0.71721143396735509</v>
      </c>
      <c r="Q81">
        <f t="shared" ca="1" si="95"/>
        <v>0.70991521323736095</v>
      </c>
      <c r="R81">
        <f t="shared" ca="1" si="95"/>
        <v>0.68333358670962907</v>
      </c>
      <c r="S81">
        <f t="shared" ca="1" si="95"/>
        <v>0.74620846618303138</v>
      </c>
      <c r="T81">
        <f t="shared" ca="1" si="95"/>
        <v>0.75420004174394573</v>
      </c>
      <c r="U81">
        <f t="shared" ca="1" si="95"/>
        <v>0.7621520620084582</v>
      </c>
      <c r="V81">
        <f t="shared" ca="1" si="95"/>
        <v>0.77029160540729247</v>
      </c>
      <c r="W81">
        <f t="shared" ca="1" si="95"/>
        <v>0.77713808274578045</v>
      </c>
      <c r="X81">
        <f t="shared" ca="1" si="95"/>
        <v>0.7868646088617669</v>
      </c>
      <c r="Y81">
        <f t="shared" ca="1" si="95"/>
        <v>0.79625051733166818</v>
      </c>
      <c r="Z81">
        <f t="shared" ca="1" si="95"/>
        <v>0.81994236693714506</v>
      </c>
      <c r="AA81">
        <f t="shared" ca="1" si="96"/>
        <v>0.83958465119472081</v>
      </c>
      <c r="AB81">
        <f t="shared" ca="1" si="96"/>
        <v>0.85127919037697697</v>
      </c>
      <c r="AC81">
        <f t="shared" ca="1" si="96"/>
        <v>0.86210326224145983</v>
      </c>
      <c r="AD81">
        <f t="shared" ca="1" si="96"/>
        <v>0.87046731777310582</v>
      </c>
      <c r="AE81">
        <f t="shared" ca="1" si="96"/>
        <v>0.88102646480174462</v>
      </c>
      <c r="AF81">
        <f t="shared" ca="1" si="96"/>
        <v>0.89075299091773108</v>
      </c>
      <c r="AG81">
        <f t="shared" ca="1" si="96"/>
        <v>0.91769963136357646</v>
      </c>
      <c r="AH81">
        <f t="shared" ca="1" si="96"/>
        <v>0.94627366722960682</v>
      </c>
      <c r="AI81">
        <f t="shared" ca="1" si="96"/>
        <v>0.95422141230492674</v>
      </c>
      <c r="AJ81">
        <f t="shared" ca="1" si="96"/>
        <v>0.96436424887723937</v>
      </c>
      <c r="AK81">
        <f t="shared" ca="1" si="96"/>
        <v>0.96447778809260121</v>
      </c>
      <c r="AL81">
        <f t="shared" ca="1" si="96"/>
        <v>0.97651294492094232</v>
      </c>
      <c r="AM81">
        <f t="shared" ca="1" si="96"/>
        <v>1.0014915723005184</v>
      </c>
      <c r="AN81">
        <f t="shared" ca="1" si="96"/>
        <v>0.9903647291950709</v>
      </c>
      <c r="AO81">
        <f t="shared" ca="1" si="96"/>
        <v>1.0102340918833701</v>
      </c>
      <c r="AP81">
        <f t="shared" ca="1" si="96"/>
        <v>1.0240858761574989</v>
      </c>
    </row>
    <row r="82" spans="1:42">
      <c r="A82" s="48" t="str">
        <f>'[4]TS BYDem'!A12</f>
        <v/>
      </c>
      <c r="B82" t="s">
        <v>288</v>
      </c>
      <c r="C82" t="s">
        <v>137</v>
      </c>
      <c r="D82" s="3" t="str">
        <f>'[4]TS BYDem'!D12</f>
        <v>IMIL</v>
      </c>
      <c r="E82" t="s">
        <v>137</v>
      </c>
      <c r="F82" t="s">
        <v>137</v>
      </c>
      <c r="G82" t="s">
        <v>137</v>
      </c>
      <c r="H82" t="s">
        <v>137</v>
      </c>
      <c r="I82">
        <v>0</v>
      </c>
      <c r="J82">
        <f>INDEX('[4]TS BYDem'!$J$10:$J$203,MATCH(D82,'[4]TS BYDem'!$D$10:$D$203,0))</f>
        <v>1.4429062223319464</v>
      </c>
      <c r="K82">
        <f t="shared" ca="1" si="95"/>
        <v>1.4832477715602643</v>
      </c>
      <c r="L82">
        <f t="shared" ca="1" si="95"/>
        <v>1.4950312243067001</v>
      </c>
      <c r="M82" s="171">
        <f t="shared" si="97"/>
        <v>1.0451478329328059</v>
      </c>
      <c r="N82" s="171">
        <f t="shared" si="98"/>
        <v>1.0451478329328059</v>
      </c>
      <c r="O82" s="171">
        <f>INDEX('[4]TS BYDem'!$O$10:$O$203,MATCH(D82,'[4]TS BYDem'!$D$10:$D$203,0))</f>
        <v>1.0451478329328059</v>
      </c>
      <c r="P82">
        <f t="shared" ca="1" si="95"/>
        <v>1.0419745013205697</v>
      </c>
      <c r="Q82">
        <f t="shared" ca="1" si="95"/>
        <v>1.0313744528598161</v>
      </c>
      <c r="R82">
        <f t="shared" ca="1" si="95"/>
        <v>0.99275630522054714</v>
      </c>
      <c r="S82">
        <f t="shared" ca="1" si="95"/>
        <v>1.0841017831118982</v>
      </c>
      <c r="T82">
        <f t="shared" ca="1" si="95"/>
        <v>1.0957120525045476</v>
      </c>
      <c r="U82">
        <f t="shared" ca="1" si="95"/>
        <v>1.1072648554259572</v>
      </c>
      <c r="V82">
        <f t="shared" ca="1" si="95"/>
        <v>1.119090094500943</v>
      </c>
      <c r="W82">
        <f t="shared" ca="1" si="95"/>
        <v>1.12903674966107</v>
      </c>
      <c r="X82">
        <f t="shared" ca="1" si="95"/>
        <v>1.1431675787573443</v>
      </c>
      <c r="Y82">
        <f t="shared" ca="1" si="95"/>
        <v>1.1568035539163948</v>
      </c>
      <c r="Z82">
        <f t="shared" ca="1" si="95"/>
        <v>1.1912233944388373</v>
      </c>
      <c r="AA82">
        <f t="shared" ca="1" si="96"/>
        <v>1.2197599714853988</v>
      </c>
      <c r="AB82">
        <f t="shared" ca="1" si="96"/>
        <v>1.2367499566634095</v>
      </c>
      <c r="AC82">
        <f t="shared" ca="1" si="96"/>
        <v>1.2524753151129597</v>
      </c>
      <c r="AD82">
        <f t="shared" ca="1" si="96"/>
        <v>1.2646267284603396</v>
      </c>
      <c r="AE82">
        <f t="shared" ca="1" si="96"/>
        <v>1.2799672005142715</v>
      </c>
      <c r="AF82">
        <f t="shared" ca="1" si="96"/>
        <v>1.2940980296105458</v>
      </c>
      <c r="AG82">
        <f t="shared" ca="1" si="96"/>
        <v>1.3332464744220134</v>
      </c>
      <c r="AH82">
        <f t="shared" ca="1" si="96"/>
        <v>1.3747592213779944</v>
      </c>
      <c r="AI82">
        <f t="shared" ca="1" si="96"/>
        <v>1.3863058132465458</v>
      </c>
      <c r="AJ82">
        <f t="shared" ca="1" si="96"/>
        <v>1.4010414638216488</v>
      </c>
      <c r="AK82">
        <f t="shared" ca="1" si="96"/>
        <v>1.4012064151340569</v>
      </c>
      <c r="AL82">
        <f t="shared" ca="1" si="96"/>
        <v>1.4186912542492911</v>
      </c>
      <c r="AM82">
        <f t="shared" ca="1" si="96"/>
        <v>1.4549805429790228</v>
      </c>
      <c r="AN82">
        <f t="shared" ca="1" si="96"/>
        <v>1.4388153143630515</v>
      </c>
      <c r="AO82">
        <f t="shared" ca="1" si="96"/>
        <v>1.4676817940344289</v>
      </c>
      <c r="AP82">
        <f t="shared" ca="1" si="96"/>
        <v>1.4878058541481896</v>
      </c>
    </row>
    <row r="83" spans="1:42">
      <c r="A83" s="48" t="str">
        <f>'[4]TS BYDem'!A13</f>
        <v/>
      </c>
      <c r="B83" t="s">
        <v>288</v>
      </c>
      <c r="C83" t="s">
        <v>137</v>
      </c>
      <c r="D83" s="3" t="str">
        <f>'[4]TS BYDem'!D13</f>
        <v>IMIC</v>
      </c>
      <c r="E83" t="s">
        <v>137</v>
      </c>
      <c r="F83" t="s">
        <v>137</v>
      </c>
      <c r="G83" t="s">
        <v>137</v>
      </c>
      <c r="H83" t="s">
        <v>137</v>
      </c>
      <c r="I83">
        <v>0</v>
      </c>
      <c r="J83">
        <f>INDEX('[4]TS BYDem'!$J$10:$J$203,MATCH(D83,'[4]TS BYDem'!$D$10:$D$203,0))</f>
        <v>17.35324025908308</v>
      </c>
      <c r="K83">
        <f t="shared" ca="1" si="95"/>
        <v>17.838411495680308</v>
      </c>
      <c r="L83">
        <f t="shared" ca="1" si="95"/>
        <v>17.980126240149275</v>
      </c>
      <c r="M83" s="171">
        <f t="shared" si="97"/>
        <v>12.569563545045538</v>
      </c>
      <c r="N83" s="171">
        <f t="shared" si="98"/>
        <v>12.569563545045538</v>
      </c>
      <c r="O83" s="171">
        <f>INDEX('[4]TS BYDem'!$O$10:$O$203,MATCH(D83,'[4]TS BYDem'!$D$10:$D$203,0))</f>
        <v>12.569563545045538</v>
      </c>
      <c r="P83">
        <f t="shared" ca="1" si="95"/>
        <v>12.531399189637963</v>
      </c>
      <c r="Q83">
        <f t="shared" ca="1" si="95"/>
        <v>12.403916762262956</v>
      </c>
      <c r="R83">
        <f t="shared" ca="1" si="95"/>
        <v>11.939472168447347</v>
      </c>
      <c r="S83">
        <f t="shared" ca="1" si="95"/>
        <v>13.038046698029431</v>
      </c>
      <c r="T83">
        <f t="shared" ca="1" si="95"/>
        <v>13.177678637461856</v>
      </c>
      <c r="U83">
        <f t="shared" ca="1" si="95"/>
        <v>13.316619451257125</v>
      </c>
      <c r="V83">
        <f t="shared" ca="1" si="95"/>
        <v>13.458836742729945</v>
      </c>
      <c r="W83">
        <f t="shared" ca="1" si="95"/>
        <v>13.578461077351621</v>
      </c>
      <c r="X83">
        <f t="shared" ca="1" si="95"/>
        <v>13.74840675266473</v>
      </c>
      <c r="Y83">
        <f t="shared" ca="1" si="95"/>
        <v>13.912401023005783</v>
      </c>
      <c r="Z83">
        <f t="shared" ca="1" si="95"/>
        <v>14.326354302173124</v>
      </c>
      <c r="AA83">
        <f t="shared" ca="1" si="96"/>
        <v>14.669551988894927</v>
      </c>
      <c r="AB83">
        <f t="shared" ca="1" si="96"/>
        <v>14.873883559602129</v>
      </c>
      <c r="AC83">
        <f t="shared" ca="1" si="96"/>
        <v>15.063005984269633</v>
      </c>
      <c r="AD83">
        <f t="shared" ca="1" si="96"/>
        <v>15.209146039694525</v>
      </c>
      <c r="AE83">
        <f t="shared" ca="1" si="96"/>
        <v>15.39363959382821</v>
      </c>
      <c r="AF83">
        <f t="shared" ca="1" si="96"/>
        <v>15.563585269141319</v>
      </c>
      <c r="AG83">
        <f t="shared" ca="1" si="96"/>
        <v>16.034407529152727</v>
      </c>
      <c r="AH83">
        <f t="shared" ca="1" si="96"/>
        <v>16.53366427958618</v>
      </c>
      <c r="AI83">
        <f t="shared" ca="1" si="96"/>
        <v>16.672530395600788</v>
      </c>
      <c r="AJ83">
        <f t="shared" ca="1" si="96"/>
        <v>16.849750010324183</v>
      </c>
      <c r="AK83">
        <f t="shared" ca="1" si="96"/>
        <v>16.851733811981536</v>
      </c>
      <c r="AL83">
        <f t="shared" ca="1" si="96"/>
        <v>17.062016787660788</v>
      </c>
      <c r="AM83">
        <f t="shared" ca="1" si="96"/>
        <v>17.49845315227811</v>
      </c>
      <c r="AN83">
        <f t="shared" ca="1" si="96"/>
        <v>17.304040589857667</v>
      </c>
      <c r="AO83">
        <f t="shared" ca="1" si="96"/>
        <v>17.651205879894174</v>
      </c>
      <c r="AP83">
        <f t="shared" ca="1" si="96"/>
        <v>17.893229682091057</v>
      </c>
    </row>
    <row r="84" spans="1:42">
      <c r="A84" s="48" t="str">
        <f>'[4]TS BYDem'!A14</f>
        <v/>
      </c>
      <c r="B84" t="s">
        <v>288</v>
      </c>
      <c r="C84" t="s">
        <v>137</v>
      </c>
      <c r="D84" s="3" t="str">
        <f>'[4]TS BYDem'!D14</f>
        <v>IMIH</v>
      </c>
      <c r="E84" t="s">
        <v>137</v>
      </c>
      <c r="F84" t="s">
        <v>137</v>
      </c>
      <c r="G84" t="s">
        <v>137</v>
      </c>
      <c r="H84" t="s">
        <v>137</v>
      </c>
      <c r="I84">
        <v>0</v>
      </c>
      <c r="J84">
        <f>INDEX('[4]TS BYDem'!$J$10:$J$203,MATCH(D84,'[4]TS BYDem'!$D$10:$D$203,0))</f>
        <v>7.6954998524370488</v>
      </c>
      <c r="K84">
        <f t="shared" ca="1" si="95"/>
        <v>7.9106547816547446</v>
      </c>
      <c r="L84">
        <f t="shared" ca="1" si="95"/>
        <v>7.973499862969069</v>
      </c>
      <c r="M84" s="171">
        <f t="shared" si="97"/>
        <v>5.5741217756416317</v>
      </c>
      <c r="N84" s="171">
        <f t="shared" si="98"/>
        <v>5.5741217756416317</v>
      </c>
      <c r="O84" s="171">
        <f>INDEX('[4]TS BYDem'!$O$10:$O$203,MATCH(D84,'[4]TS BYDem'!$D$10:$D$203,0))</f>
        <v>5.5741217756416317</v>
      </c>
      <c r="P84">
        <f t="shared" ca="1" si="95"/>
        <v>5.5571973403763719</v>
      </c>
      <c r="Q84">
        <f t="shared" ca="1" si="95"/>
        <v>5.5006637485856871</v>
      </c>
      <c r="R84">
        <f t="shared" ca="1" si="95"/>
        <v>5.2947002945095862</v>
      </c>
      <c r="S84">
        <f t="shared" ca="1" si="95"/>
        <v>5.7818761765967928</v>
      </c>
      <c r="T84">
        <f t="shared" ca="1" si="95"/>
        <v>5.8437976133575891</v>
      </c>
      <c r="U84">
        <f t="shared" ca="1" si="95"/>
        <v>5.9054125622717741</v>
      </c>
      <c r="V84">
        <f t="shared" ca="1" si="95"/>
        <v>5.9684805040050319</v>
      </c>
      <c r="W84">
        <f t="shared" ca="1" si="95"/>
        <v>6.0215293315257101</v>
      </c>
      <c r="X84">
        <f t="shared" ca="1" si="95"/>
        <v>6.0968937533725063</v>
      </c>
      <c r="Y84">
        <f t="shared" ca="1" si="95"/>
        <v>6.169618954220776</v>
      </c>
      <c r="Z84">
        <f t="shared" ca="1" si="95"/>
        <v>6.3531914370071361</v>
      </c>
      <c r="AA84">
        <f t="shared" ca="1" si="96"/>
        <v>6.5053865145887979</v>
      </c>
      <c r="AB84">
        <f t="shared" ca="1" si="96"/>
        <v>6.595999768871522</v>
      </c>
      <c r="AC84">
        <f t="shared" ca="1" si="96"/>
        <v>6.6798683472691227</v>
      </c>
      <c r="AD84">
        <f t="shared" ca="1" si="96"/>
        <v>6.7446758851218158</v>
      </c>
      <c r="AE84">
        <f t="shared" ca="1" si="96"/>
        <v>6.826491736076119</v>
      </c>
      <c r="AF84">
        <f t="shared" ca="1" si="96"/>
        <v>6.9018561579229152</v>
      </c>
      <c r="AG84">
        <f t="shared" ca="1" si="96"/>
        <v>7.1106478635840755</v>
      </c>
      <c r="AH84">
        <f t="shared" ca="1" si="96"/>
        <v>7.3320491806826409</v>
      </c>
      <c r="AI84">
        <f t="shared" ca="1" si="96"/>
        <v>7.3936310039815814</v>
      </c>
      <c r="AJ84">
        <f t="shared" ca="1" si="96"/>
        <v>7.4722211403821301</v>
      </c>
      <c r="AK84">
        <f t="shared" ca="1" si="96"/>
        <v>7.4731008807149726</v>
      </c>
      <c r="AL84">
        <f t="shared" ca="1" si="96"/>
        <v>7.5663533559962213</v>
      </c>
      <c r="AM84">
        <f t="shared" ca="1" si="96"/>
        <v>7.7598962292214564</v>
      </c>
      <c r="AN84">
        <f t="shared" ca="1" si="96"/>
        <v>7.6736816766029428</v>
      </c>
      <c r="AO84">
        <f t="shared" ca="1" si="96"/>
        <v>7.8276362348502886</v>
      </c>
      <c r="AP84">
        <f t="shared" ca="1" si="96"/>
        <v>7.9349645554570118</v>
      </c>
    </row>
    <row r="85" spans="1:42">
      <c r="A85" s="48" t="str">
        <f>'[4]TS BYDem'!A15</f>
        <v/>
      </c>
      <c r="B85" t="s">
        <v>288</v>
      </c>
      <c r="C85" t="s">
        <v>137</v>
      </c>
      <c r="D85" s="3" t="str">
        <f>'[4]TS BYDem'!D15</f>
        <v>IMIP</v>
      </c>
      <c r="E85" t="s">
        <v>137</v>
      </c>
      <c r="F85" t="s">
        <v>137</v>
      </c>
      <c r="G85" t="s">
        <v>137</v>
      </c>
      <c r="H85" t="s">
        <v>137</v>
      </c>
      <c r="I85">
        <v>0</v>
      </c>
      <c r="J85">
        <f>INDEX('[4]TS BYDem'!$J$10:$J$203,MATCH(D85,'[4]TS BYDem'!$D$10:$D$203,0))</f>
        <v>15.294517272248457</v>
      </c>
      <c r="K85">
        <f t="shared" ca="1" si="95"/>
        <v>15.722129622872741</v>
      </c>
      <c r="L85">
        <f t="shared" ca="1" si="95"/>
        <v>15.847031864451422</v>
      </c>
      <c r="M85" s="171">
        <f t="shared" si="97"/>
        <v>11.078357924751138</v>
      </c>
      <c r="N85" s="171">
        <f t="shared" si="98"/>
        <v>11.078357924751138</v>
      </c>
      <c r="O85" s="171">
        <f>INDEX('[4]TS BYDem'!$O$10:$O$203,MATCH(D85,'[4]TS BYDem'!$D$10:$D$203,0))</f>
        <v>11.078357924751138</v>
      </c>
      <c r="P85">
        <f t="shared" ca="1" si="95"/>
        <v>11.044721244554777</v>
      </c>
      <c r="Q85">
        <f t="shared" ca="1" si="95"/>
        <v>10.932362851638812</v>
      </c>
      <c r="R85">
        <f t="shared" ca="1" si="95"/>
        <v>10.523018213054836</v>
      </c>
      <c r="S85">
        <f t="shared" ca="1" si="95"/>
        <v>11.491262003072713</v>
      </c>
      <c r="T85">
        <f t="shared" ca="1" si="95"/>
        <v>11.614328535750317</v>
      </c>
      <c r="U85">
        <f t="shared" ca="1" si="95"/>
        <v>11.736785935330186</v>
      </c>
      <c r="V85">
        <f t="shared" ca="1" si="95"/>
        <v>11.862131103631242</v>
      </c>
      <c r="W85">
        <f t="shared" ca="1" si="95"/>
        <v>11.967563658285972</v>
      </c>
      <c r="X85">
        <f t="shared" ca="1" si="95"/>
        <v>12.117347619529738</v>
      </c>
      <c r="Y85">
        <f t="shared" ca="1" si="95"/>
        <v>12.261886228045123</v>
      </c>
      <c r="Z85">
        <f t="shared" ca="1" si="95"/>
        <v>12.626729651152509</v>
      </c>
      <c r="AA85">
        <f t="shared" ca="1" si="96"/>
        <v>12.929211658489143</v>
      </c>
      <c r="AB85">
        <f t="shared" ca="1" si="96"/>
        <v>13.109302102163555</v>
      </c>
      <c r="AC85">
        <f t="shared" ca="1" si="96"/>
        <v>13.275987755532103</v>
      </c>
      <c r="AD85">
        <f t="shared" ca="1" si="96"/>
        <v>13.404790305862347</v>
      </c>
      <c r="AE85">
        <f t="shared" ca="1" si="96"/>
        <v>13.567396240442154</v>
      </c>
      <c r="AF85">
        <f t="shared" ca="1" si="96"/>
        <v>13.71718020168592</v>
      </c>
      <c r="AG85">
        <f t="shared" ca="1" si="96"/>
        <v>14.132145884197829</v>
      </c>
      <c r="AH85">
        <f t="shared" ca="1" si="96"/>
        <v>14.572172696412009</v>
      </c>
      <c r="AI85">
        <f t="shared" ca="1" si="96"/>
        <v>14.694564260074234</v>
      </c>
      <c r="AJ85">
        <f t="shared" ca="1" si="96"/>
        <v>14.85075920798602</v>
      </c>
      <c r="AK85">
        <f t="shared" ca="1" si="96"/>
        <v>14.852507658895481</v>
      </c>
      <c r="AL85">
        <f t="shared" ca="1" si="96"/>
        <v>15.037843455298272</v>
      </c>
      <c r="AM85">
        <f t="shared" ca="1" si="96"/>
        <v>15.422502655379541</v>
      </c>
      <c r="AN85">
        <f t="shared" ca="1" si="96"/>
        <v>15.25115446625243</v>
      </c>
      <c r="AO85">
        <f t="shared" ca="1" si="96"/>
        <v>15.557133375407984</v>
      </c>
      <c r="AP85">
        <f t="shared" ca="1" si="96"/>
        <v>15.770444386362145</v>
      </c>
    </row>
    <row r="86" spans="1:42">
      <c r="A86" s="48" t="str">
        <f>'[4]TS BYDem'!A16</f>
        <v/>
      </c>
      <c r="B86" t="s">
        <v>288</v>
      </c>
      <c r="C86" t="s">
        <v>137</v>
      </c>
      <c r="D86" s="3" t="str">
        <f>'[4]TS BYDem'!D16</f>
        <v>IMIF</v>
      </c>
      <c r="E86" t="s">
        <v>137</v>
      </c>
      <c r="F86" t="s">
        <v>137</v>
      </c>
      <c r="G86" t="s">
        <v>137</v>
      </c>
      <c r="H86" t="s">
        <v>137</v>
      </c>
      <c r="I86">
        <v>0</v>
      </c>
      <c r="J86">
        <f>INDEX('[4]TS BYDem'!$J$10:$J$203,MATCH(D86,'[4]TS BYDem'!$D$10:$D$203,0))</f>
        <v>5.8889063414920679</v>
      </c>
      <c r="K86">
        <f t="shared" ca="1" si="95"/>
        <v>6.0535515564058358</v>
      </c>
      <c r="L86">
        <f t="shared" ca="1" si="95"/>
        <v>6.1016431430447868</v>
      </c>
      <c r="M86" s="171">
        <f t="shared" si="97"/>
        <v>4.2655424211891448</v>
      </c>
      <c r="N86" s="171">
        <f t="shared" si="98"/>
        <v>4.2655424211891448</v>
      </c>
      <c r="O86" s="171">
        <f>INDEX('[4]TS BYDem'!$O$10:$O$203,MATCH(D86,'[4]TS BYDem'!$D$10:$D$203,0))</f>
        <v>4.2655424211891448</v>
      </c>
      <c r="P86">
        <f t="shared" ca="1" si="95"/>
        <v>4.2525911618725463</v>
      </c>
      <c r="Q86">
        <f t="shared" ca="1" si="95"/>
        <v>4.2093293811451957</v>
      </c>
      <c r="R86">
        <f t="shared" ca="1" si="95"/>
        <v>4.051717853098677</v>
      </c>
      <c r="S86">
        <f t="shared" ca="1" si="95"/>
        <v>4.4245244538988571</v>
      </c>
      <c r="T86">
        <f t="shared" ca="1" si="95"/>
        <v>4.4719092305354877</v>
      </c>
      <c r="U86">
        <f t="shared" ca="1" si="95"/>
        <v>4.5190594703313529</v>
      </c>
      <c r="V86">
        <f t="shared" ca="1" si="95"/>
        <v>4.5673215987362052</v>
      </c>
      <c r="W86">
        <f t="shared" ca="1" si="95"/>
        <v>4.6079166975323291</v>
      </c>
      <c r="X86">
        <f t="shared" ca="1" si="95"/>
        <v>4.6655885876300118</v>
      </c>
      <c r="Y86">
        <f t="shared" ca="1" si="95"/>
        <v>4.7212408395530669</v>
      </c>
      <c r="Z86">
        <f t="shared" ca="1" si="95"/>
        <v>4.8617178948104574</v>
      </c>
      <c r="AA86">
        <f t="shared" ca="1" si="96"/>
        <v>4.9781836962139483</v>
      </c>
      <c r="AB86">
        <f t="shared" ca="1" si="96"/>
        <v>5.0475246068761424</v>
      </c>
      <c r="AC86">
        <f t="shared" ca="1" si="96"/>
        <v>5.1117042199809557</v>
      </c>
      <c r="AD86">
        <f t="shared" ca="1" si="96"/>
        <v>5.1612975573801307</v>
      </c>
      <c r="AE86">
        <f t="shared" ca="1" si="96"/>
        <v>5.2239063407935671</v>
      </c>
      <c r="AF86">
        <f t="shared" ca="1" si="96"/>
        <v>5.2815782308912498</v>
      </c>
      <c r="AG86">
        <f t="shared" ca="1" si="96"/>
        <v>5.4413540509284068</v>
      </c>
      <c r="AH86">
        <f t="shared" ca="1" si="96"/>
        <v>5.6107792533554512</v>
      </c>
      <c r="AI86">
        <f t="shared" ca="1" si="96"/>
        <v>5.6579041440967499</v>
      </c>
      <c r="AJ86">
        <f t="shared" ca="1" si="96"/>
        <v>5.718044480852309</v>
      </c>
      <c r="AK86">
        <f t="shared" ca="1" si="96"/>
        <v>5.7187176935771848</v>
      </c>
      <c r="AL86">
        <f t="shared" ca="1" si="96"/>
        <v>5.7900782424140056</v>
      </c>
      <c r="AM86">
        <f t="shared" ca="1" si="96"/>
        <v>5.9381850418866531</v>
      </c>
      <c r="AN86">
        <f t="shared" ca="1" si="96"/>
        <v>5.8722101948488374</v>
      </c>
      <c r="AO86">
        <f t="shared" ca="1" si="96"/>
        <v>5.9900224217020801</v>
      </c>
      <c r="AP86">
        <f t="shared" ca="1" si="96"/>
        <v>6.0721543741369137</v>
      </c>
    </row>
    <row r="87" spans="1:42">
      <c r="A87" s="48" t="str">
        <f>'[4]TS BYDem'!A17</f>
        <v/>
      </c>
      <c r="B87" t="s">
        <v>288</v>
      </c>
      <c r="C87" t="s">
        <v>137</v>
      </c>
      <c r="D87" s="3" t="str">
        <f>'[4]TS BYDem'!D17</f>
        <v>IMIO</v>
      </c>
      <c r="E87" t="s">
        <v>137</v>
      </c>
      <c r="F87" t="s">
        <v>137</v>
      </c>
      <c r="G87" t="s">
        <v>137</v>
      </c>
      <c r="H87" t="s">
        <v>137</v>
      </c>
      <c r="I87">
        <v>0</v>
      </c>
      <c r="J87">
        <f>INDEX('[4]TS BYDem'!$J$10:$J$203,MATCH(D87,'[4]TS BYDem'!$D$10:$D$203,0))</f>
        <v>28.894976807848312</v>
      </c>
      <c r="K87">
        <f t="shared" ca="1" si="95"/>
        <v>29.702838130575874</v>
      </c>
      <c r="L87">
        <f t="shared" ca="1" si="95"/>
        <v>29.938808139267341</v>
      </c>
      <c r="M87" s="171">
        <f t="shared" si="97"/>
        <v>20.929650122763714</v>
      </c>
      <c r="N87" s="171">
        <f t="shared" si="98"/>
        <v>20.929650122763714</v>
      </c>
      <c r="O87" s="171">
        <f>INDEX('[4]TS BYDem'!$O$10:$O$203,MATCH(D87,'[4]TS BYDem'!$D$10:$D$203,0))</f>
        <v>20.929650122763714</v>
      </c>
      <c r="P87">
        <f t="shared" ca="1" si="95"/>
        <v>20.86610244245017</v>
      </c>
      <c r="Q87">
        <f t="shared" ca="1" si="95"/>
        <v>20.65383074405765</v>
      </c>
      <c r="R87">
        <f t="shared" ca="1" si="95"/>
        <v>19.880481469428194</v>
      </c>
      <c r="S87">
        <f t="shared" ca="1" si="95"/>
        <v>21.709724024711321</v>
      </c>
      <c r="T87">
        <f t="shared" ca="1" si="95"/>
        <v>21.942225943159833</v>
      </c>
      <c r="U87">
        <f t="shared" ca="1" si="95"/>
        <v>22.173577064468518</v>
      </c>
      <c r="V87">
        <f t="shared" ca="1" si="95"/>
        <v>22.410383866969347</v>
      </c>
      <c r="W87">
        <f t="shared" ca="1" si="95"/>
        <v>22.609571011441595</v>
      </c>
      <c r="X87">
        <f t="shared" ca="1" si="95"/>
        <v>22.892548499994266</v>
      </c>
      <c r="Y87">
        <f t="shared" ca="1" si="95"/>
        <v>23.165616271048979</v>
      </c>
      <c r="Z87">
        <f t="shared" ca="1" si="95"/>
        <v>23.854892177017739</v>
      </c>
      <c r="AA87">
        <f t="shared" ca="1" si="96"/>
        <v>24.42635255273305</v>
      </c>
      <c r="AB87">
        <f t="shared" ca="1" si="96"/>
        <v>24.76658618682945</v>
      </c>
      <c r="AC87">
        <f t="shared" ca="1" si="96"/>
        <v>25.081494987319964</v>
      </c>
      <c r="AD87">
        <f t="shared" ca="1" si="96"/>
        <v>25.324833605880819</v>
      </c>
      <c r="AE87">
        <f t="shared" ca="1" si="96"/>
        <v>25.632034848317371</v>
      </c>
      <c r="AF87">
        <f t="shared" ca="1" si="96"/>
        <v>25.915012336870038</v>
      </c>
      <c r="AG87">
        <f t="shared" ca="1" si="96"/>
        <v>26.698981098930339</v>
      </c>
      <c r="AH87">
        <f t="shared" ca="1" si="96"/>
        <v>27.530296289036432</v>
      </c>
      <c r="AI87">
        <f t="shared" ca="1" si="96"/>
        <v>27.761523030655351</v>
      </c>
      <c r="AJ87">
        <f t="shared" ca="1" si="96"/>
        <v>28.056612396149958</v>
      </c>
      <c r="AK87">
        <f t="shared" ca="1" si="96"/>
        <v>28.059915635315946</v>
      </c>
      <c r="AL87">
        <f t="shared" ca="1" si="96"/>
        <v>28.410058986910297</v>
      </c>
      <c r="AM87">
        <f t="shared" ca="1" si="96"/>
        <v>29.13677160342688</v>
      </c>
      <c r="AN87">
        <f t="shared" ca="1" si="96"/>
        <v>28.813054165160402</v>
      </c>
      <c r="AO87">
        <f t="shared" ca="1" si="96"/>
        <v>29.391121019207681</v>
      </c>
      <c r="AP87">
        <f t="shared" ca="1" si="96"/>
        <v>29.794116197457793</v>
      </c>
    </row>
    <row r="88" spans="1:42">
      <c r="A88" s="48" t="str">
        <f>'[4]TS BYDem'!A18</f>
        <v/>
      </c>
      <c r="B88" t="s">
        <v>288</v>
      </c>
      <c r="C88" t="s">
        <v>137</v>
      </c>
      <c r="D88" s="3" t="str">
        <f>'[4]TS BYDem'!D18</f>
        <v>IMIE</v>
      </c>
      <c r="E88" t="s">
        <v>137</v>
      </c>
      <c r="F88" t="s">
        <v>137</v>
      </c>
      <c r="G88" t="s">
        <v>137</v>
      </c>
      <c r="H88" t="s">
        <v>137</v>
      </c>
      <c r="I88">
        <v>0</v>
      </c>
      <c r="J88">
        <f>INDEX('[4]TS BYDem'!$J$10:$J$203,MATCH(D88,'[4]TS BYDem'!$D$10:$D$203,0))</f>
        <v>0.18682963530638833</v>
      </c>
      <c r="K88">
        <f t="shared" ca="1" si="95"/>
        <v>0.19205311886572904</v>
      </c>
      <c r="L88">
        <f t="shared" ca="1" si="95"/>
        <v>0.19357885778430459</v>
      </c>
      <c r="M88" s="171">
        <f t="shared" si="97"/>
        <v>0.13532728977529962</v>
      </c>
      <c r="N88" s="171">
        <f t="shared" si="98"/>
        <v>0.13532728977529962</v>
      </c>
      <c r="O88" s="171">
        <f>INDEX('[4]TS BYDem'!$O$10:$O$203,MATCH(D88,'[4]TS BYDem'!$D$10:$D$203,0))</f>
        <v>0.13532728977529962</v>
      </c>
      <c r="P88">
        <f t="shared" ca="1" si="95"/>
        <v>0.13491640209691527</v>
      </c>
      <c r="Q88">
        <f t="shared" ca="1" si="95"/>
        <v>0.13354389211844142</v>
      </c>
      <c r="R88">
        <f t="shared" ca="1" si="95"/>
        <v>0.12854355715003829</v>
      </c>
      <c r="S88">
        <f t="shared" ca="1" si="95"/>
        <v>0.14037110495404437</v>
      </c>
      <c r="T88">
        <f t="shared" ca="1" si="95"/>
        <v>0.14187441983540372</v>
      </c>
      <c r="U88">
        <f t="shared" ca="1" si="95"/>
        <v>0.14337029387293143</v>
      </c>
      <c r="V88">
        <f t="shared" ca="1" si="95"/>
        <v>0.14490144334723332</v>
      </c>
      <c r="W88">
        <f t="shared" ca="1" si="95"/>
        <v>0.146189350993152</v>
      </c>
      <c r="X88">
        <f t="shared" ca="1" si="95"/>
        <v>0.14801903167909922</v>
      </c>
      <c r="Y88">
        <f t="shared" ca="1" si="95"/>
        <v>0.14978463794413777</v>
      </c>
      <c r="Z88">
        <f t="shared" ca="1" si="95"/>
        <v>0.15424136988733994</v>
      </c>
      <c r="AA88">
        <f t="shared" ca="1" si="96"/>
        <v>0.15793632815973918</v>
      </c>
      <c r="AB88">
        <f t="shared" ca="1" si="96"/>
        <v>0.16013621661093644</v>
      </c>
      <c r="AC88">
        <f t="shared" ca="1" si="96"/>
        <v>0.16217235931981153</v>
      </c>
      <c r="AD88">
        <f t="shared" ca="1" si="96"/>
        <v>0.16374574232212413</v>
      </c>
      <c r="AE88">
        <f t="shared" ca="1" si="96"/>
        <v>0.16573204937029248</v>
      </c>
      <c r="AF88">
        <f t="shared" ca="1" si="96"/>
        <v>0.1675617300562397</v>
      </c>
      <c r="AG88">
        <f t="shared" ca="1" si="96"/>
        <v>0.17263072868812454</v>
      </c>
      <c r="AH88">
        <f t="shared" ca="1" si="96"/>
        <v>0.17800586066435081</v>
      </c>
      <c r="AI88">
        <f t="shared" ca="1" si="96"/>
        <v>0.17950093048555285</v>
      </c>
      <c r="AJ88">
        <f t="shared" ca="1" si="96"/>
        <v>0.18140892435261063</v>
      </c>
      <c r="AK88">
        <f t="shared" ca="1" si="96"/>
        <v>0.18143028249291354</v>
      </c>
      <c r="AL88">
        <f t="shared" ca="1" si="96"/>
        <v>0.18369424536501941</v>
      </c>
      <c r="AM88">
        <f t="shared" ca="1" si="96"/>
        <v>0.18839303623165429</v>
      </c>
      <c r="AN88">
        <f t="shared" ca="1" si="96"/>
        <v>0.18629993848197149</v>
      </c>
      <c r="AO88">
        <f t="shared" ca="1" si="96"/>
        <v>0.19003761303497649</v>
      </c>
      <c r="AP88">
        <f t="shared" ca="1" si="96"/>
        <v>0.19264330615192859</v>
      </c>
    </row>
    <row r="89" spans="1:42">
      <c r="A89" s="48" t="str">
        <f>'[4]TS BYDem'!A19</f>
        <v>*</v>
      </c>
      <c r="B89" t="s">
        <v>288</v>
      </c>
      <c r="C89" t="s">
        <v>137</v>
      </c>
      <c r="D89" s="3">
        <f>'[4]TS BYDem'!D19</f>
        <v>0</v>
      </c>
      <c r="E89" t="s">
        <v>137</v>
      </c>
      <c r="F89" t="s">
        <v>137</v>
      </c>
      <c r="G89" t="s">
        <v>137</v>
      </c>
      <c r="H89" t="s">
        <v>137</v>
      </c>
      <c r="I89">
        <v>0</v>
      </c>
      <c r="J89" t="str">
        <f>INDEX('[4]TS BYDem'!$J$10:$J$203,MATCH(D89,'[4]TS BYDem'!$D$10:$D$203,0))</f>
        <v/>
      </c>
      <c r="K89" t="e">
        <f t="shared" ca="1" si="95"/>
        <v>#VALUE!</v>
      </c>
      <c r="L89" t="e">
        <f t="shared" ca="1" si="95"/>
        <v>#VALUE!</v>
      </c>
      <c r="M89" t="e">
        <f t="shared" ca="1" si="95"/>
        <v>#VALUE!</v>
      </c>
      <c r="N89" t="e">
        <f t="shared" ca="1" si="95"/>
        <v>#VALUE!</v>
      </c>
      <c r="O89" t="e">
        <f t="shared" ca="1" si="95"/>
        <v>#VALUE!</v>
      </c>
      <c r="P89" t="e">
        <f t="shared" ca="1" si="95"/>
        <v>#VALUE!</v>
      </c>
      <c r="Q89" t="e">
        <f t="shared" ca="1" si="95"/>
        <v>#VALUE!</v>
      </c>
      <c r="R89" t="e">
        <f t="shared" ca="1" si="95"/>
        <v>#VALUE!</v>
      </c>
      <c r="S89" t="e">
        <f t="shared" ca="1" si="95"/>
        <v>#VALUE!</v>
      </c>
      <c r="T89" t="e">
        <f t="shared" ca="1" si="95"/>
        <v>#VALUE!</v>
      </c>
      <c r="U89" t="e">
        <f t="shared" ca="1" si="95"/>
        <v>#VALUE!</v>
      </c>
      <c r="V89" t="e">
        <f t="shared" ca="1" si="95"/>
        <v>#VALUE!</v>
      </c>
      <c r="W89" t="e">
        <f t="shared" ca="1" si="95"/>
        <v>#VALUE!</v>
      </c>
      <c r="X89" t="e">
        <f t="shared" ca="1" si="95"/>
        <v>#VALUE!</v>
      </c>
      <c r="Y89" t="e">
        <f t="shared" ca="1" si="95"/>
        <v>#VALUE!</v>
      </c>
      <c r="Z89" t="e">
        <f t="shared" ca="1" si="95"/>
        <v>#VALUE!</v>
      </c>
      <c r="AA89" t="e">
        <f t="shared" ca="1" si="96"/>
        <v>#VALUE!</v>
      </c>
      <c r="AB89" t="e">
        <f t="shared" ca="1" si="96"/>
        <v>#VALUE!</v>
      </c>
      <c r="AC89" t="e">
        <f t="shared" ca="1" si="96"/>
        <v>#VALUE!</v>
      </c>
      <c r="AD89" t="e">
        <f t="shared" ca="1" si="96"/>
        <v>#VALUE!</v>
      </c>
      <c r="AE89" t="e">
        <f t="shared" ca="1" si="96"/>
        <v>#VALUE!</v>
      </c>
      <c r="AF89" t="e">
        <f t="shared" ca="1" si="96"/>
        <v>#VALUE!</v>
      </c>
      <c r="AG89" t="e">
        <f t="shared" ca="1" si="96"/>
        <v>#VALUE!</v>
      </c>
      <c r="AH89" t="e">
        <f t="shared" ca="1" si="96"/>
        <v>#VALUE!</v>
      </c>
      <c r="AI89" t="e">
        <f t="shared" ca="1" si="96"/>
        <v>#VALUE!</v>
      </c>
      <c r="AJ89" t="e">
        <f t="shared" ca="1" si="96"/>
        <v>#VALUE!</v>
      </c>
      <c r="AK89" t="e">
        <f t="shared" ca="1" si="96"/>
        <v>#VALUE!</v>
      </c>
      <c r="AL89" t="e">
        <f t="shared" ca="1" si="96"/>
        <v>#VALUE!</v>
      </c>
      <c r="AM89" t="e">
        <f t="shared" ca="1" si="96"/>
        <v>#VALUE!</v>
      </c>
      <c r="AN89" t="e">
        <f t="shared" ca="1" si="96"/>
        <v>#VALUE!</v>
      </c>
      <c r="AO89" t="e">
        <f t="shared" ca="1" si="96"/>
        <v>#VALUE!</v>
      </c>
      <c r="AP89" t="e">
        <f t="shared" ca="1" si="96"/>
        <v>#VALUE!</v>
      </c>
    </row>
    <row r="90" spans="1:42">
      <c r="A90" s="48" t="str">
        <f>'[4]TS BYDem'!A20</f>
        <v/>
      </c>
      <c r="B90" t="s">
        <v>288</v>
      </c>
      <c r="C90" t="s">
        <v>137</v>
      </c>
      <c r="D90" s="3" t="str">
        <f>'[4]TS BYDem'!D20</f>
        <v>IMIS</v>
      </c>
      <c r="E90" t="s">
        <v>137</v>
      </c>
      <c r="F90" t="s">
        <v>137</v>
      </c>
      <c r="G90" t="s">
        <v>137</v>
      </c>
      <c r="H90" t="s">
        <v>137</v>
      </c>
      <c r="I90">
        <v>0</v>
      </c>
      <c r="J90">
        <f>INDEX('[4]TS BYDem'!$J$10:$J$203,MATCH(D90,'[4]TS BYDem'!$D$10:$D$203,0))</f>
        <v>20.275122960000004</v>
      </c>
      <c r="K90">
        <f t="shared" ca="1" si="95"/>
        <v>20.841985766703509</v>
      </c>
      <c r="L90">
        <f t="shared" ca="1" si="95"/>
        <v>21.007561983390151</v>
      </c>
      <c r="M90" s="171">
        <f t="shared" ref="M90" si="99">O90</f>
        <v>25.233177191199999</v>
      </c>
      <c r="N90" s="171">
        <f t="shared" si="98"/>
        <v>25.233177191199999</v>
      </c>
      <c r="O90" s="171">
        <f>INDEX('[4]TS BYDem'!$O$10:$O$203,MATCH(D90,'[4]TS BYDem'!$D$10:$D$203,0))</f>
        <v>25.233177191199999</v>
      </c>
      <c r="P90">
        <f t="shared" ca="1" si="95"/>
        <v>25.156562920629973</v>
      </c>
      <c r="Q90">
        <f t="shared" ca="1" si="95"/>
        <v>24.900644195433998</v>
      </c>
      <c r="R90">
        <f t="shared" ca="1" si="95"/>
        <v>23.968279862396869</v>
      </c>
      <c r="S90">
        <f t="shared" ca="1" si="95"/>
        <v>26.173648860559922</v>
      </c>
      <c r="T90">
        <f t="shared" ca="1" si="95"/>
        <v>26.453957516991995</v>
      </c>
      <c r="U90">
        <f t="shared" ca="1" si="95"/>
        <v>26.732878750893349</v>
      </c>
      <c r="V90">
        <f t="shared" ca="1" si="95"/>
        <v>27.018377455961808</v>
      </c>
      <c r="W90">
        <f t="shared" ca="1" si="95"/>
        <v>27.258521198508692</v>
      </c>
      <c r="X90">
        <f t="shared" ca="1" si="95"/>
        <v>27.599684145232018</v>
      </c>
      <c r="Y90">
        <f t="shared" ca="1" si="95"/>
        <v>27.928899751408611</v>
      </c>
      <c r="Z90">
        <f t="shared" ca="1" si="95"/>
        <v>28.75990366054792</v>
      </c>
      <c r="AA90">
        <f t="shared" ca="1" si="96"/>
        <v>29.448866965409419</v>
      </c>
      <c r="AB90">
        <f t="shared" ca="1" si="96"/>
        <v>29.859058990847192</v>
      </c>
      <c r="AC90">
        <f t="shared" ca="1" si="96"/>
        <v>30.238718923776648</v>
      </c>
      <c r="AD90">
        <f t="shared" ca="1" si="96"/>
        <v>30.532092508313049</v>
      </c>
      <c r="AE90">
        <f t="shared" ca="1" si="96"/>
        <v>30.90246006526171</v>
      </c>
      <c r="AF90">
        <f t="shared" ca="1" si="96"/>
        <v>31.243623011985036</v>
      </c>
      <c r="AG90">
        <f t="shared" ca="1" si="96"/>
        <v>32.188790397459762</v>
      </c>
      <c r="AH90">
        <f t="shared" ca="1" si="96"/>
        <v>33.191039521102219</v>
      </c>
      <c r="AI90">
        <f t="shared" ca="1" si="96"/>
        <v>33.469810800525956</v>
      </c>
      <c r="AJ90">
        <f t="shared" ca="1" si="96"/>
        <v>33.825576052361946</v>
      </c>
      <c r="AK90">
        <f t="shared" ca="1" si="96"/>
        <v>33.829558499210862</v>
      </c>
      <c r="AL90">
        <f t="shared" ca="1" si="96"/>
        <v>34.251697865195361</v>
      </c>
      <c r="AM90">
        <f t="shared" ca="1" si="96"/>
        <v>35.12783617195565</v>
      </c>
      <c r="AN90">
        <f t="shared" ca="1" si="96"/>
        <v>34.737556380762427</v>
      </c>
      <c r="AO90">
        <f t="shared" ca="1" si="96"/>
        <v>35.434484579321747</v>
      </c>
      <c r="AP90">
        <f t="shared" ca="1" si="96"/>
        <v>35.920343094888828</v>
      </c>
    </row>
    <row r="91" spans="1:42">
      <c r="A91" s="48" t="str">
        <f>'[4]TS BYDem'!A21</f>
        <v>*</v>
      </c>
      <c r="B91" t="s">
        <v>288</v>
      </c>
      <c r="C91" t="s">
        <v>137</v>
      </c>
      <c r="D91" s="3" t="str">
        <f>'[4]TS BYDem'!D21</f>
        <v>IMIS</v>
      </c>
      <c r="E91" t="s">
        <v>137</v>
      </c>
      <c r="F91" t="s">
        <v>137</v>
      </c>
      <c r="G91" t="s">
        <v>137</v>
      </c>
      <c r="H91" t="s">
        <v>137</v>
      </c>
      <c r="I91">
        <v>0</v>
      </c>
      <c r="J91">
        <f>INDEX('[4]TS BYDem'!$J$10:$J$203,MATCH(D91,'[4]TS BYDem'!$D$10:$D$203,0))</f>
        <v>20.275122960000004</v>
      </c>
      <c r="K91">
        <f t="shared" ca="1" si="95"/>
        <v>20.841985766703509</v>
      </c>
      <c r="L91">
        <f t="shared" ca="1" si="95"/>
        <v>21.007561983390151</v>
      </c>
      <c r="M91">
        <f t="shared" ca="1" si="95"/>
        <v>21.741001029177628</v>
      </c>
      <c r="N91">
        <f t="shared" ca="1" si="95"/>
        <v>21.50233177144678</v>
      </c>
      <c r="O91">
        <f t="shared" ca="1" si="95"/>
        <v>22.237901459013095</v>
      </c>
      <c r="P91">
        <f t="shared" ca="1" si="95"/>
        <v>22.170381598696629</v>
      </c>
      <c r="Q91">
        <f t="shared" ca="1" si="95"/>
        <v>21.944841416051336</v>
      </c>
      <c r="R91">
        <f t="shared" ca="1" si="95"/>
        <v>21.123152335644569</v>
      </c>
      <c r="S91">
        <f t="shared" ca="1" si="95"/>
        <v>23.066735503562715</v>
      </c>
      <c r="T91">
        <f t="shared" ca="1" si="95"/>
        <v>23.313770438268389</v>
      </c>
      <c r="U91">
        <f t="shared" ca="1" si="95"/>
        <v>23.559582642864161</v>
      </c>
      <c r="V91">
        <f t="shared" ca="1" si="95"/>
        <v>23.811191547358455</v>
      </c>
      <c r="W91">
        <f t="shared" ca="1" si="95"/>
        <v>24.022829298811278</v>
      </c>
      <c r="X91">
        <f t="shared" ca="1" si="95"/>
        <v>24.323494884171875</v>
      </c>
      <c r="Y91">
        <f t="shared" ca="1" si="95"/>
        <v>24.613631324519844</v>
      </c>
      <c r="Z91">
        <f t="shared" ca="1" si="95"/>
        <v>25.345991855398189</v>
      </c>
      <c r="AA91">
        <f t="shared" ca="1" si="96"/>
        <v>25.9531725511264</v>
      </c>
      <c r="AB91">
        <f t="shared" ca="1" si="96"/>
        <v>26.314673196559962</v>
      </c>
      <c r="AC91">
        <f t="shared" ca="1" si="96"/>
        <v>26.649266026961246</v>
      </c>
      <c r="AD91">
        <f t="shared" ca="1" si="96"/>
        <v>26.907815032271333</v>
      </c>
      <c r="AE91">
        <f t="shared" ca="1" si="96"/>
        <v>27.234218527662794</v>
      </c>
      <c r="AF91">
        <f t="shared" ca="1" si="96"/>
        <v>27.534884113023391</v>
      </c>
      <c r="AG91">
        <f t="shared" ca="1" si="96"/>
        <v>28.367856474022393</v>
      </c>
      <c r="AH91">
        <f t="shared" ca="1" si="96"/>
        <v>29.251134750081739</v>
      </c>
      <c r="AI91">
        <f t="shared" ca="1" si="96"/>
        <v>29.496814800376399</v>
      </c>
      <c r="AJ91">
        <f t="shared" ca="1" si="96"/>
        <v>29.810349340752428</v>
      </c>
      <c r="AK91">
        <f t="shared" ca="1" si="96"/>
        <v>29.813859055756641</v>
      </c>
      <c r="AL91">
        <f t="shared" ca="1" si="96"/>
        <v>30.185888846202825</v>
      </c>
      <c r="AM91">
        <f t="shared" ca="1" si="96"/>
        <v>30.958026147128876</v>
      </c>
      <c r="AN91">
        <f t="shared" ca="1" si="96"/>
        <v>30.614074076716363</v>
      </c>
      <c r="AO91">
        <f t="shared" ca="1" si="96"/>
        <v>31.228274202452994</v>
      </c>
      <c r="AP91">
        <f t="shared" ca="1" si="96"/>
        <v>31.656459432966539</v>
      </c>
    </row>
    <row r="92" spans="1:42">
      <c r="A92" s="48" t="str">
        <f>'[4]TS BYDem'!A22</f>
        <v>*</v>
      </c>
      <c r="B92" t="s">
        <v>288</v>
      </c>
      <c r="C92" t="s">
        <v>137</v>
      </c>
      <c r="D92" s="3" t="str">
        <f>'[4]TS BYDem'!D22</f>
        <v>IMIS</v>
      </c>
      <c r="E92" t="s">
        <v>137</v>
      </c>
      <c r="F92" t="s">
        <v>137</v>
      </c>
      <c r="G92" t="s">
        <v>137</v>
      </c>
      <c r="H92" t="s">
        <v>137</v>
      </c>
      <c r="I92">
        <v>0</v>
      </c>
      <c r="J92">
        <f>INDEX('[4]TS BYDem'!$J$10:$J$203,MATCH(D92,'[4]TS BYDem'!$D$10:$D$203,0))</f>
        <v>20.275122960000004</v>
      </c>
      <c r="K92">
        <f t="shared" ca="1" si="95"/>
        <v>20.841985766703509</v>
      </c>
      <c r="L92">
        <f t="shared" ca="1" si="95"/>
        <v>21.007561983390151</v>
      </c>
      <c r="M92">
        <f t="shared" ca="1" si="95"/>
        <v>21.741001029177628</v>
      </c>
      <c r="N92">
        <f t="shared" ca="1" si="95"/>
        <v>21.50233177144678</v>
      </c>
      <c r="O92">
        <f t="shared" ca="1" si="95"/>
        <v>22.237901459013095</v>
      </c>
      <c r="P92">
        <f t="shared" ca="1" si="95"/>
        <v>22.170381598696629</v>
      </c>
      <c r="Q92">
        <f t="shared" ca="1" si="95"/>
        <v>21.944841416051336</v>
      </c>
      <c r="R92">
        <f t="shared" ca="1" si="95"/>
        <v>21.123152335644569</v>
      </c>
      <c r="S92">
        <f t="shared" ca="1" si="95"/>
        <v>23.066735503562715</v>
      </c>
      <c r="T92">
        <f t="shared" ca="1" si="95"/>
        <v>23.313770438268389</v>
      </c>
      <c r="U92">
        <f t="shared" ca="1" si="95"/>
        <v>23.559582642864161</v>
      </c>
      <c r="V92">
        <f t="shared" ca="1" si="95"/>
        <v>23.811191547358455</v>
      </c>
      <c r="W92">
        <f t="shared" ca="1" si="95"/>
        <v>24.022829298811278</v>
      </c>
      <c r="X92">
        <f t="shared" ca="1" si="95"/>
        <v>24.323494884171875</v>
      </c>
      <c r="Y92">
        <f t="shared" ca="1" si="95"/>
        <v>24.613631324519844</v>
      </c>
      <c r="Z92">
        <f t="shared" ca="1" si="95"/>
        <v>25.345991855398189</v>
      </c>
      <c r="AA92">
        <f t="shared" ca="1" si="96"/>
        <v>25.9531725511264</v>
      </c>
      <c r="AB92">
        <f t="shared" ca="1" si="96"/>
        <v>26.314673196559962</v>
      </c>
      <c r="AC92">
        <f t="shared" ca="1" si="96"/>
        <v>26.649266026961246</v>
      </c>
      <c r="AD92">
        <f t="shared" ca="1" si="96"/>
        <v>26.907815032271333</v>
      </c>
      <c r="AE92">
        <f t="shared" ca="1" si="96"/>
        <v>27.234218527662794</v>
      </c>
      <c r="AF92">
        <f t="shared" ca="1" si="96"/>
        <v>27.534884113023391</v>
      </c>
      <c r="AG92">
        <f t="shared" ca="1" si="96"/>
        <v>28.367856474022393</v>
      </c>
      <c r="AH92">
        <f t="shared" ca="1" si="96"/>
        <v>29.251134750081739</v>
      </c>
      <c r="AI92">
        <f t="shared" ca="1" si="96"/>
        <v>29.496814800376399</v>
      </c>
      <c r="AJ92">
        <f t="shared" ca="1" si="96"/>
        <v>29.810349340752428</v>
      </c>
      <c r="AK92">
        <f t="shared" ca="1" si="96"/>
        <v>29.813859055756641</v>
      </c>
      <c r="AL92">
        <f t="shared" ca="1" si="96"/>
        <v>30.185888846202825</v>
      </c>
      <c r="AM92">
        <f t="shared" ca="1" si="96"/>
        <v>30.958026147128876</v>
      </c>
      <c r="AN92">
        <f t="shared" ca="1" si="96"/>
        <v>30.614074076716363</v>
      </c>
      <c r="AO92">
        <f t="shared" ca="1" si="96"/>
        <v>31.228274202452994</v>
      </c>
      <c r="AP92">
        <f t="shared" ca="1" si="96"/>
        <v>31.656459432966539</v>
      </c>
    </row>
    <row r="93" spans="1:42">
      <c r="A93" s="48" t="str">
        <f>'[4]TS BYDem'!A23</f>
        <v>*</v>
      </c>
      <c r="B93" t="s">
        <v>288</v>
      </c>
      <c r="C93" t="s">
        <v>137</v>
      </c>
      <c r="D93" s="3" t="str">
        <f>'[4]TS BYDem'!D23</f>
        <v>IMIS</v>
      </c>
      <c r="E93" t="s">
        <v>137</v>
      </c>
      <c r="F93" t="s">
        <v>137</v>
      </c>
      <c r="G93" t="s">
        <v>137</v>
      </c>
      <c r="H93" t="s">
        <v>137</v>
      </c>
      <c r="I93">
        <v>0</v>
      </c>
      <c r="J93">
        <f>INDEX('[4]TS BYDem'!$J$10:$J$203,MATCH(D93,'[4]TS BYDem'!$D$10:$D$203,0))</f>
        <v>20.275122960000004</v>
      </c>
      <c r="K93">
        <f t="shared" ca="1" si="95"/>
        <v>20.841985766703509</v>
      </c>
      <c r="L93">
        <f t="shared" ca="1" si="95"/>
        <v>21.007561983390151</v>
      </c>
      <c r="M93">
        <f t="shared" ca="1" si="95"/>
        <v>21.741001029177628</v>
      </c>
      <c r="N93">
        <f t="shared" ca="1" si="95"/>
        <v>21.50233177144678</v>
      </c>
      <c r="O93">
        <f t="shared" ca="1" si="95"/>
        <v>22.237901459013095</v>
      </c>
      <c r="P93">
        <f t="shared" ca="1" si="95"/>
        <v>22.170381598696629</v>
      </c>
      <c r="Q93">
        <f t="shared" ca="1" si="95"/>
        <v>21.944841416051336</v>
      </c>
      <c r="R93">
        <f t="shared" ca="1" si="95"/>
        <v>21.123152335644569</v>
      </c>
      <c r="S93">
        <f t="shared" ca="1" si="95"/>
        <v>23.066735503562715</v>
      </c>
      <c r="T93">
        <f t="shared" ca="1" si="95"/>
        <v>23.313770438268389</v>
      </c>
      <c r="U93">
        <f t="shared" ca="1" si="95"/>
        <v>23.559582642864161</v>
      </c>
      <c r="V93">
        <f t="shared" ca="1" si="95"/>
        <v>23.811191547358455</v>
      </c>
      <c r="W93">
        <f t="shared" ca="1" si="95"/>
        <v>24.022829298811278</v>
      </c>
      <c r="X93">
        <f t="shared" ca="1" si="95"/>
        <v>24.323494884171875</v>
      </c>
      <c r="Y93">
        <f t="shared" ca="1" si="95"/>
        <v>24.613631324519844</v>
      </c>
      <c r="Z93">
        <f t="shared" ca="1" si="95"/>
        <v>25.345991855398189</v>
      </c>
      <c r="AA93">
        <f t="shared" ca="1" si="96"/>
        <v>25.9531725511264</v>
      </c>
      <c r="AB93">
        <f t="shared" ca="1" si="96"/>
        <v>26.314673196559962</v>
      </c>
      <c r="AC93">
        <f t="shared" ca="1" si="96"/>
        <v>26.649266026961246</v>
      </c>
      <c r="AD93">
        <f t="shared" ca="1" si="96"/>
        <v>26.907815032271333</v>
      </c>
      <c r="AE93">
        <f t="shared" ca="1" si="96"/>
        <v>27.234218527662794</v>
      </c>
      <c r="AF93">
        <f t="shared" ca="1" si="96"/>
        <v>27.534884113023391</v>
      </c>
      <c r="AG93">
        <f t="shared" ca="1" si="96"/>
        <v>28.367856474022393</v>
      </c>
      <c r="AH93">
        <f t="shared" ca="1" si="96"/>
        <v>29.251134750081739</v>
      </c>
      <c r="AI93">
        <f t="shared" ca="1" si="96"/>
        <v>29.496814800376399</v>
      </c>
      <c r="AJ93">
        <f t="shared" ca="1" si="96"/>
        <v>29.810349340752428</v>
      </c>
      <c r="AK93">
        <f t="shared" ca="1" si="96"/>
        <v>29.813859055756641</v>
      </c>
      <c r="AL93">
        <f t="shared" ca="1" si="96"/>
        <v>30.185888846202825</v>
      </c>
      <c r="AM93">
        <f t="shared" ca="1" si="96"/>
        <v>30.958026147128876</v>
      </c>
      <c r="AN93">
        <f t="shared" ca="1" si="96"/>
        <v>30.614074076716363</v>
      </c>
      <c r="AO93">
        <f t="shared" ca="1" si="96"/>
        <v>31.228274202452994</v>
      </c>
      <c r="AP93">
        <f t="shared" ca="1" si="96"/>
        <v>31.656459432966539</v>
      </c>
    </row>
    <row r="94" spans="1:42">
      <c r="A94" s="48" t="str">
        <f>'[4]TS BYDem'!A24</f>
        <v>*</v>
      </c>
      <c r="B94" t="s">
        <v>288</v>
      </c>
      <c r="C94" t="s">
        <v>137</v>
      </c>
      <c r="D94" s="3" t="str">
        <f>'[4]TS BYDem'!D24</f>
        <v>IMIS</v>
      </c>
      <c r="E94" t="s">
        <v>137</v>
      </c>
      <c r="F94" t="s">
        <v>137</v>
      </c>
      <c r="G94" t="s">
        <v>137</v>
      </c>
      <c r="H94" t="s">
        <v>137</v>
      </c>
      <c r="I94">
        <v>0</v>
      </c>
      <c r="J94">
        <f>INDEX('[4]TS BYDem'!$J$10:$J$203,MATCH(D94,'[4]TS BYDem'!$D$10:$D$203,0))</f>
        <v>20.275122960000004</v>
      </c>
      <c r="K94">
        <f t="shared" ca="1" si="95"/>
        <v>20.841985766703509</v>
      </c>
      <c r="L94">
        <f t="shared" ca="1" si="95"/>
        <v>21.007561983390151</v>
      </c>
      <c r="M94">
        <f t="shared" ca="1" si="95"/>
        <v>21.741001029177628</v>
      </c>
      <c r="N94">
        <f t="shared" ca="1" si="95"/>
        <v>21.50233177144678</v>
      </c>
      <c r="O94">
        <f t="shared" ca="1" si="95"/>
        <v>22.237901459013095</v>
      </c>
      <c r="P94">
        <f t="shared" ca="1" si="95"/>
        <v>22.170381598696629</v>
      </c>
      <c r="Q94">
        <f t="shared" ca="1" si="95"/>
        <v>21.944841416051336</v>
      </c>
      <c r="R94">
        <f t="shared" ca="1" si="95"/>
        <v>21.123152335644569</v>
      </c>
      <c r="S94">
        <f t="shared" ca="1" si="95"/>
        <v>23.066735503562715</v>
      </c>
      <c r="T94">
        <f t="shared" ca="1" si="95"/>
        <v>23.313770438268389</v>
      </c>
      <c r="U94">
        <f t="shared" ca="1" si="95"/>
        <v>23.559582642864161</v>
      </c>
      <c r="V94">
        <f t="shared" ca="1" si="95"/>
        <v>23.811191547358455</v>
      </c>
      <c r="W94">
        <f t="shared" ca="1" si="95"/>
        <v>24.022829298811278</v>
      </c>
      <c r="X94">
        <f t="shared" ca="1" si="95"/>
        <v>24.323494884171875</v>
      </c>
      <c r="Y94">
        <f t="shared" ca="1" si="95"/>
        <v>24.613631324519844</v>
      </c>
      <c r="Z94">
        <f t="shared" ca="1" si="95"/>
        <v>25.345991855398189</v>
      </c>
      <c r="AA94">
        <f t="shared" ca="1" si="96"/>
        <v>25.9531725511264</v>
      </c>
      <c r="AB94">
        <f t="shared" ca="1" si="96"/>
        <v>26.314673196559962</v>
      </c>
      <c r="AC94">
        <f t="shared" ca="1" si="96"/>
        <v>26.649266026961246</v>
      </c>
      <c r="AD94">
        <f t="shared" ca="1" si="96"/>
        <v>26.907815032271333</v>
      </c>
      <c r="AE94">
        <f t="shared" ca="1" si="96"/>
        <v>27.234218527662794</v>
      </c>
      <c r="AF94">
        <f t="shared" ca="1" si="96"/>
        <v>27.534884113023391</v>
      </c>
      <c r="AG94">
        <f t="shared" ca="1" si="96"/>
        <v>28.367856474022393</v>
      </c>
      <c r="AH94">
        <f t="shared" ca="1" si="96"/>
        <v>29.251134750081739</v>
      </c>
      <c r="AI94">
        <f t="shared" ca="1" si="96"/>
        <v>29.496814800376399</v>
      </c>
      <c r="AJ94">
        <f t="shared" ca="1" si="96"/>
        <v>29.810349340752428</v>
      </c>
      <c r="AK94">
        <f t="shared" ca="1" si="96"/>
        <v>29.813859055756641</v>
      </c>
      <c r="AL94">
        <f t="shared" ca="1" si="96"/>
        <v>30.185888846202825</v>
      </c>
      <c r="AM94">
        <f t="shared" ca="1" si="96"/>
        <v>30.958026147128876</v>
      </c>
      <c r="AN94">
        <f t="shared" ca="1" si="96"/>
        <v>30.614074076716363</v>
      </c>
      <c r="AO94">
        <f t="shared" ca="1" si="96"/>
        <v>31.228274202452994</v>
      </c>
      <c r="AP94">
        <f t="shared" ca="1" si="96"/>
        <v>31.656459432966539</v>
      </c>
    </row>
    <row r="95" spans="1:42">
      <c r="A95" s="48" t="str">
        <f>'[4]TS BYDem'!A25</f>
        <v>*</v>
      </c>
      <c r="B95" t="s">
        <v>288</v>
      </c>
      <c r="C95" t="s">
        <v>137</v>
      </c>
      <c r="D95" s="3" t="str">
        <f>'[4]TS BYDem'!D25</f>
        <v>IMIS</v>
      </c>
      <c r="E95" t="s">
        <v>137</v>
      </c>
      <c r="F95" t="s">
        <v>137</v>
      </c>
      <c r="G95" t="s">
        <v>137</v>
      </c>
      <c r="H95" t="s">
        <v>137</v>
      </c>
      <c r="I95">
        <v>0</v>
      </c>
      <c r="J95">
        <f>INDEX('[4]TS BYDem'!$J$10:$J$203,MATCH(D95,'[4]TS BYDem'!$D$10:$D$203,0))</f>
        <v>20.275122960000004</v>
      </c>
      <c r="K95">
        <f t="shared" ca="1" si="95"/>
        <v>20.841985766703509</v>
      </c>
      <c r="L95">
        <f t="shared" ca="1" si="95"/>
        <v>21.007561983390151</v>
      </c>
      <c r="M95">
        <f t="shared" ca="1" si="95"/>
        <v>21.741001029177628</v>
      </c>
      <c r="N95">
        <f t="shared" ca="1" si="95"/>
        <v>21.50233177144678</v>
      </c>
      <c r="O95">
        <f t="shared" ca="1" si="95"/>
        <v>22.237901459013095</v>
      </c>
      <c r="P95">
        <f t="shared" ca="1" si="95"/>
        <v>22.170381598696629</v>
      </c>
      <c r="Q95">
        <f t="shared" ca="1" si="95"/>
        <v>21.944841416051336</v>
      </c>
      <c r="R95">
        <f t="shared" ca="1" si="95"/>
        <v>21.123152335644569</v>
      </c>
      <c r="S95">
        <f t="shared" ca="1" si="95"/>
        <v>23.066735503562715</v>
      </c>
      <c r="T95">
        <f t="shared" ca="1" si="95"/>
        <v>23.313770438268389</v>
      </c>
      <c r="U95">
        <f t="shared" ca="1" si="95"/>
        <v>23.559582642864161</v>
      </c>
      <c r="V95">
        <f t="shared" ca="1" si="95"/>
        <v>23.811191547358455</v>
      </c>
      <c r="W95">
        <f t="shared" ca="1" si="95"/>
        <v>24.022829298811278</v>
      </c>
      <c r="X95">
        <f t="shared" ca="1" si="95"/>
        <v>24.323494884171875</v>
      </c>
      <c r="Y95">
        <f t="shared" ca="1" si="95"/>
        <v>24.613631324519844</v>
      </c>
      <c r="Z95">
        <f t="shared" ca="1" si="95"/>
        <v>25.345991855398189</v>
      </c>
      <c r="AA95">
        <f t="shared" ca="1" si="96"/>
        <v>25.9531725511264</v>
      </c>
      <c r="AB95">
        <f t="shared" ca="1" si="96"/>
        <v>26.314673196559962</v>
      </c>
      <c r="AC95">
        <f t="shared" ca="1" si="96"/>
        <v>26.649266026961246</v>
      </c>
      <c r="AD95">
        <f t="shared" ca="1" si="96"/>
        <v>26.907815032271333</v>
      </c>
      <c r="AE95">
        <f t="shared" ca="1" si="96"/>
        <v>27.234218527662794</v>
      </c>
      <c r="AF95">
        <f t="shared" ca="1" si="96"/>
        <v>27.534884113023391</v>
      </c>
      <c r="AG95">
        <f t="shared" ca="1" si="96"/>
        <v>28.367856474022393</v>
      </c>
      <c r="AH95">
        <f t="shared" ca="1" si="96"/>
        <v>29.251134750081739</v>
      </c>
      <c r="AI95">
        <f t="shared" ca="1" si="96"/>
        <v>29.496814800376399</v>
      </c>
      <c r="AJ95">
        <f t="shared" ca="1" si="96"/>
        <v>29.810349340752428</v>
      </c>
      <c r="AK95">
        <f t="shared" ca="1" si="96"/>
        <v>29.813859055756641</v>
      </c>
      <c r="AL95">
        <f t="shared" ca="1" si="96"/>
        <v>30.185888846202825</v>
      </c>
      <c r="AM95">
        <f t="shared" ca="1" si="96"/>
        <v>30.958026147128876</v>
      </c>
      <c r="AN95">
        <f t="shared" ca="1" si="96"/>
        <v>30.614074076716363</v>
      </c>
      <c r="AO95">
        <f t="shared" ca="1" si="96"/>
        <v>31.228274202452994</v>
      </c>
      <c r="AP95">
        <f t="shared" ref="AP95:AP99" ca="1" si="100">AP$79/AO$79*AO95</f>
        <v>31.656459432966539</v>
      </c>
    </row>
    <row r="96" spans="1:42">
      <c r="A96" s="48" t="str">
        <f>'[4]TS BYDem'!A26</f>
        <v>*</v>
      </c>
      <c r="B96" t="s">
        <v>288</v>
      </c>
      <c r="C96" t="s">
        <v>137</v>
      </c>
      <c r="D96" s="3">
        <f>'[4]TS BYDem'!D26</f>
        <v>0</v>
      </c>
      <c r="E96" t="s">
        <v>137</v>
      </c>
      <c r="F96" t="s">
        <v>137</v>
      </c>
      <c r="G96" t="s">
        <v>137</v>
      </c>
      <c r="H96" t="s">
        <v>137</v>
      </c>
      <c r="I96">
        <v>0</v>
      </c>
      <c r="J96" t="str">
        <f>INDEX('[4]TS BYDem'!$J$10:$J$203,MATCH(D96,'[4]TS BYDem'!$D$10:$D$203,0))</f>
        <v/>
      </c>
      <c r="K96" t="e">
        <f t="shared" ref="K96:Z99" ca="1" si="101">K$79/J$79*J96</f>
        <v>#VALUE!</v>
      </c>
      <c r="L96" t="e">
        <f t="shared" ca="1" si="101"/>
        <v>#VALUE!</v>
      </c>
      <c r="M96" t="e">
        <f t="shared" ca="1" si="101"/>
        <v>#VALUE!</v>
      </c>
      <c r="N96" t="e">
        <f t="shared" ca="1" si="101"/>
        <v>#VALUE!</v>
      </c>
      <c r="O96" t="e">
        <f t="shared" ca="1" si="101"/>
        <v>#VALUE!</v>
      </c>
      <c r="P96" t="e">
        <f t="shared" ca="1" si="101"/>
        <v>#VALUE!</v>
      </c>
      <c r="Q96" t="e">
        <f t="shared" ca="1" si="101"/>
        <v>#VALUE!</v>
      </c>
      <c r="R96" t="e">
        <f t="shared" ca="1" si="101"/>
        <v>#VALUE!</v>
      </c>
      <c r="S96" t="e">
        <f t="shared" ca="1" si="101"/>
        <v>#VALUE!</v>
      </c>
      <c r="T96" t="e">
        <f t="shared" ca="1" si="101"/>
        <v>#VALUE!</v>
      </c>
      <c r="U96" t="e">
        <f t="shared" ca="1" si="101"/>
        <v>#VALUE!</v>
      </c>
      <c r="V96" t="e">
        <f t="shared" ca="1" si="101"/>
        <v>#VALUE!</v>
      </c>
      <c r="W96" t="e">
        <f t="shared" ca="1" si="101"/>
        <v>#VALUE!</v>
      </c>
      <c r="X96" t="e">
        <f t="shared" ca="1" si="101"/>
        <v>#VALUE!</v>
      </c>
      <c r="Y96" t="e">
        <f t="shared" ca="1" si="101"/>
        <v>#VALUE!</v>
      </c>
      <c r="Z96" t="e">
        <f t="shared" ca="1" si="101"/>
        <v>#VALUE!</v>
      </c>
      <c r="AA96" t="e">
        <f t="shared" ref="AA96:AO99" ca="1" si="102">AA$79/Z$79*Z96</f>
        <v>#VALUE!</v>
      </c>
      <c r="AB96" t="e">
        <f t="shared" ca="1" si="102"/>
        <v>#VALUE!</v>
      </c>
      <c r="AC96" t="e">
        <f t="shared" ca="1" si="102"/>
        <v>#VALUE!</v>
      </c>
      <c r="AD96" t="e">
        <f t="shared" ca="1" si="102"/>
        <v>#VALUE!</v>
      </c>
      <c r="AE96" t="e">
        <f t="shared" ca="1" si="102"/>
        <v>#VALUE!</v>
      </c>
      <c r="AF96" t="e">
        <f t="shared" ca="1" si="102"/>
        <v>#VALUE!</v>
      </c>
      <c r="AG96" t="e">
        <f t="shared" ca="1" si="102"/>
        <v>#VALUE!</v>
      </c>
      <c r="AH96" t="e">
        <f t="shared" ca="1" si="102"/>
        <v>#VALUE!</v>
      </c>
      <c r="AI96" t="e">
        <f t="shared" ca="1" si="102"/>
        <v>#VALUE!</v>
      </c>
      <c r="AJ96" t="e">
        <f t="shared" ca="1" si="102"/>
        <v>#VALUE!</v>
      </c>
      <c r="AK96" t="e">
        <f t="shared" ca="1" si="102"/>
        <v>#VALUE!</v>
      </c>
      <c r="AL96" t="e">
        <f t="shared" ca="1" si="102"/>
        <v>#VALUE!</v>
      </c>
      <c r="AM96" t="e">
        <f t="shared" ca="1" si="102"/>
        <v>#VALUE!</v>
      </c>
      <c r="AN96" t="e">
        <f t="shared" ca="1" si="102"/>
        <v>#VALUE!</v>
      </c>
      <c r="AO96" t="e">
        <f t="shared" ca="1" si="102"/>
        <v>#VALUE!</v>
      </c>
      <c r="AP96" t="e">
        <f t="shared" ca="1" si="100"/>
        <v>#VALUE!</v>
      </c>
    </row>
    <row r="97" spans="1:42">
      <c r="A97" s="48" t="str">
        <f>'[4]TS BYDem'!A27</f>
        <v/>
      </c>
      <c r="B97" t="s">
        <v>288</v>
      </c>
      <c r="C97" t="s">
        <v>137</v>
      </c>
      <c r="D97" s="3" t="str">
        <f>'[4]TS BYDem'!D27</f>
        <v>IMIR</v>
      </c>
      <c r="E97" t="s">
        <v>137</v>
      </c>
      <c r="F97" t="s">
        <v>137</v>
      </c>
      <c r="G97" t="s">
        <v>137</v>
      </c>
      <c r="H97" t="s">
        <v>137</v>
      </c>
      <c r="I97">
        <v>0</v>
      </c>
      <c r="J97">
        <f>INDEX('[4]TS BYDem'!$J$10:$J$203,MATCH(D97,'[4]TS BYDem'!$D$10:$D$203,0))</f>
        <v>51.488523217763458</v>
      </c>
      <c r="K97">
        <f t="shared" ca="1" si="101"/>
        <v>52.928067078573662</v>
      </c>
      <c r="L97">
        <f t="shared" ca="1" si="101"/>
        <v>53.348546643309163</v>
      </c>
      <c r="M97" s="171">
        <f t="shared" ref="M97" si="103">O97</f>
        <v>25.406351025250526</v>
      </c>
      <c r="N97" s="171">
        <f t="shared" ref="N97" si="104">O97</f>
        <v>25.406351025250526</v>
      </c>
      <c r="O97" s="171">
        <f>INDEX('[4]TS BYDem'!$O$10:$O$203,MATCH(D97,'[4]TS BYDem'!$D$10:$D$203,0))</f>
        <v>25.406351025250526</v>
      </c>
      <c r="P97">
        <f t="shared" ca="1" si="101"/>
        <v>25.329210955377579</v>
      </c>
      <c r="Q97">
        <f t="shared" ca="1" si="101"/>
        <v>25.071535874788399</v>
      </c>
      <c r="R97">
        <f t="shared" ca="1" si="101"/>
        <v>24.132772779317964</v>
      </c>
      <c r="S97">
        <f t="shared" ca="1" si="101"/>
        <v>26.353277097223518</v>
      </c>
      <c r="T97">
        <f t="shared" ca="1" si="101"/>
        <v>26.635509495734684</v>
      </c>
      <c r="U97">
        <f t="shared" ca="1" si="101"/>
        <v>26.916344949914635</v>
      </c>
      <c r="V97">
        <f t="shared" ca="1" si="101"/>
        <v>27.203803016065468</v>
      </c>
      <c r="W97">
        <f t="shared" ca="1" si="101"/>
        <v>27.44559485121302</v>
      </c>
      <c r="X97">
        <f t="shared" ca="1" si="101"/>
        <v>27.789099179486215</v>
      </c>
      <c r="Y97">
        <f t="shared" ca="1" si="101"/>
        <v>28.12057417330626</v>
      </c>
      <c r="Z97">
        <f t="shared" ca="1" si="101"/>
        <v>28.957281214158478</v>
      </c>
      <c r="AA97">
        <f t="shared" ca="1" si="102"/>
        <v>29.650972834289945</v>
      </c>
      <c r="AB97">
        <f t="shared" ca="1" si="102"/>
        <v>30.06397998384799</v>
      </c>
      <c r="AC97">
        <f t="shared" ca="1" si="102"/>
        <v>30.446245500914653</v>
      </c>
      <c r="AD97">
        <f t="shared" ca="1" si="102"/>
        <v>30.74163249137526</v>
      </c>
      <c r="AE97">
        <f t="shared" ca="1" si="102"/>
        <v>31.114541859422808</v>
      </c>
      <c r="AF97">
        <f t="shared" ca="1" si="102"/>
        <v>31.458046187696002</v>
      </c>
      <c r="AG97">
        <f t="shared" ca="1" si="102"/>
        <v>32.40970020221161</v>
      </c>
      <c r="AH97">
        <f t="shared" ca="1" si="102"/>
        <v>33.418827703558932</v>
      </c>
      <c r="AI97">
        <f t="shared" ca="1" si="102"/>
        <v>33.699512174132366</v>
      </c>
      <c r="AJ97">
        <f t="shared" ca="1" si="102"/>
        <v>34.057719022292737</v>
      </c>
      <c r="AK97">
        <f t="shared" ca="1" si="102"/>
        <v>34.061728800443788</v>
      </c>
      <c r="AL97">
        <f t="shared" ca="1" si="102"/>
        <v>34.486765284454975</v>
      </c>
      <c r="AM97">
        <f t="shared" ca="1" si="102"/>
        <v>35.368916477685744</v>
      </c>
      <c r="AN97">
        <f t="shared" ca="1" si="102"/>
        <v>34.975958218882944</v>
      </c>
      <c r="AO97">
        <f t="shared" ca="1" si="102"/>
        <v>35.677669395316514</v>
      </c>
      <c r="AP97">
        <f t="shared" ca="1" si="100"/>
        <v>36.166862329744497</v>
      </c>
    </row>
    <row r="98" spans="1:42">
      <c r="A98" s="48" t="str">
        <f>'[4]TS BYDem'!A28</f>
        <v>*</v>
      </c>
      <c r="B98" t="s">
        <v>288</v>
      </c>
      <c r="C98" t="s">
        <v>137</v>
      </c>
      <c r="D98" s="3" t="str">
        <f>'[4]TS BYDem'!D28</f>
        <v>Useful Energy Service</v>
      </c>
      <c r="E98" t="s">
        <v>137</v>
      </c>
      <c r="F98" t="s">
        <v>137</v>
      </c>
      <c r="G98" t="s">
        <v>137</v>
      </c>
      <c r="H98" t="s">
        <v>137</v>
      </c>
      <c r="I98">
        <v>0</v>
      </c>
      <c r="J98" t="str">
        <f>INDEX('[4]TS BYDem'!$J$10:$J$203,MATCH(D98,'[4]TS BYDem'!$D$10:$D$203,0))</f>
        <v/>
      </c>
      <c r="K98" t="e">
        <f t="shared" ca="1" si="101"/>
        <v>#VALUE!</v>
      </c>
      <c r="L98" t="e">
        <f t="shared" ca="1" si="101"/>
        <v>#VALUE!</v>
      </c>
      <c r="M98" t="e">
        <f t="shared" ca="1" si="101"/>
        <v>#VALUE!</v>
      </c>
      <c r="N98" t="e">
        <f t="shared" ca="1" si="101"/>
        <v>#VALUE!</v>
      </c>
      <c r="O98" t="e">
        <f t="shared" ca="1" si="101"/>
        <v>#VALUE!</v>
      </c>
      <c r="P98" t="e">
        <f t="shared" ca="1" si="101"/>
        <v>#VALUE!</v>
      </c>
      <c r="Q98" t="e">
        <f t="shared" ca="1" si="101"/>
        <v>#VALUE!</v>
      </c>
      <c r="R98" t="e">
        <f t="shared" ca="1" si="101"/>
        <v>#VALUE!</v>
      </c>
      <c r="S98" t="e">
        <f t="shared" ca="1" si="101"/>
        <v>#VALUE!</v>
      </c>
      <c r="T98" t="e">
        <f t="shared" ca="1" si="101"/>
        <v>#VALUE!</v>
      </c>
      <c r="U98" t="e">
        <f t="shared" ca="1" si="101"/>
        <v>#VALUE!</v>
      </c>
      <c r="V98" t="e">
        <f t="shared" ca="1" si="101"/>
        <v>#VALUE!</v>
      </c>
      <c r="W98" t="e">
        <f t="shared" ca="1" si="101"/>
        <v>#VALUE!</v>
      </c>
      <c r="X98" t="e">
        <f t="shared" ca="1" si="101"/>
        <v>#VALUE!</v>
      </c>
      <c r="Y98" t="e">
        <f t="shared" ca="1" si="101"/>
        <v>#VALUE!</v>
      </c>
      <c r="Z98" t="e">
        <f t="shared" ca="1" si="101"/>
        <v>#VALUE!</v>
      </c>
      <c r="AA98" t="e">
        <f t="shared" ca="1" si="102"/>
        <v>#VALUE!</v>
      </c>
      <c r="AB98" t="e">
        <f t="shared" ca="1" si="102"/>
        <v>#VALUE!</v>
      </c>
      <c r="AC98" t="e">
        <f t="shared" ca="1" si="102"/>
        <v>#VALUE!</v>
      </c>
      <c r="AD98" t="e">
        <f t="shared" ca="1" si="102"/>
        <v>#VALUE!</v>
      </c>
      <c r="AE98" t="e">
        <f t="shared" ca="1" si="102"/>
        <v>#VALUE!</v>
      </c>
      <c r="AF98" t="e">
        <f t="shared" ca="1" si="102"/>
        <v>#VALUE!</v>
      </c>
      <c r="AG98" t="e">
        <f t="shared" ca="1" si="102"/>
        <v>#VALUE!</v>
      </c>
      <c r="AH98" t="e">
        <f t="shared" ca="1" si="102"/>
        <v>#VALUE!</v>
      </c>
      <c r="AI98" t="e">
        <f t="shared" ca="1" si="102"/>
        <v>#VALUE!</v>
      </c>
      <c r="AJ98" t="e">
        <f t="shared" ca="1" si="102"/>
        <v>#VALUE!</v>
      </c>
      <c r="AK98" t="e">
        <f t="shared" ca="1" si="102"/>
        <v>#VALUE!</v>
      </c>
      <c r="AL98" t="e">
        <f t="shared" ca="1" si="102"/>
        <v>#VALUE!</v>
      </c>
      <c r="AM98" t="e">
        <f t="shared" ca="1" si="102"/>
        <v>#VALUE!</v>
      </c>
      <c r="AN98" t="e">
        <f t="shared" ca="1" si="102"/>
        <v>#VALUE!</v>
      </c>
      <c r="AO98" t="e">
        <f t="shared" ca="1" si="102"/>
        <v>#VALUE!</v>
      </c>
      <c r="AP98" t="e">
        <f t="shared" ca="1" si="100"/>
        <v>#VALUE!</v>
      </c>
    </row>
    <row r="99" spans="1:42">
      <c r="A99" s="48" t="str">
        <f>'[4]TS BYDem'!A29</f>
        <v>*</v>
      </c>
      <c r="B99" t="s">
        <v>288</v>
      </c>
      <c r="C99" t="s">
        <v>137</v>
      </c>
      <c r="D99" s="3">
        <f>'[4]TS BYDem'!D29</f>
        <v>0</v>
      </c>
      <c r="E99" t="s">
        <v>137</v>
      </c>
      <c r="F99" t="s">
        <v>137</v>
      </c>
      <c r="G99" t="s">
        <v>137</v>
      </c>
      <c r="H99" t="s">
        <v>137</v>
      </c>
      <c r="I99">
        <v>0</v>
      </c>
      <c r="J99" t="str">
        <f>INDEX('[4]TS BYDem'!$J$10:$J$203,MATCH(D99,'[4]TS BYDem'!$D$10:$D$203,0))</f>
        <v/>
      </c>
      <c r="K99" t="e">
        <f t="shared" ca="1" si="101"/>
        <v>#VALUE!</v>
      </c>
      <c r="L99" t="e">
        <f t="shared" ca="1" si="101"/>
        <v>#VALUE!</v>
      </c>
      <c r="M99" t="e">
        <f t="shared" ca="1" si="101"/>
        <v>#VALUE!</v>
      </c>
      <c r="N99" t="e">
        <f t="shared" ca="1" si="101"/>
        <v>#VALUE!</v>
      </c>
      <c r="O99" t="e">
        <f t="shared" ca="1" si="101"/>
        <v>#VALUE!</v>
      </c>
      <c r="P99" t="e">
        <f t="shared" ca="1" si="101"/>
        <v>#VALUE!</v>
      </c>
      <c r="Q99" t="e">
        <f t="shared" ca="1" si="101"/>
        <v>#VALUE!</v>
      </c>
      <c r="R99" t="e">
        <f t="shared" ca="1" si="101"/>
        <v>#VALUE!</v>
      </c>
      <c r="S99" t="e">
        <f t="shared" ca="1" si="101"/>
        <v>#VALUE!</v>
      </c>
      <c r="T99" t="e">
        <f t="shared" ca="1" si="101"/>
        <v>#VALUE!</v>
      </c>
      <c r="U99" t="e">
        <f t="shared" ca="1" si="101"/>
        <v>#VALUE!</v>
      </c>
      <c r="V99" t="e">
        <f t="shared" ca="1" si="101"/>
        <v>#VALUE!</v>
      </c>
      <c r="W99" t="e">
        <f t="shared" ca="1" si="101"/>
        <v>#VALUE!</v>
      </c>
      <c r="X99" t="e">
        <f t="shared" ca="1" si="101"/>
        <v>#VALUE!</v>
      </c>
      <c r="Y99" t="e">
        <f t="shared" ca="1" si="101"/>
        <v>#VALUE!</v>
      </c>
      <c r="Z99" t="e">
        <f t="shared" ca="1" si="101"/>
        <v>#VALUE!</v>
      </c>
      <c r="AA99" t="e">
        <f t="shared" ca="1" si="102"/>
        <v>#VALUE!</v>
      </c>
      <c r="AB99" t="e">
        <f t="shared" ca="1" si="102"/>
        <v>#VALUE!</v>
      </c>
      <c r="AC99" t="e">
        <f t="shared" ca="1" si="102"/>
        <v>#VALUE!</v>
      </c>
      <c r="AD99" t="e">
        <f t="shared" ca="1" si="102"/>
        <v>#VALUE!</v>
      </c>
      <c r="AE99" t="e">
        <f t="shared" ca="1" si="102"/>
        <v>#VALUE!</v>
      </c>
      <c r="AF99" t="e">
        <f t="shared" ca="1" si="102"/>
        <v>#VALUE!</v>
      </c>
      <c r="AG99" t="e">
        <f t="shared" ca="1" si="102"/>
        <v>#VALUE!</v>
      </c>
      <c r="AH99" t="e">
        <f t="shared" ca="1" si="102"/>
        <v>#VALUE!</v>
      </c>
      <c r="AI99" t="e">
        <f t="shared" ca="1" si="102"/>
        <v>#VALUE!</v>
      </c>
      <c r="AJ99" t="e">
        <f t="shared" ca="1" si="102"/>
        <v>#VALUE!</v>
      </c>
      <c r="AK99" t="e">
        <f t="shared" ca="1" si="102"/>
        <v>#VALUE!</v>
      </c>
      <c r="AL99" t="e">
        <f t="shared" ca="1" si="102"/>
        <v>#VALUE!</v>
      </c>
      <c r="AM99" t="e">
        <f t="shared" ca="1" si="102"/>
        <v>#VALUE!</v>
      </c>
      <c r="AN99" t="e">
        <f t="shared" ca="1" si="102"/>
        <v>#VALUE!</v>
      </c>
      <c r="AO99" t="e">
        <f t="shared" ca="1" si="102"/>
        <v>#VALUE!</v>
      </c>
      <c r="AP99" t="e">
        <f t="shared" ca="1" si="100"/>
        <v>#VALUE!</v>
      </c>
    </row>
    <row r="100" spans="1:42" s="2" customFormat="1">
      <c r="A100" s="48" t="str">
        <f>'[4]TS BYDem'!A30</f>
        <v>*</v>
      </c>
      <c r="B100" s="2">
        <f>B79+2</f>
        <v>3</v>
      </c>
      <c r="C100" s="1" t="str">
        <f ca="1">OFFSET($C$9,$B100,0)</f>
        <v>FerroChrome</v>
      </c>
      <c r="D100" s="1" t="str">
        <f ca="1">OFFSET($B$9,$B100,0)</f>
        <v>FAC</v>
      </c>
      <c r="J100" s="2">
        <f t="shared" ref="J100:AA100" ca="1" si="105">SUMIF($B$10:$B$25,$D100,J$10:J$25)*SUMIF($B$10:$B$25,$D100,J$47:J$62)</f>
        <v>117.12281075206418</v>
      </c>
      <c r="K100" s="2">
        <f t="shared" ca="1" si="105"/>
        <v>119.07275947417872</v>
      </c>
      <c r="L100" s="2">
        <f t="shared" ca="1" si="105"/>
        <v>120.12173328694826</v>
      </c>
      <c r="M100" s="2">
        <f t="shared" ca="1" si="105"/>
        <v>120.67779367214723</v>
      </c>
      <c r="N100" s="2">
        <f t="shared" ca="1" si="105"/>
        <v>119.95882677975034</v>
      </c>
      <c r="O100" s="2">
        <f t="shared" ca="1" si="105"/>
        <v>120.88915701956363</v>
      </c>
      <c r="P100" s="2">
        <f t="shared" ca="1" si="105"/>
        <v>121.14044942310186</v>
      </c>
      <c r="Q100" s="2">
        <f t="shared" ca="1" si="105"/>
        <v>118.318</v>
      </c>
      <c r="R100" s="2">
        <f t="shared" ca="1" si="105"/>
        <v>107.464</v>
      </c>
      <c r="S100" s="2">
        <f t="shared" ca="1" si="105"/>
        <v>117.24739000000001</v>
      </c>
      <c r="T100" s="2">
        <f t="shared" ca="1" si="105"/>
        <v>116.3044075</v>
      </c>
      <c r="U100" s="2">
        <f t="shared" ca="1" si="105"/>
        <v>116.45819999999999</v>
      </c>
      <c r="V100" s="2">
        <f t="shared" ca="1" si="105"/>
        <v>117.19157999999999</v>
      </c>
      <c r="W100" s="2">
        <f t="shared" ca="1" si="105"/>
        <v>118.04099999999997</v>
      </c>
      <c r="X100" s="2">
        <f t="shared" ca="1" si="105"/>
        <v>121.706</v>
      </c>
      <c r="Y100" s="2">
        <f t="shared" ca="1" si="105"/>
        <v>124.937</v>
      </c>
      <c r="Z100" s="2">
        <f t="shared" ca="1" si="105"/>
        <v>131.876</v>
      </c>
      <c r="AA100" s="2">
        <f t="shared" ca="1" si="105"/>
        <v>137.161</v>
      </c>
      <c r="AB100" s="2">
        <f ca="1">SUMIF($B$10:$B$25,$D100,AB$10:AB$25)*SUMIF($B$10:$B$25,$D100,AB$46:AB$62)</f>
        <v>140.69499999999999</v>
      </c>
      <c r="AC100" s="2">
        <f t="shared" ref="AC100:AP100" ca="1" si="106">SUMIF($B$10:$B$25,$D100,AC$10:AC$25)*SUMIF($B$10:$B$25,$D100,AC$47:AC$62)</f>
        <v>143.66999999999999</v>
      </c>
      <c r="AD100" s="2">
        <f t="shared" ca="1" si="106"/>
        <v>146.92400000000001</v>
      </c>
      <c r="AE100" s="2">
        <f t="shared" ca="1" si="106"/>
        <v>151</v>
      </c>
      <c r="AF100" s="2">
        <f t="shared" ca="1" si="106"/>
        <v>155.93299999999999</v>
      </c>
      <c r="AG100" s="2">
        <f t="shared" ca="1" si="106"/>
        <v>166.673</v>
      </c>
      <c r="AH100" s="2">
        <f t="shared" ca="1" si="106"/>
        <v>175.935</v>
      </c>
      <c r="AI100" s="2">
        <f t="shared" ca="1" si="106"/>
        <v>179.65</v>
      </c>
      <c r="AJ100" s="2">
        <f t="shared" ca="1" si="106"/>
        <v>183.81800000000001</v>
      </c>
      <c r="AK100" s="2">
        <f t="shared" ca="1" si="106"/>
        <v>186.33199999999999</v>
      </c>
      <c r="AL100" s="2">
        <f t="shared" ca="1" si="106"/>
        <v>193.435</v>
      </c>
      <c r="AM100" s="2">
        <f t="shared" ca="1" si="106"/>
        <v>213.45</v>
      </c>
      <c r="AN100" s="2">
        <f t="shared" ca="1" si="106"/>
        <v>228.876</v>
      </c>
      <c r="AO100" s="2">
        <f t="shared" ca="1" si="106"/>
        <v>265.08183333333363</v>
      </c>
      <c r="AP100" s="2">
        <f t="shared" ca="1" si="106"/>
        <v>300.52283333333344</v>
      </c>
    </row>
    <row r="101" spans="1:42">
      <c r="A101" s="48" t="str">
        <f>'[4]TS BYDem'!A31</f>
        <v>*</v>
      </c>
      <c r="B101" t="s">
        <v>288</v>
      </c>
      <c r="C101" t="s">
        <v>137</v>
      </c>
      <c r="D101" s="3" t="str">
        <f>'[4]TS BYDem'!D31</f>
        <v>IFAK</v>
      </c>
      <c r="E101" t="s">
        <v>137</v>
      </c>
      <c r="F101" t="s">
        <v>137</v>
      </c>
      <c r="G101" t="s">
        <v>137</v>
      </c>
      <c r="H101" t="s">
        <v>137</v>
      </c>
      <c r="I101">
        <v>0</v>
      </c>
      <c r="J101" t="str">
        <f>INDEX('[4]TS BYDem'!$J$10:$J$203,MATCH(D101,'[4]TS BYDem'!$D$10:$D$203,0))</f>
        <v/>
      </c>
      <c r="K101" t="e">
        <f ca="1">K$100/J$100*J101</f>
        <v>#VALUE!</v>
      </c>
      <c r="L101" t="e">
        <f t="shared" ref="L101:AP116" ca="1" si="107">L$100/K$100*K101</f>
        <v>#VALUE!</v>
      </c>
      <c r="M101" t="e">
        <f t="shared" ca="1" si="107"/>
        <v>#VALUE!</v>
      </c>
      <c r="N101" t="e">
        <f t="shared" ca="1" si="107"/>
        <v>#VALUE!</v>
      </c>
      <c r="O101" t="e">
        <f t="shared" ca="1" si="107"/>
        <v>#VALUE!</v>
      </c>
      <c r="P101" t="e">
        <f t="shared" ca="1" si="107"/>
        <v>#VALUE!</v>
      </c>
      <c r="Q101" t="e">
        <f t="shared" ca="1" si="107"/>
        <v>#VALUE!</v>
      </c>
      <c r="R101" t="e">
        <f t="shared" ca="1" si="107"/>
        <v>#VALUE!</v>
      </c>
      <c r="S101" t="e">
        <f t="shared" ca="1" si="107"/>
        <v>#VALUE!</v>
      </c>
      <c r="T101" t="e">
        <f t="shared" ca="1" si="107"/>
        <v>#VALUE!</v>
      </c>
      <c r="U101" t="e">
        <f t="shared" ca="1" si="107"/>
        <v>#VALUE!</v>
      </c>
      <c r="V101" t="e">
        <f t="shared" ca="1" si="107"/>
        <v>#VALUE!</v>
      </c>
      <c r="W101" t="e">
        <f t="shared" ca="1" si="107"/>
        <v>#VALUE!</v>
      </c>
      <c r="X101" t="e">
        <f t="shared" ca="1" si="107"/>
        <v>#VALUE!</v>
      </c>
      <c r="Y101" t="e">
        <f t="shared" ca="1" si="107"/>
        <v>#VALUE!</v>
      </c>
      <c r="Z101" t="e">
        <f t="shared" ca="1" si="107"/>
        <v>#VALUE!</v>
      </c>
      <c r="AA101" t="e">
        <f t="shared" ca="1" si="107"/>
        <v>#VALUE!</v>
      </c>
      <c r="AB101" t="e">
        <f t="shared" ca="1" si="107"/>
        <v>#VALUE!</v>
      </c>
      <c r="AC101" t="e">
        <f t="shared" ca="1" si="107"/>
        <v>#VALUE!</v>
      </c>
      <c r="AD101" t="e">
        <f t="shared" ca="1" si="107"/>
        <v>#VALUE!</v>
      </c>
      <c r="AE101" t="e">
        <f t="shared" ca="1" si="107"/>
        <v>#VALUE!</v>
      </c>
      <c r="AF101" t="e">
        <f t="shared" ca="1" si="107"/>
        <v>#VALUE!</v>
      </c>
      <c r="AG101" t="e">
        <f t="shared" ca="1" si="107"/>
        <v>#VALUE!</v>
      </c>
      <c r="AH101" t="e">
        <f t="shared" ca="1" si="107"/>
        <v>#VALUE!</v>
      </c>
      <c r="AI101" t="e">
        <f t="shared" ca="1" si="107"/>
        <v>#VALUE!</v>
      </c>
      <c r="AJ101" t="e">
        <f t="shared" ca="1" si="107"/>
        <v>#VALUE!</v>
      </c>
      <c r="AK101" t="e">
        <f t="shared" ca="1" si="107"/>
        <v>#VALUE!</v>
      </c>
      <c r="AL101" t="e">
        <f t="shared" ca="1" si="107"/>
        <v>#VALUE!</v>
      </c>
      <c r="AM101" t="e">
        <f t="shared" ca="1" si="107"/>
        <v>#VALUE!</v>
      </c>
      <c r="AN101" t="e">
        <f t="shared" ca="1" si="107"/>
        <v>#VALUE!</v>
      </c>
      <c r="AO101" t="e">
        <f t="shared" ca="1" si="107"/>
        <v>#VALUE!</v>
      </c>
      <c r="AP101" t="e">
        <f t="shared" ca="1" si="107"/>
        <v>#VALUE!</v>
      </c>
    </row>
    <row r="102" spans="1:42">
      <c r="A102" s="48" t="str">
        <f>'[4]TS BYDem'!A32</f>
        <v>*</v>
      </c>
      <c r="B102" t="s">
        <v>288</v>
      </c>
      <c r="C102" t="s">
        <v>137</v>
      </c>
      <c r="D102" s="3" t="str">
        <f>'[4]TS BYDem'!D32</f>
        <v>IFAA</v>
      </c>
      <c r="E102" t="s">
        <v>137</v>
      </c>
      <c r="F102" t="s">
        <v>137</v>
      </c>
      <c r="G102" t="s">
        <v>137</v>
      </c>
      <c r="H102" t="s">
        <v>137</v>
      </c>
      <c r="I102">
        <v>0</v>
      </c>
      <c r="J102" t="str">
        <f>INDEX('[4]TS BYDem'!$J$10:$J$203,MATCH(D102,'[4]TS BYDem'!$D$10:$D$203,0))</f>
        <v/>
      </c>
      <c r="K102" t="e">
        <f t="shared" ref="K102:AH112" ca="1" si="108">K$100/J$100*J102</f>
        <v>#VALUE!</v>
      </c>
      <c r="L102" t="e">
        <f t="shared" ca="1" si="108"/>
        <v>#VALUE!</v>
      </c>
      <c r="M102" t="e">
        <f t="shared" ca="1" si="108"/>
        <v>#VALUE!</v>
      </c>
      <c r="N102" t="e">
        <f t="shared" ca="1" si="108"/>
        <v>#VALUE!</v>
      </c>
      <c r="O102" t="e">
        <f t="shared" ca="1" si="108"/>
        <v>#VALUE!</v>
      </c>
      <c r="P102" t="e">
        <f t="shared" ca="1" si="108"/>
        <v>#VALUE!</v>
      </c>
      <c r="Q102" t="e">
        <f t="shared" ca="1" si="108"/>
        <v>#VALUE!</v>
      </c>
      <c r="R102" t="e">
        <f t="shared" ca="1" si="108"/>
        <v>#VALUE!</v>
      </c>
      <c r="S102" t="e">
        <f t="shared" ca="1" si="108"/>
        <v>#VALUE!</v>
      </c>
      <c r="T102" t="e">
        <f t="shared" ca="1" si="108"/>
        <v>#VALUE!</v>
      </c>
      <c r="U102" t="e">
        <f t="shared" ca="1" si="108"/>
        <v>#VALUE!</v>
      </c>
      <c r="V102" t="e">
        <f t="shared" ca="1" si="108"/>
        <v>#VALUE!</v>
      </c>
      <c r="W102" t="e">
        <f t="shared" ca="1" si="108"/>
        <v>#VALUE!</v>
      </c>
      <c r="X102" t="e">
        <f t="shared" ca="1" si="108"/>
        <v>#VALUE!</v>
      </c>
      <c r="Y102" t="e">
        <f t="shared" ca="1" si="108"/>
        <v>#VALUE!</v>
      </c>
      <c r="Z102" t="e">
        <f t="shared" ca="1" si="108"/>
        <v>#VALUE!</v>
      </c>
      <c r="AA102" t="e">
        <f t="shared" ca="1" si="108"/>
        <v>#VALUE!</v>
      </c>
      <c r="AB102" t="e">
        <f t="shared" ca="1" si="108"/>
        <v>#VALUE!</v>
      </c>
      <c r="AC102" t="e">
        <f t="shared" ca="1" si="108"/>
        <v>#VALUE!</v>
      </c>
      <c r="AD102" t="e">
        <f t="shared" ca="1" si="108"/>
        <v>#VALUE!</v>
      </c>
      <c r="AE102" t="e">
        <f t="shared" ca="1" si="108"/>
        <v>#VALUE!</v>
      </c>
      <c r="AF102" t="e">
        <f t="shared" ca="1" si="108"/>
        <v>#VALUE!</v>
      </c>
      <c r="AG102" t="e">
        <f t="shared" ca="1" si="108"/>
        <v>#VALUE!</v>
      </c>
      <c r="AH102" t="e">
        <f t="shared" ca="1" si="108"/>
        <v>#VALUE!</v>
      </c>
      <c r="AI102" t="e">
        <f t="shared" ca="1" si="107"/>
        <v>#VALUE!</v>
      </c>
      <c r="AJ102" t="e">
        <f t="shared" ca="1" si="107"/>
        <v>#VALUE!</v>
      </c>
      <c r="AK102" t="e">
        <f t="shared" ca="1" si="107"/>
        <v>#VALUE!</v>
      </c>
      <c r="AL102" t="e">
        <f t="shared" ca="1" si="107"/>
        <v>#VALUE!</v>
      </c>
      <c r="AM102" t="e">
        <f t="shared" ca="1" si="107"/>
        <v>#VALUE!</v>
      </c>
      <c r="AN102" t="e">
        <f t="shared" ca="1" si="107"/>
        <v>#VALUE!</v>
      </c>
      <c r="AO102" t="e">
        <f t="shared" ca="1" si="107"/>
        <v>#VALUE!</v>
      </c>
      <c r="AP102" t="e">
        <f t="shared" ca="1" si="107"/>
        <v>#VALUE!</v>
      </c>
    </row>
    <row r="103" spans="1:42">
      <c r="A103" s="48" t="str">
        <f>'[4]TS BYDem'!A33</f>
        <v>*</v>
      </c>
      <c r="B103" t="s">
        <v>288</v>
      </c>
      <c r="C103" t="s">
        <v>137</v>
      </c>
      <c r="D103" s="3" t="str">
        <f>'[4]TS BYDem'!D33</f>
        <v>IFAL</v>
      </c>
      <c r="E103" t="s">
        <v>137</v>
      </c>
      <c r="F103" t="s">
        <v>137</v>
      </c>
      <c r="G103" t="s">
        <v>137</v>
      </c>
      <c r="H103" t="s">
        <v>137</v>
      </c>
      <c r="I103">
        <v>0</v>
      </c>
      <c r="J103" t="str">
        <f>INDEX('[4]TS BYDem'!$J$10:$J$203,MATCH(D103,'[4]TS BYDem'!$D$10:$D$203,0))</f>
        <v/>
      </c>
      <c r="K103" t="e">
        <f t="shared" ca="1" si="108"/>
        <v>#VALUE!</v>
      </c>
      <c r="L103" t="e">
        <f t="shared" ca="1" si="108"/>
        <v>#VALUE!</v>
      </c>
      <c r="M103" t="e">
        <f t="shared" ca="1" si="108"/>
        <v>#VALUE!</v>
      </c>
      <c r="N103" t="e">
        <f t="shared" ca="1" si="108"/>
        <v>#VALUE!</v>
      </c>
      <c r="O103" t="e">
        <f t="shared" ca="1" si="108"/>
        <v>#VALUE!</v>
      </c>
      <c r="P103" t="e">
        <f t="shared" ca="1" si="108"/>
        <v>#VALUE!</v>
      </c>
      <c r="Q103" t="e">
        <f t="shared" ca="1" si="108"/>
        <v>#VALUE!</v>
      </c>
      <c r="R103" t="e">
        <f t="shared" ca="1" si="108"/>
        <v>#VALUE!</v>
      </c>
      <c r="S103" t="e">
        <f t="shared" ca="1" si="108"/>
        <v>#VALUE!</v>
      </c>
      <c r="T103" t="e">
        <f t="shared" ca="1" si="108"/>
        <v>#VALUE!</v>
      </c>
      <c r="U103" t="e">
        <f t="shared" ca="1" si="108"/>
        <v>#VALUE!</v>
      </c>
      <c r="V103" t="e">
        <f t="shared" ca="1" si="108"/>
        <v>#VALUE!</v>
      </c>
      <c r="W103" t="e">
        <f t="shared" ca="1" si="108"/>
        <v>#VALUE!</v>
      </c>
      <c r="X103" t="e">
        <f t="shared" ca="1" si="108"/>
        <v>#VALUE!</v>
      </c>
      <c r="Y103" t="e">
        <f t="shared" ca="1" si="108"/>
        <v>#VALUE!</v>
      </c>
      <c r="Z103" t="e">
        <f t="shared" ca="1" si="108"/>
        <v>#VALUE!</v>
      </c>
      <c r="AA103" t="e">
        <f t="shared" ca="1" si="108"/>
        <v>#VALUE!</v>
      </c>
      <c r="AB103" t="e">
        <f t="shared" ca="1" si="108"/>
        <v>#VALUE!</v>
      </c>
      <c r="AC103" t="e">
        <f t="shared" ca="1" si="108"/>
        <v>#VALUE!</v>
      </c>
      <c r="AD103" t="e">
        <f t="shared" ca="1" si="108"/>
        <v>#VALUE!</v>
      </c>
      <c r="AE103" t="e">
        <f t="shared" ca="1" si="108"/>
        <v>#VALUE!</v>
      </c>
      <c r="AF103" t="e">
        <f t="shared" ca="1" si="108"/>
        <v>#VALUE!</v>
      </c>
      <c r="AG103" t="e">
        <f t="shared" ca="1" si="108"/>
        <v>#VALUE!</v>
      </c>
      <c r="AH103" t="e">
        <f t="shared" ca="1" si="108"/>
        <v>#VALUE!</v>
      </c>
      <c r="AI103" t="e">
        <f t="shared" ca="1" si="107"/>
        <v>#VALUE!</v>
      </c>
      <c r="AJ103" t="e">
        <f t="shared" ca="1" si="107"/>
        <v>#VALUE!</v>
      </c>
      <c r="AK103" t="e">
        <f t="shared" ca="1" si="107"/>
        <v>#VALUE!</v>
      </c>
      <c r="AL103" t="e">
        <f t="shared" ca="1" si="107"/>
        <v>#VALUE!</v>
      </c>
      <c r="AM103" t="e">
        <f t="shared" ca="1" si="107"/>
        <v>#VALUE!</v>
      </c>
      <c r="AN103" t="e">
        <f t="shared" ca="1" si="107"/>
        <v>#VALUE!</v>
      </c>
      <c r="AO103" t="e">
        <f t="shared" ca="1" si="107"/>
        <v>#VALUE!</v>
      </c>
      <c r="AP103" t="e">
        <f t="shared" ca="1" si="107"/>
        <v>#VALUE!</v>
      </c>
    </row>
    <row r="104" spans="1:42">
      <c r="A104" s="48" t="str">
        <f>'[4]TS BYDem'!A34</f>
        <v>*</v>
      </c>
      <c r="B104" t="s">
        <v>288</v>
      </c>
      <c r="C104" t="s">
        <v>137</v>
      </c>
      <c r="D104" s="3" t="str">
        <f>'[4]TS BYDem'!D34</f>
        <v>IFAC</v>
      </c>
      <c r="E104" t="s">
        <v>137</v>
      </c>
      <c r="F104" t="s">
        <v>137</v>
      </c>
      <c r="G104" t="s">
        <v>137</v>
      </c>
      <c r="H104" t="s">
        <v>137</v>
      </c>
      <c r="I104">
        <v>0</v>
      </c>
      <c r="J104" t="str">
        <f>INDEX('[4]TS BYDem'!$J$10:$J$203,MATCH(D104,'[4]TS BYDem'!$D$10:$D$203,0))</f>
        <v/>
      </c>
      <c r="K104" t="e">
        <f t="shared" ca="1" si="108"/>
        <v>#VALUE!</v>
      </c>
      <c r="L104" t="e">
        <f t="shared" ca="1" si="108"/>
        <v>#VALUE!</v>
      </c>
      <c r="M104" t="e">
        <f t="shared" ca="1" si="108"/>
        <v>#VALUE!</v>
      </c>
      <c r="N104" t="e">
        <f t="shared" ca="1" si="108"/>
        <v>#VALUE!</v>
      </c>
      <c r="O104" t="e">
        <f t="shared" ca="1" si="108"/>
        <v>#VALUE!</v>
      </c>
      <c r="P104" t="e">
        <f t="shared" ca="1" si="108"/>
        <v>#VALUE!</v>
      </c>
      <c r="Q104" t="e">
        <f t="shared" ca="1" si="108"/>
        <v>#VALUE!</v>
      </c>
      <c r="R104" t="e">
        <f t="shared" ca="1" si="108"/>
        <v>#VALUE!</v>
      </c>
      <c r="S104" t="e">
        <f t="shared" ca="1" si="108"/>
        <v>#VALUE!</v>
      </c>
      <c r="T104" t="e">
        <f t="shared" ca="1" si="108"/>
        <v>#VALUE!</v>
      </c>
      <c r="U104" t="e">
        <f t="shared" ca="1" si="108"/>
        <v>#VALUE!</v>
      </c>
      <c r="V104" t="e">
        <f t="shared" ca="1" si="108"/>
        <v>#VALUE!</v>
      </c>
      <c r="W104" t="e">
        <f t="shared" ca="1" si="108"/>
        <v>#VALUE!</v>
      </c>
      <c r="X104" t="e">
        <f t="shared" ca="1" si="108"/>
        <v>#VALUE!</v>
      </c>
      <c r="Y104" t="e">
        <f t="shared" ca="1" si="108"/>
        <v>#VALUE!</v>
      </c>
      <c r="Z104" t="e">
        <f t="shared" ca="1" si="108"/>
        <v>#VALUE!</v>
      </c>
      <c r="AA104" t="e">
        <f t="shared" ca="1" si="108"/>
        <v>#VALUE!</v>
      </c>
      <c r="AB104" t="e">
        <f t="shared" ca="1" si="108"/>
        <v>#VALUE!</v>
      </c>
      <c r="AC104" t="e">
        <f t="shared" ca="1" si="108"/>
        <v>#VALUE!</v>
      </c>
      <c r="AD104" t="e">
        <f t="shared" ca="1" si="108"/>
        <v>#VALUE!</v>
      </c>
      <c r="AE104" t="e">
        <f t="shared" ca="1" si="108"/>
        <v>#VALUE!</v>
      </c>
      <c r="AF104" t="e">
        <f t="shared" ca="1" si="108"/>
        <v>#VALUE!</v>
      </c>
      <c r="AG104" t="e">
        <f t="shared" ca="1" si="108"/>
        <v>#VALUE!</v>
      </c>
      <c r="AH104" t="e">
        <f t="shared" ca="1" si="108"/>
        <v>#VALUE!</v>
      </c>
      <c r="AI104" t="e">
        <f t="shared" ca="1" si="107"/>
        <v>#VALUE!</v>
      </c>
      <c r="AJ104" t="e">
        <f t="shared" ca="1" si="107"/>
        <v>#VALUE!</v>
      </c>
      <c r="AK104" t="e">
        <f t="shared" ca="1" si="107"/>
        <v>#VALUE!</v>
      </c>
      <c r="AL104" t="e">
        <f t="shared" ca="1" si="107"/>
        <v>#VALUE!</v>
      </c>
      <c r="AM104" t="e">
        <f t="shared" ca="1" si="107"/>
        <v>#VALUE!</v>
      </c>
      <c r="AN104" t="e">
        <f t="shared" ca="1" si="107"/>
        <v>#VALUE!</v>
      </c>
      <c r="AO104" t="e">
        <f t="shared" ca="1" si="107"/>
        <v>#VALUE!</v>
      </c>
      <c r="AP104" t="e">
        <f t="shared" ca="1" si="107"/>
        <v>#VALUE!</v>
      </c>
    </row>
    <row r="105" spans="1:42">
      <c r="A105" s="48" t="str">
        <f>'[4]TS BYDem'!A35</f>
        <v>*</v>
      </c>
      <c r="B105" t="s">
        <v>288</v>
      </c>
      <c r="C105" t="s">
        <v>137</v>
      </c>
      <c r="D105" s="3" t="str">
        <f>'[4]TS BYDem'!D35</f>
        <v>IFAH</v>
      </c>
      <c r="E105" t="s">
        <v>137</v>
      </c>
      <c r="F105" t="s">
        <v>137</v>
      </c>
      <c r="G105" t="s">
        <v>137</v>
      </c>
      <c r="H105" t="s">
        <v>137</v>
      </c>
      <c r="I105">
        <v>0</v>
      </c>
      <c r="J105" t="str">
        <f>INDEX('[4]TS BYDem'!$J$10:$J$203,MATCH(D105,'[4]TS BYDem'!$D$10:$D$203,0))</f>
        <v/>
      </c>
      <c r="K105" t="e">
        <f t="shared" ca="1" si="108"/>
        <v>#VALUE!</v>
      </c>
      <c r="L105" t="e">
        <f t="shared" ca="1" si="108"/>
        <v>#VALUE!</v>
      </c>
      <c r="M105" t="e">
        <f t="shared" ca="1" si="108"/>
        <v>#VALUE!</v>
      </c>
      <c r="N105" t="e">
        <f t="shared" ca="1" si="108"/>
        <v>#VALUE!</v>
      </c>
      <c r="O105" t="e">
        <f t="shared" ca="1" si="108"/>
        <v>#VALUE!</v>
      </c>
      <c r="P105" t="e">
        <f t="shared" ca="1" si="108"/>
        <v>#VALUE!</v>
      </c>
      <c r="Q105" t="e">
        <f t="shared" ca="1" si="108"/>
        <v>#VALUE!</v>
      </c>
      <c r="R105" t="e">
        <f t="shared" ca="1" si="108"/>
        <v>#VALUE!</v>
      </c>
      <c r="S105" t="e">
        <f t="shared" ca="1" si="108"/>
        <v>#VALUE!</v>
      </c>
      <c r="T105" t="e">
        <f t="shared" ca="1" si="108"/>
        <v>#VALUE!</v>
      </c>
      <c r="U105" t="e">
        <f t="shared" ca="1" si="108"/>
        <v>#VALUE!</v>
      </c>
      <c r="V105" t="e">
        <f t="shared" ca="1" si="108"/>
        <v>#VALUE!</v>
      </c>
      <c r="W105" t="e">
        <f t="shared" ca="1" si="108"/>
        <v>#VALUE!</v>
      </c>
      <c r="X105" t="e">
        <f t="shared" ca="1" si="108"/>
        <v>#VALUE!</v>
      </c>
      <c r="Y105" t="e">
        <f t="shared" ca="1" si="108"/>
        <v>#VALUE!</v>
      </c>
      <c r="Z105" t="e">
        <f t="shared" ca="1" si="108"/>
        <v>#VALUE!</v>
      </c>
      <c r="AA105" t="e">
        <f t="shared" ca="1" si="108"/>
        <v>#VALUE!</v>
      </c>
      <c r="AB105" t="e">
        <f t="shared" ca="1" si="108"/>
        <v>#VALUE!</v>
      </c>
      <c r="AC105" t="e">
        <f t="shared" ca="1" si="108"/>
        <v>#VALUE!</v>
      </c>
      <c r="AD105" t="e">
        <f t="shared" ca="1" si="108"/>
        <v>#VALUE!</v>
      </c>
      <c r="AE105" t="e">
        <f t="shared" ca="1" si="108"/>
        <v>#VALUE!</v>
      </c>
      <c r="AF105" t="e">
        <f t="shared" ca="1" si="108"/>
        <v>#VALUE!</v>
      </c>
      <c r="AG105" t="e">
        <f t="shared" ca="1" si="108"/>
        <v>#VALUE!</v>
      </c>
      <c r="AH105" t="e">
        <f t="shared" ca="1" si="108"/>
        <v>#VALUE!</v>
      </c>
      <c r="AI105" t="e">
        <f t="shared" ca="1" si="107"/>
        <v>#VALUE!</v>
      </c>
      <c r="AJ105" t="e">
        <f t="shared" ca="1" si="107"/>
        <v>#VALUE!</v>
      </c>
      <c r="AK105" t="e">
        <f t="shared" ca="1" si="107"/>
        <v>#VALUE!</v>
      </c>
      <c r="AL105" t="e">
        <f t="shared" ca="1" si="107"/>
        <v>#VALUE!</v>
      </c>
      <c r="AM105" t="e">
        <f t="shared" ca="1" si="107"/>
        <v>#VALUE!</v>
      </c>
      <c r="AN105" t="e">
        <f t="shared" ca="1" si="107"/>
        <v>#VALUE!</v>
      </c>
      <c r="AO105" t="e">
        <f t="shared" ca="1" si="107"/>
        <v>#VALUE!</v>
      </c>
      <c r="AP105" t="e">
        <f t="shared" ca="1" si="107"/>
        <v>#VALUE!</v>
      </c>
    </row>
    <row r="106" spans="1:42">
      <c r="A106" s="48" t="str">
        <f>'[4]TS BYDem'!A36</f>
        <v>*</v>
      </c>
      <c r="B106" t="s">
        <v>288</v>
      </c>
      <c r="C106" t="s">
        <v>137</v>
      </c>
      <c r="D106" s="3" t="str">
        <f>'[4]TS BYDem'!D36</f>
        <v>IFAP</v>
      </c>
      <c r="E106" t="s">
        <v>137</v>
      </c>
      <c r="F106" t="s">
        <v>137</v>
      </c>
      <c r="G106" t="s">
        <v>137</v>
      </c>
      <c r="H106" t="s">
        <v>137</v>
      </c>
      <c r="I106">
        <v>0</v>
      </c>
      <c r="J106" t="str">
        <f>INDEX('[4]TS BYDem'!$J$10:$J$203,MATCH(D106,'[4]TS BYDem'!$D$10:$D$203,0))</f>
        <v/>
      </c>
      <c r="K106" t="e">
        <f t="shared" ca="1" si="108"/>
        <v>#VALUE!</v>
      </c>
      <c r="L106" t="e">
        <f t="shared" ca="1" si="108"/>
        <v>#VALUE!</v>
      </c>
      <c r="M106" t="e">
        <f t="shared" ca="1" si="108"/>
        <v>#VALUE!</v>
      </c>
      <c r="N106" t="e">
        <f t="shared" ca="1" si="108"/>
        <v>#VALUE!</v>
      </c>
      <c r="O106" t="e">
        <f t="shared" ca="1" si="108"/>
        <v>#VALUE!</v>
      </c>
      <c r="P106" t="e">
        <f t="shared" ca="1" si="108"/>
        <v>#VALUE!</v>
      </c>
      <c r="Q106" t="e">
        <f t="shared" ca="1" si="108"/>
        <v>#VALUE!</v>
      </c>
      <c r="R106" t="e">
        <f t="shared" ca="1" si="108"/>
        <v>#VALUE!</v>
      </c>
      <c r="S106" t="e">
        <f t="shared" ca="1" si="108"/>
        <v>#VALUE!</v>
      </c>
      <c r="T106" t="e">
        <f t="shared" ca="1" si="108"/>
        <v>#VALUE!</v>
      </c>
      <c r="U106" t="e">
        <f t="shared" ca="1" si="108"/>
        <v>#VALUE!</v>
      </c>
      <c r="V106" t="e">
        <f t="shared" ca="1" si="108"/>
        <v>#VALUE!</v>
      </c>
      <c r="W106" t="e">
        <f t="shared" ca="1" si="108"/>
        <v>#VALUE!</v>
      </c>
      <c r="X106" t="e">
        <f t="shared" ca="1" si="108"/>
        <v>#VALUE!</v>
      </c>
      <c r="Y106" t="e">
        <f t="shared" ca="1" si="108"/>
        <v>#VALUE!</v>
      </c>
      <c r="Z106" t="e">
        <f t="shared" ca="1" si="108"/>
        <v>#VALUE!</v>
      </c>
      <c r="AA106" t="e">
        <f t="shared" ca="1" si="108"/>
        <v>#VALUE!</v>
      </c>
      <c r="AB106" t="e">
        <f t="shared" ca="1" si="108"/>
        <v>#VALUE!</v>
      </c>
      <c r="AC106" t="e">
        <f t="shared" ca="1" si="108"/>
        <v>#VALUE!</v>
      </c>
      <c r="AD106" t="e">
        <f t="shared" ca="1" si="108"/>
        <v>#VALUE!</v>
      </c>
      <c r="AE106" t="e">
        <f t="shared" ca="1" si="108"/>
        <v>#VALUE!</v>
      </c>
      <c r="AF106" t="e">
        <f t="shared" ca="1" si="108"/>
        <v>#VALUE!</v>
      </c>
      <c r="AG106" t="e">
        <f t="shared" ca="1" si="108"/>
        <v>#VALUE!</v>
      </c>
      <c r="AH106" t="e">
        <f t="shared" ca="1" si="108"/>
        <v>#VALUE!</v>
      </c>
      <c r="AI106" t="e">
        <f t="shared" ca="1" si="107"/>
        <v>#VALUE!</v>
      </c>
      <c r="AJ106" t="e">
        <f t="shared" ca="1" si="107"/>
        <v>#VALUE!</v>
      </c>
      <c r="AK106" t="e">
        <f t="shared" ca="1" si="107"/>
        <v>#VALUE!</v>
      </c>
      <c r="AL106" t="e">
        <f t="shared" ca="1" si="107"/>
        <v>#VALUE!</v>
      </c>
      <c r="AM106" t="e">
        <f t="shared" ca="1" si="107"/>
        <v>#VALUE!</v>
      </c>
      <c r="AN106" t="e">
        <f t="shared" ca="1" si="107"/>
        <v>#VALUE!</v>
      </c>
      <c r="AO106" t="e">
        <f t="shared" ca="1" si="107"/>
        <v>#VALUE!</v>
      </c>
      <c r="AP106" t="e">
        <f t="shared" ca="1" si="107"/>
        <v>#VALUE!</v>
      </c>
    </row>
    <row r="107" spans="1:42">
      <c r="A107" s="48" t="str">
        <f>'[4]TS BYDem'!A37</f>
        <v>*</v>
      </c>
      <c r="B107" t="s">
        <v>288</v>
      </c>
      <c r="C107" t="s">
        <v>137</v>
      </c>
      <c r="D107" s="3" t="str">
        <f>'[4]TS BYDem'!D37</f>
        <v>IFAF</v>
      </c>
      <c r="E107" t="s">
        <v>137</v>
      </c>
      <c r="F107" t="s">
        <v>137</v>
      </c>
      <c r="G107" t="s">
        <v>137</v>
      </c>
      <c r="H107" t="s">
        <v>137</v>
      </c>
      <c r="I107">
        <v>0</v>
      </c>
      <c r="J107" t="str">
        <f>INDEX('[4]TS BYDem'!$J$10:$J$203,MATCH(D107,'[4]TS BYDem'!$D$10:$D$203,0))</f>
        <v/>
      </c>
      <c r="K107" t="e">
        <f t="shared" ca="1" si="108"/>
        <v>#VALUE!</v>
      </c>
      <c r="L107" t="e">
        <f t="shared" ca="1" si="108"/>
        <v>#VALUE!</v>
      </c>
      <c r="M107" t="e">
        <f t="shared" ca="1" si="108"/>
        <v>#VALUE!</v>
      </c>
      <c r="N107" t="e">
        <f t="shared" ca="1" si="108"/>
        <v>#VALUE!</v>
      </c>
      <c r="O107" t="e">
        <f t="shared" ca="1" si="108"/>
        <v>#VALUE!</v>
      </c>
      <c r="P107" t="e">
        <f t="shared" ca="1" si="108"/>
        <v>#VALUE!</v>
      </c>
      <c r="Q107" t="e">
        <f t="shared" ca="1" si="108"/>
        <v>#VALUE!</v>
      </c>
      <c r="R107" t="e">
        <f t="shared" ca="1" si="108"/>
        <v>#VALUE!</v>
      </c>
      <c r="S107" t="e">
        <f t="shared" ca="1" si="108"/>
        <v>#VALUE!</v>
      </c>
      <c r="T107" t="e">
        <f t="shared" ca="1" si="108"/>
        <v>#VALUE!</v>
      </c>
      <c r="U107" t="e">
        <f t="shared" ca="1" si="108"/>
        <v>#VALUE!</v>
      </c>
      <c r="V107" t="e">
        <f t="shared" ca="1" si="108"/>
        <v>#VALUE!</v>
      </c>
      <c r="W107" t="e">
        <f t="shared" ca="1" si="108"/>
        <v>#VALUE!</v>
      </c>
      <c r="X107" t="e">
        <f t="shared" ca="1" si="108"/>
        <v>#VALUE!</v>
      </c>
      <c r="Y107" t="e">
        <f t="shared" ca="1" si="108"/>
        <v>#VALUE!</v>
      </c>
      <c r="Z107" t="e">
        <f t="shared" ca="1" si="108"/>
        <v>#VALUE!</v>
      </c>
      <c r="AA107" t="e">
        <f t="shared" ca="1" si="108"/>
        <v>#VALUE!</v>
      </c>
      <c r="AB107" t="e">
        <f t="shared" ca="1" si="108"/>
        <v>#VALUE!</v>
      </c>
      <c r="AC107" t="e">
        <f t="shared" ca="1" si="108"/>
        <v>#VALUE!</v>
      </c>
      <c r="AD107" t="e">
        <f t="shared" ca="1" si="108"/>
        <v>#VALUE!</v>
      </c>
      <c r="AE107" t="e">
        <f t="shared" ca="1" si="108"/>
        <v>#VALUE!</v>
      </c>
      <c r="AF107" t="e">
        <f t="shared" ca="1" si="108"/>
        <v>#VALUE!</v>
      </c>
      <c r="AG107" t="e">
        <f t="shared" ca="1" si="108"/>
        <v>#VALUE!</v>
      </c>
      <c r="AH107" t="e">
        <f t="shared" ca="1" si="108"/>
        <v>#VALUE!</v>
      </c>
      <c r="AI107" t="e">
        <f t="shared" ca="1" si="107"/>
        <v>#VALUE!</v>
      </c>
      <c r="AJ107" t="e">
        <f t="shared" ca="1" si="107"/>
        <v>#VALUE!</v>
      </c>
      <c r="AK107" t="e">
        <f t="shared" ca="1" si="107"/>
        <v>#VALUE!</v>
      </c>
      <c r="AL107" t="e">
        <f t="shared" ca="1" si="107"/>
        <v>#VALUE!</v>
      </c>
      <c r="AM107" t="e">
        <f t="shared" ca="1" si="107"/>
        <v>#VALUE!</v>
      </c>
      <c r="AN107" t="e">
        <f t="shared" ca="1" si="107"/>
        <v>#VALUE!</v>
      </c>
      <c r="AO107" t="e">
        <f t="shared" ca="1" si="107"/>
        <v>#VALUE!</v>
      </c>
      <c r="AP107" t="e">
        <f t="shared" ca="1" si="107"/>
        <v>#VALUE!</v>
      </c>
    </row>
    <row r="108" spans="1:42">
      <c r="A108" s="48" t="str">
        <f>'[4]TS BYDem'!A38</f>
        <v>*</v>
      </c>
      <c r="B108" t="s">
        <v>288</v>
      </c>
      <c r="C108" t="s">
        <v>137</v>
      </c>
      <c r="D108" s="3" t="str">
        <f>'[4]TS BYDem'!D38</f>
        <v>IFAO</v>
      </c>
      <c r="E108" t="s">
        <v>137</v>
      </c>
      <c r="F108" t="s">
        <v>137</v>
      </c>
      <c r="G108" t="s">
        <v>137</v>
      </c>
      <c r="H108" t="s">
        <v>137</v>
      </c>
      <c r="I108">
        <v>0</v>
      </c>
      <c r="J108" t="str">
        <f>INDEX('[4]TS BYDem'!$J$10:$J$203,MATCH(D108,'[4]TS BYDem'!$D$10:$D$203,0))</f>
        <v/>
      </c>
      <c r="K108" t="e">
        <f t="shared" ca="1" si="108"/>
        <v>#VALUE!</v>
      </c>
      <c r="L108" t="e">
        <f t="shared" ca="1" si="108"/>
        <v>#VALUE!</v>
      </c>
      <c r="M108" t="e">
        <f t="shared" ca="1" si="108"/>
        <v>#VALUE!</v>
      </c>
      <c r="N108" t="e">
        <f t="shared" ca="1" si="108"/>
        <v>#VALUE!</v>
      </c>
      <c r="O108" t="e">
        <f t="shared" ca="1" si="108"/>
        <v>#VALUE!</v>
      </c>
      <c r="P108" t="e">
        <f t="shared" ca="1" si="108"/>
        <v>#VALUE!</v>
      </c>
      <c r="Q108" t="e">
        <f t="shared" ca="1" si="108"/>
        <v>#VALUE!</v>
      </c>
      <c r="R108" t="e">
        <f t="shared" ca="1" si="108"/>
        <v>#VALUE!</v>
      </c>
      <c r="S108" t="e">
        <f t="shared" ca="1" si="108"/>
        <v>#VALUE!</v>
      </c>
      <c r="T108" t="e">
        <f t="shared" ca="1" si="108"/>
        <v>#VALUE!</v>
      </c>
      <c r="U108" t="e">
        <f t="shared" ca="1" si="108"/>
        <v>#VALUE!</v>
      </c>
      <c r="V108" t="e">
        <f t="shared" ca="1" si="108"/>
        <v>#VALUE!</v>
      </c>
      <c r="W108" t="e">
        <f t="shared" ca="1" si="108"/>
        <v>#VALUE!</v>
      </c>
      <c r="X108" t="e">
        <f t="shared" ca="1" si="108"/>
        <v>#VALUE!</v>
      </c>
      <c r="Y108" t="e">
        <f t="shared" ca="1" si="108"/>
        <v>#VALUE!</v>
      </c>
      <c r="Z108" t="e">
        <f t="shared" ca="1" si="108"/>
        <v>#VALUE!</v>
      </c>
      <c r="AA108" t="e">
        <f t="shared" ca="1" si="108"/>
        <v>#VALUE!</v>
      </c>
      <c r="AB108" t="e">
        <f t="shared" ca="1" si="108"/>
        <v>#VALUE!</v>
      </c>
      <c r="AC108" t="e">
        <f t="shared" ca="1" si="108"/>
        <v>#VALUE!</v>
      </c>
      <c r="AD108" t="e">
        <f t="shared" ca="1" si="108"/>
        <v>#VALUE!</v>
      </c>
      <c r="AE108" t="e">
        <f t="shared" ca="1" si="108"/>
        <v>#VALUE!</v>
      </c>
      <c r="AF108" t="e">
        <f t="shared" ca="1" si="108"/>
        <v>#VALUE!</v>
      </c>
      <c r="AG108" t="e">
        <f t="shared" ca="1" si="108"/>
        <v>#VALUE!</v>
      </c>
      <c r="AH108" t="e">
        <f t="shared" ca="1" si="108"/>
        <v>#VALUE!</v>
      </c>
      <c r="AI108" t="e">
        <f t="shared" ca="1" si="107"/>
        <v>#VALUE!</v>
      </c>
      <c r="AJ108" t="e">
        <f t="shared" ca="1" si="107"/>
        <v>#VALUE!</v>
      </c>
      <c r="AK108" t="e">
        <f t="shared" ca="1" si="107"/>
        <v>#VALUE!</v>
      </c>
      <c r="AL108" t="e">
        <f t="shared" ca="1" si="107"/>
        <v>#VALUE!</v>
      </c>
      <c r="AM108" t="e">
        <f t="shared" ca="1" si="107"/>
        <v>#VALUE!</v>
      </c>
      <c r="AN108" t="e">
        <f t="shared" ca="1" si="107"/>
        <v>#VALUE!</v>
      </c>
      <c r="AO108" t="e">
        <f t="shared" ca="1" si="107"/>
        <v>#VALUE!</v>
      </c>
      <c r="AP108" t="e">
        <f t="shared" ca="1" si="107"/>
        <v>#VALUE!</v>
      </c>
    </row>
    <row r="109" spans="1:42">
      <c r="A109" s="48" t="str">
        <f>'[4]TS BYDem'!A39</f>
        <v>*</v>
      </c>
      <c r="B109" t="s">
        <v>288</v>
      </c>
      <c r="C109" t="s">
        <v>137</v>
      </c>
      <c r="D109" s="3" t="str">
        <f>'[4]TS BYDem'!D39</f>
        <v>IFAE</v>
      </c>
      <c r="E109" t="s">
        <v>137</v>
      </c>
      <c r="F109" t="s">
        <v>137</v>
      </c>
      <c r="G109" t="s">
        <v>137</v>
      </c>
      <c r="H109" t="s">
        <v>137</v>
      </c>
      <c r="I109">
        <v>0</v>
      </c>
      <c r="J109" t="str">
        <f>INDEX('[4]TS BYDem'!$J$10:$J$203,MATCH(D109,'[4]TS BYDem'!$D$10:$D$203,0))</f>
        <v/>
      </c>
      <c r="K109" t="e">
        <f t="shared" ca="1" si="108"/>
        <v>#VALUE!</v>
      </c>
      <c r="L109" t="e">
        <f t="shared" ca="1" si="108"/>
        <v>#VALUE!</v>
      </c>
      <c r="M109" t="e">
        <f t="shared" ca="1" si="108"/>
        <v>#VALUE!</v>
      </c>
      <c r="N109" t="e">
        <f t="shared" ca="1" si="108"/>
        <v>#VALUE!</v>
      </c>
      <c r="O109" t="e">
        <f t="shared" ca="1" si="108"/>
        <v>#VALUE!</v>
      </c>
      <c r="P109" t="e">
        <f t="shared" ca="1" si="108"/>
        <v>#VALUE!</v>
      </c>
      <c r="Q109" t="e">
        <f t="shared" ca="1" si="108"/>
        <v>#VALUE!</v>
      </c>
      <c r="R109" t="e">
        <f t="shared" ca="1" si="108"/>
        <v>#VALUE!</v>
      </c>
      <c r="S109" t="e">
        <f t="shared" ca="1" si="108"/>
        <v>#VALUE!</v>
      </c>
      <c r="T109" t="e">
        <f t="shared" ca="1" si="108"/>
        <v>#VALUE!</v>
      </c>
      <c r="U109" t="e">
        <f t="shared" ca="1" si="108"/>
        <v>#VALUE!</v>
      </c>
      <c r="V109" t="e">
        <f t="shared" ca="1" si="108"/>
        <v>#VALUE!</v>
      </c>
      <c r="W109" t="e">
        <f t="shared" ca="1" si="108"/>
        <v>#VALUE!</v>
      </c>
      <c r="X109" t="e">
        <f t="shared" ca="1" si="108"/>
        <v>#VALUE!</v>
      </c>
      <c r="Y109" t="e">
        <f t="shared" ca="1" si="108"/>
        <v>#VALUE!</v>
      </c>
      <c r="Z109" t="e">
        <f t="shared" ca="1" si="108"/>
        <v>#VALUE!</v>
      </c>
      <c r="AA109" t="e">
        <f t="shared" ca="1" si="108"/>
        <v>#VALUE!</v>
      </c>
      <c r="AB109" t="e">
        <f t="shared" ca="1" si="108"/>
        <v>#VALUE!</v>
      </c>
      <c r="AC109" t="e">
        <f t="shared" ca="1" si="108"/>
        <v>#VALUE!</v>
      </c>
      <c r="AD109" t="e">
        <f t="shared" ca="1" si="108"/>
        <v>#VALUE!</v>
      </c>
      <c r="AE109" t="e">
        <f t="shared" ca="1" si="108"/>
        <v>#VALUE!</v>
      </c>
      <c r="AF109" t="e">
        <f t="shared" ca="1" si="108"/>
        <v>#VALUE!</v>
      </c>
      <c r="AG109" t="e">
        <f t="shared" ca="1" si="108"/>
        <v>#VALUE!</v>
      </c>
      <c r="AH109" t="e">
        <f t="shared" ca="1" si="108"/>
        <v>#VALUE!</v>
      </c>
      <c r="AI109" t="e">
        <f t="shared" ca="1" si="107"/>
        <v>#VALUE!</v>
      </c>
      <c r="AJ109" t="e">
        <f t="shared" ca="1" si="107"/>
        <v>#VALUE!</v>
      </c>
      <c r="AK109" t="e">
        <f t="shared" ca="1" si="107"/>
        <v>#VALUE!</v>
      </c>
      <c r="AL109" t="e">
        <f t="shared" ca="1" si="107"/>
        <v>#VALUE!</v>
      </c>
      <c r="AM109" t="e">
        <f t="shared" ca="1" si="107"/>
        <v>#VALUE!</v>
      </c>
      <c r="AN109" t="e">
        <f t="shared" ca="1" si="107"/>
        <v>#VALUE!</v>
      </c>
      <c r="AO109" t="e">
        <f t="shared" ca="1" si="107"/>
        <v>#VALUE!</v>
      </c>
      <c r="AP109" t="e">
        <f t="shared" ca="1" si="107"/>
        <v>#VALUE!</v>
      </c>
    </row>
    <row r="110" spans="1:42">
      <c r="A110" s="48" t="str">
        <f>'[4]TS BYDem'!A40</f>
        <v>*</v>
      </c>
      <c r="B110" t="s">
        <v>288</v>
      </c>
      <c r="C110" t="s">
        <v>137</v>
      </c>
      <c r="D110" s="3">
        <f>'[4]TS BYDem'!D40</f>
        <v>0</v>
      </c>
      <c r="E110" t="s">
        <v>137</v>
      </c>
      <c r="F110" t="s">
        <v>137</v>
      </c>
      <c r="G110" t="s">
        <v>137</v>
      </c>
      <c r="H110" t="s">
        <v>137</v>
      </c>
      <c r="I110">
        <v>0</v>
      </c>
      <c r="J110" t="str">
        <f>INDEX('[4]TS BYDem'!$J$10:$J$203,MATCH(D110,'[4]TS BYDem'!$D$10:$D$203,0))</f>
        <v/>
      </c>
      <c r="K110" t="e">
        <f t="shared" ca="1" si="108"/>
        <v>#VALUE!</v>
      </c>
      <c r="L110" t="e">
        <f t="shared" ca="1" si="108"/>
        <v>#VALUE!</v>
      </c>
      <c r="M110" t="e">
        <f t="shared" ca="1" si="108"/>
        <v>#VALUE!</v>
      </c>
      <c r="N110" t="e">
        <f t="shared" ca="1" si="108"/>
        <v>#VALUE!</v>
      </c>
      <c r="O110" t="e">
        <f t="shared" ca="1" si="108"/>
        <v>#VALUE!</v>
      </c>
      <c r="P110" t="e">
        <f t="shared" ca="1" si="108"/>
        <v>#VALUE!</v>
      </c>
      <c r="Q110" t="e">
        <f t="shared" ca="1" si="108"/>
        <v>#VALUE!</v>
      </c>
      <c r="R110" t="e">
        <f t="shared" ca="1" si="108"/>
        <v>#VALUE!</v>
      </c>
      <c r="S110" t="e">
        <f t="shared" ca="1" si="108"/>
        <v>#VALUE!</v>
      </c>
      <c r="T110" t="e">
        <f t="shared" ca="1" si="108"/>
        <v>#VALUE!</v>
      </c>
      <c r="U110" t="e">
        <f t="shared" ca="1" si="108"/>
        <v>#VALUE!</v>
      </c>
      <c r="V110" t="e">
        <f t="shared" ca="1" si="108"/>
        <v>#VALUE!</v>
      </c>
      <c r="W110" t="e">
        <f t="shared" ca="1" si="108"/>
        <v>#VALUE!</v>
      </c>
      <c r="X110" t="e">
        <f t="shared" ca="1" si="108"/>
        <v>#VALUE!</v>
      </c>
      <c r="Y110" t="e">
        <f t="shared" ca="1" si="108"/>
        <v>#VALUE!</v>
      </c>
      <c r="Z110" t="e">
        <f t="shared" ca="1" si="108"/>
        <v>#VALUE!</v>
      </c>
      <c r="AA110" t="e">
        <f t="shared" ca="1" si="108"/>
        <v>#VALUE!</v>
      </c>
      <c r="AB110" t="e">
        <f t="shared" ca="1" si="108"/>
        <v>#VALUE!</v>
      </c>
      <c r="AC110" t="e">
        <f t="shared" ca="1" si="108"/>
        <v>#VALUE!</v>
      </c>
      <c r="AD110" t="e">
        <f t="shared" ca="1" si="108"/>
        <v>#VALUE!</v>
      </c>
      <c r="AE110" t="e">
        <f t="shared" ca="1" si="108"/>
        <v>#VALUE!</v>
      </c>
      <c r="AF110" t="e">
        <f t="shared" ca="1" si="108"/>
        <v>#VALUE!</v>
      </c>
      <c r="AG110" t="e">
        <f t="shared" ca="1" si="108"/>
        <v>#VALUE!</v>
      </c>
      <c r="AH110" t="e">
        <f t="shared" ca="1" si="108"/>
        <v>#VALUE!</v>
      </c>
      <c r="AI110" t="e">
        <f t="shared" ca="1" si="107"/>
        <v>#VALUE!</v>
      </c>
      <c r="AJ110" t="e">
        <f t="shared" ca="1" si="107"/>
        <v>#VALUE!</v>
      </c>
      <c r="AK110" t="e">
        <f t="shared" ca="1" si="107"/>
        <v>#VALUE!</v>
      </c>
      <c r="AL110" t="e">
        <f t="shared" ca="1" si="107"/>
        <v>#VALUE!</v>
      </c>
      <c r="AM110" t="e">
        <f t="shared" ca="1" si="107"/>
        <v>#VALUE!</v>
      </c>
      <c r="AN110" t="e">
        <f t="shared" ca="1" si="107"/>
        <v>#VALUE!</v>
      </c>
      <c r="AO110" t="e">
        <f t="shared" ca="1" si="107"/>
        <v>#VALUE!</v>
      </c>
      <c r="AP110" t="e">
        <f t="shared" ca="1" si="107"/>
        <v>#VALUE!</v>
      </c>
    </row>
    <row r="111" spans="1:42">
      <c r="A111" s="48" t="str">
        <f>'[4]TS BYDem'!A41</f>
        <v>*</v>
      </c>
      <c r="B111" t="s">
        <v>288</v>
      </c>
      <c r="C111" t="s">
        <v>137</v>
      </c>
      <c r="D111" s="3" t="str">
        <f>'[4]TS BYDem'!D41</f>
        <v>IFAS</v>
      </c>
      <c r="E111" t="s">
        <v>137</v>
      </c>
      <c r="F111" t="s">
        <v>137</v>
      </c>
      <c r="G111" t="s">
        <v>137</v>
      </c>
      <c r="H111" t="s">
        <v>137</v>
      </c>
      <c r="I111">
        <v>0</v>
      </c>
      <c r="J111" t="str">
        <f>INDEX('[4]TS BYDem'!$J$10:$J$203,MATCH(D111,'[4]TS BYDem'!$D$10:$D$203,0))</f>
        <v/>
      </c>
      <c r="K111" t="e">
        <f t="shared" ca="1" si="108"/>
        <v>#VALUE!</v>
      </c>
      <c r="L111" t="e">
        <f t="shared" ca="1" si="108"/>
        <v>#VALUE!</v>
      </c>
      <c r="M111" t="e">
        <f t="shared" ca="1" si="108"/>
        <v>#VALUE!</v>
      </c>
      <c r="N111" t="e">
        <f t="shared" ca="1" si="108"/>
        <v>#VALUE!</v>
      </c>
      <c r="O111" t="e">
        <f t="shared" ca="1" si="108"/>
        <v>#VALUE!</v>
      </c>
      <c r="P111" t="e">
        <f t="shared" ca="1" si="108"/>
        <v>#VALUE!</v>
      </c>
      <c r="Q111" t="e">
        <f t="shared" ca="1" si="108"/>
        <v>#VALUE!</v>
      </c>
      <c r="R111" t="e">
        <f t="shared" ca="1" si="108"/>
        <v>#VALUE!</v>
      </c>
      <c r="S111" t="e">
        <f t="shared" ca="1" si="108"/>
        <v>#VALUE!</v>
      </c>
      <c r="T111" t="e">
        <f t="shared" ca="1" si="108"/>
        <v>#VALUE!</v>
      </c>
      <c r="U111" t="e">
        <f t="shared" ca="1" si="108"/>
        <v>#VALUE!</v>
      </c>
      <c r="V111" t="e">
        <f t="shared" ca="1" si="108"/>
        <v>#VALUE!</v>
      </c>
      <c r="W111" t="e">
        <f t="shared" ca="1" si="108"/>
        <v>#VALUE!</v>
      </c>
      <c r="X111" t="e">
        <f t="shared" ca="1" si="108"/>
        <v>#VALUE!</v>
      </c>
      <c r="Y111" t="e">
        <f t="shared" ca="1" si="108"/>
        <v>#VALUE!</v>
      </c>
      <c r="Z111" t="e">
        <f t="shared" ca="1" si="108"/>
        <v>#VALUE!</v>
      </c>
      <c r="AA111" t="e">
        <f t="shared" ca="1" si="108"/>
        <v>#VALUE!</v>
      </c>
      <c r="AB111" t="e">
        <f t="shared" ca="1" si="108"/>
        <v>#VALUE!</v>
      </c>
      <c r="AC111" t="e">
        <f t="shared" ca="1" si="108"/>
        <v>#VALUE!</v>
      </c>
      <c r="AD111" t="e">
        <f t="shared" ca="1" si="108"/>
        <v>#VALUE!</v>
      </c>
      <c r="AE111" t="e">
        <f t="shared" ca="1" si="108"/>
        <v>#VALUE!</v>
      </c>
      <c r="AF111" t="e">
        <f t="shared" ca="1" si="108"/>
        <v>#VALUE!</v>
      </c>
      <c r="AG111" t="e">
        <f t="shared" ca="1" si="108"/>
        <v>#VALUE!</v>
      </c>
      <c r="AH111" t="e">
        <f t="shared" ca="1" si="108"/>
        <v>#VALUE!</v>
      </c>
      <c r="AI111" t="e">
        <f t="shared" ca="1" si="107"/>
        <v>#VALUE!</v>
      </c>
      <c r="AJ111" t="e">
        <f t="shared" ca="1" si="107"/>
        <v>#VALUE!</v>
      </c>
      <c r="AK111" t="e">
        <f t="shared" ca="1" si="107"/>
        <v>#VALUE!</v>
      </c>
      <c r="AL111" t="e">
        <f t="shared" ca="1" si="107"/>
        <v>#VALUE!</v>
      </c>
      <c r="AM111" t="e">
        <f t="shared" ca="1" si="107"/>
        <v>#VALUE!</v>
      </c>
      <c r="AN111" t="e">
        <f t="shared" ca="1" si="107"/>
        <v>#VALUE!</v>
      </c>
      <c r="AO111" t="e">
        <f t="shared" ca="1" si="107"/>
        <v>#VALUE!</v>
      </c>
      <c r="AP111" t="e">
        <f t="shared" ca="1" si="107"/>
        <v>#VALUE!</v>
      </c>
    </row>
    <row r="112" spans="1:42">
      <c r="A112" s="48" t="str">
        <f>'[4]TS BYDem'!A42</f>
        <v>*</v>
      </c>
      <c r="B112" t="s">
        <v>288</v>
      </c>
      <c r="C112" t="s">
        <v>137</v>
      </c>
      <c r="D112" s="3" t="str">
        <f>'[4]TS BYDem'!D42</f>
        <v>IFAS</v>
      </c>
      <c r="E112" t="s">
        <v>137</v>
      </c>
      <c r="F112" t="s">
        <v>137</v>
      </c>
      <c r="G112" t="s">
        <v>137</v>
      </c>
      <c r="H112" t="s">
        <v>137</v>
      </c>
      <c r="I112">
        <v>0</v>
      </c>
      <c r="J112" t="str">
        <f>INDEX('[4]TS BYDem'!$J$10:$J$203,MATCH(D112,'[4]TS BYDem'!$D$10:$D$203,0))</f>
        <v/>
      </c>
      <c r="K112" t="e">
        <f t="shared" ca="1" si="108"/>
        <v>#VALUE!</v>
      </c>
      <c r="L112" t="e">
        <f t="shared" ca="1" si="108"/>
        <v>#VALUE!</v>
      </c>
      <c r="M112" t="e">
        <f t="shared" ca="1" si="108"/>
        <v>#VALUE!</v>
      </c>
      <c r="N112" t="e">
        <f t="shared" ca="1" si="108"/>
        <v>#VALUE!</v>
      </c>
      <c r="O112" t="e">
        <f t="shared" ca="1" si="108"/>
        <v>#VALUE!</v>
      </c>
      <c r="P112" t="e">
        <f t="shared" ca="1" si="108"/>
        <v>#VALUE!</v>
      </c>
      <c r="Q112" t="e">
        <f t="shared" ca="1" si="108"/>
        <v>#VALUE!</v>
      </c>
      <c r="R112" t="e">
        <f t="shared" ca="1" si="108"/>
        <v>#VALUE!</v>
      </c>
      <c r="S112" t="e">
        <f t="shared" ca="1" si="108"/>
        <v>#VALUE!</v>
      </c>
      <c r="T112" t="e">
        <f t="shared" ca="1" si="108"/>
        <v>#VALUE!</v>
      </c>
      <c r="U112" t="e">
        <f t="shared" ca="1" si="108"/>
        <v>#VALUE!</v>
      </c>
      <c r="V112" t="e">
        <f t="shared" ca="1" si="108"/>
        <v>#VALUE!</v>
      </c>
      <c r="W112" t="e">
        <f t="shared" ca="1" si="108"/>
        <v>#VALUE!</v>
      </c>
      <c r="X112" t="e">
        <f t="shared" ca="1" si="108"/>
        <v>#VALUE!</v>
      </c>
      <c r="Y112" t="e">
        <f t="shared" ca="1" si="108"/>
        <v>#VALUE!</v>
      </c>
      <c r="Z112" t="e">
        <f t="shared" ref="Z112:AO120" ca="1" si="109">Z$100/Y$100*Y112</f>
        <v>#VALUE!</v>
      </c>
      <c r="AA112" t="e">
        <f t="shared" ca="1" si="109"/>
        <v>#VALUE!</v>
      </c>
      <c r="AB112" t="e">
        <f t="shared" ca="1" si="109"/>
        <v>#VALUE!</v>
      </c>
      <c r="AC112" t="e">
        <f t="shared" ca="1" si="109"/>
        <v>#VALUE!</v>
      </c>
      <c r="AD112" t="e">
        <f t="shared" ca="1" si="109"/>
        <v>#VALUE!</v>
      </c>
      <c r="AE112" t="e">
        <f t="shared" ca="1" si="109"/>
        <v>#VALUE!</v>
      </c>
      <c r="AF112" t="e">
        <f t="shared" ca="1" si="109"/>
        <v>#VALUE!</v>
      </c>
      <c r="AG112" t="e">
        <f t="shared" ca="1" si="109"/>
        <v>#VALUE!</v>
      </c>
      <c r="AH112" t="e">
        <f t="shared" ca="1" si="109"/>
        <v>#VALUE!</v>
      </c>
      <c r="AI112" t="e">
        <f t="shared" ca="1" si="107"/>
        <v>#VALUE!</v>
      </c>
      <c r="AJ112" t="e">
        <f t="shared" ca="1" si="107"/>
        <v>#VALUE!</v>
      </c>
      <c r="AK112" t="e">
        <f t="shared" ca="1" si="107"/>
        <v>#VALUE!</v>
      </c>
      <c r="AL112" t="e">
        <f t="shared" ca="1" si="107"/>
        <v>#VALUE!</v>
      </c>
      <c r="AM112" t="e">
        <f t="shared" ca="1" si="107"/>
        <v>#VALUE!</v>
      </c>
      <c r="AN112" t="e">
        <f t="shared" ca="1" si="107"/>
        <v>#VALUE!</v>
      </c>
      <c r="AO112" t="e">
        <f t="shared" ca="1" si="107"/>
        <v>#VALUE!</v>
      </c>
      <c r="AP112" t="e">
        <f t="shared" ca="1" si="107"/>
        <v>#VALUE!</v>
      </c>
    </row>
    <row r="113" spans="1:42">
      <c r="A113" s="48" t="str">
        <f>'[4]TS BYDem'!A43</f>
        <v>*</v>
      </c>
      <c r="B113" t="s">
        <v>288</v>
      </c>
      <c r="C113" t="s">
        <v>137</v>
      </c>
      <c r="D113" s="3" t="str">
        <f>'[4]TS BYDem'!D43</f>
        <v>IFAS</v>
      </c>
      <c r="E113" t="s">
        <v>137</v>
      </c>
      <c r="F113" t="s">
        <v>137</v>
      </c>
      <c r="G113" t="s">
        <v>137</v>
      </c>
      <c r="H113" t="s">
        <v>137</v>
      </c>
      <c r="I113">
        <v>0</v>
      </c>
      <c r="J113" t="str">
        <f>INDEX('[4]TS BYDem'!$J$10:$J$203,MATCH(D113,'[4]TS BYDem'!$D$10:$D$203,0))</f>
        <v/>
      </c>
      <c r="K113" t="e">
        <f t="shared" ref="K113:Y120" ca="1" si="110">K$100/J$100*J113</f>
        <v>#VALUE!</v>
      </c>
      <c r="L113" t="e">
        <f t="shared" ca="1" si="110"/>
        <v>#VALUE!</v>
      </c>
      <c r="M113" t="e">
        <f t="shared" ca="1" si="110"/>
        <v>#VALUE!</v>
      </c>
      <c r="N113" t="e">
        <f t="shared" ca="1" si="110"/>
        <v>#VALUE!</v>
      </c>
      <c r="O113" t="e">
        <f t="shared" ca="1" si="110"/>
        <v>#VALUE!</v>
      </c>
      <c r="P113" t="e">
        <f t="shared" ca="1" si="110"/>
        <v>#VALUE!</v>
      </c>
      <c r="Q113" t="e">
        <f t="shared" ca="1" si="110"/>
        <v>#VALUE!</v>
      </c>
      <c r="R113" t="e">
        <f t="shared" ca="1" si="110"/>
        <v>#VALUE!</v>
      </c>
      <c r="S113" t="e">
        <f t="shared" ca="1" si="110"/>
        <v>#VALUE!</v>
      </c>
      <c r="T113" t="e">
        <f t="shared" ca="1" si="110"/>
        <v>#VALUE!</v>
      </c>
      <c r="U113" t="e">
        <f t="shared" ca="1" si="110"/>
        <v>#VALUE!</v>
      </c>
      <c r="V113" t="e">
        <f t="shared" ca="1" si="110"/>
        <v>#VALUE!</v>
      </c>
      <c r="W113" t="e">
        <f t="shared" ca="1" si="110"/>
        <v>#VALUE!</v>
      </c>
      <c r="X113" t="e">
        <f t="shared" ca="1" si="110"/>
        <v>#VALUE!</v>
      </c>
      <c r="Y113" t="e">
        <f t="shared" ca="1" si="110"/>
        <v>#VALUE!</v>
      </c>
      <c r="Z113" t="e">
        <f t="shared" ca="1" si="109"/>
        <v>#VALUE!</v>
      </c>
      <c r="AA113" t="e">
        <f t="shared" ca="1" si="109"/>
        <v>#VALUE!</v>
      </c>
      <c r="AB113" t="e">
        <f t="shared" ca="1" si="109"/>
        <v>#VALUE!</v>
      </c>
      <c r="AC113" t="e">
        <f t="shared" ca="1" si="109"/>
        <v>#VALUE!</v>
      </c>
      <c r="AD113" t="e">
        <f t="shared" ca="1" si="109"/>
        <v>#VALUE!</v>
      </c>
      <c r="AE113" t="e">
        <f t="shared" ca="1" si="109"/>
        <v>#VALUE!</v>
      </c>
      <c r="AF113" t="e">
        <f t="shared" ca="1" si="109"/>
        <v>#VALUE!</v>
      </c>
      <c r="AG113" t="e">
        <f t="shared" ca="1" si="109"/>
        <v>#VALUE!</v>
      </c>
      <c r="AH113" t="e">
        <f t="shared" ca="1" si="109"/>
        <v>#VALUE!</v>
      </c>
      <c r="AI113" t="e">
        <f t="shared" ca="1" si="107"/>
        <v>#VALUE!</v>
      </c>
      <c r="AJ113" t="e">
        <f t="shared" ca="1" si="107"/>
        <v>#VALUE!</v>
      </c>
      <c r="AK113" t="e">
        <f t="shared" ca="1" si="107"/>
        <v>#VALUE!</v>
      </c>
      <c r="AL113" t="e">
        <f t="shared" ca="1" si="107"/>
        <v>#VALUE!</v>
      </c>
      <c r="AM113" t="e">
        <f t="shared" ca="1" si="107"/>
        <v>#VALUE!</v>
      </c>
      <c r="AN113" t="e">
        <f t="shared" ca="1" si="107"/>
        <v>#VALUE!</v>
      </c>
      <c r="AO113" t="e">
        <f t="shared" ca="1" si="107"/>
        <v>#VALUE!</v>
      </c>
      <c r="AP113" t="e">
        <f t="shared" ca="1" si="107"/>
        <v>#VALUE!</v>
      </c>
    </row>
    <row r="114" spans="1:42">
      <c r="A114" s="48" t="str">
        <f>'[4]TS BYDem'!A44</f>
        <v>*</v>
      </c>
      <c r="B114" t="s">
        <v>288</v>
      </c>
      <c r="C114" t="s">
        <v>137</v>
      </c>
      <c r="D114" s="3" t="str">
        <f>'[4]TS BYDem'!D44</f>
        <v>IFAS</v>
      </c>
      <c r="E114" t="s">
        <v>137</v>
      </c>
      <c r="F114" t="s">
        <v>137</v>
      </c>
      <c r="G114" t="s">
        <v>137</v>
      </c>
      <c r="H114" t="s">
        <v>137</v>
      </c>
      <c r="I114">
        <v>0</v>
      </c>
      <c r="J114" t="str">
        <f>INDEX('[4]TS BYDem'!$J$10:$J$203,MATCH(D114,'[4]TS BYDem'!$D$10:$D$203,0))</f>
        <v/>
      </c>
      <c r="K114" t="e">
        <f t="shared" ca="1" si="110"/>
        <v>#VALUE!</v>
      </c>
      <c r="L114" t="e">
        <f t="shared" ca="1" si="110"/>
        <v>#VALUE!</v>
      </c>
      <c r="M114" t="e">
        <f t="shared" ca="1" si="110"/>
        <v>#VALUE!</v>
      </c>
      <c r="N114" t="e">
        <f t="shared" ca="1" si="110"/>
        <v>#VALUE!</v>
      </c>
      <c r="O114" t="e">
        <f t="shared" ca="1" si="110"/>
        <v>#VALUE!</v>
      </c>
      <c r="P114" t="e">
        <f t="shared" ca="1" si="110"/>
        <v>#VALUE!</v>
      </c>
      <c r="Q114" t="e">
        <f t="shared" ca="1" si="110"/>
        <v>#VALUE!</v>
      </c>
      <c r="R114" t="e">
        <f t="shared" ca="1" si="110"/>
        <v>#VALUE!</v>
      </c>
      <c r="S114" t="e">
        <f t="shared" ca="1" si="110"/>
        <v>#VALUE!</v>
      </c>
      <c r="T114" t="e">
        <f t="shared" ca="1" si="110"/>
        <v>#VALUE!</v>
      </c>
      <c r="U114" t="e">
        <f t="shared" ca="1" si="110"/>
        <v>#VALUE!</v>
      </c>
      <c r="V114" t="e">
        <f t="shared" ca="1" si="110"/>
        <v>#VALUE!</v>
      </c>
      <c r="W114" t="e">
        <f t="shared" ca="1" si="110"/>
        <v>#VALUE!</v>
      </c>
      <c r="X114" t="e">
        <f t="shared" ca="1" si="110"/>
        <v>#VALUE!</v>
      </c>
      <c r="Y114" t="e">
        <f t="shared" ca="1" si="110"/>
        <v>#VALUE!</v>
      </c>
      <c r="Z114" t="e">
        <f t="shared" ca="1" si="109"/>
        <v>#VALUE!</v>
      </c>
      <c r="AA114" t="e">
        <f t="shared" ca="1" si="109"/>
        <v>#VALUE!</v>
      </c>
      <c r="AB114" t="e">
        <f t="shared" ca="1" si="109"/>
        <v>#VALUE!</v>
      </c>
      <c r="AC114" t="e">
        <f t="shared" ca="1" si="109"/>
        <v>#VALUE!</v>
      </c>
      <c r="AD114" t="e">
        <f t="shared" ca="1" si="109"/>
        <v>#VALUE!</v>
      </c>
      <c r="AE114" t="e">
        <f t="shared" ca="1" si="109"/>
        <v>#VALUE!</v>
      </c>
      <c r="AF114" t="e">
        <f t="shared" ca="1" si="109"/>
        <v>#VALUE!</v>
      </c>
      <c r="AG114" t="e">
        <f t="shared" ca="1" si="109"/>
        <v>#VALUE!</v>
      </c>
      <c r="AH114" t="e">
        <f t="shared" ca="1" si="109"/>
        <v>#VALUE!</v>
      </c>
      <c r="AI114" t="e">
        <f t="shared" ca="1" si="107"/>
        <v>#VALUE!</v>
      </c>
      <c r="AJ114" t="e">
        <f t="shared" ca="1" si="107"/>
        <v>#VALUE!</v>
      </c>
      <c r="AK114" t="e">
        <f t="shared" ca="1" si="107"/>
        <v>#VALUE!</v>
      </c>
      <c r="AL114" t="e">
        <f t="shared" ca="1" si="107"/>
        <v>#VALUE!</v>
      </c>
      <c r="AM114" t="e">
        <f t="shared" ca="1" si="107"/>
        <v>#VALUE!</v>
      </c>
      <c r="AN114" t="e">
        <f t="shared" ca="1" si="107"/>
        <v>#VALUE!</v>
      </c>
      <c r="AO114" t="e">
        <f t="shared" ca="1" si="107"/>
        <v>#VALUE!</v>
      </c>
      <c r="AP114" t="e">
        <f t="shared" ca="1" si="107"/>
        <v>#VALUE!</v>
      </c>
    </row>
    <row r="115" spans="1:42">
      <c r="A115" s="48" t="str">
        <f>'[4]TS BYDem'!A45</f>
        <v>*</v>
      </c>
      <c r="B115" t="s">
        <v>288</v>
      </c>
      <c r="C115" t="s">
        <v>137</v>
      </c>
      <c r="D115" s="3" t="str">
        <f>'[4]TS BYDem'!D45</f>
        <v>IFAS</v>
      </c>
      <c r="E115" t="s">
        <v>137</v>
      </c>
      <c r="F115" t="s">
        <v>137</v>
      </c>
      <c r="G115" t="s">
        <v>137</v>
      </c>
      <c r="H115" t="s">
        <v>137</v>
      </c>
      <c r="I115">
        <v>0</v>
      </c>
      <c r="J115" t="str">
        <f>INDEX('[4]TS BYDem'!$J$10:$J$203,MATCH(D115,'[4]TS BYDem'!$D$10:$D$203,0))</f>
        <v/>
      </c>
      <c r="K115" t="e">
        <f t="shared" ca="1" si="110"/>
        <v>#VALUE!</v>
      </c>
      <c r="L115" t="e">
        <f t="shared" ca="1" si="110"/>
        <v>#VALUE!</v>
      </c>
      <c r="M115" t="e">
        <f t="shared" ca="1" si="110"/>
        <v>#VALUE!</v>
      </c>
      <c r="N115" t="e">
        <f t="shared" ca="1" si="110"/>
        <v>#VALUE!</v>
      </c>
      <c r="O115" t="e">
        <f t="shared" ca="1" si="110"/>
        <v>#VALUE!</v>
      </c>
      <c r="P115" t="e">
        <f t="shared" ca="1" si="110"/>
        <v>#VALUE!</v>
      </c>
      <c r="Q115" t="e">
        <f t="shared" ca="1" si="110"/>
        <v>#VALUE!</v>
      </c>
      <c r="R115" t="e">
        <f t="shared" ca="1" si="110"/>
        <v>#VALUE!</v>
      </c>
      <c r="S115" t="e">
        <f t="shared" ca="1" si="110"/>
        <v>#VALUE!</v>
      </c>
      <c r="T115" t="e">
        <f t="shared" ca="1" si="110"/>
        <v>#VALUE!</v>
      </c>
      <c r="U115" t="e">
        <f t="shared" ca="1" si="110"/>
        <v>#VALUE!</v>
      </c>
      <c r="V115" t="e">
        <f t="shared" ca="1" si="110"/>
        <v>#VALUE!</v>
      </c>
      <c r="W115" t="e">
        <f t="shared" ca="1" si="110"/>
        <v>#VALUE!</v>
      </c>
      <c r="X115" t="e">
        <f t="shared" ca="1" si="110"/>
        <v>#VALUE!</v>
      </c>
      <c r="Y115" t="e">
        <f t="shared" ca="1" si="110"/>
        <v>#VALUE!</v>
      </c>
      <c r="Z115" t="e">
        <f t="shared" ca="1" si="109"/>
        <v>#VALUE!</v>
      </c>
      <c r="AA115" t="e">
        <f t="shared" ca="1" si="109"/>
        <v>#VALUE!</v>
      </c>
      <c r="AB115" t="e">
        <f t="shared" ca="1" si="109"/>
        <v>#VALUE!</v>
      </c>
      <c r="AC115" t="e">
        <f t="shared" ca="1" si="109"/>
        <v>#VALUE!</v>
      </c>
      <c r="AD115" t="e">
        <f t="shared" ca="1" si="109"/>
        <v>#VALUE!</v>
      </c>
      <c r="AE115" t="e">
        <f t="shared" ca="1" si="109"/>
        <v>#VALUE!</v>
      </c>
      <c r="AF115" t="e">
        <f t="shared" ca="1" si="109"/>
        <v>#VALUE!</v>
      </c>
      <c r="AG115" t="e">
        <f t="shared" ca="1" si="109"/>
        <v>#VALUE!</v>
      </c>
      <c r="AH115" t="e">
        <f t="shared" ca="1" si="109"/>
        <v>#VALUE!</v>
      </c>
      <c r="AI115" t="e">
        <f t="shared" ca="1" si="107"/>
        <v>#VALUE!</v>
      </c>
      <c r="AJ115" t="e">
        <f t="shared" ca="1" si="107"/>
        <v>#VALUE!</v>
      </c>
      <c r="AK115" t="e">
        <f t="shared" ca="1" si="107"/>
        <v>#VALUE!</v>
      </c>
      <c r="AL115" t="e">
        <f t="shared" ca="1" si="107"/>
        <v>#VALUE!</v>
      </c>
      <c r="AM115" t="e">
        <f t="shared" ca="1" si="107"/>
        <v>#VALUE!</v>
      </c>
      <c r="AN115" t="e">
        <f t="shared" ca="1" si="107"/>
        <v>#VALUE!</v>
      </c>
      <c r="AO115" t="e">
        <f t="shared" ca="1" si="107"/>
        <v>#VALUE!</v>
      </c>
      <c r="AP115" t="e">
        <f t="shared" ca="1" si="107"/>
        <v>#VALUE!</v>
      </c>
    </row>
    <row r="116" spans="1:42">
      <c r="A116" s="48" t="str">
        <f>'[4]TS BYDem'!A46</f>
        <v>*</v>
      </c>
      <c r="B116" t="s">
        <v>288</v>
      </c>
      <c r="C116" t="s">
        <v>137</v>
      </c>
      <c r="D116" s="3" t="str">
        <f>'[4]TS BYDem'!D46</f>
        <v>IFAS</v>
      </c>
      <c r="E116" t="s">
        <v>137</v>
      </c>
      <c r="F116" t="s">
        <v>137</v>
      </c>
      <c r="G116" t="s">
        <v>137</v>
      </c>
      <c r="H116" t="s">
        <v>137</v>
      </c>
      <c r="I116">
        <v>0</v>
      </c>
      <c r="J116" t="str">
        <f>INDEX('[4]TS BYDem'!$J$10:$J$203,MATCH(D116,'[4]TS BYDem'!$D$10:$D$203,0))</f>
        <v/>
      </c>
      <c r="K116" t="e">
        <f t="shared" ca="1" si="110"/>
        <v>#VALUE!</v>
      </c>
      <c r="L116" t="e">
        <f t="shared" ca="1" si="110"/>
        <v>#VALUE!</v>
      </c>
      <c r="M116" t="e">
        <f t="shared" ca="1" si="110"/>
        <v>#VALUE!</v>
      </c>
      <c r="N116" t="e">
        <f t="shared" ca="1" si="110"/>
        <v>#VALUE!</v>
      </c>
      <c r="O116" t="e">
        <f t="shared" ca="1" si="110"/>
        <v>#VALUE!</v>
      </c>
      <c r="P116" t="e">
        <f t="shared" ca="1" si="110"/>
        <v>#VALUE!</v>
      </c>
      <c r="Q116" t="e">
        <f t="shared" ca="1" si="110"/>
        <v>#VALUE!</v>
      </c>
      <c r="R116" t="e">
        <f t="shared" ca="1" si="110"/>
        <v>#VALUE!</v>
      </c>
      <c r="S116" t="e">
        <f t="shared" ca="1" si="110"/>
        <v>#VALUE!</v>
      </c>
      <c r="T116" t="e">
        <f t="shared" ca="1" si="110"/>
        <v>#VALUE!</v>
      </c>
      <c r="U116" t="e">
        <f t="shared" ca="1" si="110"/>
        <v>#VALUE!</v>
      </c>
      <c r="V116" t="e">
        <f t="shared" ca="1" si="110"/>
        <v>#VALUE!</v>
      </c>
      <c r="W116" t="e">
        <f t="shared" ca="1" si="110"/>
        <v>#VALUE!</v>
      </c>
      <c r="X116" t="e">
        <f t="shared" ca="1" si="110"/>
        <v>#VALUE!</v>
      </c>
      <c r="Y116" t="e">
        <f t="shared" ca="1" si="110"/>
        <v>#VALUE!</v>
      </c>
      <c r="Z116" t="e">
        <f t="shared" ca="1" si="109"/>
        <v>#VALUE!</v>
      </c>
      <c r="AA116" t="e">
        <f t="shared" ca="1" si="109"/>
        <v>#VALUE!</v>
      </c>
      <c r="AB116" t="e">
        <f t="shared" ca="1" si="109"/>
        <v>#VALUE!</v>
      </c>
      <c r="AC116" t="e">
        <f t="shared" ca="1" si="109"/>
        <v>#VALUE!</v>
      </c>
      <c r="AD116" t="e">
        <f t="shared" ca="1" si="109"/>
        <v>#VALUE!</v>
      </c>
      <c r="AE116" t="e">
        <f t="shared" ca="1" si="109"/>
        <v>#VALUE!</v>
      </c>
      <c r="AF116" t="e">
        <f t="shared" ca="1" si="109"/>
        <v>#VALUE!</v>
      </c>
      <c r="AG116" t="e">
        <f t="shared" ca="1" si="109"/>
        <v>#VALUE!</v>
      </c>
      <c r="AH116" t="e">
        <f t="shared" ca="1" si="109"/>
        <v>#VALUE!</v>
      </c>
      <c r="AI116" t="e">
        <f t="shared" ca="1" si="107"/>
        <v>#VALUE!</v>
      </c>
      <c r="AJ116" t="e">
        <f t="shared" ca="1" si="107"/>
        <v>#VALUE!</v>
      </c>
      <c r="AK116" t="e">
        <f t="shared" ca="1" si="107"/>
        <v>#VALUE!</v>
      </c>
      <c r="AL116" t="e">
        <f t="shared" ca="1" si="107"/>
        <v>#VALUE!</v>
      </c>
      <c r="AM116" t="e">
        <f t="shared" ca="1" si="107"/>
        <v>#VALUE!</v>
      </c>
      <c r="AN116" t="e">
        <f t="shared" ca="1" si="107"/>
        <v>#VALUE!</v>
      </c>
      <c r="AO116" t="e">
        <f t="shared" ca="1" si="107"/>
        <v>#VALUE!</v>
      </c>
      <c r="AP116" t="e">
        <f t="shared" ca="1" si="107"/>
        <v>#VALUE!</v>
      </c>
    </row>
    <row r="117" spans="1:42">
      <c r="A117" s="48" t="str">
        <f>'[4]TS BYDem'!A47</f>
        <v>*</v>
      </c>
      <c r="B117" t="s">
        <v>288</v>
      </c>
      <c r="C117" t="s">
        <v>137</v>
      </c>
      <c r="D117" s="3">
        <f>'[4]TS BYDem'!D47</f>
        <v>0</v>
      </c>
      <c r="E117" t="s">
        <v>137</v>
      </c>
      <c r="F117" t="s">
        <v>137</v>
      </c>
      <c r="G117" t="s">
        <v>137</v>
      </c>
      <c r="H117" t="s">
        <v>137</v>
      </c>
      <c r="I117">
        <v>0</v>
      </c>
      <c r="J117" t="str">
        <f>INDEX('[4]TS BYDem'!$J$10:$J$203,MATCH(D117,'[4]TS BYDem'!$D$10:$D$203,0))</f>
        <v/>
      </c>
      <c r="K117" t="e">
        <f t="shared" ca="1" si="110"/>
        <v>#VALUE!</v>
      </c>
      <c r="L117" t="e">
        <f t="shared" ca="1" si="110"/>
        <v>#VALUE!</v>
      </c>
      <c r="M117" t="e">
        <f t="shared" ca="1" si="110"/>
        <v>#VALUE!</v>
      </c>
      <c r="N117" t="e">
        <f t="shared" ca="1" si="110"/>
        <v>#VALUE!</v>
      </c>
      <c r="O117" t="e">
        <f t="shared" ca="1" si="110"/>
        <v>#VALUE!</v>
      </c>
      <c r="P117" t="e">
        <f t="shared" ca="1" si="110"/>
        <v>#VALUE!</v>
      </c>
      <c r="Q117" t="e">
        <f t="shared" ca="1" si="110"/>
        <v>#VALUE!</v>
      </c>
      <c r="R117" t="e">
        <f t="shared" ca="1" si="110"/>
        <v>#VALUE!</v>
      </c>
      <c r="S117" t="e">
        <f t="shared" ca="1" si="110"/>
        <v>#VALUE!</v>
      </c>
      <c r="T117" t="e">
        <f t="shared" ca="1" si="110"/>
        <v>#VALUE!</v>
      </c>
      <c r="U117" t="e">
        <f t="shared" ca="1" si="110"/>
        <v>#VALUE!</v>
      </c>
      <c r="V117" t="e">
        <f t="shared" ca="1" si="110"/>
        <v>#VALUE!</v>
      </c>
      <c r="W117" t="e">
        <f t="shared" ca="1" si="110"/>
        <v>#VALUE!</v>
      </c>
      <c r="X117" t="e">
        <f t="shared" ca="1" si="110"/>
        <v>#VALUE!</v>
      </c>
      <c r="Y117" t="e">
        <f t="shared" ca="1" si="110"/>
        <v>#VALUE!</v>
      </c>
      <c r="Z117" t="e">
        <f t="shared" ca="1" si="109"/>
        <v>#VALUE!</v>
      </c>
      <c r="AA117" t="e">
        <f t="shared" ca="1" si="109"/>
        <v>#VALUE!</v>
      </c>
      <c r="AB117" t="e">
        <f t="shared" ca="1" si="109"/>
        <v>#VALUE!</v>
      </c>
      <c r="AC117" t="e">
        <f t="shared" ca="1" si="109"/>
        <v>#VALUE!</v>
      </c>
      <c r="AD117" t="e">
        <f t="shared" ca="1" si="109"/>
        <v>#VALUE!</v>
      </c>
      <c r="AE117" t="e">
        <f t="shared" ca="1" si="109"/>
        <v>#VALUE!</v>
      </c>
      <c r="AF117" t="e">
        <f t="shared" ca="1" si="109"/>
        <v>#VALUE!</v>
      </c>
      <c r="AG117" t="e">
        <f t="shared" ca="1" si="109"/>
        <v>#VALUE!</v>
      </c>
      <c r="AH117" t="e">
        <f t="shared" ca="1" si="109"/>
        <v>#VALUE!</v>
      </c>
      <c r="AI117" t="e">
        <f t="shared" ca="1" si="109"/>
        <v>#VALUE!</v>
      </c>
      <c r="AJ117" t="e">
        <f t="shared" ca="1" si="109"/>
        <v>#VALUE!</v>
      </c>
      <c r="AK117" t="e">
        <f t="shared" ca="1" si="109"/>
        <v>#VALUE!</v>
      </c>
      <c r="AL117" t="e">
        <f t="shared" ca="1" si="109"/>
        <v>#VALUE!</v>
      </c>
      <c r="AM117" t="e">
        <f t="shared" ca="1" si="109"/>
        <v>#VALUE!</v>
      </c>
      <c r="AN117" t="e">
        <f t="shared" ca="1" si="109"/>
        <v>#VALUE!</v>
      </c>
      <c r="AO117" t="e">
        <f t="shared" ca="1" si="109"/>
        <v>#VALUE!</v>
      </c>
      <c r="AP117" t="e">
        <f t="shared" ref="AP117:AP120" ca="1" si="111">AP$100/AO$100*AO117</f>
        <v>#VALUE!</v>
      </c>
    </row>
    <row r="118" spans="1:42">
      <c r="A118" s="48" t="str">
        <f>'[4]TS BYDem'!A48</f>
        <v>*</v>
      </c>
      <c r="B118" t="s">
        <v>288</v>
      </c>
      <c r="C118" t="s">
        <v>137</v>
      </c>
      <c r="D118" s="3" t="str">
        <f>'[4]TS BYDem'!D48</f>
        <v>IFAR</v>
      </c>
      <c r="E118" t="s">
        <v>137</v>
      </c>
      <c r="F118" t="s">
        <v>137</v>
      </c>
      <c r="G118" t="s">
        <v>137</v>
      </c>
      <c r="H118" t="s">
        <v>137</v>
      </c>
      <c r="I118">
        <v>0</v>
      </c>
      <c r="J118" t="str">
        <f>INDEX('[4]TS BYDem'!$J$10:$J$203,MATCH(D118,'[4]TS BYDem'!$D$10:$D$203,0))</f>
        <v/>
      </c>
      <c r="K118" t="e">
        <f t="shared" ca="1" si="110"/>
        <v>#VALUE!</v>
      </c>
      <c r="L118" t="e">
        <f t="shared" ca="1" si="110"/>
        <v>#VALUE!</v>
      </c>
      <c r="M118" t="e">
        <f t="shared" ca="1" si="110"/>
        <v>#VALUE!</v>
      </c>
      <c r="N118" t="e">
        <f t="shared" ca="1" si="110"/>
        <v>#VALUE!</v>
      </c>
      <c r="O118" t="e">
        <f t="shared" ca="1" si="110"/>
        <v>#VALUE!</v>
      </c>
      <c r="P118" t="e">
        <f t="shared" ca="1" si="110"/>
        <v>#VALUE!</v>
      </c>
      <c r="Q118" t="e">
        <f t="shared" ca="1" si="110"/>
        <v>#VALUE!</v>
      </c>
      <c r="R118" t="e">
        <f t="shared" ca="1" si="110"/>
        <v>#VALUE!</v>
      </c>
      <c r="S118" t="e">
        <f t="shared" ca="1" si="110"/>
        <v>#VALUE!</v>
      </c>
      <c r="T118" t="e">
        <f t="shared" ca="1" si="110"/>
        <v>#VALUE!</v>
      </c>
      <c r="U118" t="e">
        <f t="shared" ca="1" si="110"/>
        <v>#VALUE!</v>
      </c>
      <c r="V118" t="e">
        <f t="shared" ca="1" si="110"/>
        <v>#VALUE!</v>
      </c>
      <c r="W118" t="e">
        <f t="shared" ca="1" si="110"/>
        <v>#VALUE!</v>
      </c>
      <c r="X118" t="e">
        <f t="shared" ca="1" si="110"/>
        <v>#VALUE!</v>
      </c>
      <c r="Y118" t="e">
        <f t="shared" ca="1" si="110"/>
        <v>#VALUE!</v>
      </c>
      <c r="Z118" t="e">
        <f t="shared" ca="1" si="109"/>
        <v>#VALUE!</v>
      </c>
      <c r="AA118" t="e">
        <f t="shared" ca="1" si="109"/>
        <v>#VALUE!</v>
      </c>
      <c r="AB118" t="e">
        <f t="shared" ca="1" si="109"/>
        <v>#VALUE!</v>
      </c>
      <c r="AC118" t="e">
        <f t="shared" ca="1" si="109"/>
        <v>#VALUE!</v>
      </c>
      <c r="AD118" t="e">
        <f t="shared" ca="1" si="109"/>
        <v>#VALUE!</v>
      </c>
      <c r="AE118" t="e">
        <f t="shared" ca="1" si="109"/>
        <v>#VALUE!</v>
      </c>
      <c r="AF118" t="e">
        <f t="shared" ca="1" si="109"/>
        <v>#VALUE!</v>
      </c>
      <c r="AG118" t="e">
        <f t="shared" ca="1" si="109"/>
        <v>#VALUE!</v>
      </c>
      <c r="AH118" t="e">
        <f t="shared" ca="1" si="109"/>
        <v>#VALUE!</v>
      </c>
      <c r="AI118" t="e">
        <f t="shared" ca="1" si="109"/>
        <v>#VALUE!</v>
      </c>
      <c r="AJ118" t="e">
        <f t="shared" ca="1" si="109"/>
        <v>#VALUE!</v>
      </c>
      <c r="AK118" t="e">
        <f t="shared" ca="1" si="109"/>
        <v>#VALUE!</v>
      </c>
      <c r="AL118" t="e">
        <f t="shared" ca="1" si="109"/>
        <v>#VALUE!</v>
      </c>
      <c r="AM118" t="e">
        <f t="shared" ca="1" si="109"/>
        <v>#VALUE!</v>
      </c>
      <c r="AN118" t="e">
        <f t="shared" ca="1" si="109"/>
        <v>#VALUE!</v>
      </c>
      <c r="AO118" t="e">
        <f t="shared" ca="1" si="109"/>
        <v>#VALUE!</v>
      </c>
      <c r="AP118" t="e">
        <f t="shared" ca="1" si="111"/>
        <v>#VALUE!</v>
      </c>
    </row>
    <row r="119" spans="1:42">
      <c r="A119" s="48" t="str">
        <f>'[4]TS BYDem'!A49</f>
        <v>*</v>
      </c>
      <c r="B119" t="s">
        <v>288</v>
      </c>
      <c r="C119" t="s">
        <v>137</v>
      </c>
      <c r="D119" s="3" t="str">
        <f>'[4]TS BYDem'!D49</f>
        <v>Useful Energy Service</v>
      </c>
      <c r="E119" t="s">
        <v>137</v>
      </c>
      <c r="F119" t="s">
        <v>137</v>
      </c>
      <c r="G119" t="s">
        <v>137</v>
      </c>
      <c r="H119" t="s">
        <v>137</v>
      </c>
      <c r="I119">
        <v>0</v>
      </c>
      <c r="J119" t="str">
        <f>INDEX('[4]TS BYDem'!$J$10:$J$203,MATCH(D119,'[4]TS BYDem'!$D$10:$D$203,0))</f>
        <v/>
      </c>
      <c r="K119" t="e">
        <f t="shared" ca="1" si="110"/>
        <v>#VALUE!</v>
      </c>
      <c r="L119" t="e">
        <f t="shared" ca="1" si="110"/>
        <v>#VALUE!</v>
      </c>
      <c r="M119" t="e">
        <f t="shared" ca="1" si="110"/>
        <v>#VALUE!</v>
      </c>
      <c r="N119" t="e">
        <f t="shared" ca="1" si="110"/>
        <v>#VALUE!</v>
      </c>
      <c r="O119" t="e">
        <f t="shared" ca="1" si="110"/>
        <v>#VALUE!</v>
      </c>
      <c r="P119" t="e">
        <f t="shared" ca="1" si="110"/>
        <v>#VALUE!</v>
      </c>
      <c r="Q119" t="e">
        <f t="shared" ca="1" si="110"/>
        <v>#VALUE!</v>
      </c>
      <c r="R119" t="e">
        <f t="shared" ca="1" si="110"/>
        <v>#VALUE!</v>
      </c>
      <c r="S119" t="e">
        <f t="shared" ca="1" si="110"/>
        <v>#VALUE!</v>
      </c>
      <c r="T119" t="e">
        <f t="shared" ca="1" si="110"/>
        <v>#VALUE!</v>
      </c>
      <c r="U119" t="e">
        <f t="shared" ca="1" si="110"/>
        <v>#VALUE!</v>
      </c>
      <c r="V119" t="e">
        <f t="shared" ca="1" si="110"/>
        <v>#VALUE!</v>
      </c>
      <c r="W119" t="e">
        <f t="shared" ca="1" si="110"/>
        <v>#VALUE!</v>
      </c>
      <c r="X119" t="e">
        <f t="shared" ca="1" si="110"/>
        <v>#VALUE!</v>
      </c>
      <c r="Y119" t="e">
        <f t="shared" ca="1" si="110"/>
        <v>#VALUE!</v>
      </c>
      <c r="Z119" t="e">
        <f t="shared" ca="1" si="109"/>
        <v>#VALUE!</v>
      </c>
      <c r="AA119" t="e">
        <f t="shared" ca="1" si="109"/>
        <v>#VALUE!</v>
      </c>
      <c r="AB119" t="e">
        <f t="shared" ca="1" si="109"/>
        <v>#VALUE!</v>
      </c>
      <c r="AC119" t="e">
        <f t="shared" ca="1" si="109"/>
        <v>#VALUE!</v>
      </c>
      <c r="AD119" t="e">
        <f t="shared" ca="1" si="109"/>
        <v>#VALUE!</v>
      </c>
      <c r="AE119" t="e">
        <f t="shared" ca="1" si="109"/>
        <v>#VALUE!</v>
      </c>
      <c r="AF119" t="e">
        <f t="shared" ca="1" si="109"/>
        <v>#VALUE!</v>
      </c>
      <c r="AG119" t="e">
        <f t="shared" ca="1" si="109"/>
        <v>#VALUE!</v>
      </c>
      <c r="AH119" t="e">
        <f t="shared" ca="1" si="109"/>
        <v>#VALUE!</v>
      </c>
      <c r="AI119" t="e">
        <f t="shared" ca="1" si="109"/>
        <v>#VALUE!</v>
      </c>
      <c r="AJ119" t="e">
        <f t="shared" ca="1" si="109"/>
        <v>#VALUE!</v>
      </c>
      <c r="AK119" t="e">
        <f t="shared" ca="1" si="109"/>
        <v>#VALUE!</v>
      </c>
      <c r="AL119" t="e">
        <f t="shared" ca="1" si="109"/>
        <v>#VALUE!</v>
      </c>
      <c r="AM119" t="e">
        <f t="shared" ca="1" si="109"/>
        <v>#VALUE!</v>
      </c>
      <c r="AN119" t="e">
        <f t="shared" ca="1" si="109"/>
        <v>#VALUE!</v>
      </c>
      <c r="AO119" t="e">
        <f t="shared" ca="1" si="109"/>
        <v>#VALUE!</v>
      </c>
      <c r="AP119" t="e">
        <f t="shared" ca="1" si="111"/>
        <v>#VALUE!</v>
      </c>
    </row>
    <row r="120" spans="1:42">
      <c r="A120" s="48" t="str">
        <f>'[4]TS BYDem'!A50</f>
        <v>*</v>
      </c>
      <c r="B120" t="s">
        <v>288</v>
      </c>
      <c r="C120" t="s">
        <v>137</v>
      </c>
      <c r="D120" s="3">
        <f>'[4]TS BYDem'!D50</f>
        <v>0</v>
      </c>
      <c r="E120" t="s">
        <v>137</v>
      </c>
      <c r="F120" t="s">
        <v>137</v>
      </c>
      <c r="G120" t="s">
        <v>137</v>
      </c>
      <c r="H120" t="s">
        <v>137</v>
      </c>
      <c r="I120">
        <v>0</v>
      </c>
      <c r="J120" t="str">
        <f>INDEX('[4]TS BYDem'!$J$10:$J$203,MATCH(D120,'[4]TS BYDem'!$D$10:$D$203,0))</f>
        <v/>
      </c>
      <c r="K120" t="e">
        <f t="shared" ca="1" si="110"/>
        <v>#VALUE!</v>
      </c>
      <c r="L120" t="e">
        <f t="shared" ca="1" si="110"/>
        <v>#VALUE!</v>
      </c>
      <c r="M120" t="e">
        <f t="shared" ca="1" si="110"/>
        <v>#VALUE!</v>
      </c>
      <c r="N120" t="e">
        <f t="shared" ca="1" si="110"/>
        <v>#VALUE!</v>
      </c>
      <c r="O120" t="e">
        <f t="shared" ca="1" si="110"/>
        <v>#VALUE!</v>
      </c>
      <c r="P120" t="e">
        <f t="shared" ca="1" si="110"/>
        <v>#VALUE!</v>
      </c>
      <c r="Q120" t="e">
        <f t="shared" ca="1" si="110"/>
        <v>#VALUE!</v>
      </c>
      <c r="R120" t="e">
        <f t="shared" ca="1" si="110"/>
        <v>#VALUE!</v>
      </c>
      <c r="S120" t="e">
        <f t="shared" ca="1" si="110"/>
        <v>#VALUE!</v>
      </c>
      <c r="T120" t="e">
        <f t="shared" ca="1" si="110"/>
        <v>#VALUE!</v>
      </c>
      <c r="U120" t="e">
        <f t="shared" ca="1" si="110"/>
        <v>#VALUE!</v>
      </c>
      <c r="V120" t="e">
        <f t="shared" ca="1" si="110"/>
        <v>#VALUE!</v>
      </c>
      <c r="W120" t="e">
        <f t="shared" ca="1" si="110"/>
        <v>#VALUE!</v>
      </c>
      <c r="X120" t="e">
        <f t="shared" ca="1" si="110"/>
        <v>#VALUE!</v>
      </c>
      <c r="Y120" t="e">
        <f t="shared" ca="1" si="110"/>
        <v>#VALUE!</v>
      </c>
      <c r="Z120" t="e">
        <f t="shared" ca="1" si="109"/>
        <v>#VALUE!</v>
      </c>
      <c r="AA120" t="e">
        <f t="shared" ca="1" si="109"/>
        <v>#VALUE!</v>
      </c>
      <c r="AB120" t="e">
        <f t="shared" ca="1" si="109"/>
        <v>#VALUE!</v>
      </c>
      <c r="AC120" t="e">
        <f t="shared" ca="1" si="109"/>
        <v>#VALUE!</v>
      </c>
      <c r="AD120" t="e">
        <f t="shared" ca="1" si="109"/>
        <v>#VALUE!</v>
      </c>
      <c r="AE120" t="e">
        <f t="shared" ca="1" si="109"/>
        <v>#VALUE!</v>
      </c>
      <c r="AF120" t="e">
        <f t="shared" ca="1" si="109"/>
        <v>#VALUE!</v>
      </c>
      <c r="AG120" t="e">
        <f t="shared" ca="1" si="109"/>
        <v>#VALUE!</v>
      </c>
      <c r="AH120" t="e">
        <f t="shared" ca="1" si="109"/>
        <v>#VALUE!</v>
      </c>
      <c r="AI120" t="e">
        <f t="shared" ca="1" si="109"/>
        <v>#VALUE!</v>
      </c>
      <c r="AJ120" t="e">
        <f t="shared" ca="1" si="109"/>
        <v>#VALUE!</v>
      </c>
      <c r="AK120" t="e">
        <f t="shared" ca="1" si="109"/>
        <v>#VALUE!</v>
      </c>
      <c r="AL120" t="e">
        <f t="shared" ca="1" si="109"/>
        <v>#VALUE!</v>
      </c>
      <c r="AM120" t="e">
        <f t="shared" ca="1" si="109"/>
        <v>#VALUE!</v>
      </c>
      <c r="AN120" t="e">
        <f t="shared" ca="1" si="109"/>
        <v>#VALUE!</v>
      </c>
      <c r="AO120" t="e">
        <f t="shared" ca="1" si="109"/>
        <v>#VALUE!</v>
      </c>
      <c r="AP120" t="e">
        <f t="shared" ca="1" si="111"/>
        <v>#VALUE!</v>
      </c>
    </row>
    <row r="121" spans="1:42" s="2" customFormat="1">
      <c r="A121" s="48" t="str">
        <f>'[4]TS BYDem'!A51</f>
        <v>*</v>
      </c>
      <c r="B121" s="2">
        <f>B100+2</f>
        <v>5</v>
      </c>
      <c r="C121" s="1" t="str">
        <f ca="1">OFFSET($C$9,$B121,0)</f>
        <v>Iron &amp; Steel</v>
      </c>
      <c r="D121" s="1" t="str">
        <f ca="1">OFFSET($B$9,$B121,0)</f>
        <v>IS</v>
      </c>
      <c r="J121" s="2">
        <f t="shared" ref="J121:AA121" ca="1" si="112">SUMIF($B$10:$B$25,$D121,J$10:J$25)*SUMIF($B$10:$B$25,$D121,J$47:J$62)</f>
        <v>117.12281075206418</v>
      </c>
      <c r="K121" s="2">
        <f t="shared" ca="1" si="112"/>
        <v>119.07275947417872</v>
      </c>
      <c r="L121" s="2">
        <f t="shared" ca="1" si="112"/>
        <v>120.12173328694826</v>
      </c>
      <c r="M121" s="2">
        <f t="shared" ca="1" si="112"/>
        <v>120.67779367214723</v>
      </c>
      <c r="N121" s="2">
        <f t="shared" ca="1" si="112"/>
        <v>119.95882677975034</v>
      </c>
      <c r="O121" s="2">
        <f t="shared" ca="1" si="112"/>
        <v>120.88915701956363</v>
      </c>
      <c r="P121" s="2">
        <f t="shared" ca="1" si="112"/>
        <v>121.14044942310186</v>
      </c>
      <c r="Q121" s="2">
        <f t="shared" ca="1" si="112"/>
        <v>118.318</v>
      </c>
      <c r="R121" s="2">
        <f t="shared" ca="1" si="112"/>
        <v>107.464</v>
      </c>
      <c r="S121" s="2">
        <f t="shared" ca="1" si="112"/>
        <v>109.577</v>
      </c>
      <c r="T121" s="2">
        <f t="shared" ca="1" si="112"/>
        <v>110.503</v>
      </c>
      <c r="U121" s="2">
        <f t="shared" ca="1" si="112"/>
        <v>112.52</v>
      </c>
      <c r="V121" s="2">
        <f t="shared" ca="1" si="112"/>
        <v>115.176</v>
      </c>
      <c r="W121" s="2">
        <f t="shared" ca="1" si="112"/>
        <v>118.041</v>
      </c>
      <c r="X121" s="2">
        <f t="shared" ca="1" si="112"/>
        <v>121.706</v>
      </c>
      <c r="Y121" s="2">
        <f t="shared" ca="1" si="112"/>
        <v>124.937</v>
      </c>
      <c r="Z121" s="2">
        <f t="shared" ca="1" si="112"/>
        <v>131.876</v>
      </c>
      <c r="AA121" s="2">
        <f t="shared" ca="1" si="112"/>
        <v>137.161</v>
      </c>
      <c r="AB121" s="2">
        <f ca="1">SUMIF($B$10:$B$25,$D121,AB$10:AB$25)*SUMIF($B$10:$B$25,$D121,AB$46:AB$62)</f>
        <v>140.69499999999999</v>
      </c>
      <c r="AC121" s="2">
        <f t="shared" ref="AC121:AP121" ca="1" si="113">SUMIF($B$10:$B$25,$D121,AC$10:AC$25)*SUMIF($B$10:$B$25,$D121,AC$47:AC$62)</f>
        <v>143.66999999999999</v>
      </c>
      <c r="AD121" s="2">
        <f t="shared" ca="1" si="113"/>
        <v>146.92400000000001</v>
      </c>
      <c r="AE121" s="2">
        <f t="shared" ca="1" si="113"/>
        <v>151</v>
      </c>
      <c r="AF121" s="2">
        <f t="shared" ca="1" si="113"/>
        <v>155.93299999999999</v>
      </c>
      <c r="AG121" s="2">
        <f t="shared" ca="1" si="113"/>
        <v>166.673</v>
      </c>
      <c r="AH121" s="2">
        <f t="shared" ca="1" si="113"/>
        <v>175.935</v>
      </c>
      <c r="AI121" s="2">
        <f t="shared" ca="1" si="113"/>
        <v>179.65</v>
      </c>
      <c r="AJ121" s="2">
        <f t="shared" ca="1" si="113"/>
        <v>183.81800000000001</v>
      </c>
      <c r="AK121" s="2">
        <f t="shared" ca="1" si="113"/>
        <v>186.33199999999999</v>
      </c>
      <c r="AL121" s="2">
        <f t="shared" ca="1" si="113"/>
        <v>193.435</v>
      </c>
      <c r="AM121" s="2">
        <f t="shared" ca="1" si="113"/>
        <v>213.45</v>
      </c>
      <c r="AN121" s="2">
        <f t="shared" ca="1" si="113"/>
        <v>228.876</v>
      </c>
      <c r="AO121" s="2">
        <f t="shared" ca="1" si="113"/>
        <v>265.08183333333363</v>
      </c>
      <c r="AP121" s="2">
        <f t="shared" ca="1" si="113"/>
        <v>300.52283333333344</v>
      </c>
    </row>
    <row r="122" spans="1:42">
      <c r="A122" s="48" t="str">
        <f>'[4]TS BYDem'!A52</f>
        <v>*</v>
      </c>
      <c r="B122" t="s">
        <v>288</v>
      </c>
      <c r="C122" t="s">
        <v>137</v>
      </c>
      <c r="D122" s="3" t="str">
        <f>'[4]TS BYDem'!D52</f>
        <v>IISK</v>
      </c>
      <c r="E122" t="s">
        <v>137</v>
      </c>
      <c r="F122" t="s">
        <v>137</v>
      </c>
      <c r="G122" t="s">
        <v>137</v>
      </c>
      <c r="H122" t="s">
        <v>137</v>
      </c>
      <c r="I122">
        <v>0</v>
      </c>
      <c r="J122" t="str">
        <f>INDEX('[4]TS BYDem'!$J$10:$J$203,MATCH(D122,'[4]TS BYDem'!$D$10:$D$203,0))</f>
        <v/>
      </c>
      <c r="K122" t="e">
        <f t="shared" ref="K122:Z137" ca="1" si="114">K$121/J$121*J122</f>
        <v>#VALUE!</v>
      </c>
      <c r="L122" t="e">
        <f t="shared" ca="1" si="114"/>
        <v>#VALUE!</v>
      </c>
      <c r="M122" t="e">
        <f t="shared" ca="1" si="114"/>
        <v>#VALUE!</v>
      </c>
      <c r="N122" t="e">
        <f t="shared" ca="1" si="114"/>
        <v>#VALUE!</v>
      </c>
      <c r="O122" t="e">
        <f t="shared" ca="1" si="114"/>
        <v>#VALUE!</v>
      </c>
      <c r="P122" t="e">
        <f t="shared" ca="1" si="114"/>
        <v>#VALUE!</v>
      </c>
      <c r="Q122" t="e">
        <f t="shared" ca="1" si="114"/>
        <v>#VALUE!</v>
      </c>
      <c r="R122" t="e">
        <f t="shared" ca="1" si="114"/>
        <v>#VALUE!</v>
      </c>
      <c r="S122" t="e">
        <f t="shared" ca="1" si="114"/>
        <v>#VALUE!</v>
      </c>
      <c r="T122" t="e">
        <f t="shared" ca="1" si="114"/>
        <v>#VALUE!</v>
      </c>
      <c r="U122" t="e">
        <f t="shared" ca="1" si="114"/>
        <v>#VALUE!</v>
      </c>
      <c r="V122" t="e">
        <f t="shared" ca="1" si="114"/>
        <v>#VALUE!</v>
      </c>
      <c r="W122" t="e">
        <f t="shared" ca="1" si="114"/>
        <v>#VALUE!</v>
      </c>
      <c r="X122" t="e">
        <f t="shared" ca="1" si="114"/>
        <v>#VALUE!</v>
      </c>
      <c r="Y122" t="e">
        <f t="shared" ca="1" si="114"/>
        <v>#VALUE!</v>
      </c>
      <c r="Z122" t="e">
        <f t="shared" ca="1" si="114"/>
        <v>#VALUE!</v>
      </c>
      <c r="AA122" t="e">
        <f t="shared" ref="AA122:AP137" ca="1" si="115">AA$121/Z$121*Z122</f>
        <v>#VALUE!</v>
      </c>
      <c r="AB122" t="e">
        <f t="shared" ca="1" si="115"/>
        <v>#VALUE!</v>
      </c>
      <c r="AC122" t="e">
        <f t="shared" ca="1" si="115"/>
        <v>#VALUE!</v>
      </c>
      <c r="AD122" t="e">
        <f t="shared" ca="1" si="115"/>
        <v>#VALUE!</v>
      </c>
      <c r="AE122" t="e">
        <f t="shared" ca="1" si="115"/>
        <v>#VALUE!</v>
      </c>
      <c r="AF122" t="e">
        <f t="shared" ca="1" si="115"/>
        <v>#VALUE!</v>
      </c>
      <c r="AG122" t="e">
        <f t="shared" ca="1" si="115"/>
        <v>#VALUE!</v>
      </c>
      <c r="AH122" t="e">
        <f t="shared" ca="1" si="115"/>
        <v>#VALUE!</v>
      </c>
      <c r="AI122" t="e">
        <f t="shared" ca="1" si="115"/>
        <v>#VALUE!</v>
      </c>
      <c r="AJ122" t="e">
        <f t="shared" ca="1" si="115"/>
        <v>#VALUE!</v>
      </c>
      <c r="AK122" t="e">
        <f t="shared" ca="1" si="115"/>
        <v>#VALUE!</v>
      </c>
      <c r="AL122" t="e">
        <f t="shared" ca="1" si="115"/>
        <v>#VALUE!</v>
      </c>
      <c r="AM122" t="e">
        <f t="shared" ca="1" si="115"/>
        <v>#VALUE!</v>
      </c>
      <c r="AN122" t="e">
        <f t="shared" ca="1" si="115"/>
        <v>#VALUE!</v>
      </c>
      <c r="AO122" t="e">
        <f t="shared" ca="1" si="115"/>
        <v>#VALUE!</v>
      </c>
      <c r="AP122" t="e">
        <f t="shared" ca="1" si="115"/>
        <v>#VALUE!</v>
      </c>
    </row>
    <row r="123" spans="1:42">
      <c r="A123" s="48" t="str">
        <f>'[4]TS BYDem'!A53</f>
        <v>*</v>
      </c>
      <c r="B123" t="s">
        <v>288</v>
      </c>
      <c r="C123" t="s">
        <v>137</v>
      </c>
      <c r="D123" s="3" t="str">
        <f>'[4]TS BYDem'!D53</f>
        <v>IISA</v>
      </c>
      <c r="E123" t="s">
        <v>137</v>
      </c>
      <c r="F123" t="s">
        <v>137</v>
      </c>
      <c r="G123" t="s">
        <v>137</v>
      </c>
      <c r="H123" t="s">
        <v>137</v>
      </c>
      <c r="I123">
        <v>0</v>
      </c>
      <c r="J123" t="str">
        <f>INDEX('[4]TS BYDem'!$J$10:$J$203,MATCH(D123,'[4]TS BYDem'!$D$10:$D$203,0))</f>
        <v/>
      </c>
      <c r="K123" t="e">
        <f t="shared" ca="1" si="114"/>
        <v>#VALUE!</v>
      </c>
      <c r="L123" t="e">
        <f t="shared" ca="1" si="114"/>
        <v>#VALUE!</v>
      </c>
      <c r="M123" t="e">
        <f t="shared" ca="1" si="114"/>
        <v>#VALUE!</v>
      </c>
      <c r="N123" t="e">
        <f t="shared" ca="1" si="114"/>
        <v>#VALUE!</v>
      </c>
      <c r="O123" t="e">
        <f t="shared" ca="1" si="114"/>
        <v>#VALUE!</v>
      </c>
      <c r="P123" t="e">
        <f t="shared" ca="1" si="114"/>
        <v>#VALUE!</v>
      </c>
      <c r="Q123" t="e">
        <f t="shared" ca="1" si="114"/>
        <v>#VALUE!</v>
      </c>
      <c r="R123" t="e">
        <f t="shared" ca="1" si="114"/>
        <v>#VALUE!</v>
      </c>
      <c r="S123" t="e">
        <f t="shared" ca="1" si="114"/>
        <v>#VALUE!</v>
      </c>
      <c r="T123" t="e">
        <f t="shared" ca="1" si="114"/>
        <v>#VALUE!</v>
      </c>
      <c r="U123" t="e">
        <f t="shared" ca="1" si="114"/>
        <v>#VALUE!</v>
      </c>
      <c r="V123" t="e">
        <f t="shared" ca="1" si="114"/>
        <v>#VALUE!</v>
      </c>
      <c r="W123" t="e">
        <f t="shared" ca="1" si="114"/>
        <v>#VALUE!</v>
      </c>
      <c r="X123" t="e">
        <f t="shared" ca="1" si="114"/>
        <v>#VALUE!</v>
      </c>
      <c r="Y123" t="e">
        <f t="shared" ca="1" si="114"/>
        <v>#VALUE!</v>
      </c>
      <c r="Z123" t="e">
        <f t="shared" ca="1" si="114"/>
        <v>#VALUE!</v>
      </c>
      <c r="AA123" t="e">
        <f t="shared" ca="1" si="115"/>
        <v>#VALUE!</v>
      </c>
      <c r="AB123" t="e">
        <f t="shared" ca="1" si="115"/>
        <v>#VALUE!</v>
      </c>
      <c r="AC123" t="e">
        <f t="shared" ca="1" si="115"/>
        <v>#VALUE!</v>
      </c>
      <c r="AD123" t="e">
        <f t="shared" ca="1" si="115"/>
        <v>#VALUE!</v>
      </c>
      <c r="AE123" t="e">
        <f t="shared" ca="1" si="115"/>
        <v>#VALUE!</v>
      </c>
      <c r="AF123" t="e">
        <f t="shared" ca="1" si="115"/>
        <v>#VALUE!</v>
      </c>
      <c r="AG123" t="e">
        <f t="shared" ca="1" si="115"/>
        <v>#VALUE!</v>
      </c>
      <c r="AH123" t="e">
        <f t="shared" ca="1" si="115"/>
        <v>#VALUE!</v>
      </c>
      <c r="AI123" t="e">
        <f t="shared" ca="1" si="115"/>
        <v>#VALUE!</v>
      </c>
      <c r="AJ123" t="e">
        <f t="shared" ca="1" si="115"/>
        <v>#VALUE!</v>
      </c>
      <c r="AK123" t="e">
        <f t="shared" ca="1" si="115"/>
        <v>#VALUE!</v>
      </c>
      <c r="AL123" t="e">
        <f t="shared" ca="1" si="115"/>
        <v>#VALUE!</v>
      </c>
      <c r="AM123" t="e">
        <f t="shared" ca="1" si="115"/>
        <v>#VALUE!</v>
      </c>
      <c r="AN123" t="e">
        <f t="shared" ca="1" si="115"/>
        <v>#VALUE!</v>
      </c>
      <c r="AO123" t="e">
        <f t="shared" ca="1" si="115"/>
        <v>#VALUE!</v>
      </c>
      <c r="AP123" t="e">
        <f t="shared" ca="1" si="115"/>
        <v>#VALUE!</v>
      </c>
    </row>
    <row r="124" spans="1:42">
      <c r="A124" s="48" t="str">
        <f>'[4]TS BYDem'!A54</f>
        <v>*</v>
      </c>
      <c r="B124" t="s">
        <v>288</v>
      </c>
      <c r="C124" t="s">
        <v>137</v>
      </c>
      <c r="D124" s="3" t="str">
        <f>'[4]TS BYDem'!D54</f>
        <v>IISL</v>
      </c>
      <c r="E124" t="s">
        <v>137</v>
      </c>
      <c r="F124" t="s">
        <v>137</v>
      </c>
      <c r="G124" t="s">
        <v>137</v>
      </c>
      <c r="H124" t="s">
        <v>137</v>
      </c>
      <c r="I124">
        <v>0</v>
      </c>
      <c r="J124" t="str">
        <f>INDEX('[4]TS BYDem'!$J$10:$J$203,MATCH(D124,'[4]TS BYDem'!$D$10:$D$203,0))</f>
        <v/>
      </c>
      <c r="K124" t="e">
        <f t="shared" ca="1" si="114"/>
        <v>#VALUE!</v>
      </c>
      <c r="L124" t="e">
        <f t="shared" ca="1" si="114"/>
        <v>#VALUE!</v>
      </c>
      <c r="M124" t="e">
        <f t="shared" ca="1" si="114"/>
        <v>#VALUE!</v>
      </c>
      <c r="N124" t="e">
        <f t="shared" ca="1" si="114"/>
        <v>#VALUE!</v>
      </c>
      <c r="O124" t="e">
        <f t="shared" ca="1" si="114"/>
        <v>#VALUE!</v>
      </c>
      <c r="P124" t="e">
        <f t="shared" ca="1" si="114"/>
        <v>#VALUE!</v>
      </c>
      <c r="Q124" t="e">
        <f t="shared" ca="1" si="114"/>
        <v>#VALUE!</v>
      </c>
      <c r="R124" t="e">
        <f t="shared" ca="1" si="114"/>
        <v>#VALUE!</v>
      </c>
      <c r="S124" t="e">
        <f t="shared" ca="1" si="114"/>
        <v>#VALUE!</v>
      </c>
      <c r="T124" t="e">
        <f t="shared" ca="1" si="114"/>
        <v>#VALUE!</v>
      </c>
      <c r="U124" t="e">
        <f t="shared" ca="1" si="114"/>
        <v>#VALUE!</v>
      </c>
      <c r="V124" t="e">
        <f t="shared" ca="1" si="114"/>
        <v>#VALUE!</v>
      </c>
      <c r="W124" t="e">
        <f t="shared" ca="1" si="114"/>
        <v>#VALUE!</v>
      </c>
      <c r="X124" t="e">
        <f t="shared" ca="1" si="114"/>
        <v>#VALUE!</v>
      </c>
      <c r="Y124" t="e">
        <f t="shared" ca="1" si="114"/>
        <v>#VALUE!</v>
      </c>
      <c r="Z124" t="e">
        <f t="shared" ca="1" si="114"/>
        <v>#VALUE!</v>
      </c>
      <c r="AA124" t="e">
        <f t="shared" ca="1" si="115"/>
        <v>#VALUE!</v>
      </c>
      <c r="AB124" t="e">
        <f t="shared" ca="1" si="115"/>
        <v>#VALUE!</v>
      </c>
      <c r="AC124" t="e">
        <f t="shared" ca="1" si="115"/>
        <v>#VALUE!</v>
      </c>
      <c r="AD124" t="e">
        <f t="shared" ca="1" si="115"/>
        <v>#VALUE!</v>
      </c>
      <c r="AE124" t="e">
        <f t="shared" ca="1" si="115"/>
        <v>#VALUE!</v>
      </c>
      <c r="AF124" t="e">
        <f t="shared" ca="1" si="115"/>
        <v>#VALUE!</v>
      </c>
      <c r="AG124" t="e">
        <f t="shared" ca="1" si="115"/>
        <v>#VALUE!</v>
      </c>
      <c r="AH124" t="e">
        <f t="shared" ca="1" si="115"/>
        <v>#VALUE!</v>
      </c>
      <c r="AI124" t="e">
        <f t="shared" ca="1" si="115"/>
        <v>#VALUE!</v>
      </c>
      <c r="AJ124" t="e">
        <f t="shared" ca="1" si="115"/>
        <v>#VALUE!</v>
      </c>
      <c r="AK124" t="e">
        <f t="shared" ca="1" si="115"/>
        <v>#VALUE!</v>
      </c>
      <c r="AL124" t="e">
        <f t="shared" ca="1" si="115"/>
        <v>#VALUE!</v>
      </c>
      <c r="AM124" t="e">
        <f t="shared" ca="1" si="115"/>
        <v>#VALUE!</v>
      </c>
      <c r="AN124" t="e">
        <f t="shared" ca="1" si="115"/>
        <v>#VALUE!</v>
      </c>
      <c r="AO124" t="e">
        <f t="shared" ca="1" si="115"/>
        <v>#VALUE!</v>
      </c>
      <c r="AP124" t="e">
        <f t="shared" ca="1" si="115"/>
        <v>#VALUE!</v>
      </c>
    </row>
    <row r="125" spans="1:42">
      <c r="A125" s="48" t="str">
        <f>'[4]TS BYDem'!A55</f>
        <v>*</v>
      </c>
      <c r="B125" t="s">
        <v>288</v>
      </c>
      <c r="C125" t="s">
        <v>137</v>
      </c>
      <c r="D125" s="3" t="str">
        <f>'[4]TS BYDem'!D55</f>
        <v>IISC</v>
      </c>
      <c r="E125" t="s">
        <v>137</v>
      </c>
      <c r="F125" t="s">
        <v>137</v>
      </c>
      <c r="G125" t="s">
        <v>137</v>
      </c>
      <c r="H125" t="s">
        <v>137</v>
      </c>
      <c r="I125">
        <v>0</v>
      </c>
      <c r="J125" t="str">
        <f>INDEX('[4]TS BYDem'!$J$10:$J$203,MATCH(D125,'[4]TS BYDem'!$D$10:$D$203,0))</f>
        <v/>
      </c>
      <c r="K125" t="e">
        <f t="shared" ca="1" si="114"/>
        <v>#VALUE!</v>
      </c>
      <c r="L125" t="e">
        <f t="shared" ca="1" si="114"/>
        <v>#VALUE!</v>
      </c>
      <c r="M125" t="e">
        <f t="shared" ca="1" si="114"/>
        <v>#VALUE!</v>
      </c>
      <c r="N125" t="e">
        <f t="shared" ca="1" si="114"/>
        <v>#VALUE!</v>
      </c>
      <c r="O125" t="e">
        <f t="shared" ca="1" si="114"/>
        <v>#VALUE!</v>
      </c>
      <c r="P125" t="e">
        <f t="shared" ca="1" si="114"/>
        <v>#VALUE!</v>
      </c>
      <c r="Q125" t="e">
        <f t="shared" ca="1" si="114"/>
        <v>#VALUE!</v>
      </c>
      <c r="R125" t="e">
        <f t="shared" ca="1" si="114"/>
        <v>#VALUE!</v>
      </c>
      <c r="S125" t="e">
        <f t="shared" ca="1" si="114"/>
        <v>#VALUE!</v>
      </c>
      <c r="T125" t="e">
        <f t="shared" ca="1" si="114"/>
        <v>#VALUE!</v>
      </c>
      <c r="U125" t="e">
        <f t="shared" ca="1" si="114"/>
        <v>#VALUE!</v>
      </c>
      <c r="V125" t="e">
        <f t="shared" ca="1" si="114"/>
        <v>#VALUE!</v>
      </c>
      <c r="W125" t="e">
        <f t="shared" ca="1" si="114"/>
        <v>#VALUE!</v>
      </c>
      <c r="X125" t="e">
        <f t="shared" ca="1" si="114"/>
        <v>#VALUE!</v>
      </c>
      <c r="Y125" t="e">
        <f t="shared" ca="1" si="114"/>
        <v>#VALUE!</v>
      </c>
      <c r="Z125" t="e">
        <f t="shared" ca="1" si="114"/>
        <v>#VALUE!</v>
      </c>
      <c r="AA125" t="e">
        <f t="shared" ca="1" si="115"/>
        <v>#VALUE!</v>
      </c>
      <c r="AB125" t="e">
        <f t="shared" ca="1" si="115"/>
        <v>#VALUE!</v>
      </c>
      <c r="AC125" t="e">
        <f t="shared" ca="1" si="115"/>
        <v>#VALUE!</v>
      </c>
      <c r="AD125" t="e">
        <f t="shared" ca="1" si="115"/>
        <v>#VALUE!</v>
      </c>
      <c r="AE125" t="e">
        <f t="shared" ca="1" si="115"/>
        <v>#VALUE!</v>
      </c>
      <c r="AF125" t="e">
        <f t="shared" ca="1" si="115"/>
        <v>#VALUE!</v>
      </c>
      <c r="AG125" t="e">
        <f t="shared" ca="1" si="115"/>
        <v>#VALUE!</v>
      </c>
      <c r="AH125" t="e">
        <f t="shared" ca="1" si="115"/>
        <v>#VALUE!</v>
      </c>
      <c r="AI125" t="e">
        <f t="shared" ca="1" si="115"/>
        <v>#VALUE!</v>
      </c>
      <c r="AJ125" t="e">
        <f t="shared" ca="1" si="115"/>
        <v>#VALUE!</v>
      </c>
      <c r="AK125" t="e">
        <f t="shared" ca="1" si="115"/>
        <v>#VALUE!</v>
      </c>
      <c r="AL125" t="e">
        <f t="shared" ca="1" si="115"/>
        <v>#VALUE!</v>
      </c>
      <c r="AM125" t="e">
        <f t="shared" ca="1" si="115"/>
        <v>#VALUE!</v>
      </c>
      <c r="AN125" t="e">
        <f t="shared" ca="1" si="115"/>
        <v>#VALUE!</v>
      </c>
      <c r="AO125" t="e">
        <f t="shared" ca="1" si="115"/>
        <v>#VALUE!</v>
      </c>
      <c r="AP125" t="e">
        <f t="shared" ca="1" si="115"/>
        <v>#VALUE!</v>
      </c>
    </row>
    <row r="126" spans="1:42">
      <c r="A126" s="48" t="str">
        <f>'[4]TS BYDem'!A56</f>
        <v>*</v>
      </c>
      <c r="B126" t="s">
        <v>288</v>
      </c>
      <c r="C126" t="s">
        <v>137</v>
      </c>
      <c r="D126" s="3" t="str">
        <f>'[4]TS BYDem'!D56</f>
        <v>IISH</v>
      </c>
      <c r="E126" t="s">
        <v>137</v>
      </c>
      <c r="F126" t="s">
        <v>137</v>
      </c>
      <c r="G126" t="s">
        <v>137</v>
      </c>
      <c r="H126" t="s">
        <v>137</v>
      </c>
      <c r="I126">
        <v>0</v>
      </c>
      <c r="J126" t="str">
        <f>INDEX('[4]TS BYDem'!$J$10:$J$203,MATCH(D126,'[4]TS BYDem'!$D$10:$D$203,0))</f>
        <v/>
      </c>
      <c r="K126" t="e">
        <f t="shared" ca="1" si="114"/>
        <v>#VALUE!</v>
      </c>
      <c r="L126" t="e">
        <f t="shared" ca="1" si="114"/>
        <v>#VALUE!</v>
      </c>
      <c r="M126" t="e">
        <f t="shared" ca="1" si="114"/>
        <v>#VALUE!</v>
      </c>
      <c r="N126" t="e">
        <f t="shared" ca="1" si="114"/>
        <v>#VALUE!</v>
      </c>
      <c r="O126" t="e">
        <f t="shared" ca="1" si="114"/>
        <v>#VALUE!</v>
      </c>
      <c r="P126" t="e">
        <f t="shared" ca="1" si="114"/>
        <v>#VALUE!</v>
      </c>
      <c r="Q126" t="e">
        <f t="shared" ca="1" si="114"/>
        <v>#VALUE!</v>
      </c>
      <c r="R126" t="e">
        <f t="shared" ca="1" si="114"/>
        <v>#VALUE!</v>
      </c>
      <c r="S126" t="e">
        <f t="shared" ca="1" si="114"/>
        <v>#VALUE!</v>
      </c>
      <c r="T126" t="e">
        <f t="shared" ca="1" si="114"/>
        <v>#VALUE!</v>
      </c>
      <c r="U126" t="e">
        <f t="shared" ca="1" si="114"/>
        <v>#VALUE!</v>
      </c>
      <c r="V126" t="e">
        <f t="shared" ca="1" si="114"/>
        <v>#VALUE!</v>
      </c>
      <c r="W126" t="e">
        <f t="shared" ca="1" si="114"/>
        <v>#VALUE!</v>
      </c>
      <c r="X126" t="e">
        <f t="shared" ca="1" si="114"/>
        <v>#VALUE!</v>
      </c>
      <c r="Y126" t="e">
        <f t="shared" ca="1" si="114"/>
        <v>#VALUE!</v>
      </c>
      <c r="Z126" t="e">
        <f t="shared" ca="1" si="114"/>
        <v>#VALUE!</v>
      </c>
      <c r="AA126" t="e">
        <f t="shared" ca="1" si="115"/>
        <v>#VALUE!</v>
      </c>
      <c r="AB126" t="e">
        <f t="shared" ca="1" si="115"/>
        <v>#VALUE!</v>
      </c>
      <c r="AC126" t="e">
        <f t="shared" ca="1" si="115"/>
        <v>#VALUE!</v>
      </c>
      <c r="AD126" t="e">
        <f t="shared" ca="1" si="115"/>
        <v>#VALUE!</v>
      </c>
      <c r="AE126" t="e">
        <f t="shared" ca="1" si="115"/>
        <v>#VALUE!</v>
      </c>
      <c r="AF126" t="e">
        <f t="shared" ca="1" si="115"/>
        <v>#VALUE!</v>
      </c>
      <c r="AG126" t="e">
        <f t="shared" ca="1" si="115"/>
        <v>#VALUE!</v>
      </c>
      <c r="AH126" t="e">
        <f t="shared" ca="1" si="115"/>
        <v>#VALUE!</v>
      </c>
      <c r="AI126" t="e">
        <f t="shared" ca="1" si="115"/>
        <v>#VALUE!</v>
      </c>
      <c r="AJ126" t="e">
        <f t="shared" ca="1" si="115"/>
        <v>#VALUE!</v>
      </c>
      <c r="AK126" t="e">
        <f t="shared" ca="1" si="115"/>
        <v>#VALUE!</v>
      </c>
      <c r="AL126" t="e">
        <f t="shared" ca="1" si="115"/>
        <v>#VALUE!</v>
      </c>
      <c r="AM126" t="e">
        <f t="shared" ca="1" si="115"/>
        <v>#VALUE!</v>
      </c>
      <c r="AN126" t="e">
        <f t="shared" ca="1" si="115"/>
        <v>#VALUE!</v>
      </c>
      <c r="AO126" t="e">
        <f t="shared" ca="1" si="115"/>
        <v>#VALUE!</v>
      </c>
      <c r="AP126" t="e">
        <f t="shared" ca="1" si="115"/>
        <v>#VALUE!</v>
      </c>
    </row>
    <row r="127" spans="1:42">
      <c r="A127" s="48" t="str">
        <f>'[4]TS BYDem'!A57</f>
        <v>*</v>
      </c>
      <c r="B127" t="s">
        <v>288</v>
      </c>
      <c r="C127" t="s">
        <v>137</v>
      </c>
      <c r="D127" s="3" t="str">
        <f>'[4]TS BYDem'!D57</f>
        <v>IISP</v>
      </c>
      <c r="E127" t="s">
        <v>137</v>
      </c>
      <c r="F127" t="s">
        <v>137</v>
      </c>
      <c r="G127" t="s">
        <v>137</v>
      </c>
      <c r="H127" t="s">
        <v>137</v>
      </c>
      <c r="I127">
        <v>0</v>
      </c>
      <c r="J127" t="str">
        <f>INDEX('[4]TS BYDem'!$J$10:$J$203,MATCH(D127,'[4]TS BYDem'!$D$10:$D$203,0))</f>
        <v/>
      </c>
      <c r="K127" t="e">
        <f t="shared" ca="1" si="114"/>
        <v>#VALUE!</v>
      </c>
      <c r="L127" t="e">
        <f t="shared" ca="1" si="114"/>
        <v>#VALUE!</v>
      </c>
      <c r="M127" t="e">
        <f t="shared" ca="1" si="114"/>
        <v>#VALUE!</v>
      </c>
      <c r="N127" t="e">
        <f t="shared" ca="1" si="114"/>
        <v>#VALUE!</v>
      </c>
      <c r="O127" t="e">
        <f t="shared" ca="1" si="114"/>
        <v>#VALUE!</v>
      </c>
      <c r="P127" t="e">
        <f t="shared" ca="1" si="114"/>
        <v>#VALUE!</v>
      </c>
      <c r="Q127" t="e">
        <f t="shared" ca="1" si="114"/>
        <v>#VALUE!</v>
      </c>
      <c r="R127" t="e">
        <f t="shared" ca="1" si="114"/>
        <v>#VALUE!</v>
      </c>
      <c r="S127" t="e">
        <f t="shared" ca="1" si="114"/>
        <v>#VALUE!</v>
      </c>
      <c r="T127" t="e">
        <f t="shared" ca="1" si="114"/>
        <v>#VALUE!</v>
      </c>
      <c r="U127" t="e">
        <f t="shared" ca="1" si="114"/>
        <v>#VALUE!</v>
      </c>
      <c r="V127" t="e">
        <f t="shared" ca="1" si="114"/>
        <v>#VALUE!</v>
      </c>
      <c r="W127" t="e">
        <f t="shared" ca="1" si="114"/>
        <v>#VALUE!</v>
      </c>
      <c r="X127" t="e">
        <f t="shared" ca="1" si="114"/>
        <v>#VALUE!</v>
      </c>
      <c r="Y127" t="e">
        <f t="shared" ca="1" si="114"/>
        <v>#VALUE!</v>
      </c>
      <c r="Z127" t="e">
        <f t="shared" ca="1" si="114"/>
        <v>#VALUE!</v>
      </c>
      <c r="AA127" t="e">
        <f t="shared" ca="1" si="115"/>
        <v>#VALUE!</v>
      </c>
      <c r="AB127" t="e">
        <f t="shared" ca="1" si="115"/>
        <v>#VALUE!</v>
      </c>
      <c r="AC127" t="e">
        <f t="shared" ca="1" si="115"/>
        <v>#VALUE!</v>
      </c>
      <c r="AD127" t="e">
        <f t="shared" ca="1" si="115"/>
        <v>#VALUE!</v>
      </c>
      <c r="AE127" t="e">
        <f t="shared" ca="1" si="115"/>
        <v>#VALUE!</v>
      </c>
      <c r="AF127" t="e">
        <f t="shared" ca="1" si="115"/>
        <v>#VALUE!</v>
      </c>
      <c r="AG127" t="e">
        <f t="shared" ca="1" si="115"/>
        <v>#VALUE!</v>
      </c>
      <c r="AH127" t="e">
        <f t="shared" ca="1" si="115"/>
        <v>#VALUE!</v>
      </c>
      <c r="AI127" t="e">
        <f t="shared" ca="1" si="115"/>
        <v>#VALUE!</v>
      </c>
      <c r="AJ127" t="e">
        <f t="shared" ca="1" si="115"/>
        <v>#VALUE!</v>
      </c>
      <c r="AK127" t="e">
        <f t="shared" ca="1" si="115"/>
        <v>#VALUE!</v>
      </c>
      <c r="AL127" t="e">
        <f t="shared" ca="1" si="115"/>
        <v>#VALUE!</v>
      </c>
      <c r="AM127" t="e">
        <f t="shared" ca="1" si="115"/>
        <v>#VALUE!</v>
      </c>
      <c r="AN127" t="e">
        <f t="shared" ca="1" si="115"/>
        <v>#VALUE!</v>
      </c>
      <c r="AO127" t="e">
        <f t="shared" ca="1" si="115"/>
        <v>#VALUE!</v>
      </c>
      <c r="AP127" t="e">
        <f t="shared" ca="1" si="115"/>
        <v>#VALUE!</v>
      </c>
    </row>
    <row r="128" spans="1:42">
      <c r="A128" s="48" t="str">
        <f>'[4]TS BYDem'!A58</f>
        <v>*</v>
      </c>
      <c r="B128" t="s">
        <v>288</v>
      </c>
      <c r="C128" t="s">
        <v>137</v>
      </c>
      <c r="D128" s="3" t="str">
        <f>'[4]TS BYDem'!D58</f>
        <v>IISF</v>
      </c>
      <c r="E128" t="s">
        <v>137</v>
      </c>
      <c r="F128" t="s">
        <v>137</v>
      </c>
      <c r="G128" t="s">
        <v>137</v>
      </c>
      <c r="H128" t="s">
        <v>137</v>
      </c>
      <c r="I128">
        <v>0</v>
      </c>
      <c r="J128" t="str">
        <f>INDEX('[4]TS BYDem'!$J$10:$J$203,MATCH(D128,'[4]TS BYDem'!$D$10:$D$203,0))</f>
        <v/>
      </c>
      <c r="K128" t="e">
        <f t="shared" ca="1" si="114"/>
        <v>#VALUE!</v>
      </c>
      <c r="L128" t="e">
        <f t="shared" ca="1" si="114"/>
        <v>#VALUE!</v>
      </c>
      <c r="M128" t="e">
        <f t="shared" ca="1" si="114"/>
        <v>#VALUE!</v>
      </c>
      <c r="N128" t="e">
        <f t="shared" ca="1" si="114"/>
        <v>#VALUE!</v>
      </c>
      <c r="O128" t="e">
        <f t="shared" ca="1" si="114"/>
        <v>#VALUE!</v>
      </c>
      <c r="P128" t="e">
        <f t="shared" ca="1" si="114"/>
        <v>#VALUE!</v>
      </c>
      <c r="Q128" t="e">
        <f t="shared" ca="1" si="114"/>
        <v>#VALUE!</v>
      </c>
      <c r="R128" t="e">
        <f t="shared" ca="1" si="114"/>
        <v>#VALUE!</v>
      </c>
      <c r="S128" t="e">
        <f t="shared" ca="1" si="114"/>
        <v>#VALUE!</v>
      </c>
      <c r="T128" t="e">
        <f t="shared" ca="1" si="114"/>
        <v>#VALUE!</v>
      </c>
      <c r="U128" t="e">
        <f t="shared" ca="1" si="114"/>
        <v>#VALUE!</v>
      </c>
      <c r="V128" t="e">
        <f t="shared" ca="1" si="114"/>
        <v>#VALUE!</v>
      </c>
      <c r="W128" t="e">
        <f t="shared" ca="1" si="114"/>
        <v>#VALUE!</v>
      </c>
      <c r="X128" t="e">
        <f t="shared" ca="1" si="114"/>
        <v>#VALUE!</v>
      </c>
      <c r="Y128" t="e">
        <f t="shared" ca="1" si="114"/>
        <v>#VALUE!</v>
      </c>
      <c r="Z128" t="e">
        <f t="shared" ca="1" si="114"/>
        <v>#VALUE!</v>
      </c>
      <c r="AA128" t="e">
        <f t="shared" ca="1" si="115"/>
        <v>#VALUE!</v>
      </c>
      <c r="AB128" t="e">
        <f t="shared" ca="1" si="115"/>
        <v>#VALUE!</v>
      </c>
      <c r="AC128" t="e">
        <f t="shared" ca="1" si="115"/>
        <v>#VALUE!</v>
      </c>
      <c r="AD128" t="e">
        <f t="shared" ca="1" si="115"/>
        <v>#VALUE!</v>
      </c>
      <c r="AE128" t="e">
        <f t="shared" ca="1" si="115"/>
        <v>#VALUE!</v>
      </c>
      <c r="AF128" t="e">
        <f t="shared" ca="1" si="115"/>
        <v>#VALUE!</v>
      </c>
      <c r="AG128" t="e">
        <f t="shared" ca="1" si="115"/>
        <v>#VALUE!</v>
      </c>
      <c r="AH128" t="e">
        <f t="shared" ca="1" si="115"/>
        <v>#VALUE!</v>
      </c>
      <c r="AI128" t="e">
        <f t="shared" ca="1" si="115"/>
        <v>#VALUE!</v>
      </c>
      <c r="AJ128" t="e">
        <f t="shared" ca="1" si="115"/>
        <v>#VALUE!</v>
      </c>
      <c r="AK128" t="e">
        <f t="shared" ca="1" si="115"/>
        <v>#VALUE!</v>
      </c>
      <c r="AL128" t="e">
        <f t="shared" ca="1" si="115"/>
        <v>#VALUE!</v>
      </c>
      <c r="AM128" t="e">
        <f t="shared" ca="1" si="115"/>
        <v>#VALUE!</v>
      </c>
      <c r="AN128" t="e">
        <f t="shared" ca="1" si="115"/>
        <v>#VALUE!</v>
      </c>
      <c r="AO128" t="e">
        <f t="shared" ca="1" si="115"/>
        <v>#VALUE!</v>
      </c>
      <c r="AP128" t="e">
        <f t="shared" ca="1" si="115"/>
        <v>#VALUE!</v>
      </c>
    </row>
    <row r="129" spans="1:42">
      <c r="A129" s="48" t="str">
        <f>'[4]TS BYDem'!A59</f>
        <v>*</v>
      </c>
      <c r="B129" t="s">
        <v>288</v>
      </c>
      <c r="C129" t="s">
        <v>137</v>
      </c>
      <c r="D129" s="3" t="str">
        <f>'[4]TS BYDem'!D59</f>
        <v>IISO</v>
      </c>
      <c r="E129" t="s">
        <v>137</v>
      </c>
      <c r="F129" t="s">
        <v>137</v>
      </c>
      <c r="G129" t="s">
        <v>137</v>
      </c>
      <c r="H129" t="s">
        <v>137</v>
      </c>
      <c r="I129">
        <v>0</v>
      </c>
      <c r="J129" t="str">
        <f>INDEX('[4]TS BYDem'!$J$10:$J$203,MATCH(D129,'[4]TS BYDem'!$D$10:$D$203,0))</f>
        <v/>
      </c>
      <c r="K129" t="e">
        <f t="shared" ca="1" si="114"/>
        <v>#VALUE!</v>
      </c>
      <c r="L129" t="e">
        <f t="shared" ca="1" si="114"/>
        <v>#VALUE!</v>
      </c>
      <c r="M129" t="e">
        <f t="shared" ca="1" si="114"/>
        <v>#VALUE!</v>
      </c>
      <c r="N129" t="e">
        <f t="shared" ca="1" si="114"/>
        <v>#VALUE!</v>
      </c>
      <c r="O129" t="e">
        <f t="shared" ca="1" si="114"/>
        <v>#VALUE!</v>
      </c>
      <c r="P129" t="e">
        <f t="shared" ca="1" si="114"/>
        <v>#VALUE!</v>
      </c>
      <c r="Q129" t="e">
        <f t="shared" ca="1" si="114"/>
        <v>#VALUE!</v>
      </c>
      <c r="R129" t="e">
        <f t="shared" ca="1" si="114"/>
        <v>#VALUE!</v>
      </c>
      <c r="S129" t="e">
        <f t="shared" ca="1" si="114"/>
        <v>#VALUE!</v>
      </c>
      <c r="T129" t="e">
        <f t="shared" ca="1" si="114"/>
        <v>#VALUE!</v>
      </c>
      <c r="U129" t="e">
        <f t="shared" ca="1" si="114"/>
        <v>#VALUE!</v>
      </c>
      <c r="V129" t="e">
        <f t="shared" ca="1" si="114"/>
        <v>#VALUE!</v>
      </c>
      <c r="W129" t="e">
        <f t="shared" ca="1" si="114"/>
        <v>#VALUE!</v>
      </c>
      <c r="X129" t="e">
        <f t="shared" ca="1" si="114"/>
        <v>#VALUE!</v>
      </c>
      <c r="Y129" t="e">
        <f t="shared" ca="1" si="114"/>
        <v>#VALUE!</v>
      </c>
      <c r="Z129" t="e">
        <f t="shared" ca="1" si="114"/>
        <v>#VALUE!</v>
      </c>
      <c r="AA129" t="e">
        <f t="shared" ca="1" si="115"/>
        <v>#VALUE!</v>
      </c>
      <c r="AB129" t="e">
        <f t="shared" ca="1" si="115"/>
        <v>#VALUE!</v>
      </c>
      <c r="AC129" t="e">
        <f t="shared" ca="1" si="115"/>
        <v>#VALUE!</v>
      </c>
      <c r="AD129" t="e">
        <f t="shared" ca="1" si="115"/>
        <v>#VALUE!</v>
      </c>
      <c r="AE129" t="e">
        <f t="shared" ca="1" si="115"/>
        <v>#VALUE!</v>
      </c>
      <c r="AF129" t="e">
        <f t="shared" ca="1" si="115"/>
        <v>#VALUE!</v>
      </c>
      <c r="AG129" t="e">
        <f t="shared" ca="1" si="115"/>
        <v>#VALUE!</v>
      </c>
      <c r="AH129" t="e">
        <f t="shared" ca="1" si="115"/>
        <v>#VALUE!</v>
      </c>
      <c r="AI129" t="e">
        <f t="shared" ca="1" si="115"/>
        <v>#VALUE!</v>
      </c>
      <c r="AJ129" t="e">
        <f t="shared" ca="1" si="115"/>
        <v>#VALUE!</v>
      </c>
      <c r="AK129" t="e">
        <f t="shared" ca="1" si="115"/>
        <v>#VALUE!</v>
      </c>
      <c r="AL129" t="e">
        <f t="shared" ca="1" si="115"/>
        <v>#VALUE!</v>
      </c>
      <c r="AM129" t="e">
        <f t="shared" ca="1" si="115"/>
        <v>#VALUE!</v>
      </c>
      <c r="AN129" t="e">
        <f t="shared" ca="1" si="115"/>
        <v>#VALUE!</v>
      </c>
      <c r="AO129" t="e">
        <f t="shared" ca="1" si="115"/>
        <v>#VALUE!</v>
      </c>
      <c r="AP129" t="e">
        <f t="shared" ca="1" si="115"/>
        <v>#VALUE!</v>
      </c>
    </row>
    <row r="130" spans="1:42">
      <c r="A130" s="48" t="str">
        <f>'[4]TS BYDem'!A60</f>
        <v>*</v>
      </c>
      <c r="B130" t="s">
        <v>288</v>
      </c>
      <c r="C130" t="s">
        <v>137</v>
      </c>
      <c r="D130" s="3" t="str">
        <f>'[4]TS BYDem'!D60</f>
        <v>IISE</v>
      </c>
      <c r="E130" t="s">
        <v>137</v>
      </c>
      <c r="F130" t="s">
        <v>137</v>
      </c>
      <c r="G130" t="s">
        <v>137</v>
      </c>
      <c r="H130" t="s">
        <v>137</v>
      </c>
      <c r="I130">
        <v>0</v>
      </c>
      <c r="J130" t="str">
        <f>INDEX('[4]TS BYDem'!$J$10:$J$203,MATCH(D130,'[4]TS BYDem'!$D$10:$D$203,0))</f>
        <v/>
      </c>
      <c r="K130" t="e">
        <f t="shared" ca="1" si="114"/>
        <v>#VALUE!</v>
      </c>
      <c r="L130" t="e">
        <f t="shared" ca="1" si="114"/>
        <v>#VALUE!</v>
      </c>
      <c r="M130" t="e">
        <f t="shared" ca="1" si="114"/>
        <v>#VALUE!</v>
      </c>
      <c r="N130" t="e">
        <f t="shared" ca="1" si="114"/>
        <v>#VALUE!</v>
      </c>
      <c r="O130" t="e">
        <f t="shared" ca="1" si="114"/>
        <v>#VALUE!</v>
      </c>
      <c r="P130" t="e">
        <f t="shared" ca="1" si="114"/>
        <v>#VALUE!</v>
      </c>
      <c r="Q130" t="e">
        <f t="shared" ca="1" si="114"/>
        <v>#VALUE!</v>
      </c>
      <c r="R130" t="e">
        <f t="shared" ca="1" si="114"/>
        <v>#VALUE!</v>
      </c>
      <c r="S130" t="e">
        <f t="shared" ca="1" si="114"/>
        <v>#VALUE!</v>
      </c>
      <c r="T130" t="e">
        <f t="shared" ca="1" si="114"/>
        <v>#VALUE!</v>
      </c>
      <c r="U130" t="e">
        <f t="shared" ca="1" si="114"/>
        <v>#VALUE!</v>
      </c>
      <c r="V130" t="e">
        <f t="shared" ca="1" si="114"/>
        <v>#VALUE!</v>
      </c>
      <c r="W130" t="e">
        <f t="shared" ca="1" si="114"/>
        <v>#VALUE!</v>
      </c>
      <c r="X130" t="e">
        <f t="shared" ca="1" si="114"/>
        <v>#VALUE!</v>
      </c>
      <c r="Y130" t="e">
        <f t="shared" ca="1" si="114"/>
        <v>#VALUE!</v>
      </c>
      <c r="Z130" t="e">
        <f t="shared" ca="1" si="114"/>
        <v>#VALUE!</v>
      </c>
      <c r="AA130" t="e">
        <f t="shared" ca="1" si="115"/>
        <v>#VALUE!</v>
      </c>
      <c r="AB130" t="e">
        <f t="shared" ca="1" si="115"/>
        <v>#VALUE!</v>
      </c>
      <c r="AC130" t="e">
        <f t="shared" ca="1" si="115"/>
        <v>#VALUE!</v>
      </c>
      <c r="AD130" t="e">
        <f t="shared" ca="1" si="115"/>
        <v>#VALUE!</v>
      </c>
      <c r="AE130" t="e">
        <f t="shared" ca="1" si="115"/>
        <v>#VALUE!</v>
      </c>
      <c r="AF130" t="e">
        <f t="shared" ca="1" si="115"/>
        <v>#VALUE!</v>
      </c>
      <c r="AG130" t="e">
        <f t="shared" ca="1" si="115"/>
        <v>#VALUE!</v>
      </c>
      <c r="AH130" t="e">
        <f t="shared" ca="1" si="115"/>
        <v>#VALUE!</v>
      </c>
      <c r="AI130" t="e">
        <f t="shared" ca="1" si="115"/>
        <v>#VALUE!</v>
      </c>
      <c r="AJ130" t="e">
        <f t="shared" ca="1" si="115"/>
        <v>#VALUE!</v>
      </c>
      <c r="AK130" t="e">
        <f t="shared" ca="1" si="115"/>
        <v>#VALUE!</v>
      </c>
      <c r="AL130" t="e">
        <f t="shared" ca="1" si="115"/>
        <v>#VALUE!</v>
      </c>
      <c r="AM130" t="e">
        <f t="shared" ca="1" si="115"/>
        <v>#VALUE!</v>
      </c>
      <c r="AN130" t="e">
        <f t="shared" ca="1" si="115"/>
        <v>#VALUE!</v>
      </c>
      <c r="AO130" t="e">
        <f t="shared" ca="1" si="115"/>
        <v>#VALUE!</v>
      </c>
      <c r="AP130" t="e">
        <f t="shared" ca="1" si="115"/>
        <v>#VALUE!</v>
      </c>
    </row>
    <row r="131" spans="1:42">
      <c r="A131" s="48" t="str">
        <f>'[4]TS BYDem'!A61</f>
        <v>*</v>
      </c>
      <c r="B131" t="s">
        <v>288</v>
      </c>
      <c r="C131" t="s">
        <v>137</v>
      </c>
      <c r="D131" s="3" t="str">
        <f>'[4]TS BYDem'!D61</f>
        <v xml:space="preserve"> </v>
      </c>
      <c r="E131" t="s">
        <v>137</v>
      </c>
      <c r="F131" t="s">
        <v>137</v>
      </c>
      <c r="G131" t="s">
        <v>137</v>
      </c>
      <c r="H131" t="s">
        <v>137</v>
      </c>
      <c r="I131">
        <v>0</v>
      </c>
      <c r="J131" t="str">
        <f>INDEX('[4]TS BYDem'!$J$10:$J$203,MATCH(D131,'[4]TS BYDem'!$D$10:$D$203,0))</f>
        <v/>
      </c>
      <c r="K131" t="e">
        <f t="shared" ca="1" si="114"/>
        <v>#VALUE!</v>
      </c>
      <c r="L131" t="e">
        <f t="shared" ca="1" si="114"/>
        <v>#VALUE!</v>
      </c>
      <c r="M131" t="e">
        <f t="shared" ca="1" si="114"/>
        <v>#VALUE!</v>
      </c>
      <c r="N131" t="e">
        <f t="shared" ca="1" si="114"/>
        <v>#VALUE!</v>
      </c>
      <c r="O131" t="e">
        <f t="shared" ca="1" si="114"/>
        <v>#VALUE!</v>
      </c>
      <c r="P131" t="e">
        <f t="shared" ca="1" si="114"/>
        <v>#VALUE!</v>
      </c>
      <c r="Q131" t="e">
        <f t="shared" ca="1" si="114"/>
        <v>#VALUE!</v>
      </c>
      <c r="R131" t="e">
        <f t="shared" ca="1" si="114"/>
        <v>#VALUE!</v>
      </c>
      <c r="S131" t="e">
        <f t="shared" ca="1" si="114"/>
        <v>#VALUE!</v>
      </c>
      <c r="T131" t="e">
        <f t="shared" ca="1" si="114"/>
        <v>#VALUE!</v>
      </c>
      <c r="U131" t="e">
        <f t="shared" ca="1" si="114"/>
        <v>#VALUE!</v>
      </c>
      <c r="V131" t="e">
        <f t="shared" ca="1" si="114"/>
        <v>#VALUE!</v>
      </c>
      <c r="W131" t="e">
        <f t="shared" ca="1" si="114"/>
        <v>#VALUE!</v>
      </c>
      <c r="X131" t="e">
        <f t="shared" ca="1" si="114"/>
        <v>#VALUE!</v>
      </c>
      <c r="Y131" t="e">
        <f t="shared" ca="1" si="114"/>
        <v>#VALUE!</v>
      </c>
      <c r="Z131" t="e">
        <f t="shared" ca="1" si="114"/>
        <v>#VALUE!</v>
      </c>
      <c r="AA131" t="e">
        <f t="shared" ca="1" si="115"/>
        <v>#VALUE!</v>
      </c>
      <c r="AB131" t="e">
        <f t="shared" ca="1" si="115"/>
        <v>#VALUE!</v>
      </c>
      <c r="AC131" t="e">
        <f t="shared" ca="1" si="115"/>
        <v>#VALUE!</v>
      </c>
      <c r="AD131" t="e">
        <f t="shared" ca="1" si="115"/>
        <v>#VALUE!</v>
      </c>
      <c r="AE131" t="e">
        <f t="shared" ca="1" si="115"/>
        <v>#VALUE!</v>
      </c>
      <c r="AF131" t="e">
        <f t="shared" ca="1" si="115"/>
        <v>#VALUE!</v>
      </c>
      <c r="AG131" t="e">
        <f t="shared" ca="1" si="115"/>
        <v>#VALUE!</v>
      </c>
      <c r="AH131" t="e">
        <f t="shared" ca="1" si="115"/>
        <v>#VALUE!</v>
      </c>
      <c r="AI131" t="e">
        <f t="shared" ca="1" si="115"/>
        <v>#VALUE!</v>
      </c>
      <c r="AJ131" t="e">
        <f t="shared" ca="1" si="115"/>
        <v>#VALUE!</v>
      </c>
      <c r="AK131" t="e">
        <f t="shared" ca="1" si="115"/>
        <v>#VALUE!</v>
      </c>
      <c r="AL131" t="e">
        <f t="shared" ca="1" si="115"/>
        <v>#VALUE!</v>
      </c>
      <c r="AM131" t="e">
        <f t="shared" ca="1" si="115"/>
        <v>#VALUE!</v>
      </c>
      <c r="AN131" t="e">
        <f t="shared" ca="1" si="115"/>
        <v>#VALUE!</v>
      </c>
      <c r="AO131" t="e">
        <f t="shared" ca="1" si="115"/>
        <v>#VALUE!</v>
      </c>
      <c r="AP131" t="e">
        <f t="shared" ca="1" si="115"/>
        <v>#VALUE!</v>
      </c>
    </row>
    <row r="132" spans="1:42">
      <c r="A132" s="48" t="str">
        <f>'[4]TS BYDem'!A62</f>
        <v>*</v>
      </c>
      <c r="B132" t="s">
        <v>288</v>
      </c>
      <c r="C132" t="s">
        <v>137</v>
      </c>
      <c r="D132" s="3" t="str">
        <f>'[4]TS BYDem'!D62</f>
        <v>IISS</v>
      </c>
      <c r="E132" t="s">
        <v>137</v>
      </c>
      <c r="F132" t="s">
        <v>137</v>
      </c>
      <c r="G132" t="s">
        <v>137</v>
      </c>
      <c r="H132" t="s">
        <v>137</v>
      </c>
      <c r="I132">
        <v>0</v>
      </c>
      <c r="J132" t="str">
        <f>INDEX('[4]TS BYDem'!$J$10:$J$203,MATCH(D132,'[4]TS BYDem'!$D$10:$D$203,0))</f>
        <v/>
      </c>
      <c r="K132" t="e">
        <f t="shared" ca="1" si="114"/>
        <v>#VALUE!</v>
      </c>
      <c r="L132" t="e">
        <f t="shared" ca="1" si="114"/>
        <v>#VALUE!</v>
      </c>
      <c r="M132" t="e">
        <f t="shared" ca="1" si="114"/>
        <v>#VALUE!</v>
      </c>
      <c r="N132" t="e">
        <f t="shared" ca="1" si="114"/>
        <v>#VALUE!</v>
      </c>
      <c r="O132" t="e">
        <f t="shared" ca="1" si="114"/>
        <v>#VALUE!</v>
      </c>
      <c r="P132" t="e">
        <f t="shared" ca="1" si="114"/>
        <v>#VALUE!</v>
      </c>
      <c r="Q132" t="e">
        <f t="shared" ca="1" si="114"/>
        <v>#VALUE!</v>
      </c>
      <c r="R132" t="e">
        <f t="shared" ca="1" si="114"/>
        <v>#VALUE!</v>
      </c>
      <c r="S132" t="e">
        <f t="shared" ca="1" si="114"/>
        <v>#VALUE!</v>
      </c>
      <c r="T132" t="e">
        <f t="shared" ca="1" si="114"/>
        <v>#VALUE!</v>
      </c>
      <c r="U132" t="e">
        <f t="shared" ca="1" si="114"/>
        <v>#VALUE!</v>
      </c>
      <c r="V132" t="e">
        <f t="shared" ca="1" si="114"/>
        <v>#VALUE!</v>
      </c>
      <c r="W132" t="e">
        <f t="shared" ca="1" si="114"/>
        <v>#VALUE!</v>
      </c>
      <c r="X132" t="e">
        <f t="shared" ca="1" si="114"/>
        <v>#VALUE!</v>
      </c>
      <c r="Y132" t="e">
        <f t="shared" ca="1" si="114"/>
        <v>#VALUE!</v>
      </c>
      <c r="Z132" t="e">
        <f t="shared" ca="1" si="114"/>
        <v>#VALUE!</v>
      </c>
      <c r="AA132" t="e">
        <f t="shared" ca="1" si="115"/>
        <v>#VALUE!</v>
      </c>
      <c r="AB132" t="e">
        <f t="shared" ca="1" si="115"/>
        <v>#VALUE!</v>
      </c>
      <c r="AC132" t="e">
        <f t="shared" ca="1" si="115"/>
        <v>#VALUE!</v>
      </c>
      <c r="AD132" t="e">
        <f t="shared" ca="1" si="115"/>
        <v>#VALUE!</v>
      </c>
      <c r="AE132" t="e">
        <f t="shared" ca="1" si="115"/>
        <v>#VALUE!</v>
      </c>
      <c r="AF132" t="e">
        <f t="shared" ca="1" si="115"/>
        <v>#VALUE!</v>
      </c>
      <c r="AG132" t="e">
        <f t="shared" ca="1" si="115"/>
        <v>#VALUE!</v>
      </c>
      <c r="AH132" t="e">
        <f t="shared" ca="1" si="115"/>
        <v>#VALUE!</v>
      </c>
      <c r="AI132" t="e">
        <f t="shared" ca="1" si="115"/>
        <v>#VALUE!</v>
      </c>
      <c r="AJ132" t="e">
        <f t="shared" ca="1" si="115"/>
        <v>#VALUE!</v>
      </c>
      <c r="AK132" t="e">
        <f t="shared" ca="1" si="115"/>
        <v>#VALUE!</v>
      </c>
      <c r="AL132" t="e">
        <f t="shared" ca="1" si="115"/>
        <v>#VALUE!</v>
      </c>
      <c r="AM132" t="e">
        <f t="shared" ca="1" si="115"/>
        <v>#VALUE!</v>
      </c>
      <c r="AN132" t="e">
        <f t="shared" ca="1" si="115"/>
        <v>#VALUE!</v>
      </c>
      <c r="AO132" t="e">
        <f t="shared" ca="1" si="115"/>
        <v>#VALUE!</v>
      </c>
      <c r="AP132" t="e">
        <f t="shared" ca="1" si="115"/>
        <v>#VALUE!</v>
      </c>
    </row>
    <row r="133" spans="1:42">
      <c r="A133" s="48" t="str">
        <f>'[4]TS BYDem'!A63</f>
        <v>*</v>
      </c>
      <c r="B133" t="s">
        <v>288</v>
      </c>
      <c r="C133" t="s">
        <v>137</v>
      </c>
      <c r="D133" s="3" t="str">
        <f>'[4]TS BYDem'!D63</f>
        <v>IISS</v>
      </c>
      <c r="E133" t="s">
        <v>137</v>
      </c>
      <c r="F133" t="s">
        <v>137</v>
      </c>
      <c r="G133" t="s">
        <v>137</v>
      </c>
      <c r="H133" t="s">
        <v>137</v>
      </c>
      <c r="I133">
        <v>0</v>
      </c>
      <c r="J133" t="str">
        <f>INDEX('[4]TS BYDem'!$J$10:$J$203,MATCH(D133,'[4]TS BYDem'!$D$10:$D$203,0))</f>
        <v/>
      </c>
      <c r="K133" t="e">
        <f t="shared" ca="1" si="114"/>
        <v>#VALUE!</v>
      </c>
      <c r="L133" t="e">
        <f t="shared" ca="1" si="114"/>
        <v>#VALUE!</v>
      </c>
      <c r="M133" t="e">
        <f t="shared" ca="1" si="114"/>
        <v>#VALUE!</v>
      </c>
      <c r="N133" t="e">
        <f t="shared" ca="1" si="114"/>
        <v>#VALUE!</v>
      </c>
      <c r="O133" t="e">
        <f t="shared" ca="1" si="114"/>
        <v>#VALUE!</v>
      </c>
      <c r="P133" t="e">
        <f t="shared" ca="1" si="114"/>
        <v>#VALUE!</v>
      </c>
      <c r="Q133" t="e">
        <f t="shared" ca="1" si="114"/>
        <v>#VALUE!</v>
      </c>
      <c r="R133" t="e">
        <f t="shared" ca="1" si="114"/>
        <v>#VALUE!</v>
      </c>
      <c r="S133" t="e">
        <f t="shared" ca="1" si="114"/>
        <v>#VALUE!</v>
      </c>
      <c r="T133" t="e">
        <f t="shared" ca="1" si="114"/>
        <v>#VALUE!</v>
      </c>
      <c r="U133" t="e">
        <f t="shared" ca="1" si="114"/>
        <v>#VALUE!</v>
      </c>
      <c r="V133" t="e">
        <f t="shared" ca="1" si="114"/>
        <v>#VALUE!</v>
      </c>
      <c r="W133" t="e">
        <f t="shared" ca="1" si="114"/>
        <v>#VALUE!</v>
      </c>
      <c r="X133" t="e">
        <f t="shared" ca="1" si="114"/>
        <v>#VALUE!</v>
      </c>
      <c r="Y133" t="e">
        <f t="shared" ca="1" si="114"/>
        <v>#VALUE!</v>
      </c>
      <c r="Z133" t="e">
        <f t="shared" ca="1" si="114"/>
        <v>#VALUE!</v>
      </c>
      <c r="AA133" t="e">
        <f t="shared" ca="1" si="115"/>
        <v>#VALUE!</v>
      </c>
      <c r="AB133" t="e">
        <f t="shared" ca="1" si="115"/>
        <v>#VALUE!</v>
      </c>
      <c r="AC133" t="e">
        <f t="shared" ca="1" si="115"/>
        <v>#VALUE!</v>
      </c>
      <c r="AD133" t="e">
        <f t="shared" ca="1" si="115"/>
        <v>#VALUE!</v>
      </c>
      <c r="AE133" t="e">
        <f t="shared" ca="1" si="115"/>
        <v>#VALUE!</v>
      </c>
      <c r="AF133" t="e">
        <f t="shared" ca="1" si="115"/>
        <v>#VALUE!</v>
      </c>
      <c r="AG133" t="e">
        <f t="shared" ca="1" si="115"/>
        <v>#VALUE!</v>
      </c>
      <c r="AH133" t="e">
        <f t="shared" ca="1" si="115"/>
        <v>#VALUE!</v>
      </c>
      <c r="AI133" t="e">
        <f t="shared" ca="1" si="115"/>
        <v>#VALUE!</v>
      </c>
      <c r="AJ133" t="e">
        <f t="shared" ca="1" si="115"/>
        <v>#VALUE!</v>
      </c>
      <c r="AK133" t="e">
        <f t="shared" ca="1" si="115"/>
        <v>#VALUE!</v>
      </c>
      <c r="AL133" t="e">
        <f t="shared" ca="1" si="115"/>
        <v>#VALUE!</v>
      </c>
      <c r="AM133" t="e">
        <f t="shared" ca="1" si="115"/>
        <v>#VALUE!</v>
      </c>
      <c r="AN133" t="e">
        <f t="shared" ca="1" si="115"/>
        <v>#VALUE!</v>
      </c>
      <c r="AO133" t="e">
        <f t="shared" ca="1" si="115"/>
        <v>#VALUE!</v>
      </c>
      <c r="AP133" t="e">
        <f t="shared" ca="1" si="115"/>
        <v>#VALUE!</v>
      </c>
    </row>
    <row r="134" spans="1:42">
      <c r="A134" s="48" t="str">
        <f>'[4]TS BYDem'!A64</f>
        <v>*</v>
      </c>
      <c r="B134" t="s">
        <v>288</v>
      </c>
      <c r="C134" t="s">
        <v>137</v>
      </c>
      <c r="D134" s="3" t="str">
        <f>'[4]TS BYDem'!D64</f>
        <v>IISS</v>
      </c>
      <c r="E134" t="s">
        <v>137</v>
      </c>
      <c r="F134" t="s">
        <v>137</v>
      </c>
      <c r="G134" t="s">
        <v>137</v>
      </c>
      <c r="H134" t="s">
        <v>137</v>
      </c>
      <c r="I134">
        <v>0</v>
      </c>
      <c r="J134" t="str">
        <f>INDEX('[4]TS BYDem'!$J$10:$J$203,MATCH(D134,'[4]TS BYDem'!$D$10:$D$203,0))</f>
        <v/>
      </c>
      <c r="K134" t="e">
        <f t="shared" ca="1" si="114"/>
        <v>#VALUE!</v>
      </c>
      <c r="L134" t="e">
        <f t="shared" ca="1" si="114"/>
        <v>#VALUE!</v>
      </c>
      <c r="M134" t="e">
        <f t="shared" ca="1" si="114"/>
        <v>#VALUE!</v>
      </c>
      <c r="N134" t="e">
        <f t="shared" ca="1" si="114"/>
        <v>#VALUE!</v>
      </c>
      <c r="O134" t="e">
        <f t="shared" ca="1" si="114"/>
        <v>#VALUE!</v>
      </c>
      <c r="P134" t="e">
        <f t="shared" ca="1" si="114"/>
        <v>#VALUE!</v>
      </c>
      <c r="Q134" t="e">
        <f t="shared" ca="1" si="114"/>
        <v>#VALUE!</v>
      </c>
      <c r="R134" t="e">
        <f t="shared" ca="1" si="114"/>
        <v>#VALUE!</v>
      </c>
      <c r="S134" t="e">
        <f t="shared" ca="1" si="114"/>
        <v>#VALUE!</v>
      </c>
      <c r="T134" t="e">
        <f t="shared" ca="1" si="114"/>
        <v>#VALUE!</v>
      </c>
      <c r="U134" t="e">
        <f t="shared" ca="1" si="114"/>
        <v>#VALUE!</v>
      </c>
      <c r="V134" t="e">
        <f t="shared" ca="1" si="114"/>
        <v>#VALUE!</v>
      </c>
      <c r="W134" t="e">
        <f t="shared" ca="1" si="114"/>
        <v>#VALUE!</v>
      </c>
      <c r="X134" t="e">
        <f t="shared" ca="1" si="114"/>
        <v>#VALUE!</v>
      </c>
      <c r="Y134" t="e">
        <f t="shared" ca="1" si="114"/>
        <v>#VALUE!</v>
      </c>
      <c r="Z134" t="e">
        <f t="shared" ca="1" si="114"/>
        <v>#VALUE!</v>
      </c>
      <c r="AA134" t="e">
        <f t="shared" ca="1" si="115"/>
        <v>#VALUE!</v>
      </c>
      <c r="AB134" t="e">
        <f t="shared" ca="1" si="115"/>
        <v>#VALUE!</v>
      </c>
      <c r="AC134" t="e">
        <f t="shared" ca="1" si="115"/>
        <v>#VALUE!</v>
      </c>
      <c r="AD134" t="e">
        <f t="shared" ca="1" si="115"/>
        <v>#VALUE!</v>
      </c>
      <c r="AE134" t="e">
        <f t="shared" ca="1" si="115"/>
        <v>#VALUE!</v>
      </c>
      <c r="AF134" t="e">
        <f t="shared" ca="1" si="115"/>
        <v>#VALUE!</v>
      </c>
      <c r="AG134" t="e">
        <f t="shared" ca="1" si="115"/>
        <v>#VALUE!</v>
      </c>
      <c r="AH134" t="e">
        <f t="shared" ca="1" si="115"/>
        <v>#VALUE!</v>
      </c>
      <c r="AI134" t="e">
        <f t="shared" ca="1" si="115"/>
        <v>#VALUE!</v>
      </c>
      <c r="AJ134" t="e">
        <f t="shared" ca="1" si="115"/>
        <v>#VALUE!</v>
      </c>
      <c r="AK134" t="e">
        <f t="shared" ca="1" si="115"/>
        <v>#VALUE!</v>
      </c>
      <c r="AL134" t="e">
        <f t="shared" ca="1" si="115"/>
        <v>#VALUE!</v>
      </c>
      <c r="AM134" t="e">
        <f t="shared" ca="1" si="115"/>
        <v>#VALUE!</v>
      </c>
      <c r="AN134" t="e">
        <f t="shared" ca="1" si="115"/>
        <v>#VALUE!</v>
      </c>
      <c r="AO134" t="e">
        <f t="shared" ca="1" si="115"/>
        <v>#VALUE!</v>
      </c>
      <c r="AP134" t="e">
        <f t="shared" ca="1" si="115"/>
        <v>#VALUE!</v>
      </c>
    </row>
    <row r="135" spans="1:42">
      <c r="A135" s="48" t="str">
        <f>'[4]TS BYDem'!A65</f>
        <v>*</v>
      </c>
      <c r="B135" t="s">
        <v>288</v>
      </c>
      <c r="C135" t="s">
        <v>137</v>
      </c>
      <c r="D135" s="3" t="str">
        <f>'[4]TS BYDem'!D65</f>
        <v>IISS</v>
      </c>
      <c r="E135" t="s">
        <v>137</v>
      </c>
      <c r="F135" t="s">
        <v>137</v>
      </c>
      <c r="G135" t="s">
        <v>137</v>
      </c>
      <c r="H135" t="s">
        <v>137</v>
      </c>
      <c r="I135">
        <v>0</v>
      </c>
      <c r="J135" t="str">
        <f>INDEX('[4]TS BYDem'!$J$10:$J$203,MATCH(D135,'[4]TS BYDem'!$D$10:$D$203,0))</f>
        <v/>
      </c>
      <c r="K135" t="e">
        <f t="shared" ca="1" si="114"/>
        <v>#VALUE!</v>
      </c>
      <c r="L135" t="e">
        <f t="shared" ca="1" si="114"/>
        <v>#VALUE!</v>
      </c>
      <c r="M135" t="e">
        <f t="shared" ca="1" si="114"/>
        <v>#VALUE!</v>
      </c>
      <c r="N135" t="e">
        <f t="shared" ca="1" si="114"/>
        <v>#VALUE!</v>
      </c>
      <c r="O135" t="e">
        <f t="shared" ca="1" si="114"/>
        <v>#VALUE!</v>
      </c>
      <c r="P135" t="e">
        <f t="shared" ca="1" si="114"/>
        <v>#VALUE!</v>
      </c>
      <c r="Q135" t="e">
        <f t="shared" ca="1" si="114"/>
        <v>#VALUE!</v>
      </c>
      <c r="R135" t="e">
        <f t="shared" ca="1" si="114"/>
        <v>#VALUE!</v>
      </c>
      <c r="S135" t="e">
        <f t="shared" ca="1" si="114"/>
        <v>#VALUE!</v>
      </c>
      <c r="T135" t="e">
        <f t="shared" ca="1" si="114"/>
        <v>#VALUE!</v>
      </c>
      <c r="U135" t="e">
        <f t="shared" ca="1" si="114"/>
        <v>#VALUE!</v>
      </c>
      <c r="V135" t="e">
        <f t="shared" ca="1" si="114"/>
        <v>#VALUE!</v>
      </c>
      <c r="W135" t="e">
        <f t="shared" ca="1" si="114"/>
        <v>#VALUE!</v>
      </c>
      <c r="X135" t="e">
        <f t="shared" ca="1" si="114"/>
        <v>#VALUE!</v>
      </c>
      <c r="Y135" t="e">
        <f t="shared" ca="1" si="114"/>
        <v>#VALUE!</v>
      </c>
      <c r="Z135" t="e">
        <f t="shared" ca="1" si="114"/>
        <v>#VALUE!</v>
      </c>
      <c r="AA135" t="e">
        <f t="shared" ca="1" si="115"/>
        <v>#VALUE!</v>
      </c>
      <c r="AB135" t="e">
        <f t="shared" ca="1" si="115"/>
        <v>#VALUE!</v>
      </c>
      <c r="AC135" t="e">
        <f t="shared" ca="1" si="115"/>
        <v>#VALUE!</v>
      </c>
      <c r="AD135" t="e">
        <f t="shared" ca="1" si="115"/>
        <v>#VALUE!</v>
      </c>
      <c r="AE135" t="e">
        <f t="shared" ca="1" si="115"/>
        <v>#VALUE!</v>
      </c>
      <c r="AF135" t="e">
        <f t="shared" ca="1" si="115"/>
        <v>#VALUE!</v>
      </c>
      <c r="AG135" t="e">
        <f t="shared" ca="1" si="115"/>
        <v>#VALUE!</v>
      </c>
      <c r="AH135" t="e">
        <f t="shared" ca="1" si="115"/>
        <v>#VALUE!</v>
      </c>
      <c r="AI135" t="e">
        <f t="shared" ca="1" si="115"/>
        <v>#VALUE!</v>
      </c>
      <c r="AJ135" t="e">
        <f t="shared" ca="1" si="115"/>
        <v>#VALUE!</v>
      </c>
      <c r="AK135" t="e">
        <f t="shared" ca="1" si="115"/>
        <v>#VALUE!</v>
      </c>
      <c r="AL135" t="e">
        <f t="shared" ca="1" si="115"/>
        <v>#VALUE!</v>
      </c>
      <c r="AM135" t="e">
        <f t="shared" ca="1" si="115"/>
        <v>#VALUE!</v>
      </c>
      <c r="AN135" t="e">
        <f t="shared" ca="1" si="115"/>
        <v>#VALUE!</v>
      </c>
      <c r="AO135" t="e">
        <f t="shared" ca="1" si="115"/>
        <v>#VALUE!</v>
      </c>
      <c r="AP135" t="e">
        <f t="shared" ca="1" si="115"/>
        <v>#VALUE!</v>
      </c>
    </row>
    <row r="136" spans="1:42">
      <c r="A136" s="48" t="str">
        <f>'[4]TS BYDem'!A66</f>
        <v>*</v>
      </c>
      <c r="B136" t="s">
        <v>288</v>
      </c>
      <c r="C136" t="s">
        <v>137</v>
      </c>
      <c r="D136" s="3" t="str">
        <f>'[4]TS BYDem'!D66</f>
        <v>IISS</v>
      </c>
      <c r="E136" t="s">
        <v>137</v>
      </c>
      <c r="F136" t="s">
        <v>137</v>
      </c>
      <c r="G136" t="s">
        <v>137</v>
      </c>
      <c r="H136" t="s">
        <v>137</v>
      </c>
      <c r="I136">
        <v>0</v>
      </c>
      <c r="J136" t="str">
        <f>INDEX('[4]TS BYDem'!$J$10:$J$203,MATCH(D136,'[4]TS BYDem'!$D$10:$D$203,0))</f>
        <v/>
      </c>
      <c r="K136" t="e">
        <f t="shared" ca="1" si="114"/>
        <v>#VALUE!</v>
      </c>
      <c r="L136" t="e">
        <f t="shared" ca="1" si="114"/>
        <v>#VALUE!</v>
      </c>
      <c r="M136" t="e">
        <f t="shared" ca="1" si="114"/>
        <v>#VALUE!</v>
      </c>
      <c r="N136" t="e">
        <f t="shared" ca="1" si="114"/>
        <v>#VALUE!</v>
      </c>
      <c r="O136" t="e">
        <f t="shared" ca="1" si="114"/>
        <v>#VALUE!</v>
      </c>
      <c r="P136" t="e">
        <f t="shared" ca="1" si="114"/>
        <v>#VALUE!</v>
      </c>
      <c r="Q136" t="e">
        <f t="shared" ca="1" si="114"/>
        <v>#VALUE!</v>
      </c>
      <c r="R136" t="e">
        <f t="shared" ca="1" si="114"/>
        <v>#VALUE!</v>
      </c>
      <c r="S136" t="e">
        <f t="shared" ca="1" si="114"/>
        <v>#VALUE!</v>
      </c>
      <c r="T136" t="e">
        <f t="shared" ca="1" si="114"/>
        <v>#VALUE!</v>
      </c>
      <c r="U136" t="e">
        <f t="shared" ca="1" si="114"/>
        <v>#VALUE!</v>
      </c>
      <c r="V136" t="e">
        <f t="shared" ca="1" si="114"/>
        <v>#VALUE!</v>
      </c>
      <c r="W136" t="e">
        <f t="shared" ca="1" si="114"/>
        <v>#VALUE!</v>
      </c>
      <c r="X136" t="e">
        <f t="shared" ca="1" si="114"/>
        <v>#VALUE!</v>
      </c>
      <c r="Y136" t="e">
        <f t="shared" ca="1" si="114"/>
        <v>#VALUE!</v>
      </c>
      <c r="Z136" t="e">
        <f t="shared" ca="1" si="114"/>
        <v>#VALUE!</v>
      </c>
      <c r="AA136" t="e">
        <f t="shared" ca="1" si="115"/>
        <v>#VALUE!</v>
      </c>
      <c r="AB136" t="e">
        <f t="shared" ca="1" si="115"/>
        <v>#VALUE!</v>
      </c>
      <c r="AC136" t="e">
        <f t="shared" ca="1" si="115"/>
        <v>#VALUE!</v>
      </c>
      <c r="AD136" t="e">
        <f t="shared" ca="1" si="115"/>
        <v>#VALUE!</v>
      </c>
      <c r="AE136" t="e">
        <f t="shared" ca="1" si="115"/>
        <v>#VALUE!</v>
      </c>
      <c r="AF136" t="e">
        <f t="shared" ca="1" si="115"/>
        <v>#VALUE!</v>
      </c>
      <c r="AG136" t="e">
        <f t="shared" ca="1" si="115"/>
        <v>#VALUE!</v>
      </c>
      <c r="AH136" t="e">
        <f t="shared" ca="1" si="115"/>
        <v>#VALUE!</v>
      </c>
      <c r="AI136" t="e">
        <f t="shared" ca="1" si="115"/>
        <v>#VALUE!</v>
      </c>
      <c r="AJ136" t="e">
        <f t="shared" ca="1" si="115"/>
        <v>#VALUE!</v>
      </c>
      <c r="AK136" t="e">
        <f t="shared" ca="1" si="115"/>
        <v>#VALUE!</v>
      </c>
      <c r="AL136" t="e">
        <f t="shared" ca="1" si="115"/>
        <v>#VALUE!</v>
      </c>
      <c r="AM136" t="e">
        <f t="shared" ca="1" si="115"/>
        <v>#VALUE!</v>
      </c>
      <c r="AN136" t="e">
        <f t="shared" ca="1" si="115"/>
        <v>#VALUE!</v>
      </c>
      <c r="AO136" t="e">
        <f t="shared" ca="1" si="115"/>
        <v>#VALUE!</v>
      </c>
      <c r="AP136" t="e">
        <f t="shared" ca="1" si="115"/>
        <v>#VALUE!</v>
      </c>
    </row>
    <row r="137" spans="1:42">
      <c r="A137" s="48" t="str">
        <f>'[4]TS BYDem'!A67</f>
        <v>*</v>
      </c>
      <c r="B137" t="s">
        <v>288</v>
      </c>
      <c r="C137" t="s">
        <v>137</v>
      </c>
      <c r="D137" s="3" t="str">
        <f>'[4]TS BYDem'!D67</f>
        <v>IISS</v>
      </c>
      <c r="E137" t="s">
        <v>137</v>
      </c>
      <c r="F137" t="s">
        <v>137</v>
      </c>
      <c r="G137" t="s">
        <v>137</v>
      </c>
      <c r="H137" t="s">
        <v>137</v>
      </c>
      <c r="I137">
        <v>0</v>
      </c>
      <c r="J137" t="str">
        <f>INDEX('[4]TS BYDem'!$J$10:$J$203,MATCH(D137,'[4]TS BYDem'!$D$10:$D$203,0))</f>
        <v/>
      </c>
      <c r="K137" t="e">
        <f t="shared" ca="1" si="114"/>
        <v>#VALUE!</v>
      </c>
      <c r="L137" t="e">
        <f t="shared" ca="1" si="114"/>
        <v>#VALUE!</v>
      </c>
      <c r="M137" t="e">
        <f t="shared" ca="1" si="114"/>
        <v>#VALUE!</v>
      </c>
      <c r="N137" t="e">
        <f t="shared" ca="1" si="114"/>
        <v>#VALUE!</v>
      </c>
      <c r="O137" t="e">
        <f t="shared" ca="1" si="114"/>
        <v>#VALUE!</v>
      </c>
      <c r="P137" t="e">
        <f t="shared" ca="1" si="114"/>
        <v>#VALUE!</v>
      </c>
      <c r="Q137" t="e">
        <f t="shared" ca="1" si="114"/>
        <v>#VALUE!</v>
      </c>
      <c r="R137" t="e">
        <f t="shared" ca="1" si="114"/>
        <v>#VALUE!</v>
      </c>
      <c r="S137" t="e">
        <f t="shared" ca="1" si="114"/>
        <v>#VALUE!</v>
      </c>
      <c r="T137" t="e">
        <f t="shared" ca="1" si="114"/>
        <v>#VALUE!</v>
      </c>
      <c r="U137" t="e">
        <f t="shared" ca="1" si="114"/>
        <v>#VALUE!</v>
      </c>
      <c r="V137" t="e">
        <f t="shared" ca="1" si="114"/>
        <v>#VALUE!</v>
      </c>
      <c r="W137" t="e">
        <f t="shared" ca="1" si="114"/>
        <v>#VALUE!</v>
      </c>
      <c r="X137" t="e">
        <f t="shared" ca="1" si="114"/>
        <v>#VALUE!</v>
      </c>
      <c r="Y137" t="e">
        <f t="shared" ca="1" si="114"/>
        <v>#VALUE!</v>
      </c>
      <c r="Z137" t="e">
        <f t="shared" ref="Z137:AO141" ca="1" si="116">Z$121/Y$121*Y137</f>
        <v>#VALUE!</v>
      </c>
      <c r="AA137" t="e">
        <f t="shared" ca="1" si="115"/>
        <v>#VALUE!</v>
      </c>
      <c r="AB137" t="e">
        <f t="shared" ca="1" si="115"/>
        <v>#VALUE!</v>
      </c>
      <c r="AC137" t="e">
        <f t="shared" ca="1" si="115"/>
        <v>#VALUE!</v>
      </c>
      <c r="AD137" t="e">
        <f t="shared" ca="1" si="115"/>
        <v>#VALUE!</v>
      </c>
      <c r="AE137" t="e">
        <f t="shared" ca="1" si="115"/>
        <v>#VALUE!</v>
      </c>
      <c r="AF137" t="e">
        <f t="shared" ca="1" si="115"/>
        <v>#VALUE!</v>
      </c>
      <c r="AG137" t="e">
        <f t="shared" ca="1" si="115"/>
        <v>#VALUE!</v>
      </c>
      <c r="AH137" t="e">
        <f t="shared" ca="1" si="115"/>
        <v>#VALUE!</v>
      </c>
      <c r="AI137" t="e">
        <f t="shared" ca="1" si="115"/>
        <v>#VALUE!</v>
      </c>
      <c r="AJ137" t="e">
        <f t="shared" ca="1" si="115"/>
        <v>#VALUE!</v>
      </c>
      <c r="AK137" t="e">
        <f t="shared" ca="1" si="115"/>
        <v>#VALUE!</v>
      </c>
      <c r="AL137" t="e">
        <f t="shared" ca="1" si="115"/>
        <v>#VALUE!</v>
      </c>
      <c r="AM137" t="e">
        <f t="shared" ca="1" si="115"/>
        <v>#VALUE!</v>
      </c>
      <c r="AN137" t="e">
        <f t="shared" ca="1" si="115"/>
        <v>#VALUE!</v>
      </c>
      <c r="AO137" t="e">
        <f t="shared" ca="1" si="115"/>
        <v>#VALUE!</v>
      </c>
      <c r="AP137" t="e">
        <f t="shared" ref="AP137:AP141" ca="1" si="117">AP$121/AO$121*AO137</f>
        <v>#VALUE!</v>
      </c>
    </row>
    <row r="138" spans="1:42">
      <c r="A138" s="48" t="str">
        <f>'[4]TS BYDem'!A68</f>
        <v>*</v>
      </c>
      <c r="B138" t="s">
        <v>288</v>
      </c>
      <c r="C138" t="s">
        <v>137</v>
      </c>
      <c r="D138" s="3">
        <f>'[4]TS BYDem'!D68</f>
        <v>0</v>
      </c>
      <c r="E138" t="s">
        <v>137</v>
      </c>
      <c r="F138" t="s">
        <v>137</v>
      </c>
      <c r="G138" t="s">
        <v>137</v>
      </c>
      <c r="H138" t="s">
        <v>137</v>
      </c>
      <c r="I138">
        <v>0</v>
      </c>
      <c r="J138" t="str">
        <f>INDEX('[4]TS BYDem'!$J$10:$J$203,MATCH(D138,'[4]TS BYDem'!$D$10:$D$203,0))</f>
        <v/>
      </c>
      <c r="K138" t="e">
        <f t="shared" ref="K138:Z141" ca="1" si="118">K$121/J$121*J138</f>
        <v>#VALUE!</v>
      </c>
      <c r="L138" t="e">
        <f t="shared" ca="1" si="118"/>
        <v>#VALUE!</v>
      </c>
      <c r="M138" t="e">
        <f t="shared" ca="1" si="118"/>
        <v>#VALUE!</v>
      </c>
      <c r="N138" t="e">
        <f t="shared" ca="1" si="118"/>
        <v>#VALUE!</v>
      </c>
      <c r="O138" t="e">
        <f t="shared" ca="1" si="118"/>
        <v>#VALUE!</v>
      </c>
      <c r="P138" t="e">
        <f t="shared" ca="1" si="118"/>
        <v>#VALUE!</v>
      </c>
      <c r="Q138" t="e">
        <f t="shared" ca="1" si="118"/>
        <v>#VALUE!</v>
      </c>
      <c r="R138" t="e">
        <f t="shared" ca="1" si="118"/>
        <v>#VALUE!</v>
      </c>
      <c r="S138" t="e">
        <f t="shared" ca="1" si="118"/>
        <v>#VALUE!</v>
      </c>
      <c r="T138" t="e">
        <f t="shared" ca="1" si="118"/>
        <v>#VALUE!</v>
      </c>
      <c r="U138" t="e">
        <f t="shared" ca="1" si="118"/>
        <v>#VALUE!</v>
      </c>
      <c r="V138" t="e">
        <f t="shared" ca="1" si="118"/>
        <v>#VALUE!</v>
      </c>
      <c r="W138" t="e">
        <f t="shared" ca="1" si="118"/>
        <v>#VALUE!</v>
      </c>
      <c r="X138" t="e">
        <f t="shared" ca="1" si="118"/>
        <v>#VALUE!</v>
      </c>
      <c r="Y138" t="e">
        <f t="shared" ca="1" si="118"/>
        <v>#VALUE!</v>
      </c>
      <c r="Z138" t="e">
        <f t="shared" ca="1" si="116"/>
        <v>#VALUE!</v>
      </c>
      <c r="AA138" t="e">
        <f t="shared" ca="1" si="116"/>
        <v>#VALUE!</v>
      </c>
      <c r="AB138" t="e">
        <f t="shared" ca="1" si="116"/>
        <v>#VALUE!</v>
      </c>
      <c r="AC138" t="e">
        <f t="shared" ca="1" si="116"/>
        <v>#VALUE!</v>
      </c>
      <c r="AD138" t="e">
        <f t="shared" ca="1" si="116"/>
        <v>#VALUE!</v>
      </c>
      <c r="AE138" t="e">
        <f t="shared" ca="1" si="116"/>
        <v>#VALUE!</v>
      </c>
      <c r="AF138" t="e">
        <f t="shared" ca="1" si="116"/>
        <v>#VALUE!</v>
      </c>
      <c r="AG138" t="e">
        <f t="shared" ca="1" si="116"/>
        <v>#VALUE!</v>
      </c>
      <c r="AH138" t="e">
        <f t="shared" ca="1" si="116"/>
        <v>#VALUE!</v>
      </c>
      <c r="AI138" t="e">
        <f t="shared" ca="1" si="116"/>
        <v>#VALUE!</v>
      </c>
      <c r="AJ138" t="e">
        <f t="shared" ca="1" si="116"/>
        <v>#VALUE!</v>
      </c>
      <c r="AK138" t="e">
        <f t="shared" ca="1" si="116"/>
        <v>#VALUE!</v>
      </c>
      <c r="AL138" t="e">
        <f t="shared" ca="1" si="116"/>
        <v>#VALUE!</v>
      </c>
      <c r="AM138" t="e">
        <f t="shared" ca="1" si="116"/>
        <v>#VALUE!</v>
      </c>
      <c r="AN138" t="e">
        <f t="shared" ca="1" si="116"/>
        <v>#VALUE!</v>
      </c>
      <c r="AO138" t="e">
        <f t="shared" ca="1" si="116"/>
        <v>#VALUE!</v>
      </c>
      <c r="AP138" t="e">
        <f t="shared" ca="1" si="117"/>
        <v>#VALUE!</v>
      </c>
    </row>
    <row r="139" spans="1:42">
      <c r="A139" s="48" t="str">
        <f>'[4]TS BYDem'!A69</f>
        <v>*</v>
      </c>
      <c r="B139" t="s">
        <v>288</v>
      </c>
      <c r="C139" t="s">
        <v>137</v>
      </c>
      <c r="D139" s="3" t="str">
        <f>'[4]TS BYDem'!D69</f>
        <v>IIST</v>
      </c>
      <c r="E139" t="s">
        <v>137</v>
      </c>
      <c r="F139" t="s">
        <v>137</v>
      </c>
      <c r="G139" t="s">
        <v>137</v>
      </c>
      <c r="H139" t="s">
        <v>137</v>
      </c>
      <c r="I139">
        <v>0</v>
      </c>
      <c r="J139" t="str">
        <f>INDEX('[4]TS BYDem'!$J$10:$J$203,MATCH(D139,'[4]TS BYDem'!$D$10:$D$203,0))</f>
        <v/>
      </c>
      <c r="K139" t="e">
        <f t="shared" ca="1" si="118"/>
        <v>#VALUE!</v>
      </c>
      <c r="L139" t="e">
        <f t="shared" ca="1" si="118"/>
        <v>#VALUE!</v>
      </c>
      <c r="M139" t="e">
        <f t="shared" ca="1" si="118"/>
        <v>#VALUE!</v>
      </c>
      <c r="N139" t="e">
        <f t="shared" ca="1" si="118"/>
        <v>#VALUE!</v>
      </c>
      <c r="O139" t="e">
        <f t="shared" ca="1" si="118"/>
        <v>#VALUE!</v>
      </c>
      <c r="P139" t="e">
        <f t="shared" ca="1" si="118"/>
        <v>#VALUE!</v>
      </c>
      <c r="Q139" t="e">
        <f t="shared" ca="1" si="118"/>
        <v>#VALUE!</v>
      </c>
      <c r="R139" t="e">
        <f t="shared" ca="1" si="118"/>
        <v>#VALUE!</v>
      </c>
      <c r="S139" t="e">
        <f t="shared" ca="1" si="118"/>
        <v>#VALUE!</v>
      </c>
      <c r="T139" t="e">
        <f t="shared" ca="1" si="118"/>
        <v>#VALUE!</v>
      </c>
      <c r="U139" t="e">
        <f t="shared" ca="1" si="118"/>
        <v>#VALUE!</v>
      </c>
      <c r="V139" t="e">
        <f t="shared" ca="1" si="118"/>
        <v>#VALUE!</v>
      </c>
      <c r="W139" t="e">
        <f t="shared" ca="1" si="118"/>
        <v>#VALUE!</v>
      </c>
      <c r="X139" t="e">
        <f t="shared" ca="1" si="118"/>
        <v>#VALUE!</v>
      </c>
      <c r="Y139" t="e">
        <f t="shared" ca="1" si="118"/>
        <v>#VALUE!</v>
      </c>
      <c r="Z139" t="e">
        <f t="shared" ca="1" si="116"/>
        <v>#VALUE!</v>
      </c>
      <c r="AA139" t="e">
        <f t="shared" ca="1" si="116"/>
        <v>#VALUE!</v>
      </c>
      <c r="AB139" t="e">
        <f t="shared" ca="1" si="116"/>
        <v>#VALUE!</v>
      </c>
      <c r="AC139" t="e">
        <f t="shared" ca="1" si="116"/>
        <v>#VALUE!</v>
      </c>
      <c r="AD139" t="e">
        <f t="shared" ca="1" si="116"/>
        <v>#VALUE!</v>
      </c>
      <c r="AE139" t="e">
        <f t="shared" ca="1" si="116"/>
        <v>#VALUE!</v>
      </c>
      <c r="AF139" t="e">
        <f t="shared" ca="1" si="116"/>
        <v>#VALUE!</v>
      </c>
      <c r="AG139" t="e">
        <f t="shared" ca="1" si="116"/>
        <v>#VALUE!</v>
      </c>
      <c r="AH139" t="e">
        <f t="shared" ca="1" si="116"/>
        <v>#VALUE!</v>
      </c>
      <c r="AI139" t="e">
        <f t="shared" ca="1" si="116"/>
        <v>#VALUE!</v>
      </c>
      <c r="AJ139" t="e">
        <f t="shared" ca="1" si="116"/>
        <v>#VALUE!</v>
      </c>
      <c r="AK139" t="e">
        <f t="shared" ca="1" si="116"/>
        <v>#VALUE!</v>
      </c>
      <c r="AL139" t="e">
        <f t="shared" ca="1" si="116"/>
        <v>#VALUE!</v>
      </c>
      <c r="AM139" t="e">
        <f t="shared" ca="1" si="116"/>
        <v>#VALUE!</v>
      </c>
      <c r="AN139" t="e">
        <f t="shared" ca="1" si="116"/>
        <v>#VALUE!</v>
      </c>
      <c r="AO139" t="e">
        <f t="shared" ca="1" si="116"/>
        <v>#VALUE!</v>
      </c>
      <c r="AP139" t="e">
        <f t="shared" ca="1" si="117"/>
        <v>#VALUE!</v>
      </c>
    </row>
    <row r="140" spans="1:42">
      <c r="A140" s="48" t="str">
        <f>'[4]TS BYDem'!A70</f>
        <v>*</v>
      </c>
      <c r="B140" t="s">
        <v>288</v>
      </c>
      <c r="C140" t="s">
        <v>137</v>
      </c>
      <c r="D140" s="3" t="str">
        <f>'[4]TS BYDem'!D70</f>
        <v>Useful Energy Service</v>
      </c>
      <c r="E140" t="s">
        <v>137</v>
      </c>
      <c r="F140" t="s">
        <v>137</v>
      </c>
      <c r="G140" t="s">
        <v>137</v>
      </c>
      <c r="H140" t="s">
        <v>137</v>
      </c>
      <c r="I140">
        <v>0</v>
      </c>
      <c r="J140" t="str">
        <f>INDEX('[4]TS BYDem'!$J$10:$J$203,MATCH(D140,'[4]TS BYDem'!$D$10:$D$203,0))</f>
        <v/>
      </c>
      <c r="K140" t="e">
        <f t="shared" ca="1" si="118"/>
        <v>#VALUE!</v>
      </c>
      <c r="L140" t="e">
        <f t="shared" ca="1" si="118"/>
        <v>#VALUE!</v>
      </c>
      <c r="M140" t="e">
        <f t="shared" ca="1" si="118"/>
        <v>#VALUE!</v>
      </c>
      <c r="N140" t="e">
        <f t="shared" ca="1" si="118"/>
        <v>#VALUE!</v>
      </c>
      <c r="O140" t="e">
        <f t="shared" ca="1" si="118"/>
        <v>#VALUE!</v>
      </c>
      <c r="P140" t="e">
        <f t="shared" ca="1" si="118"/>
        <v>#VALUE!</v>
      </c>
      <c r="Q140" t="e">
        <f t="shared" ca="1" si="118"/>
        <v>#VALUE!</v>
      </c>
      <c r="R140" t="e">
        <f t="shared" ca="1" si="118"/>
        <v>#VALUE!</v>
      </c>
      <c r="S140" t="e">
        <f t="shared" ca="1" si="118"/>
        <v>#VALUE!</v>
      </c>
      <c r="T140" t="e">
        <f t="shared" ca="1" si="118"/>
        <v>#VALUE!</v>
      </c>
      <c r="U140" t="e">
        <f t="shared" ca="1" si="118"/>
        <v>#VALUE!</v>
      </c>
      <c r="V140" t="e">
        <f t="shared" ca="1" si="118"/>
        <v>#VALUE!</v>
      </c>
      <c r="W140" t="e">
        <f t="shared" ca="1" si="118"/>
        <v>#VALUE!</v>
      </c>
      <c r="X140" t="e">
        <f t="shared" ca="1" si="118"/>
        <v>#VALUE!</v>
      </c>
      <c r="Y140" t="e">
        <f t="shared" ca="1" si="118"/>
        <v>#VALUE!</v>
      </c>
      <c r="Z140" t="e">
        <f t="shared" ca="1" si="116"/>
        <v>#VALUE!</v>
      </c>
      <c r="AA140" t="e">
        <f t="shared" ca="1" si="116"/>
        <v>#VALUE!</v>
      </c>
      <c r="AB140" t="e">
        <f t="shared" ca="1" si="116"/>
        <v>#VALUE!</v>
      </c>
      <c r="AC140" t="e">
        <f t="shared" ca="1" si="116"/>
        <v>#VALUE!</v>
      </c>
      <c r="AD140" t="e">
        <f t="shared" ca="1" si="116"/>
        <v>#VALUE!</v>
      </c>
      <c r="AE140" t="e">
        <f t="shared" ca="1" si="116"/>
        <v>#VALUE!</v>
      </c>
      <c r="AF140" t="e">
        <f t="shared" ca="1" si="116"/>
        <v>#VALUE!</v>
      </c>
      <c r="AG140" t="e">
        <f t="shared" ca="1" si="116"/>
        <v>#VALUE!</v>
      </c>
      <c r="AH140" t="e">
        <f t="shared" ca="1" si="116"/>
        <v>#VALUE!</v>
      </c>
      <c r="AI140" t="e">
        <f t="shared" ca="1" si="116"/>
        <v>#VALUE!</v>
      </c>
      <c r="AJ140" t="e">
        <f t="shared" ca="1" si="116"/>
        <v>#VALUE!</v>
      </c>
      <c r="AK140" t="e">
        <f t="shared" ca="1" si="116"/>
        <v>#VALUE!</v>
      </c>
      <c r="AL140" t="e">
        <f t="shared" ca="1" si="116"/>
        <v>#VALUE!</v>
      </c>
      <c r="AM140" t="e">
        <f t="shared" ca="1" si="116"/>
        <v>#VALUE!</v>
      </c>
      <c r="AN140" t="e">
        <f t="shared" ca="1" si="116"/>
        <v>#VALUE!</v>
      </c>
      <c r="AO140" t="e">
        <f t="shared" ca="1" si="116"/>
        <v>#VALUE!</v>
      </c>
      <c r="AP140" t="e">
        <f t="shared" ca="1" si="117"/>
        <v>#VALUE!</v>
      </c>
    </row>
    <row r="141" spans="1:42">
      <c r="A141" s="48" t="str">
        <f>'[4]TS BYDem'!A71</f>
        <v>*</v>
      </c>
      <c r="B141" t="s">
        <v>288</v>
      </c>
      <c r="C141" t="s">
        <v>137</v>
      </c>
      <c r="D141" s="3">
        <f>'[4]TS BYDem'!D71</f>
        <v>0</v>
      </c>
      <c r="E141" t="s">
        <v>137</v>
      </c>
      <c r="F141" t="s">
        <v>137</v>
      </c>
      <c r="G141" t="s">
        <v>137</v>
      </c>
      <c r="H141" t="s">
        <v>137</v>
      </c>
      <c r="I141">
        <v>0</v>
      </c>
      <c r="J141" t="str">
        <f>INDEX('[4]TS BYDem'!$J$10:$J$203,MATCH(D141,'[4]TS BYDem'!$D$10:$D$203,0))</f>
        <v/>
      </c>
      <c r="K141" t="e">
        <f t="shared" ca="1" si="118"/>
        <v>#VALUE!</v>
      </c>
      <c r="L141" t="e">
        <f t="shared" ca="1" si="118"/>
        <v>#VALUE!</v>
      </c>
      <c r="M141" t="e">
        <f t="shared" ca="1" si="118"/>
        <v>#VALUE!</v>
      </c>
      <c r="N141" t="e">
        <f t="shared" ca="1" si="118"/>
        <v>#VALUE!</v>
      </c>
      <c r="O141" t="e">
        <f t="shared" ca="1" si="118"/>
        <v>#VALUE!</v>
      </c>
      <c r="P141" t="e">
        <f t="shared" ca="1" si="118"/>
        <v>#VALUE!</v>
      </c>
      <c r="Q141" t="e">
        <f t="shared" ca="1" si="118"/>
        <v>#VALUE!</v>
      </c>
      <c r="R141" t="e">
        <f t="shared" ca="1" si="118"/>
        <v>#VALUE!</v>
      </c>
      <c r="S141" t="e">
        <f t="shared" ca="1" si="118"/>
        <v>#VALUE!</v>
      </c>
      <c r="T141" t="e">
        <f t="shared" ca="1" si="118"/>
        <v>#VALUE!</v>
      </c>
      <c r="U141" t="e">
        <f t="shared" ca="1" si="118"/>
        <v>#VALUE!</v>
      </c>
      <c r="V141" t="e">
        <f t="shared" ca="1" si="118"/>
        <v>#VALUE!</v>
      </c>
      <c r="W141" t="e">
        <f t="shared" ca="1" si="118"/>
        <v>#VALUE!</v>
      </c>
      <c r="X141" t="e">
        <f t="shared" ca="1" si="118"/>
        <v>#VALUE!</v>
      </c>
      <c r="Y141" t="e">
        <f t="shared" ca="1" si="118"/>
        <v>#VALUE!</v>
      </c>
      <c r="Z141" t="e">
        <f t="shared" ca="1" si="118"/>
        <v>#VALUE!</v>
      </c>
      <c r="AA141" t="e">
        <f t="shared" ca="1" si="116"/>
        <v>#VALUE!</v>
      </c>
      <c r="AB141" t="e">
        <f t="shared" ca="1" si="116"/>
        <v>#VALUE!</v>
      </c>
      <c r="AC141" t="e">
        <f t="shared" ca="1" si="116"/>
        <v>#VALUE!</v>
      </c>
      <c r="AD141" t="e">
        <f t="shared" ca="1" si="116"/>
        <v>#VALUE!</v>
      </c>
      <c r="AE141" t="e">
        <f t="shared" ca="1" si="116"/>
        <v>#VALUE!</v>
      </c>
      <c r="AF141" t="e">
        <f t="shared" ca="1" si="116"/>
        <v>#VALUE!</v>
      </c>
      <c r="AG141" t="e">
        <f t="shared" ca="1" si="116"/>
        <v>#VALUE!</v>
      </c>
      <c r="AH141" t="e">
        <f t="shared" ca="1" si="116"/>
        <v>#VALUE!</v>
      </c>
      <c r="AI141" t="e">
        <f t="shared" ca="1" si="116"/>
        <v>#VALUE!</v>
      </c>
      <c r="AJ141" t="e">
        <f t="shared" ca="1" si="116"/>
        <v>#VALUE!</v>
      </c>
      <c r="AK141" t="e">
        <f t="shared" ca="1" si="116"/>
        <v>#VALUE!</v>
      </c>
      <c r="AL141" t="e">
        <f t="shared" ca="1" si="116"/>
        <v>#VALUE!</v>
      </c>
      <c r="AM141" t="e">
        <f t="shared" ca="1" si="116"/>
        <v>#VALUE!</v>
      </c>
      <c r="AN141" t="e">
        <f t="shared" ca="1" si="116"/>
        <v>#VALUE!</v>
      </c>
      <c r="AO141" t="e">
        <f t="shared" ca="1" si="116"/>
        <v>#VALUE!</v>
      </c>
      <c r="AP141" t="e">
        <f t="shared" ca="1" si="117"/>
        <v>#VALUE!</v>
      </c>
    </row>
    <row r="142" spans="1:42" s="2" customFormat="1">
      <c r="A142" s="48" t="str">
        <f>'[4]TS BYDem'!A70</f>
        <v>*</v>
      </c>
      <c r="B142" s="2">
        <f>B121+1</f>
        <v>6</v>
      </c>
      <c r="C142" s="1" t="str">
        <f ca="1">OFFSET($C$9,$B142,0)</f>
        <v>Chemicals</v>
      </c>
      <c r="D142" s="1" t="str">
        <f ca="1">OFFSET($B$9,$B142,0)</f>
        <v>CP</v>
      </c>
      <c r="J142" s="2">
        <f t="shared" ref="J142:AA142" ca="1" si="119">SUMIF($B$10:$B$25,$D142,J$10:J$25)*SUMIF($B$10:$B$25,$D142,J$47:J$62)</f>
        <v>72.107894835057621</v>
      </c>
      <c r="K142" s="2">
        <f t="shared" ca="1" si="119"/>
        <v>74.266300997437128</v>
      </c>
      <c r="L142" s="2">
        <f t="shared" ca="1" si="119"/>
        <v>75.801027741220466</v>
      </c>
      <c r="M142" s="2">
        <f t="shared" ca="1" si="119"/>
        <v>76.644854367250801</v>
      </c>
      <c r="N142" s="2">
        <f t="shared" ca="1" si="119"/>
        <v>77.466834349241523</v>
      </c>
      <c r="O142" s="2">
        <f t="shared" ca="1" si="119"/>
        <v>78.131791577197461</v>
      </c>
      <c r="P142" s="2">
        <f t="shared" ca="1" si="119"/>
        <v>79.016580660802092</v>
      </c>
      <c r="Q142" s="2">
        <f t="shared" ca="1" si="119"/>
        <v>78.849999999999994</v>
      </c>
      <c r="R142" s="2">
        <f t="shared" ca="1" si="119"/>
        <v>77.7</v>
      </c>
      <c r="S142" s="2">
        <f t="shared" ca="1" si="119"/>
        <v>80.883308461043143</v>
      </c>
      <c r="T142" s="1">
        <f t="shared" ca="1" si="119"/>
        <v>80.388735202833217</v>
      </c>
      <c r="U142" s="2">
        <f t="shared" ca="1" si="119"/>
        <v>80.270624198325805</v>
      </c>
      <c r="V142" s="2">
        <f t="shared" ca="1" si="119"/>
        <v>80.01664075981968</v>
      </c>
      <c r="W142" s="2">
        <f t="shared" ca="1" si="119"/>
        <v>79.691281390856375</v>
      </c>
      <c r="X142" s="2">
        <f t="shared" ca="1" si="119"/>
        <v>80.371719253058558</v>
      </c>
      <c r="Y142" s="2">
        <f t="shared" ca="1" si="119"/>
        <v>81.052157115260755</v>
      </c>
      <c r="Z142" s="2">
        <f t="shared" ca="1" si="119"/>
        <v>82.062807469414011</v>
      </c>
      <c r="AA142" s="2">
        <f t="shared" ca="1" si="119"/>
        <v>82.513097231165446</v>
      </c>
      <c r="AB142" s="2">
        <f ca="1">SUMIF($B$10:$B$25,$D142,AB$10:AB$25)*SUMIF($B$10:$B$25,$D142,AB$46:AB$62)</f>
        <v>83.093470701867332</v>
      </c>
      <c r="AC142" s="2">
        <f t="shared" ref="AC142:AP142" ca="1" si="120">SUMIF($B$10:$B$25,$D142,AC$10:AC$25)*SUMIF($B$10:$B$25,$D142,AC$47:AC$62)</f>
        <v>83.883979394719859</v>
      </c>
      <c r="AD142" s="2">
        <f t="shared" ca="1" si="120"/>
        <v>84.724520283322576</v>
      </c>
      <c r="AE142" s="2">
        <f t="shared" ca="1" si="120"/>
        <v>85.905280103026371</v>
      </c>
      <c r="AF142" s="2">
        <f t="shared" ca="1" si="120"/>
        <v>87.136072118480328</v>
      </c>
      <c r="AG142" s="2">
        <f t="shared" ca="1" si="120"/>
        <v>68.504082421120373</v>
      </c>
      <c r="AH142" s="2">
        <f t="shared" ca="1" si="120"/>
        <v>52.934063103670283</v>
      </c>
      <c r="AI142" s="2">
        <f t="shared" ca="1" si="120"/>
        <v>50.61256922086281</v>
      </c>
      <c r="AJ142" s="2">
        <f t="shared" ca="1" si="120"/>
        <v>54.274925949774598</v>
      </c>
      <c r="AK142" s="2">
        <f t="shared" ca="1" si="120"/>
        <v>56.886606567933001</v>
      </c>
      <c r="AL142" s="2">
        <f t="shared" ca="1" si="120"/>
        <v>51.062858982614266</v>
      </c>
      <c r="AM142" s="2">
        <f t="shared" ca="1" si="120"/>
        <v>54.815273663876333</v>
      </c>
      <c r="AN142" s="2">
        <f t="shared" ca="1" si="120"/>
        <v>58.747804249838978</v>
      </c>
      <c r="AO142" s="2">
        <f t="shared" ca="1" si="120"/>
        <v>66.402730199613643</v>
      </c>
      <c r="AP142" s="2">
        <f t="shared" ca="1" si="120"/>
        <v>74.087675466838391</v>
      </c>
    </row>
    <row r="143" spans="1:42">
      <c r="A143" s="48" t="str">
        <f>'[4]TS BYDem'!A73</f>
        <v/>
      </c>
      <c r="B143" t="s">
        <v>288</v>
      </c>
      <c r="C143" t="s">
        <v>137</v>
      </c>
      <c r="D143" s="3" t="str">
        <f>'[4]TS BYDem'!D73</f>
        <v>ICPK</v>
      </c>
      <c r="E143" t="s">
        <v>137</v>
      </c>
      <c r="F143" t="s">
        <v>137</v>
      </c>
      <c r="G143" t="s">
        <v>137</v>
      </c>
      <c r="H143" t="s">
        <v>137</v>
      </c>
      <c r="I143">
        <v>0</v>
      </c>
      <c r="J143">
        <f>INDEX('[4]TS BYDem'!$J$10:$J$203,MATCH(D143,'[4]TS BYDem'!$D$10:$D$203,0))</f>
        <v>0.55647663194961794</v>
      </c>
      <c r="K143">
        <f ca="1">K$142/J$142*J143</f>
        <v>0.57313365118957349</v>
      </c>
      <c r="L143">
        <f t="shared" ref="L143:AA143" ca="1" si="121">L$142/K$142*K143</f>
        <v>0.5849775633062303</v>
      </c>
      <c r="M143" s="171">
        <f t="shared" ref="M143:M151" si="122">O143</f>
        <v>0.80918000000000012</v>
      </c>
      <c r="N143" s="171">
        <f t="shared" ref="N143:N151" si="123">O143</f>
        <v>0.80918000000000012</v>
      </c>
      <c r="O143" s="171">
        <f>INDEX('[4]TS BYDem'!$O$10:$O$203,MATCH(D143,'[4]TS BYDem'!$D$10:$D$203,0))</f>
        <v>0.80918000000000012</v>
      </c>
      <c r="P143">
        <f t="shared" ca="1" si="121"/>
        <v>0.81834340987732002</v>
      </c>
      <c r="Q143">
        <f t="shared" ca="1" si="121"/>
        <v>0.81661819999300989</v>
      </c>
      <c r="R143">
        <f t="shared" ca="1" si="121"/>
        <v>0.80470810576356211</v>
      </c>
      <c r="S143">
        <f t="shared" ca="1" si="121"/>
        <v>0.83767636987871197</v>
      </c>
      <c r="T143">
        <f t="shared" ca="1" si="121"/>
        <v>0.83255427065380305</v>
      </c>
      <c r="U143">
        <f t="shared" ca="1" si="121"/>
        <v>0.83133104179013517</v>
      </c>
      <c r="V143">
        <f t="shared" ca="1" si="121"/>
        <v>0.82870063597680721</v>
      </c>
      <c r="W143">
        <f t="shared" ca="1" si="121"/>
        <v>0.8253310179396014</v>
      </c>
      <c r="X143">
        <f t="shared" ca="1" si="121"/>
        <v>0.83237804320578568</v>
      </c>
      <c r="Y143">
        <f t="shared" ca="1" si="121"/>
        <v>0.83942506847197018</v>
      </c>
      <c r="Z143">
        <f t="shared" ca="1" si="121"/>
        <v>0.84989197364674407</v>
      </c>
      <c r="AA143">
        <f t="shared" ca="1" si="121"/>
        <v>0.85455544624936597</v>
      </c>
      <c r="AB143">
        <f t="shared" ref="AA143:AP158" ca="1" si="124">AB$142/AA$142*AA143</f>
        <v>0.86056614427052347</v>
      </c>
      <c r="AC143">
        <f t="shared" ca="1" si="124"/>
        <v>0.86875312950623762</v>
      </c>
      <c r="AD143">
        <f t="shared" ca="1" si="124"/>
        <v>0.87745827836446555</v>
      </c>
      <c r="AE143">
        <f t="shared" ca="1" si="124"/>
        <v>0.88968693985578562</v>
      </c>
      <c r="AF143">
        <f t="shared" ca="1" si="124"/>
        <v>0.90243376496961925</v>
      </c>
      <c r="AG143">
        <f t="shared" ca="1" si="124"/>
        <v>0.70946963194556867</v>
      </c>
      <c r="AH143">
        <f t="shared" ca="1" si="124"/>
        <v>0.54821711261934825</v>
      </c>
      <c r="AI143">
        <f t="shared" ca="1" si="124"/>
        <v>0.52417432053471891</v>
      </c>
      <c r="AJ143">
        <f t="shared" ca="1" si="124"/>
        <v>0.56210389770271163</v>
      </c>
      <c r="AK143">
        <f t="shared" ca="1" si="124"/>
        <v>0.58915203879791955</v>
      </c>
      <c r="AL143">
        <f t="shared" ca="1" si="124"/>
        <v>0.52883779313734092</v>
      </c>
      <c r="AM143">
        <f t="shared" ca="1" si="124"/>
        <v>0.567700064825858</v>
      </c>
      <c r="AN143">
        <f t="shared" ca="1" si="124"/>
        <v>0.6084277255554239</v>
      </c>
      <c r="AO143">
        <f t="shared" ca="1" si="124"/>
        <v>0.68770675979999929</v>
      </c>
      <c r="AP143">
        <f t="shared" ca="1" si="124"/>
        <v>0.76729669221808272</v>
      </c>
    </row>
    <row r="144" spans="1:42">
      <c r="A144" s="48" t="str">
        <f>'[4]TS BYDem'!A74</f>
        <v/>
      </c>
      <c r="B144" t="s">
        <v>288</v>
      </c>
      <c r="C144" t="s">
        <v>137</v>
      </c>
      <c r="D144" s="3" t="str">
        <f>'[4]TS BYDem'!D74</f>
        <v>ICPA</v>
      </c>
      <c r="E144" t="s">
        <v>137</v>
      </c>
      <c r="F144" t="s">
        <v>137</v>
      </c>
      <c r="G144" t="s">
        <v>137</v>
      </c>
      <c r="H144" t="s">
        <v>137</v>
      </c>
      <c r="I144">
        <v>0</v>
      </c>
      <c r="J144">
        <f>INDEX('[4]TS BYDem'!$J$10:$J$203,MATCH(D144,'[4]TS BYDem'!$D$10:$D$203,0))</f>
        <v>0.2086787369811067</v>
      </c>
      <c r="K144">
        <f t="shared" ref="K144:Z159" ca="1" si="125">K$142/J$142*J144</f>
        <v>0.21492511919609003</v>
      </c>
      <c r="L144">
        <f t="shared" ca="1" si="125"/>
        <v>0.21936658623983632</v>
      </c>
      <c r="M144" s="171">
        <f t="shared" si="122"/>
        <v>0.30344250000000006</v>
      </c>
      <c r="N144" s="171">
        <f t="shared" si="123"/>
        <v>0.30344250000000006</v>
      </c>
      <c r="O144" s="171">
        <f>INDEX('[4]TS BYDem'!$O$10:$O$203,MATCH(D144,'[4]TS BYDem'!$D$10:$D$203,0))</f>
        <v>0.30344250000000006</v>
      </c>
      <c r="P144">
        <f t="shared" ca="1" si="125"/>
        <v>0.30687877870399505</v>
      </c>
      <c r="Q144">
        <f t="shared" ca="1" si="125"/>
        <v>0.30623182499737872</v>
      </c>
      <c r="R144">
        <f t="shared" ca="1" si="125"/>
        <v>0.30176553966133579</v>
      </c>
      <c r="S144">
        <f t="shared" ca="1" si="125"/>
        <v>0.31412863870451696</v>
      </c>
      <c r="T144">
        <f t="shared" ca="1" si="125"/>
        <v>0.3122078514951761</v>
      </c>
      <c r="U144">
        <f t="shared" ca="1" si="125"/>
        <v>0.31174914067130066</v>
      </c>
      <c r="V144">
        <f t="shared" ca="1" si="125"/>
        <v>0.3107627384913027</v>
      </c>
      <c r="W144">
        <f t="shared" ca="1" si="125"/>
        <v>0.30949913172735055</v>
      </c>
      <c r="X144">
        <f t="shared" ca="1" si="125"/>
        <v>0.31214176620216966</v>
      </c>
      <c r="Y144">
        <f t="shared" ca="1" si="125"/>
        <v>0.31478440067698887</v>
      </c>
      <c r="Z144">
        <f t="shared" ca="1" si="125"/>
        <v>0.31870949011752908</v>
      </c>
      <c r="AA144">
        <f t="shared" ca="1" si="124"/>
        <v>0.32045829234351231</v>
      </c>
      <c r="AB144">
        <f t="shared" ca="1" si="124"/>
        <v>0.32271230410144636</v>
      </c>
      <c r="AC144">
        <f t="shared" ca="1" si="124"/>
        <v>0.32578242356483916</v>
      </c>
      <c r="AD144">
        <f t="shared" ca="1" si="124"/>
        <v>0.32904685438667464</v>
      </c>
      <c r="AE144">
        <f t="shared" ca="1" si="124"/>
        <v>0.33363260244591969</v>
      </c>
      <c r="AF144">
        <f t="shared" ca="1" si="124"/>
        <v>0.3384126618636073</v>
      </c>
      <c r="AG144">
        <f t="shared" ca="1" si="124"/>
        <v>0.26605111197958831</v>
      </c>
      <c r="AH144">
        <f t="shared" ca="1" si="124"/>
        <v>0.20558141723225565</v>
      </c>
      <c r="AI144">
        <f t="shared" ca="1" si="124"/>
        <v>0.19656537020051965</v>
      </c>
      <c r="AJ144">
        <f t="shared" ca="1" si="124"/>
        <v>0.21078896163851693</v>
      </c>
      <c r="AK144">
        <f t="shared" ca="1" si="124"/>
        <v>0.2209320145492199</v>
      </c>
      <c r="AL144">
        <f t="shared" ca="1" si="124"/>
        <v>0.19831417242650293</v>
      </c>
      <c r="AM144">
        <f t="shared" ca="1" si="124"/>
        <v>0.21288752430969685</v>
      </c>
      <c r="AN144">
        <f t="shared" ca="1" si="124"/>
        <v>0.22816039708328406</v>
      </c>
      <c r="AO144">
        <f t="shared" ca="1" si="124"/>
        <v>0.25789003492499984</v>
      </c>
      <c r="AP144">
        <f t="shared" ca="1" si="124"/>
        <v>0.28773625958178112</v>
      </c>
    </row>
    <row r="145" spans="1:42">
      <c r="A145" s="48" t="str">
        <f>'[4]TS BYDem'!A75</f>
        <v/>
      </c>
      <c r="B145" t="s">
        <v>288</v>
      </c>
      <c r="C145" t="s">
        <v>137</v>
      </c>
      <c r="D145" s="3" t="str">
        <f>'[4]TS BYDem'!D75</f>
        <v>ICPL</v>
      </c>
      <c r="E145" t="s">
        <v>137</v>
      </c>
      <c r="F145" t="s">
        <v>137</v>
      </c>
      <c r="G145" t="s">
        <v>137</v>
      </c>
      <c r="H145" t="s">
        <v>137</v>
      </c>
      <c r="I145">
        <v>0</v>
      </c>
      <c r="J145">
        <f>INDEX('[4]TS BYDem'!$J$10:$J$203,MATCH(D145,'[4]TS BYDem'!$D$10:$D$203,0))</f>
        <v>0.3338859791697707</v>
      </c>
      <c r="K145">
        <f t="shared" ca="1" si="125"/>
        <v>0.34388019071374404</v>
      </c>
      <c r="L145">
        <f t="shared" ca="1" si="125"/>
        <v>0.35098653798373813</v>
      </c>
      <c r="M145" s="171">
        <f t="shared" si="122"/>
        <v>0.48550800000000005</v>
      </c>
      <c r="N145" s="171">
        <f t="shared" si="123"/>
        <v>0.48550800000000005</v>
      </c>
      <c r="O145" s="171">
        <f>INDEX('[4]TS BYDem'!$O$10:$O$203,MATCH(D145,'[4]TS BYDem'!$D$10:$D$203,0))</f>
        <v>0.48550800000000005</v>
      </c>
      <c r="P145">
        <f t="shared" ca="1" si="125"/>
        <v>0.49100604592639202</v>
      </c>
      <c r="Q145">
        <f t="shared" ca="1" si="125"/>
        <v>0.48997091999580589</v>
      </c>
      <c r="R145">
        <f t="shared" ca="1" si="125"/>
        <v>0.48282486345813724</v>
      </c>
      <c r="S145">
        <f t="shared" ca="1" si="125"/>
        <v>0.50260582192722714</v>
      </c>
      <c r="T145">
        <f t="shared" ca="1" si="125"/>
        <v>0.49953256239228178</v>
      </c>
      <c r="U145">
        <f t="shared" ca="1" si="125"/>
        <v>0.49879862507408107</v>
      </c>
      <c r="V145">
        <f t="shared" ca="1" si="125"/>
        <v>0.49722038158608428</v>
      </c>
      <c r="W145">
        <f t="shared" ca="1" si="125"/>
        <v>0.49519861076376082</v>
      </c>
      <c r="X145">
        <f t="shared" ca="1" si="125"/>
        <v>0.49942682592347137</v>
      </c>
      <c r="Y145">
        <f t="shared" ca="1" si="125"/>
        <v>0.50365504108318204</v>
      </c>
      <c r="Z145">
        <f t="shared" ca="1" si="125"/>
        <v>0.5099351841880464</v>
      </c>
      <c r="AA145">
        <f t="shared" ca="1" si="124"/>
        <v>0.51273326774961947</v>
      </c>
      <c r="AB145">
        <f t="shared" ca="1" si="124"/>
        <v>0.51633968656231399</v>
      </c>
      <c r="AC145">
        <f t="shared" ca="1" si="124"/>
        <v>0.52125187770374248</v>
      </c>
      <c r="AD145">
        <f t="shared" ca="1" si="124"/>
        <v>0.52647496701867924</v>
      </c>
      <c r="AE145">
        <f t="shared" ca="1" si="124"/>
        <v>0.5338121639134713</v>
      </c>
      <c r="AF145">
        <f t="shared" ca="1" si="124"/>
        <v>0.54146025898177153</v>
      </c>
      <c r="AG145">
        <f t="shared" ca="1" si="124"/>
        <v>0.42568177916734118</v>
      </c>
      <c r="AH145">
        <f t="shared" ca="1" si="124"/>
        <v>0.32893026757160893</v>
      </c>
      <c r="AI145">
        <f t="shared" ca="1" si="124"/>
        <v>0.31450459232083133</v>
      </c>
      <c r="AJ145">
        <f t="shared" ca="1" si="124"/>
        <v>0.33726233862162697</v>
      </c>
      <c r="AK145">
        <f t="shared" ca="1" si="124"/>
        <v>0.35349122327875171</v>
      </c>
      <c r="AL145">
        <f t="shared" ca="1" si="124"/>
        <v>0.31730267588240457</v>
      </c>
      <c r="AM145">
        <f t="shared" ca="1" si="124"/>
        <v>0.34062003889551479</v>
      </c>
      <c r="AN145">
        <f t="shared" ca="1" si="124"/>
        <v>0.36505663533325433</v>
      </c>
      <c r="AO145">
        <f t="shared" ca="1" si="124"/>
        <v>0.41262405587999956</v>
      </c>
      <c r="AP145">
        <f t="shared" ca="1" si="124"/>
        <v>0.4603780153308496</v>
      </c>
    </row>
    <row r="146" spans="1:42">
      <c r="A146" s="48" t="str">
        <f>'[4]TS BYDem'!A76</f>
        <v/>
      </c>
      <c r="B146" t="s">
        <v>288</v>
      </c>
      <c r="C146" t="s">
        <v>137</v>
      </c>
      <c r="D146" s="3" t="str">
        <f>'[4]TS BYDem'!D76</f>
        <v>ICPC</v>
      </c>
      <c r="E146" t="s">
        <v>137</v>
      </c>
      <c r="F146" t="s">
        <v>137</v>
      </c>
      <c r="G146" t="s">
        <v>137</v>
      </c>
      <c r="H146" t="s">
        <v>137</v>
      </c>
      <c r="I146">
        <v>0</v>
      </c>
      <c r="J146">
        <f>INDEX('[4]TS BYDem'!$J$10:$J$203,MATCH(D146,'[4]TS BYDem'!$D$10:$D$203,0))</f>
        <v>2.7823831597480893</v>
      </c>
      <c r="K146">
        <f ca="1">K$142/J$142*J146</f>
        <v>2.8656682559478672</v>
      </c>
      <c r="L146">
        <f t="shared" ca="1" si="125"/>
        <v>2.9248878165311512</v>
      </c>
      <c r="M146" s="171">
        <f t="shared" si="122"/>
        <v>4.0459000000000005</v>
      </c>
      <c r="N146" s="171">
        <f t="shared" si="123"/>
        <v>4.0459000000000005</v>
      </c>
      <c r="O146" s="171">
        <f>INDEX('[4]TS BYDem'!$O$10:$O$203,MATCH(D146,'[4]TS BYDem'!$D$10:$D$203,0))</f>
        <v>4.0459000000000005</v>
      </c>
      <c r="P146">
        <f t="shared" ca="1" si="125"/>
        <v>4.0917170493866006</v>
      </c>
      <c r="Q146">
        <f t="shared" ca="1" si="125"/>
        <v>4.0830909999650498</v>
      </c>
      <c r="R146">
        <f t="shared" ca="1" si="125"/>
        <v>4.0235405288178114</v>
      </c>
      <c r="S146">
        <f t="shared" ca="1" si="125"/>
        <v>4.1883818493935605</v>
      </c>
      <c r="T146">
        <f t="shared" ca="1" si="125"/>
        <v>4.162771353269016</v>
      </c>
      <c r="U146">
        <f t="shared" ca="1" si="125"/>
        <v>4.156655208950677</v>
      </c>
      <c r="V146">
        <f t="shared" ca="1" si="125"/>
        <v>4.1435031798840374</v>
      </c>
      <c r="W146">
        <f t="shared" ca="1" si="125"/>
        <v>4.1266550896980085</v>
      </c>
      <c r="X146">
        <f t="shared" ca="1" si="125"/>
        <v>4.1618902160289304</v>
      </c>
      <c r="Y146">
        <f t="shared" ca="1" si="125"/>
        <v>4.1971253423598531</v>
      </c>
      <c r="Z146">
        <f t="shared" ca="1" si="125"/>
        <v>4.249459868233723</v>
      </c>
      <c r="AA146">
        <f t="shared" ca="1" si="124"/>
        <v>4.272777231246832</v>
      </c>
      <c r="AB146">
        <f t="shared" ca="1" si="124"/>
        <v>4.3028307213526196</v>
      </c>
      <c r="AC146">
        <f t="shared" ca="1" si="124"/>
        <v>4.3437656475311908</v>
      </c>
      <c r="AD146">
        <f t="shared" ca="1" si="124"/>
        <v>4.3872913918223304</v>
      </c>
      <c r="AE146">
        <f t="shared" ca="1" si="124"/>
        <v>4.4484346992789305</v>
      </c>
      <c r="AF146">
        <f t="shared" ca="1" si="124"/>
        <v>4.5121688248480991</v>
      </c>
      <c r="AG146">
        <f t="shared" ca="1" si="124"/>
        <v>3.5473481597278456</v>
      </c>
      <c r="AH146">
        <f t="shared" ca="1" si="124"/>
        <v>2.741085563096743</v>
      </c>
      <c r="AI146">
        <f t="shared" ca="1" si="124"/>
        <v>2.6208716026735961</v>
      </c>
      <c r="AJ146">
        <f t="shared" ca="1" si="124"/>
        <v>2.81051948851356</v>
      </c>
      <c r="AK146">
        <f t="shared" ca="1" si="124"/>
        <v>2.9457601939895999</v>
      </c>
      <c r="AL146">
        <f t="shared" ca="1" si="124"/>
        <v>2.6441889656867068</v>
      </c>
      <c r="AM146">
        <f t="shared" ca="1" si="124"/>
        <v>2.8385003241292921</v>
      </c>
      <c r="AN146">
        <f t="shared" ca="1" si="124"/>
        <v>3.0421386277771214</v>
      </c>
      <c r="AO146">
        <f t="shared" ca="1" si="124"/>
        <v>3.4385337989999987</v>
      </c>
      <c r="AP146">
        <f t="shared" ca="1" si="124"/>
        <v>3.8364834610904159</v>
      </c>
    </row>
    <row r="147" spans="1:42">
      <c r="A147" s="48" t="str">
        <f>'[4]TS BYDem'!A77</f>
        <v/>
      </c>
      <c r="B147" t="s">
        <v>288</v>
      </c>
      <c r="C147" t="s">
        <v>137</v>
      </c>
      <c r="D147" s="3" t="str">
        <f>'[4]TS BYDem'!D77</f>
        <v>ICPH</v>
      </c>
      <c r="E147" t="s">
        <v>137</v>
      </c>
      <c r="F147" t="s">
        <v>137</v>
      </c>
      <c r="G147" t="s">
        <v>137</v>
      </c>
      <c r="H147" t="s">
        <v>137</v>
      </c>
      <c r="I147">
        <v>0</v>
      </c>
      <c r="J147">
        <f>INDEX('[4]TS BYDem'!$J$10:$J$203,MATCH(D147,'[4]TS BYDem'!$D$10:$D$203,0))</f>
        <v>0.5008289687546561</v>
      </c>
      <c r="K147">
        <f t="shared" ref="K147:O162" ca="1" si="126">K$142/J$142*J147</f>
        <v>0.51582028607061614</v>
      </c>
      <c r="L147">
        <f t="shared" ca="1" si="125"/>
        <v>0.52647980697560726</v>
      </c>
      <c r="M147" s="171">
        <f t="shared" si="122"/>
        <v>0.72826200000000008</v>
      </c>
      <c r="N147" s="171">
        <f t="shared" si="123"/>
        <v>0.72826200000000008</v>
      </c>
      <c r="O147" s="171">
        <f>INDEX('[4]TS BYDem'!$O$10:$O$203,MATCH(D147,'[4]TS BYDem'!$D$10:$D$203,0))</f>
        <v>0.72826200000000008</v>
      </c>
      <c r="P147">
        <f t="shared" ca="1" si="125"/>
        <v>0.736509068889588</v>
      </c>
      <c r="Q147">
        <f t="shared" ca="1" si="125"/>
        <v>0.73495637999370889</v>
      </c>
      <c r="R147">
        <f t="shared" ca="1" si="125"/>
        <v>0.72423729518720592</v>
      </c>
      <c r="S147">
        <f t="shared" ca="1" si="125"/>
        <v>0.75390873289084082</v>
      </c>
      <c r="T147">
        <f t="shared" ca="1" si="125"/>
        <v>0.7492988435884228</v>
      </c>
      <c r="U147">
        <f t="shared" ca="1" si="125"/>
        <v>0.74819793761112174</v>
      </c>
      <c r="V147">
        <f t="shared" ca="1" si="125"/>
        <v>0.74583057237912664</v>
      </c>
      <c r="W147">
        <f t="shared" ca="1" si="125"/>
        <v>0.74279791614564139</v>
      </c>
      <c r="X147">
        <f t="shared" ca="1" si="125"/>
        <v>0.74914023888520731</v>
      </c>
      <c r="Y147">
        <f t="shared" ca="1" si="125"/>
        <v>0.75548256162477334</v>
      </c>
      <c r="Z147">
        <f t="shared" ca="1" si="125"/>
        <v>0.76490277628206993</v>
      </c>
      <c r="AA147">
        <f t="shared" ca="1" si="124"/>
        <v>0.76909990162442965</v>
      </c>
      <c r="AB147">
        <f t="shared" ca="1" si="124"/>
        <v>0.77450952984347143</v>
      </c>
      <c r="AC147">
        <f t="shared" ca="1" si="124"/>
        <v>0.78187781655561417</v>
      </c>
      <c r="AD147">
        <f t="shared" ca="1" si="124"/>
        <v>0.78971245052801931</v>
      </c>
      <c r="AE147">
        <f t="shared" ca="1" si="124"/>
        <v>0.80071824587020735</v>
      </c>
      <c r="AF147">
        <f t="shared" ca="1" si="124"/>
        <v>0.81219038847265757</v>
      </c>
      <c r="AG147">
        <f t="shared" ca="1" si="124"/>
        <v>0.63852266875101193</v>
      </c>
      <c r="AH147">
        <f t="shared" ca="1" si="124"/>
        <v>0.49339540135741355</v>
      </c>
      <c r="AI147">
        <f t="shared" ca="1" si="124"/>
        <v>0.47175688848124714</v>
      </c>
      <c r="AJ147">
        <f t="shared" ca="1" si="124"/>
        <v>0.50589350793244059</v>
      </c>
      <c r="AK147">
        <f t="shared" ca="1" si="124"/>
        <v>0.53023683491812779</v>
      </c>
      <c r="AL147">
        <f t="shared" ca="1" si="124"/>
        <v>0.47595401382360703</v>
      </c>
      <c r="AM147">
        <f t="shared" ca="1" si="124"/>
        <v>0.51093005834327243</v>
      </c>
      <c r="AN147">
        <f t="shared" ca="1" si="124"/>
        <v>0.54758495299988175</v>
      </c>
      <c r="AO147">
        <f t="shared" ca="1" si="124"/>
        <v>0.61893608381999965</v>
      </c>
      <c r="AP147">
        <f t="shared" ca="1" si="124"/>
        <v>0.6905670229962747</v>
      </c>
    </row>
    <row r="148" spans="1:42">
      <c r="A148" s="48" t="str">
        <f>'[4]TS BYDem'!A78</f>
        <v/>
      </c>
      <c r="B148" t="s">
        <v>288</v>
      </c>
      <c r="C148" t="s">
        <v>137</v>
      </c>
      <c r="D148" s="3" t="str">
        <f>'[4]TS BYDem'!D78</f>
        <v>ICPP</v>
      </c>
      <c r="E148" t="s">
        <v>137</v>
      </c>
      <c r="F148" t="s">
        <v>137</v>
      </c>
      <c r="G148" t="s">
        <v>137</v>
      </c>
      <c r="H148" t="s">
        <v>137</v>
      </c>
      <c r="I148">
        <v>0</v>
      </c>
      <c r="J148">
        <f>INDEX('[4]TS BYDem'!$J$10:$J$203,MATCH(D148,'[4]TS BYDem'!$D$10:$D$203,0))</f>
        <v>7.7906728472946494</v>
      </c>
      <c r="K148">
        <f t="shared" ca="1" si="126"/>
        <v>8.0238711166540284</v>
      </c>
      <c r="L148">
        <f t="shared" ca="1" si="125"/>
        <v>8.1896858862872239</v>
      </c>
      <c r="M148" s="171">
        <f t="shared" si="122"/>
        <v>11.328520000000001</v>
      </c>
      <c r="N148" s="171">
        <f t="shared" si="123"/>
        <v>11.328520000000001</v>
      </c>
      <c r="O148" s="171">
        <f>INDEX('[4]TS BYDem'!$O$10:$O$203,MATCH(D148,'[4]TS BYDem'!$D$10:$D$203,0))</f>
        <v>11.328520000000001</v>
      </c>
      <c r="P148">
        <f t="shared" ca="1" si="125"/>
        <v>11.45680773828248</v>
      </c>
      <c r="Q148">
        <f t="shared" ca="1" si="125"/>
        <v>11.432654799902137</v>
      </c>
      <c r="R148">
        <f t="shared" ca="1" si="125"/>
        <v>11.265913480689868</v>
      </c>
      <c r="S148">
        <f t="shared" ca="1" si="125"/>
        <v>11.727469178301966</v>
      </c>
      <c r="T148">
        <f t="shared" ca="1" si="125"/>
        <v>11.655759789153242</v>
      </c>
      <c r="U148">
        <f t="shared" ca="1" si="125"/>
        <v>11.638634585061892</v>
      </c>
      <c r="V148">
        <f t="shared" ca="1" si="125"/>
        <v>11.6018089036753</v>
      </c>
      <c r="W148">
        <f t="shared" ca="1" si="125"/>
        <v>11.554634251154418</v>
      </c>
      <c r="X148">
        <f t="shared" ca="1" si="125"/>
        <v>11.653292604880999</v>
      </c>
      <c r="Y148">
        <f t="shared" ca="1" si="125"/>
        <v>11.751950958607582</v>
      </c>
      <c r="Z148">
        <f t="shared" ca="1" si="125"/>
        <v>11.898487631054417</v>
      </c>
      <c r="AA148">
        <f t="shared" ca="1" si="124"/>
        <v>11.963776247491124</v>
      </c>
      <c r="AB148">
        <f t="shared" ca="1" si="124"/>
        <v>12.047926019787329</v>
      </c>
      <c r="AC148">
        <f t="shared" ca="1" si="124"/>
        <v>12.162543813087327</v>
      </c>
      <c r="AD148">
        <f t="shared" ca="1" si="124"/>
        <v>12.284415897102518</v>
      </c>
      <c r="AE148">
        <f t="shared" ca="1" si="124"/>
        <v>12.455617157980999</v>
      </c>
      <c r="AF148">
        <f t="shared" ca="1" si="124"/>
        <v>12.634072709574669</v>
      </c>
      <c r="AG148">
        <f t="shared" ca="1" si="124"/>
        <v>9.9325748472379605</v>
      </c>
      <c r="AH148">
        <f t="shared" ca="1" si="124"/>
        <v>7.6750395766708754</v>
      </c>
      <c r="AI148">
        <f t="shared" ca="1" si="124"/>
        <v>7.3384404874860643</v>
      </c>
      <c r="AJ148">
        <f t="shared" ca="1" si="124"/>
        <v>7.8694545678379626</v>
      </c>
      <c r="AK148">
        <f t="shared" ca="1" si="124"/>
        <v>8.2481285431708731</v>
      </c>
      <c r="AL148">
        <f t="shared" ca="1" si="124"/>
        <v>7.4037291039227728</v>
      </c>
      <c r="AM148">
        <f t="shared" ca="1" si="124"/>
        <v>7.9478009075620122</v>
      </c>
      <c r="AN148">
        <f t="shared" ca="1" si="124"/>
        <v>8.5179881577759335</v>
      </c>
      <c r="AO148">
        <f t="shared" ca="1" si="124"/>
        <v>9.6278946371999883</v>
      </c>
      <c r="AP148">
        <f t="shared" ca="1" si="124"/>
        <v>10.742153691053156</v>
      </c>
    </row>
    <row r="149" spans="1:42">
      <c r="A149" s="48" t="str">
        <f>'[4]TS BYDem'!A79</f>
        <v/>
      </c>
      <c r="B149" t="s">
        <v>288</v>
      </c>
      <c r="C149" t="s">
        <v>137</v>
      </c>
      <c r="D149" s="3" t="str">
        <f>'[4]TS BYDem'!D79</f>
        <v>ICPF</v>
      </c>
      <c r="E149" t="s">
        <v>137</v>
      </c>
      <c r="F149" t="s">
        <v>137</v>
      </c>
      <c r="G149" t="s">
        <v>137</v>
      </c>
      <c r="H149" t="s">
        <v>137</v>
      </c>
      <c r="I149">
        <v>0</v>
      </c>
      <c r="J149">
        <f>INDEX('[4]TS BYDem'!$J$10:$J$203,MATCH(D149,'[4]TS BYDem'!$D$10:$D$203,0))</f>
        <v>1.7807252222387775</v>
      </c>
      <c r="K149">
        <f t="shared" ca="1" si="126"/>
        <v>1.8340276838066354</v>
      </c>
      <c r="L149">
        <f t="shared" ca="1" si="125"/>
        <v>1.8719282025799371</v>
      </c>
      <c r="M149" s="171">
        <f t="shared" si="122"/>
        <v>2.5893760000000006</v>
      </c>
      <c r="N149" s="171">
        <f t="shared" si="123"/>
        <v>2.5893760000000006</v>
      </c>
      <c r="O149" s="171">
        <f>INDEX('[4]TS BYDem'!$O$10:$O$203,MATCH(D149,'[4]TS BYDem'!$D$10:$D$203,0))</f>
        <v>2.5893760000000006</v>
      </c>
      <c r="P149">
        <f t="shared" ca="1" si="125"/>
        <v>2.6186989116074244</v>
      </c>
      <c r="Q149">
        <f t="shared" ca="1" si="125"/>
        <v>2.613178239977632</v>
      </c>
      <c r="R149">
        <f t="shared" ca="1" si="125"/>
        <v>2.5750659384433994</v>
      </c>
      <c r="S149">
        <f t="shared" ca="1" si="125"/>
        <v>2.6805643836118791</v>
      </c>
      <c r="T149">
        <f t="shared" ca="1" si="125"/>
        <v>2.6641736660921707</v>
      </c>
      <c r="U149">
        <f t="shared" ca="1" si="125"/>
        <v>2.6602593337284337</v>
      </c>
      <c r="V149">
        <f t="shared" ca="1" si="125"/>
        <v>2.6518420351257843</v>
      </c>
      <c r="W149">
        <f t="shared" ca="1" si="125"/>
        <v>2.641059257406726</v>
      </c>
      <c r="X149">
        <f t="shared" ca="1" si="125"/>
        <v>2.6636097382585158</v>
      </c>
      <c r="Y149">
        <f t="shared" ca="1" si="125"/>
        <v>2.6861602191103064</v>
      </c>
      <c r="Z149">
        <f t="shared" ca="1" si="125"/>
        <v>2.7196543156695832</v>
      </c>
      <c r="AA149">
        <f t="shared" ca="1" si="124"/>
        <v>2.7345774279979733</v>
      </c>
      <c r="AB149">
        <f t="shared" ca="1" si="124"/>
        <v>2.7538116616656771</v>
      </c>
      <c r="AC149">
        <f t="shared" ca="1" si="124"/>
        <v>2.7800100144199624</v>
      </c>
      <c r="AD149">
        <f t="shared" ca="1" si="124"/>
        <v>2.8078664907662918</v>
      </c>
      <c r="AE149">
        <f t="shared" ca="1" si="124"/>
        <v>2.8469982075385158</v>
      </c>
      <c r="AF149">
        <f t="shared" ca="1" si="124"/>
        <v>2.8877880479027835</v>
      </c>
      <c r="AG149">
        <f t="shared" ca="1" si="124"/>
        <v>2.2703028222258212</v>
      </c>
      <c r="AH149">
        <f t="shared" ca="1" si="124"/>
        <v>1.7542947603819157</v>
      </c>
      <c r="AI149">
        <f t="shared" ca="1" si="124"/>
        <v>1.6773578257111017</v>
      </c>
      <c r="AJ149">
        <f t="shared" ca="1" si="124"/>
        <v>1.7987324726486786</v>
      </c>
      <c r="AK149">
        <f t="shared" ca="1" si="124"/>
        <v>1.8852865241533441</v>
      </c>
      <c r="AL149">
        <f t="shared" ca="1" si="124"/>
        <v>1.6922809380394925</v>
      </c>
      <c r="AM149">
        <f t="shared" ca="1" si="124"/>
        <v>1.8166402074427472</v>
      </c>
      <c r="AN149">
        <f t="shared" ca="1" si="124"/>
        <v>1.9469687217773581</v>
      </c>
      <c r="AO149">
        <f t="shared" ca="1" si="124"/>
        <v>2.2006616313599996</v>
      </c>
      <c r="AP149">
        <f t="shared" ca="1" si="124"/>
        <v>2.4553494150978667</v>
      </c>
    </row>
    <row r="150" spans="1:42">
      <c r="A150" s="48" t="str">
        <f>'[4]TS BYDem'!A80</f>
        <v/>
      </c>
      <c r="B150" t="s">
        <v>288</v>
      </c>
      <c r="C150" t="s">
        <v>137</v>
      </c>
      <c r="D150" s="3" t="str">
        <f>'[4]TS BYDem'!D80</f>
        <v>ICPO</v>
      </c>
      <c r="E150" t="s">
        <v>137</v>
      </c>
      <c r="F150" t="s">
        <v>137</v>
      </c>
      <c r="G150" t="s">
        <v>137</v>
      </c>
      <c r="H150" t="s">
        <v>137</v>
      </c>
      <c r="I150">
        <v>0</v>
      </c>
      <c r="J150">
        <f>INDEX('[4]TS BYDem'!$J$10:$J$203,MATCH(D150,'[4]TS BYDem'!$D$10:$D$203,0))</f>
        <v>4.4518130555969435</v>
      </c>
      <c r="K150">
        <f t="shared" ca="1" si="126"/>
        <v>4.5850692095165879</v>
      </c>
      <c r="L150">
        <f t="shared" ca="1" si="125"/>
        <v>4.6798205064498424</v>
      </c>
      <c r="M150" s="171">
        <f t="shared" si="122"/>
        <v>6.473440000000001</v>
      </c>
      <c r="N150" s="171">
        <f t="shared" si="123"/>
        <v>6.473440000000001</v>
      </c>
      <c r="O150" s="171">
        <f>INDEX('[4]TS BYDem'!$O$10:$O$203,MATCH(D150,'[4]TS BYDem'!$D$10:$D$203,0))</f>
        <v>6.473440000000001</v>
      </c>
      <c r="P150">
        <f t="shared" ca="1" si="125"/>
        <v>6.5467472790185601</v>
      </c>
      <c r="Q150">
        <f t="shared" ca="1" si="125"/>
        <v>6.5329455999440791</v>
      </c>
      <c r="R150">
        <f t="shared" ca="1" si="125"/>
        <v>6.4376648461084969</v>
      </c>
      <c r="S150">
        <f t="shared" ca="1" si="125"/>
        <v>6.7014109590296957</v>
      </c>
      <c r="T150">
        <f t="shared" ca="1" si="125"/>
        <v>6.6604341652304244</v>
      </c>
      <c r="U150">
        <f t="shared" ca="1" si="125"/>
        <v>6.6506483343210814</v>
      </c>
      <c r="V150">
        <f t="shared" ca="1" si="125"/>
        <v>6.6296050878144577</v>
      </c>
      <c r="W150">
        <f t="shared" ca="1" si="125"/>
        <v>6.6026481435168112</v>
      </c>
      <c r="X150">
        <f t="shared" ca="1" si="125"/>
        <v>6.6590243456462854</v>
      </c>
      <c r="Y150">
        <f t="shared" ca="1" si="125"/>
        <v>6.7154005477757615</v>
      </c>
      <c r="Z150">
        <f t="shared" ca="1" si="125"/>
        <v>6.7991357891739526</v>
      </c>
      <c r="AA150">
        <f t="shared" ca="1" si="124"/>
        <v>6.8364435699949277</v>
      </c>
      <c r="AB150">
        <f t="shared" ca="1" si="124"/>
        <v>6.8845291541641878</v>
      </c>
      <c r="AC150">
        <f t="shared" ca="1" si="124"/>
        <v>6.950025036049901</v>
      </c>
      <c r="AD150">
        <f t="shared" ca="1" si="124"/>
        <v>7.0196662269157244</v>
      </c>
      <c r="AE150">
        <f t="shared" ca="1" si="124"/>
        <v>7.117495518846285</v>
      </c>
      <c r="AF150">
        <f t="shared" ca="1" si="124"/>
        <v>7.219470119756954</v>
      </c>
      <c r="AG150">
        <f t="shared" ca="1" si="124"/>
        <v>5.6757570555645493</v>
      </c>
      <c r="AH150">
        <f t="shared" ca="1" si="124"/>
        <v>4.385736900954786</v>
      </c>
      <c r="AI150">
        <f t="shared" ca="1" si="124"/>
        <v>4.1933945642777513</v>
      </c>
      <c r="AJ150">
        <f t="shared" ca="1" si="124"/>
        <v>4.496831181621693</v>
      </c>
      <c r="AK150">
        <f t="shared" ca="1" si="124"/>
        <v>4.7132163103833564</v>
      </c>
      <c r="AL150">
        <f t="shared" ca="1" si="124"/>
        <v>4.2307023450987273</v>
      </c>
      <c r="AM150">
        <f t="shared" ca="1" si="124"/>
        <v>4.541600518606864</v>
      </c>
      <c r="AN150">
        <f t="shared" ca="1" si="124"/>
        <v>4.8674218044433912</v>
      </c>
      <c r="AO150">
        <f t="shared" ca="1" si="124"/>
        <v>5.5016540783999943</v>
      </c>
      <c r="AP150">
        <f t="shared" ca="1" si="124"/>
        <v>6.1383735377446618</v>
      </c>
    </row>
    <row r="151" spans="1:42">
      <c r="A151" s="48" t="str">
        <f>'[4]TS BYDem'!A81</f>
        <v/>
      </c>
      <c r="B151" t="s">
        <v>288</v>
      </c>
      <c r="C151" t="s">
        <v>137</v>
      </c>
      <c r="D151" s="3" t="str">
        <f>'[4]TS BYDem'!D81</f>
        <v>ICPE</v>
      </c>
      <c r="E151" t="s">
        <v>137</v>
      </c>
      <c r="F151" t="s">
        <v>137</v>
      </c>
      <c r="G151" t="s">
        <v>137</v>
      </c>
      <c r="H151" t="s">
        <v>137</v>
      </c>
      <c r="I151">
        <v>0</v>
      </c>
      <c r="J151">
        <f>INDEX('[4]TS BYDem'!$J$10:$J$203,MATCH(D151,'[4]TS BYDem'!$D$10:$D$203,0))</f>
        <v>1.6916889611268384</v>
      </c>
      <c r="K151">
        <f t="shared" ca="1" si="126"/>
        <v>1.7423262996163034</v>
      </c>
      <c r="L151">
        <f t="shared" ca="1" si="125"/>
        <v>1.7783317924509401</v>
      </c>
      <c r="M151" s="171">
        <f t="shared" si="122"/>
        <v>2.4599072000000004</v>
      </c>
      <c r="N151" s="171">
        <f t="shared" si="123"/>
        <v>2.4599072000000004</v>
      </c>
      <c r="O151" s="171">
        <f>INDEX('[4]TS BYDem'!$O$10:$O$203,MATCH(D151,'[4]TS BYDem'!$D$10:$D$203,0))</f>
        <v>2.4599072000000004</v>
      </c>
      <c r="P151">
        <f t="shared" ca="1" si="125"/>
        <v>2.4877639660270532</v>
      </c>
      <c r="Q151">
        <f t="shared" ca="1" si="125"/>
        <v>2.4825193279787503</v>
      </c>
      <c r="R151">
        <f t="shared" ca="1" si="125"/>
        <v>2.4463126415212293</v>
      </c>
      <c r="S151">
        <f t="shared" ca="1" si="125"/>
        <v>2.5465361644312847</v>
      </c>
      <c r="T151">
        <f t="shared" ca="1" si="125"/>
        <v>2.5309649827875615</v>
      </c>
      <c r="U151">
        <f t="shared" ca="1" si="125"/>
        <v>2.5272463670420113</v>
      </c>
      <c r="V151">
        <f t="shared" ca="1" si="125"/>
        <v>2.5192499333694944</v>
      </c>
      <c r="W151">
        <f t="shared" ca="1" si="125"/>
        <v>2.5090062945363889</v>
      </c>
      <c r="X151">
        <f t="shared" ca="1" si="125"/>
        <v>2.530429251345589</v>
      </c>
      <c r="Y151">
        <f t="shared" ca="1" si="125"/>
        <v>2.5518522081547901</v>
      </c>
      <c r="Z151">
        <f t="shared" ca="1" si="125"/>
        <v>2.5836715998861028</v>
      </c>
      <c r="AA151">
        <f t="shared" ca="1" si="124"/>
        <v>2.5978485565980733</v>
      </c>
      <c r="AB151">
        <f t="shared" ca="1" si="124"/>
        <v>2.6161210785823923</v>
      </c>
      <c r="AC151">
        <f t="shared" ca="1" si="124"/>
        <v>2.6410095136989633</v>
      </c>
      <c r="AD151">
        <f t="shared" ca="1" si="124"/>
        <v>2.6674731662279765</v>
      </c>
      <c r="AE151">
        <f t="shared" ca="1" si="124"/>
        <v>2.7046482971615897</v>
      </c>
      <c r="AF151">
        <f t="shared" ca="1" si="124"/>
        <v>2.7433986455076438</v>
      </c>
      <c r="AG151">
        <f t="shared" ca="1" si="124"/>
        <v>2.1567876811145297</v>
      </c>
      <c r="AH151">
        <f t="shared" ca="1" si="124"/>
        <v>1.6665800223628195</v>
      </c>
      <c r="AI151">
        <f t="shared" ca="1" si="124"/>
        <v>1.5934899344255462</v>
      </c>
      <c r="AJ151">
        <f t="shared" ca="1" si="124"/>
        <v>1.7087958490162443</v>
      </c>
      <c r="AK151">
        <f t="shared" ca="1" si="124"/>
        <v>1.7910221979456764</v>
      </c>
      <c r="AL151">
        <f t="shared" ca="1" si="124"/>
        <v>1.6076668911375174</v>
      </c>
      <c r="AM151">
        <f t="shared" ca="1" si="124"/>
        <v>1.7258081970706094</v>
      </c>
      <c r="AN151">
        <f t="shared" ca="1" si="124"/>
        <v>1.8496202856884898</v>
      </c>
      <c r="AO151">
        <f t="shared" ca="1" si="124"/>
        <v>2.0906285497919992</v>
      </c>
      <c r="AP151">
        <f t="shared" ca="1" si="124"/>
        <v>2.3325819443429729</v>
      </c>
    </row>
    <row r="152" spans="1:42">
      <c r="A152" s="48" t="str">
        <f>'[4]TS BYDem'!A82</f>
        <v>*</v>
      </c>
      <c r="B152" t="s">
        <v>288</v>
      </c>
      <c r="C152" t="s">
        <v>137</v>
      </c>
      <c r="D152" s="3" t="str">
        <f>'[4]TS BYDem'!D82</f>
        <v xml:space="preserve"> </v>
      </c>
      <c r="E152" t="s">
        <v>137</v>
      </c>
      <c r="F152" t="s">
        <v>137</v>
      </c>
      <c r="G152" t="s">
        <v>137</v>
      </c>
      <c r="H152" t="s">
        <v>137</v>
      </c>
      <c r="I152">
        <v>0</v>
      </c>
      <c r="J152" t="str">
        <f>INDEX('[4]TS BYDem'!$J$10:$J$203,MATCH(D152,'[4]TS BYDem'!$D$10:$D$203,0))</f>
        <v/>
      </c>
      <c r="K152" t="e">
        <f t="shared" ca="1" si="126"/>
        <v>#VALUE!</v>
      </c>
      <c r="L152" t="e">
        <f t="shared" ca="1" si="125"/>
        <v>#VALUE!</v>
      </c>
      <c r="M152" t="e">
        <f t="shared" ca="1" si="125"/>
        <v>#VALUE!</v>
      </c>
      <c r="N152" t="e">
        <f t="shared" ca="1" si="125"/>
        <v>#VALUE!</v>
      </c>
      <c r="O152" t="e">
        <f t="shared" ca="1" si="125"/>
        <v>#VALUE!</v>
      </c>
      <c r="P152" t="e">
        <f t="shared" ca="1" si="125"/>
        <v>#VALUE!</v>
      </c>
      <c r="Q152" t="e">
        <f t="shared" ca="1" si="125"/>
        <v>#VALUE!</v>
      </c>
      <c r="R152" t="e">
        <f t="shared" ca="1" si="125"/>
        <v>#VALUE!</v>
      </c>
      <c r="S152" t="e">
        <f t="shared" ca="1" si="125"/>
        <v>#VALUE!</v>
      </c>
      <c r="T152" t="e">
        <f t="shared" ca="1" si="125"/>
        <v>#VALUE!</v>
      </c>
      <c r="U152" t="e">
        <f t="shared" ca="1" si="125"/>
        <v>#VALUE!</v>
      </c>
      <c r="V152" t="e">
        <f t="shared" ca="1" si="125"/>
        <v>#VALUE!</v>
      </c>
      <c r="W152" t="e">
        <f t="shared" ca="1" si="125"/>
        <v>#VALUE!</v>
      </c>
      <c r="X152" t="e">
        <f t="shared" ca="1" si="125"/>
        <v>#VALUE!</v>
      </c>
      <c r="Y152" t="e">
        <f t="shared" ca="1" si="125"/>
        <v>#VALUE!</v>
      </c>
      <c r="Z152" t="e">
        <f t="shared" ca="1" si="125"/>
        <v>#VALUE!</v>
      </c>
      <c r="AA152" t="e">
        <f t="shared" ca="1" si="124"/>
        <v>#VALUE!</v>
      </c>
      <c r="AB152" t="e">
        <f t="shared" ca="1" si="124"/>
        <v>#VALUE!</v>
      </c>
      <c r="AC152" t="e">
        <f t="shared" ca="1" si="124"/>
        <v>#VALUE!</v>
      </c>
      <c r="AD152" t="e">
        <f t="shared" ca="1" si="124"/>
        <v>#VALUE!</v>
      </c>
      <c r="AE152" t="e">
        <f t="shared" ca="1" si="124"/>
        <v>#VALUE!</v>
      </c>
      <c r="AF152" t="e">
        <f t="shared" ca="1" si="124"/>
        <v>#VALUE!</v>
      </c>
      <c r="AG152" t="e">
        <f t="shared" ca="1" si="124"/>
        <v>#VALUE!</v>
      </c>
      <c r="AH152" t="e">
        <f t="shared" ca="1" si="124"/>
        <v>#VALUE!</v>
      </c>
      <c r="AI152" t="e">
        <f t="shared" ca="1" si="124"/>
        <v>#VALUE!</v>
      </c>
      <c r="AJ152" t="e">
        <f t="shared" ca="1" si="124"/>
        <v>#VALUE!</v>
      </c>
      <c r="AK152" t="e">
        <f t="shared" ca="1" si="124"/>
        <v>#VALUE!</v>
      </c>
      <c r="AL152" t="e">
        <f t="shared" ca="1" si="124"/>
        <v>#VALUE!</v>
      </c>
      <c r="AM152" t="e">
        <f t="shared" ca="1" si="124"/>
        <v>#VALUE!</v>
      </c>
      <c r="AN152" t="e">
        <f t="shared" ca="1" si="124"/>
        <v>#VALUE!</v>
      </c>
      <c r="AO152" t="e">
        <f t="shared" ca="1" si="124"/>
        <v>#VALUE!</v>
      </c>
      <c r="AP152" t="e">
        <f t="shared" ca="1" si="124"/>
        <v>#VALUE!</v>
      </c>
    </row>
    <row r="153" spans="1:42">
      <c r="A153" s="48" t="str">
        <f>'[4]TS BYDem'!A83</f>
        <v/>
      </c>
      <c r="B153" t="s">
        <v>288</v>
      </c>
      <c r="C153" t="s">
        <v>137</v>
      </c>
      <c r="D153" s="3" t="str">
        <f>'[4]TS BYDem'!D83</f>
        <v>ICPS</v>
      </c>
      <c r="E153" t="s">
        <v>137</v>
      </c>
      <c r="F153" t="s">
        <v>137</v>
      </c>
      <c r="G153" t="s">
        <v>137</v>
      </c>
      <c r="H153" t="s">
        <v>137</v>
      </c>
      <c r="I153">
        <v>0</v>
      </c>
      <c r="J153">
        <f>INDEX('[4]TS BYDem'!$J$10:$J$203,MATCH(D153,'[4]TS BYDem'!$D$10:$D$203,0))</f>
        <v>27.288197120140854</v>
      </c>
      <c r="K153">
        <f t="shared" ca="1" si="126"/>
        <v>28.105014931270503</v>
      </c>
      <c r="L153">
        <f t="shared" ca="1" si="125"/>
        <v>28.68581022429229</v>
      </c>
      <c r="M153" s="171">
        <f t="shared" ref="M153" si="127">O153</f>
        <v>19.307168400000002</v>
      </c>
      <c r="N153" s="171">
        <f t="shared" ref="N153" si="128">O153</f>
        <v>19.307168400000002</v>
      </c>
      <c r="O153" s="171">
        <f>INDEX('[4]TS BYDem'!$O$10:$O$203,MATCH(D153,'[4]TS BYDem'!$D$10:$D$203,0))</f>
        <v>19.307168400000002</v>
      </c>
      <c r="P153">
        <f t="shared" ca="1" si="125"/>
        <v>19.525808872601448</v>
      </c>
      <c r="Q153">
        <f t="shared" ca="1" si="125"/>
        <v>19.484645079920313</v>
      </c>
      <c r="R153">
        <f t="shared" ca="1" si="125"/>
        <v>19.200468265184636</v>
      </c>
      <c r="S153">
        <f t="shared" ca="1" si="125"/>
        <v>19.987096490211052</v>
      </c>
      <c r="T153">
        <f t="shared" ca="1" si="125"/>
        <v>19.864882357018406</v>
      </c>
      <c r="U153">
        <f t="shared" ca="1" si="125"/>
        <v>19.83569591436958</v>
      </c>
      <c r="V153">
        <f t="shared" ca="1" si="125"/>
        <v>19.772933997369332</v>
      </c>
      <c r="W153">
        <f t="shared" ca="1" si="125"/>
        <v>19.692534354659415</v>
      </c>
      <c r="X153">
        <f t="shared" ca="1" si="125"/>
        <v>19.860677541012606</v>
      </c>
      <c r="Y153">
        <f t="shared" ca="1" si="125"/>
        <v>20.028820727365801</v>
      </c>
      <c r="Z153">
        <f t="shared" ca="1" si="125"/>
        <v>20.278562812978635</v>
      </c>
      <c r="AA153">
        <f t="shared" ca="1" si="124"/>
        <v>20.389834039241773</v>
      </c>
      <c r="AB153">
        <f t="shared" ca="1" si="124"/>
        <v>20.533250286425385</v>
      </c>
      <c r="AC153">
        <f t="shared" ca="1" si="124"/>
        <v>20.728593105865123</v>
      </c>
      <c r="AD153">
        <f t="shared" ca="1" si="124"/>
        <v>20.936299394889659</v>
      </c>
      <c r="AE153">
        <f t="shared" ca="1" si="124"/>
        <v>21.22807727709079</v>
      </c>
      <c r="AF153">
        <f t="shared" ca="1" si="124"/>
        <v>21.532218628876716</v>
      </c>
      <c r="AG153">
        <f t="shared" ca="1" si="124"/>
        <v>16.928062555499537</v>
      </c>
      <c r="AH153">
        <f t="shared" ca="1" si="124"/>
        <v>13.080550820711737</v>
      </c>
      <c r="AI153">
        <f t="shared" ca="1" si="124"/>
        <v>12.506885831977307</v>
      </c>
      <c r="AJ153">
        <f t="shared" ca="1" si="124"/>
        <v>13.411891805584208</v>
      </c>
      <c r="AK153">
        <f t="shared" ca="1" si="124"/>
        <v>14.057264917910439</v>
      </c>
      <c r="AL153">
        <f t="shared" ca="1" si="124"/>
        <v>12.618157058240453</v>
      </c>
      <c r="AM153">
        <f t="shared" ca="1" si="124"/>
        <v>13.545417277099979</v>
      </c>
      <c r="AN153">
        <f t="shared" ca="1" si="124"/>
        <v>14.517185986464762</v>
      </c>
      <c r="AO153">
        <f t="shared" ca="1" si="124"/>
        <v>16.408796832938208</v>
      </c>
      <c r="AP153">
        <f t="shared" ca="1" si="124"/>
        <v>18.30782576116253</v>
      </c>
    </row>
    <row r="154" spans="1:42">
      <c r="A154" s="48" t="str">
        <f>'[4]TS BYDem'!A84</f>
        <v>*</v>
      </c>
      <c r="B154" t="s">
        <v>288</v>
      </c>
      <c r="C154" t="s">
        <v>137</v>
      </c>
      <c r="D154" s="3" t="str">
        <f>'[4]TS BYDem'!D84</f>
        <v>ICPS</v>
      </c>
      <c r="E154" t="s">
        <v>137</v>
      </c>
      <c r="F154" t="s">
        <v>137</v>
      </c>
      <c r="G154" t="s">
        <v>137</v>
      </c>
      <c r="H154" t="s">
        <v>137</v>
      </c>
      <c r="I154">
        <v>0</v>
      </c>
      <c r="J154">
        <f>INDEX('[4]TS BYDem'!$J$10:$J$203,MATCH(D154,'[4]TS BYDem'!$D$10:$D$203,0))</f>
        <v>27.288197120140854</v>
      </c>
      <c r="K154">
        <f t="shared" ca="1" si="126"/>
        <v>28.105014931270503</v>
      </c>
      <c r="L154">
        <f t="shared" ca="1" si="125"/>
        <v>28.68581022429229</v>
      </c>
      <c r="M154">
        <f t="shared" ca="1" si="125"/>
        <v>29.00514429109608</v>
      </c>
      <c r="N154">
        <f t="shared" ca="1" si="125"/>
        <v>29.316210809244762</v>
      </c>
      <c r="O154">
        <f t="shared" ca="1" si="125"/>
        <v>29.567854321434805</v>
      </c>
      <c r="P154">
        <f t="shared" ca="1" si="125"/>
        <v>29.902690041966938</v>
      </c>
      <c r="Q154">
        <f t="shared" ca="1" si="125"/>
        <v>29.839649983471691</v>
      </c>
      <c r="R154">
        <f t="shared" ca="1" si="125"/>
        <v>29.404449000833871</v>
      </c>
      <c r="S154">
        <f t="shared" ca="1" si="125"/>
        <v>30.609126366299328</v>
      </c>
      <c r="T154">
        <f t="shared" ca="1" si="125"/>
        <v>30.421962220247721</v>
      </c>
      <c r="U154">
        <f t="shared" ca="1" si="125"/>
        <v>30.37726480701123</v>
      </c>
      <c r="V154">
        <f t="shared" ca="1" si="125"/>
        <v>30.281148422653317</v>
      </c>
      <c r="W154">
        <f t="shared" ca="1" si="125"/>
        <v>30.158020842580921</v>
      </c>
      <c r="X154">
        <f t="shared" ca="1" si="125"/>
        <v>30.415522778454285</v>
      </c>
      <c r="Y154">
        <f t="shared" ca="1" si="125"/>
        <v>30.673024714327656</v>
      </c>
      <c r="Z154">
        <f t="shared" ca="1" si="125"/>
        <v>31.055490824963098</v>
      </c>
      <c r="AA154">
        <f t="shared" ca="1" si="124"/>
        <v>31.225896517820466</v>
      </c>
      <c r="AB154">
        <f t="shared" ca="1" si="124"/>
        <v>31.445530521947756</v>
      </c>
      <c r="AC154">
        <f t="shared" ca="1" si="124"/>
        <v>31.74468718274181</v>
      </c>
      <c r="AD154">
        <f t="shared" ca="1" si="124"/>
        <v>32.062777809408914</v>
      </c>
      <c r="AE154">
        <f t="shared" ca="1" si="124"/>
        <v>32.509619404012703</v>
      </c>
      <c r="AF154">
        <f t="shared" ca="1" si="124"/>
        <v>32.975394964489531</v>
      </c>
      <c r="AG154">
        <f t="shared" ca="1" si="124"/>
        <v>25.924386073368773</v>
      </c>
      <c r="AH154">
        <f t="shared" ca="1" si="124"/>
        <v>20.032135893678177</v>
      </c>
      <c r="AI154">
        <f t="shared" ca="1" si="124"/>
        <v>19.153599877169036</v>
      </c>
      <c r="AJ154">
        <f t="shared" ca="1" si="124"/>
        <v>20.539566179075695</v>
      </c>
      <c r="AK154">
        <f t="shared" ca="1" si="124"/>
        <v>21.527919197648476</v>
      </c>
      <c r="AL154">
        <f t="shared" ca="1" si="124"/>
        <v>19.324005570026415</v>
      </c>
      <c r="AM154">
        <f t="shared" ca="1" si="124"/>
        <v>20.744053010504544</v>
      </c>
      <c r="AN154">
        <f t="shared" ca="1" si="124"/>
        <v>22.232262728125622</v>
      </c>
      <c r="AO154">
        <f t="shared" ca="1" si="124"/>
        <v>25.129159506701029</v>
      </c>
      <c r="AP154">
        <f t="shared" ca="1" si="124"/>
        <v>28.037416664800254</v>
      </c>
    </row>
    <row r="155" spans="1:42">
      <c r="A155" s="48" t="str">
        <f>'[4]TS BYDem'!A85</f>
        <v>*</v>
      </c>
      <c r="B155" t="s">
        <v>288</v>
      </c>
      <c r="C155" t="s">
        <v>137</v>
      </c>
      <c r="D155" s="3" t="str">
        <f>'[4]TS BYDem'!D85</f>
        <v>ICPS</v>
      </c>
      <c r="E155" t="s">
        <v>137</v>
      </c>
      <c r="F155" t="s">
        <v>137</v>
      </c>
      <c r="G155" t="s">
        <v>137</v>
      </c>
      <c r="H155" t="s">
        <v>137</v>
      </c>
      <c r="I155">
        <v>0</v>
      </c>
      <c r="J155">
        <f>INDEX('[4]TS BYDem'!$J$10:$J$203,MATCH(D155,'[4]TS BYDem'!$D$10:$D$203,0))</f>
        <v>27.288197120140854</v>
      </c>
      <c r="K155">
        <f t="shared" ca="1" si="126"/>
        <v>28.105014931270503</v>
      </c>
      <c r="L155">
        <f t="shared" ca="1" si="125"/>
        <v>28.68581022429229</v>
      </c>
      <c r="M155">
        <f t="shared" ca="1" si="125"/>
        <v>29.00514429109608</v>
      </c>
      <c r="N155">
        <f t="shared" ca="1" si="125"/>
        <v>29.316210809244762</v>
      </c>
      <c r="O155">
        <f t="shared" ca="1" si="125"/>
        <v>29.567854321434805</v>
      </c>
      <c r="P155">
        <f t="shared" ca="1" si="125"/>
        <v>29.902690041966938</v>
      </c>
      <c r="Q155">
        <f t="shared" ca="1" si="125"/>
        <v>29.839649983471691</v>
      </c>
      <c r="R155">
        <f t="shared" ca="1" si="125"/>
        <v>29.404449000833871</v>
      </c>
      <c r="S155">
        <f t="shared" ca="1" si="125"/>
        <v>30.609126366299328</v>
      </c>
      <c r="T155">
        <f t="shared" ca="1" si="125"/>
        <v>30.421962220247721</v>
      </c>
      <c r="U155">
        <f t="shared" ca="1" si="125"/>
        <v>30.37726480701123</v>
      </c>
      <c r="V155">
        <f t="shared" ca="1" si="125"/>
        <v>30.281148422653317</v>
      </c>
      <c r="W155">
        <f t="shared" ca="1" si="125"/>
        <v>30.158020842580921</v>
      </c>
      <c r="X155">
        <f t="shared" ca="1" si="125"/>
        <v>30.415522778454285</v>
      </c>
      <c r="Y155">
        <f t="shared" ca="1" si="125"/>
        <v>30.673024714327656</v>
      </c>
      <c r="Z155">
        <f t="shared" ca="1" si="125"/>
        <v>31.055490824963098</v>
      </c>
      <c r="AA155">
        <f t="shared" ca="1" si="124"/>
        <v>31.225896517820466</v>
      </c>
      <c r="AB155">
        <f t="shared" ca="1" si="124"/>
        <v>31.445530521947756</v>
      </c>
      <c r="AC155">
        <f t="shared" ca="1" si="124"/>
        <v>31.74468718274181</v>
      </c>
      <c r="AD155">
        <f t="shared" ca="1" si="124"/>
        <v>32.062777809408914</v>
      </c>
      <c r="AE155">
        <f t="shared" ca="1" si="124"/>
        <v>32.509619404012703</v>
      </c>
      <c r="AF155">
        <f t="shared" ca="1" si="124"/>
        <v>32.975394964489531</v>
      </c>
      <c r="AG155">
        <f t="shared" ca="1" si="124"/>
        <v>25.924386073368773</v>
      </c>
      <c r="AH155">
        <f t="shared" ca="1" si="124"/>
        <v>20.032135893678177</v>
      </c>
      <c r="AI155">
        <f t="shared" ca="1" si="124"/>
        <v>19.153599877169036</v>
      </c>
      <c r="AJ155">
        <f t="shared" ca="1" si="124"/>
        <v>20.539566179075695</v>
      </c>
      <c r="AK155">
        <f t="shared" ca="1" si="124"/>
        <v>21.527919197648476</v>
      </c>
      <c r="AL155">
        <f t="shared" ca="1" si="124"/>
        <v>19.324005570026415</v>
      </c>
      <c r="AM155">
        <f t="shared" ca="1" si="124"/>
        <v>20.744053010504544</v>
      </c>
      <c r="AN155">
        <f t="shared" ca="1" si="124"/>
        <v>22.232262728125622</v>
      </c>
      <c r="AO155">
        <f t="shared" ca="1" si="124"/>
        <v>25.129159506701029</v>
      </c>
      <c r="AP155">
        <f t="shared" ca="1" si="124"/>
        <v>28.037416664800254</v>
      </c>
    </row>
    <row r="156" spans="1:42">
      <c r="A156" s="48" t="str">
        <f>'[4]TS BYDem'!A86</f>
        <v>*</v>
      </c>
      <c r="B156" t="s">
        <v>288</v>
      </c>
      <c r="C156" t="s">
        <v>137</v>
      </c>
      <c r="D156" s="3" t="str">
        <f>'[4]TS BYDem'!D86</f>
        <v>ICPS</v>
      </c>
      <c r="E156" t="s">
        <v>137</v>
      </c>
      <c r="F156" t="s">
        <v>137</v>
      </c>
      <c r="G156" t="s">
        <v>137</v>
      </c>
      <c r="H156" t="s">
        <v>137</v>
      </c>
      <c r="I156">
        <v>0</v>
      </c>
      <c r="J156">
        <f>INDEX('[4]TS BYDem'!$J$10:$J$203,MATCH(D156,'[4]TS BYDem'!$D$10:$D$203,0))</f>
        <v>27.288197120140854</v>
      </c>
      <c r="K156">
        <f t="shared" ca="1" si="126"/>
        <v>28.105014931270503</v>
      </c>
      <c r="L156">
        <f t="shared" ca="1" si="125"/>
        <v>28.68581022429229</v>
      </c>
      <c r="M156">
        <f t="shared" ca="1" si="125"/>
        <v>29.00514429109608</v>
      </c>
      <c r="N156">
        <f t="shared" ca="1" si="125"/>
        <v>29.316210809244762</v>
      </c>
      <c r="O156">
        <f t="shared" ca="1" si="125"/>
        <v>29.567854321434805</v>
      </c>
      <c r="P156">
        <f t="shared" ca="1" si="125"/>
        <v>29.902690041966938</v>
      </c>
      <c r="Q156">
        <f t="shared" ca="1" si="125"/>
        <v>29.839649983471691</v>
      </c>
      <c r="R156">
        <f t="shared" ca="1" si="125"/>
        <v>29.404449000833871</v>
      </c>
      <c r="S156">
        <f t="shared" ca="1" si="125"/>
        <v>30.609126366299328</v>
      </c>
      <c r="T156">
        <f t="shared" ca="1" si="125"/>
        <v>30.421962220247721</v>
      </c>
      <c r="U156">
        <f t="shared" ca="1" si="125"/>
        <v>30.37726480701123</v>
      </c>
      <c r="V156">
        <f t="shared" ca="1" si="125"/>
        <v>30.281148422653317</v>
      </c>
      <c r="W156">
        <f t="shared" ca="1" si="125"/>
        <v>30.158020842580921</v>
      </c>
      <c r="X156">
        <f t="shared" ca="1" si="125"/>
        <v>30.415522778454285</v>
      </c>
      <c r="Y156">
        <f t="shared" ca="1" si="125"/>
        <v>30.673024714327656</v>
      </c>
      <c r="Z156">
        <f t="shared" ca="1" si="125"/>
        <v>31.055490824963098</v>
      </c>
      <c r="AA156">
        <f t="shared" ca="1" si="124"/>
        <v>31.225896517820466</v>
      </c>
      <c r="AB156">
        <f t="shared" ca="1" si="124"/>
        <v>31.445530521947756</v>
      </c>
      <c r="AC156">
        <f t="shared" ca="1" si="124"/>
        <v>31.74468718274181</v>
      </c>
      <c r="AD156">
        <f t="shared" ca="1" si="124"/>
        <v>32.062777809408914</v>
      </c>
      <c r="AE156">
        <f t="shared" ca="1" si="124"/>
        <v>32.509619404012703</v>
      </c>
      <c r="AF156">
        <f t="shared" ca="1" si="124"/>
        <v>32.975394964489531</v>
      </c>
      <c r="AG156">
        <f t="shared" ca="1" si="124"/>
        <v>25.924386073368773</v>
      </c>
      <c r="AH156">
        <f t="shared" ca="1" si="124"/>
        <v>20.032135893678177</v>
      </c>
      <c r="AI156">
        <f t="shared" ca="1" si="124"/>
        <v>19.153599877169036</v>
      </c>
      <c r="AJ156">
        <f t="shared" ca="1" si="124"/>
        <v>20.539566179075695</v>
      </c>
      <c r="AK156">
        <f t="shared" ca="1" si="124"/>
        <v>21.527919197648476</v>
      </c>
      <c r="AL156">
        <f t="shared" ca="1" si="124"/>
        <v>19.324005570026415</v>
      </c>
      <c r="AM156">
        <f t="shared" ca="1" si="124"/>
        <v>20.744053010504544</v>
      </c>
      <c r="AN156">
        <f t="shared" ca="1" si="124"/>
        <v>22.232262728125622</v>
      </c>
      <c r="AO156">
        <f t="shared" ca="1" si="124"/>
        <v>25.129159506701029</v>
      </c>
      <c r="AP156">
        <f t="shared" ca="1" si="124"/>
        <v>28.037416664800254</v>
      </c>
    </row>
    <row r="157" spans="1:42">
      <c r="A157" s="48" t="str">
        <f>'[4]TS BYDem'!A87</f>
        <v>*</v>
      </c>
      <c r="B157" t="s">
        <v>288</v>
      </c>
      <c r="C157" t="s">
        <v>137</v>
      </c>
      <c r="D157" s="3" t="str">
        <f>'[4]TS BYDem'!D87</f>
        <v>ICPS</v>
      </c>
      <c r="E157" t="s">
        <v>137</v>
      </c>
      <c r="F157" t="s">
        <v>137</v>
      </c>
      <c r="G157" t="s">
        <v>137</v>
      </c>
      <c r="H157" t="s">
        <v>137</v>
      </c>
      <c r="I157">
        <v>0</v>
      </c>
      <c r="J157">
        <f>INDEX('[4]TS BYDem'!$J$10:$J$203,MATCH(D157,'[4]TS BYDem'!$D$10:$D$203,0))</f>
        <v>27.288197120140854</v>
      </c>
      <c r="K157">
        <f t="shared" ca="1" si="126"/>
        <v>28.105014931270503</v>
      </c>
      <c r="L157">
        <f t="shared" ca="1" si="125"/>
        <v>28.68581022429229</v>
      </c>
      <c r="M157">
        <f t="shared" ca="1" si="125"/>
        <v>29.00514429109608</v>
      </c>
      <c r="N157">
        <f t="shared" ca="1" si="125"/>
        <v>29.316210809244762</v>
      </c>
      <c r="O157">
        <f t="shared" ca="1" si="125"/>
        <v>29.567854321434805</v>
      </c>
      <c r="P157">
        <f t="shared" ca="1" si="125"/>
        <v>29.902690041966938</v>
      </c>
      <c r="Q157">
        <f t="shared" ca="1" si="125"/>
        <v>29.839649983471691</v>
      </c>
      <c r="R157">
        <f t="shared" ca="1" si="125"/>
        <v>29.404449000833871</v>
      </c>
      <c r="S157">
        <f t="shared" ca="1" si="125"/>
        <v>30.609126366299328</v>
      </c>
      <c r="T157">
        <f t="shared" ca="1" si="125"/>
        <v>30.421962220247721</v>
      </c>
      <c r="U157">
        <f t="shared" ca="1" si="125"/>
        <v>30.37726480701123</v>
      </c>
      <c r="V157">
        <f t="shared" ca="1" si="125"/>
        <v>30.281148422653317</v>
      </c>
      <c r="W157">
        <f t="shared" ca="1" si="125"/>
        <v>30.158020842580921</v>
      </c>
      <c r="X157">
        <f t="shared" ca="1" si="125"/>
        <v>30.415522778454285</v>
      </c>
      <c r="Y157">
        <f t="shared" ca="1" si="125"/>
        <v>30.673024714327656</v>
      </c>
      <c r="Z157">
        <f t="shared" ca="1" si="125"/>
        <v>31.055490824963098</v>
      </c>
      <c r="AA157">
        <f t="shared" ca="1" si="124"/>
        <v>31.225896517820466</v>
      </c>
      <c r="AB157">
        <f t="shared" ca="1" si="124"/>
        <v>31.445530521947756</v>
      </c>
      <c r="AC157">
        <f t="shared" ca="1" si="124"/>
        <v>31.74468718274181</v>
      </c>
      <c r="AD157">
        <f t="shared" ca="1" si="124"/>
        <v>32.062777809408914</v>
      </c>
      <c r="AE157">
        <f t="shared" ca="1" si="124"/>
        <v>32.509619404012703</v>
      </c>
      <c r="AF157">
        <f t="shared" ca="1" si="124"/>
        <v>32.975394964489531</v>
      </c>
      <c r="AG157">
        <f t="shared" ca="1" si="124"/>
        <v>25.924386073368773</v>
      </c>
      <c r="AH157">
        <f t="shared" ca="1" si="124"/>
        <v>20.032135893678177</v>
      </c>
      <c r="AI157">
        <f t="shared" ca="1" si="124"/>
        <v>19.153599877169036</v>
      </c>
      <c r="AJ157">
        <f t="shared" ca="1" si="124"/>
        <v>20.539566179075695</v>
      </c>
      <c r="AK157">
        <f t="shared" ca="1" si="124"/>
        <v>21.527919197648476</v>
      </c>
      <c r="AL157">
        <f t="shared" ca="1" si="124"/>
        <v>19.324005570026415</v>
      </c>
      <c r="AM157">
        <f t="shared" ca="1" si="124"/>
        <v>20.744053010504544</v>
      </c>
      <c r="AN157">
        <f t="shared" ca="1" si="124"/>
        <v>22.232262728125622</v>
      </c>
      <c r="AO157">
        <f t="shared" ca="1" si="124"/>
        <v>25.129159506701029</v>
      </c>
      <c r="AP157">
        <f t="shared" ca="1" si="124"/>
        <v>28.037416664800254</v>
      </c>
    </row>
    <row r="158" spans="1:42">
      <c r="A158" s="48" t="str">
        <f>'[4]TS BYDem'!A88</f>
        <v>*</v>
      </c>
      <c r="B158" t="s">
        <v>288</v>
      </c>
      <c r="C158" t="s">
        <v>137</v>
      </c>
      <c r="D158" s="3" t="str">
        <f>'[4]TS BYDem'!D88</f>
        <v>ICPS</v>
      </c>
      <c r="E158" t="s">
        <v>137</v>
      </c>
      <c r="F158" t="s">
        <v>137</v>
      </c>
      <c r="G158" t="s">
        <v>137</v>
      </c>
      <c r="H158" t="s">
        <v>137</v>
      </c>
      <c r="I158">
        <v>0</v>
      </c>
      <c r="J158">
        <f>INDEX('[4]TS BYDem'!$J$10:$J$203,MATCH(D158,'[4]TS BYDem'!$D$10:$D$203,0))</f>
        <v>27.288197120140854</v>
      </c>
      <c r="K158">
        <f t="shared" ca="1" si="126"/>
        <v>28.105014931270503</v>
      </c>
      <c r="L158">
        <f t="shared" ca="1" si="125"/>
        <v>28.68581022429229</v>
      </c>
      <c r="M158">
        <f t="shared" ca="1" si="125"/>
        <v>29.00514429109608</v>
      </c>
      <c r="N158">
        <f t="shared" ca="1" si="125"/>
        <v>29.316210809244762</v>
      </c>
      <c r="O158">
        <f t="shared" ca="1" si="125"/>
        <v>29.567854321434805</v>
      </c>
      <c r="P158">
        <f t="shared" ca="1" si="125"/>
        <v>29.902690041966938</v>
      </c>
      <c r="Q158">
        <f t="shared" ca="1" si="125"/>
        <v>29.839649983471691</v>
      </c>
      <c r="R158">
        <f t="shared" ca="1" si="125"/>
        <v>29.404449000833871</v>
      </c>
      <c r="S158">
        <f t="shared" ca="1" si="125"/>
        <v>30.609126366299328</v>
      </c>
      <c r="T158">
        <f t="shared" ca="1" si="125"/>
        <v>30.421962220247721</v>
      </c>
      <c r="U158">
        <f t="shared" ca="1" si="125"/>
        <v>30.37726480701123</v>
      </c>
      <c r="V158">
        <f t="shared" ca="1" si="125"/>
        <v>30.281148422653317</v>
      </c>
      <c r="W158">
        <f t="shared" ca="1" si="125"/>
        <v>30.158020842580921</v>
      </c>
      <c r="X158">
        <f t="shared" ca="1" si="125"/>
        <v>30.415522778454285</v>
      </c>
      <c r="Y158">
        <f t="shared" ca="1" si="125"/>
        <v>30.673024714327656</v>
      </c>
      <c r="Z158">
        <f t="shared" ca="1" si="125"/>
        <v>31.055490824963098</v>
      </c>
      <c r="AA158">
        <f t="shared" ca="1" si="124"/>
        <v>31.225896517820466</v>
      </c>
      <c r="AB158">
        <f t="shared" ca="1" si="124"/>
        <v>31.445530521947756</v>
      </c>
      <c r="AC158">
        <f t="shared" ca="1" si="124"/>
        <v>31.74468718274181</v>
      </c>
      <c r="AD158">
        <f t="shared" ca="1" si="124"/>
        <v>32.062777809408914</v>
      </c>
      <c r="AE158">
        <f t="shared" ca="1" si="124"/>
        <v>32.509619404012703</v>
      </c>
      <c r="AF158">
        <f t="shared" ca="1" si="124"/>
        <v>32.975394964489531</v>
      </c>
      <c r="AG158">
        <f t="shared" ca="1" si="124"/>
        <v>25.924386073368773</v>
      </c>
      <c r="AH158">
        <f t="shared" ca="1" si="124"/>
        <v>20.032135893678177</v>
      </c>
      <c r="AI158">
        <f t="shared" ca="1" si="124"/>
        <v>19.153599877169036</v>
      </c>
      <c r="AJ158">
        <f t="shared" ca="1" si="124"/>
        <v>20.539566179075695</v>
      </c>
      <c r="AK158">
        <f t="shared" ca="1" si="124"/>
        <v>21.527919197648476</v>
      </c>
      <c r="AL158">
        <f t="shared" ca="1" si="124"/>
        <v>19.324005570026415</v>
      </c>
      <c r="AM158">
        <f t="shared" ca="1" si="124"/>
        <v>20.744053010504544</v>
      </c>
      <c r="AN158">
        <f t="shared" ca="1" si="124"/>
        <v>22.232262728125622</v>
      </c>
      <c r="AO158">
        <f t="shared" ca="1" si="124"/>
        <v>25.129159506701029</v>
      </c>
      <c r="AP158">
        <f t="shared" ca="1" si="124"/>
        <v>28.037416664800254</v>
      </c>
    </row>
    <row r="159" spans="1:42">
      <c r="A159" s="48" t="str">
        <f>'[4]TS BYDem'!A89</f>
        <v>*</v>
      </c>
      <c r="B159" t="s">
        <v>288</v>
      </c>
      <c r="C159" t="s">
        <v>137</v>
      </c>
      <c r="D159" s="3">
        <f>'[4]TS BYDem'!D89</f>
        <v>0</v>
      </c>
      <c r="E159" t="s">
        <v>137</v>
      </c>
      <c r="F159" t="s">
        <v>137</v>
      </c>
      <c r="G159" t="s">
        <v>137</v>
      </c>
      <c r="H159" t="s">
        <v>137</v>
      </c>
      <c r="I159">
        <v>0</v>
      </c>
      <c r="J159" t="str">
        <f>INDEX('[4]TS BYDem'!$J$10:$J$203,MATCH(D159,'[4]TS BYDem'!$D$10:$D$203,0))</f>
        <v/>
      </c>
      <c r="K159" t="e">
        <f t="shared" ca="1" si="126"/>
        <v>#VALUE!</v>
      </c>
      <c r="L159" t="e">
        <f t="shared" ca="1" si="125"/>
        <v>#VALUE!</v>
      </c>
      <c r="M159" t="e">
        <f t="shared" ca="1" si="125"/>
        <v>#VALUE!</v>
      </c>
      <c r="N159" t="e">
        <f t="shared" ca="1" si="125"/>
        <v>#VALUE!</v>
      </c>
      <c r="O159" t="e">
        <f t="shared" ca="1" si="125"/>
        <v>#VALUE!</v>
      </c>
      <c r="P159" t="e">
        <f t="shared" ca="1" si="125"/>
        <v>#VALUE!</v>
      </c>
      <c r="Q159" t="e">
        <f t="shared" ca="1" si="125"/>
        <v>#VALUE!</v>
      </c>
      <c r="R159" t="e">
        <f t="shared" ca="1" si="125"/>
        <v>#VALUE!</v>
      </c>
      <c r="S159" t="e">
        <f t="shared" ca="1" si="125"/>
        <v>#VALUE!</v>
      </c>
      <c r="T159" t="e">
        <f t="shared" ca="1" si="125"/>
        <v>#VALUE!</v>
      </c>
      <c r="U159" t="e">
        <f t="shared" ca="1" si="125"/>
        <v>#VALUE!</v>
      </c>
      <c r="V159" t="e">
        <f t="shared" ca="1" si="125"/>
        <v>#VALUE!</v>
      </c>
      <c r="W159" t="e">
        <f t="shared" ca="1" si="125"/>
        <v>#VALUE!</v>
      </c>
      <c r="X159" t="e">
        <f t="shared" ca="1" si="125"/>
        <v>#VALUE!</v>
      </c>
      <c r="Y159" t="e">
        <f t="shared" ca="1" si="125"/>
        <v>#VALUE!</v>
      </c>
      <c r="Z159" t="e">
        <f t="shared" ca="1" si="125"/>
        <v>#VALUE!</v>
      </c>
      <c r="AA159" t="e">
        <f t="shared" ref="AA159:AP162" ca="1" si="129">AA$142/Z$142*Z159</f>
        <v>#VALUE!</v>
      </c>
      <c r="AB159" t="e">
        <f t="shared" ca="1" si="129"/>
        <v>#VALUE!</v>
      </c>
      <c r="AC159" t="e">
        <f t="shared" ca="1" si="129"/>
        <v>#VALUE!</v>
      </c>
      <c r="AD159" t="e">
        <f t="shared" ca="1" si="129"/>
        <v>#VALUE!</v>
      </c>
      <c r="AE159" t="e">
        <f t="shared" ca="1" si="129"/>
        <v>#VALUE!</v>
      </c>
      <c r="AF159" t="e">
        <f t="shared" ca="1" si="129"/>
        <v>#VALUE!</v>
      </c>
      <c r="AG159" t="e">
        <f t="shared" ca="1" si="129"/>
        <v>#VALUE!</v>
      </c>
      <c r="AH159" t="e">
        <f t="shared" ca="1" si="129"/>
        <v>#VALUE!</v>
      </c>
      <c r="AI159" t="e">
        <f t="shared" ca="1" si="129"/>
        <v>#VALUE!</v>
      </c>
      <c r="AJ159" t="e">
        <f t="shared" ca="1" si="129"/>
        <v>#VALUE!</v>
      </c>
      <c r="AK159" t="e">
        <f t="shared" ca="1" si="129"/>
        <v>#VALUE!</v>
      </c>
      <c r="AL159" t="e">
        <f t="shared" ca="1" si="129"/>
        <v>#VALUE!</v>
      </c>
      <c r="AM159" t="e">
        <f t="shared" ca="1" si="129"/>
        <v>#VALUE!</v>
      </c>
      <c r="AN159" t="e">
        <f t="shared" ca="1" si="129"/>
        <v>#VALUE!</v>
      </c>
      <c r="AO159" t="e">
        <f t="shared" ca="1" si="129"/>
        <v>#VALUE!</v>
      </c>
      <c r="AP159" t="e">
        <f t="shared" ca="1" si="129"/>
        <v>#VALUE!</v>
      </c>
    </row>
    <row r="160" spans="1:42">
      <c r="A160" s="48" t="str">
        <f>'[4]TS BYDem'!A90</f>
        <v/>
      </c>
      <c r="B160" t="s">
        <v>288</v>
      </c>
      <c r="C160" t="s">
        <v>137</v>
      </c>
      <c r="D160" s="3" t="str">
        <f>'[4]TS BYDem'!D90</f>
        <v>ICPT</v>
      </c>
      <c r="E160" t="s">
        <v>137</v>
      </c>
      <c r="F160" t="s">
        <v>137</v>
      </c>
      <c r="G160" t="s">
        <v>137</v>
      </c>
      <c r="H160" t="s">
        <v>137</v>
      </c>
      <c r="I160">
        <v>0</v>
      </c>
      <c r="J160">
        <f>INDEX('[4]TS BYDem'!$J$10:$J$203,MATCH(D160,'[4]TS BYDem'!$D$10:$D$203,0))</f>
        <v>26.6</v>
      </c>
      <c r="K160">
        <f t="shared" ca="1" si="126"/>
        <v>27.396218001518768</v>
      </c>
      <c r="L160">
        <f t="shared" ca="1" si="126"/>
        <v>27.962365875867597</v>
      </c>
      <c r="M160" s="171">
        <f t="shared" ref="M160" si="130">O160</f>
        <v>26.6</v>
      </c>
      <c r="N160" s="171">
        <f t="shared" ref="N160" si="131">O160</f>
        <v>26.6</v>
      </c>
      <c r="O160" s="171">
        <f>INDEX('[4]TS BYDem'!$O$10:$O$203,MATCH(D160,'[4]TS BYDem'!$D$10:$D$203,0))</f>
        <v>26.6</v>
      </c>
      <c r="P160">
        <f t="shared" ref="P160:Z162" ca="1" si="132">P$142/O$142*O160</f>
        <v>26.901226800880782</v>
      </c>
      <c r="Q160">
        <f t="shared" ca="1" si="132"/>
        <v>26.844514347628536</v>
      </c>
      <c r="R160">
        <f t="shared" ca="1" si="132"/>
        <v>26.452996383141883</v>
      </c>
      <c r="S160">
        <f t="shared" ca="1" si="132"/>
        <v>27.536755034446891</v>
      </c>
      <c r="T160">
        <f t="shared" ca="1" si="132"/>
        <v>27.368377368930471</v>
      </c>
      <c r="U160">
        <f t="shared" ca="1" si="132"/>
        <v>27.328166429740715</v>
      </c>
      <c r="V160">
        <f t="shared" ca="1" si="132"/>
        <v>27.241697665517027</v>
      </c>
      <c r="W160">
        <f t="shared" ca="1" si="132"/>
        <v>27.13092893694035</v>
      </c>
      <c r="X160">
        <f t="shared" ca="1" si="132"/>
        <v>27.362584281956913</v>
      </c>
      <c r="Y160">
        <f t="shared" ca="1" si="132"/>
        <v>27.594239626973483</v>
      </c>
      <c r="Z160">
        <f t="shared" ca="1" si="132"/>
        <v>27.938315948248089</v>
      </c>
      <c r="AA160">
        <f t="shared" ca="1" si="129"/>
        <v>28.091617279509048</v>
      </c>
      <c r="AB160">
        <f t="shared" ca="1" si="129"/>
        <v>28.289205662023186</v>
      </c>
      <c r="AC160">
        <f t="shared" ca="1" si="129"/>
        <v>28.55833466579243</v>
      </c>
      <c r="AD160">
        <f t="shared" ca="1" si="129"/>
        <v>28.844497150812899</v>
      </c>
      <c r="AE160">
        <f t="shared" ca="1" si="129"/>
        <v>29.246487308341649</v>
      </c>
      <c r="AF160">
        <f t="shared" ca="1" si="129"/>
        <v>29.665510947121618</v>
      </c>
      <c r="AG160">
        <f t="shared" ca="1" si="129"/>
        <v>23.322242529167955</v>
      </c>
      <c r="AH160">
        <f t="shared" ca="1" si="129"/>
        <v>18.021423163788853</v>
      </c>
      <c r="AI160">
        <f t="shared" ca="1" si="129"/>
        <v>17.231069633732325</v>
      </c>
      <c r="AJ160">
        <f t="shared" ca="1" si="129"/>
        <v>18.477920461321499</v>
      </c>
      <c r="AK160">
        <f t="shared" ca="1" si="129"/>
        <v>19.367068182635091</v>
      </c>
      <c r="AL160">
        <f t="shared" ca="1" si="129"/>
        <v>17.384370964993291</v>
      </c>
      <c r="AM160">
        <f t="shared" ca="1" si="129"/>
        <v>18.661882058834653</v>
      </c>
      <c r="AN160">
        <f t="shared" ca="1" si="129"/>
        <v>20.000713685180401</v>
      </c>
      <c r="AO160">
        <f t="shared" ca="1" si="129"/>
        <v>22.6068363166168</v>
      </c>
      <c r="AP160">
        <f t="shared" ca="1" si="129"/>
        <v>25.223179036803927</v>
      </c>
    </row>
    <row r="161" spans="1:42">
      <c r="A161" s="48" t="str">
        <f>'[4]TS BYDem'!A91</f>
        <v>*</v>
      </c>
      <c r="B161" t="s">
        <v>288</v>
      </c>
      <c r="C161" t="s">
        <v>137</v>
      </c>
      <c r="D161" s="3" t="str">
        <f>'[4]TS BYDem'!D91</f>
        <v>Useful Energy Service</v>
      </c>
      <c r="E161" t="s">
        <v>137</v>
      </c>
      <c r="F161" t="s">
        <v>137</v>
      </c>
      <c r="G161" t="s">
        <v>137</v>
      </c>
      <c r="H161" t="s">
        <v>137</v>
      </c>
      <c r="I161">
        <v>0</v>
      </c>
      <c r="J161" t="str">
        <f>INDEX('[4]TS BYDem'!$J$10:$J$203,MATCH(D161,'[4]TS BYDem'!$D$10:$D$203,0))</f>
        <v/>
      </c>
      <c r="K161" t="e">
        <f t="shared" ca="1" si="126"/>
        <v>#VALUE!</v>
      </c>
      <c r="L161" t="e">
        <f t="shared" ca="1" si="126"/>
        <v>#VALUE!</v>
      </c>
      <c r="M161" t="e">
        <f t="shared" ca="1" si="126"/>
        <v>#VALUE!</v>
      </c>
      <c r="N161" t="e">
        <f t="shared" ca="1" si="126"/>
        <v>#VALUE!</v>
      </c>
      <c r="O161" t="e">
        <f t="shared" ca="1" si="126"/>
        <v>#VALUE!</v>
      </c>
      <c r="P161" t="e">
        <f t="shared" ca="1" si="132"/>
        <v>#VALUE!</v>
      </c>
      <c r="Q161" t="e">
        <f t="shared" ca="1" si="132"/>
        <v>#VALUE!</v>
      </c>
      <c r="R161" t="e">
        <f t="shared" ca="1" si="132"/>
        <v>#VALUE!</v>
      </c>
      <c r="S161" t="e">
        <f t="shared" ca="1" si="132"/>
        <v>#VALUE!</v>
      </c>
      <c r="T161" t="e">
        <f t="shared" ca="1" si="132"/>
        <v>#VALUE!</v>
      </c>
      <c r="U161" t="e">
        <f t="shared" ca="1" si="132"/>
        <v>#VALUE!</v>
      </c>
      <c r="V161" t="e">
        <f t="shared" ca="1" si="132"/>
        <v>#VALUE!</v>
      </c>
      <c r="W161" t="e">
        <f t="shared" ca="1" si="132"/>
        <v>#VALUE!</v>
      </c>
      <c r="X161" t="e">
        <f t="shared" ca="1" si="132"/>
        <v>#VALUE!</v>
      </c>
      <c r="Y161" t="e">
        <f t="shared" ca="1" si="132"/>
        <v>#VALUE!</v>
      </c>
      <c r="Z161" t="e">
        <f t="shared" ca="1" si="132"/>
        <v>#VALUE!</v>
      </c>
      <c r="AA161" t="e">
        <f t="shared" ca="1" si="129"/>
        <v>#VALUE!</v>
      </c>
      <c r="AB161" t="e">
        <f t="shared" ca="1" si="129"/>
        <v>#VALUE!</v>
      </c>
      <c r="AC161" t="e">
        <f t="shared" ca="1" si="129"/>
        <v>#VALUE!</v>
      </c>
      <c r="AD161" t="e">
        <f t="shared" ca="1" si="129"/>
        <v>#VALUE!</v>
      </c>
      <c r="AE161" t="e">
        <f t="shared" ca="1" si="129"/>
        <v>#VALUE!</v>
      </c>
      <c r="AF161" t="e">
        <f t="shared" ca="1" si="129"/>
        <v>#VALUE!</v>
      </c>
      <c r="AG161" t="e">
        <f t="shared" ca="1" si="129"/>
        <v>#VALUE!</v>
      </c>
      <c r="AH161" t="e">
        <f t="shared" ca="1" si="129"/>
        <v>#VALUE!</v>
      </c>
      <c r="AI161" t="e">
        <f t="shared" ca="1" si="129"/>
        <v>#VALUE!</v>
      </c>
      <c r="AJ161" t="e">
        <f t="shared" ca="1" si="129"/>
        <v>#VALUE!</v>
      </c>
      <c r="AK161" t="e">
        <f t="shared" ca="1" si="129"/>
        <v>#VALUE!</v>
      </c>
      <c r="AL161" t="e">
        <f t="shared" ca="1" si="129"/>
        <v>#VALUE!</v>
      </c>
      <c r="AM161" t="e">
        <f t="shared" ca="1" si="129"/>
        <v>#VALUE!</v>
      </c>
      <c r="AN161" t="e">
        <f t="shared" ca="1" si="129"/>
        <v>#VALUE!</v>
      </c>
      <c r="AO161" t="e">
        <f t="shared" ca="1" si="129"/>
        <v>#VALUE!</v>
      </c>
      <c r="AP161" t="e">
        <f t="shared" ca="1" si="129"/>
        <v>#VALUE!</v>
      </c>
    </row>
    <row r="162" spans="1:42">
      <c r="A162" s="48" t="str">
        <f>'[4]TS BYDem'!A92</f>
        <v>*</v>
      </c>
      <c r="B162" t="s">
        <v>288</v>
      </c>
      <c r="C162" t="s">
        <v>137</v>
      </c>
      <c r="D162" s="3">
        <f>'[4]TS BYDem'!D92</f>
        <v>0</v>
      </c>
      <c r="E162" t="s">
        <v>137</v>
      </c>
      <c r="F162" t="s">
        <v>137</v>
      </c>
      <c r="G162" t="s">
        <v>137</v>
      </c>
      <c r="H162" t="s">
        <v>137</v>
      </c>
      <c r="I162">
        <v>0</v>
      </c>
      <c r="J162" t="str">
        <f>INDEX('[4]TS BYDem'!$J$10:$J$203,MATCH(D162,'[4]TS BYDem'!$D$10:$D$203,0))</f>
        <v/>
      </c>
      <c r="K162" t="e">
        <f t="shared" ca="1" si="126"/>
        <v>#VALUE!</v>
      </c>
      <c r="L162" t="e">
        <f t="shared" ca="1" si="126"/>
        <v>#VALUE!</v>
      </c>
      <c r="M162" t="e">
        <f t="shared" ca="1" si="126"/>
        <v>#VALUE!</v>
      </c>
      <c r="N162" t="e">
        <f t="shared" ca="1" si="126"/>
        <v>#VALUE!</v>
      </c>
      <c r="O162" t="e">
        <f t="shared" ca="1" si="126"/>
        <v>#VALUE!</v>
      </c>
      <c r="P162" t="e">
        <f t="shared" ca="1" si="132"/>
        <v>#VALUE!</v>
      </c>
      <c r="Q162" t="e">
        <f t="shared" ca="1" si="132"/>
        <v>#VALUE!</v>
      </c>
      <c r="R162" t="e">
        <f t="shared" ca="1" si="132"/>
        <v>#VALUE!</v>
      </c>
      <c r="S162" t="e">
        <f t="shared" ca="1" si="132"/>
        <v>#VALUE!</v>
      </c>
      <c r="T162" t="e">
        <f t="shared" ca="1" si="132"/>
        <v>#VALUE!</v>
      </c>
      <c r="U162" t="e">
        <f t="shared" ca="1" si="132"/>
        <v>#VALUE!</v>
      </c>
      <c r="V162" t="e">
        <f t="shared" ca="1" si="132"/>
        <v>#VALUE!</v>
      </c>
      <c r="W162" t="e">
        <f t="shared" ca="1" si="132"/>
        <v>#VALUE!</v>
      </c>
      <c r="X162" t="e">
        <f t="shared" ca="1" si="132"/>
        <v>#VALUE!</v>
      </c>
      <c r="Y162" t="e">
        <f t="shared" ca="1" si="132"/>
        <v>#VALUE!</v>
      </c>
      <c r="Z162" t="e">
        <f t="shared" ca="1" si="132"/>
        <v>#VALUE!</v>
      </c>
      <c r="AA162" t="e">
        <f t="shared" ca="1" si="129"/>
        <v>#VALUE!</v>
      </c>
      <c r="AB162" t="e">
        <f t="shared" ca="1" si="129"/>
        <v>#VALUE!</v>
      </c>
      <c r="AC162" t="e">
        <f t="shared" ca="1" si="129"/>
        <v>#VALUE!</v>
      </c>
      <c r="AD162" t="e">
        <f t="shared" ca="1" si="129"/>
        <v>#VALUE!</v>
      </c>
      <c r="AE162" t="e">
        <f t="shared" ca="1" si="129"/>
        <v>#VALUE!</v>
      </c>
      <c r="AF162" t="e">
        <f t="shared" ca="1" si="129"/>
        <v>#VALUE!</v>
      </c>
      <c r="AG162" t="e">
        <f t="shared" ca="1" si="129"/>
        <v>#VALUE!</v>
      </c>
      <c r="AH162" t="e">
        <f t="shared" ca="1" si="129"/>
        <v>#VALUE!</v>
      </c>
      <c r="AI162" t="e">
        <f t="shared" ca="1" si="129"/>
        <v>#VALUE!</v>
      </c>
      <c r="AJ162" t="e">
        <f t="shared" ca="1" si="129"/>
        <v>#VALUE!</v>
      </c>
      <c r="AK162" t="e">
        <f t="shared" ca="1" si="129"/>
        <v>#VALUE!</v>
      </c>
      <c r="AL162" t="e">
        <f t="shared" ca="1" si="129"/>
        <v>#VALUE!</v>
      </c>
      <c r="AM162" t="e">
        <f t="shared" ca="1" si="129"/>
        <v>#VALUE!</v>
      </c>
      <c r="AN162" t="e">
        <f t="shared" ca="1" si="129"/>
        <v>#VALUE!</v>
      </c>
      <c r="AO162" t="e">
        <f t="shared" ca="1" si="129"/>
        <v>#VALUE!</v>
      </c>
      <c r="AP162" t="e">
        <f t="shared" ca="1" si="129"/>
        <v>#VALUE!</v>
      </c>
    </row>
    <row r="163" spans="1:42" s="2" customFormat="1">
      <c r="A163" s="48" t="str">
        <f>'[4]TS BYDem'!A89</f>
        <v>*</v>
      </c>
      <c r="B163" s="2">
        <f>B142+2</f>
        <v>8</v>
      </c>
      <c r="C163" s="1" t="str">
        <f ca="1">OFFSET($C$9,$B163,0)</f>
        <v>Precious &amp; Non-Ferrous metals</v>
      </c>
      <c r="D163" s="1" t="str">
        <f ca="1">OFFSET($B$9,$B163,0)</f>
        <v>NF</v>
      </c>
      <c r="J163" s="2">
        <f t="shared" ref="J163:AA163" ca="1" si="133">SUMIF($B$10:$B$25,$D163,J$10:J$25)*SUMIF($B$10:$B$25,$D163,J$47:J$62)</f>
        <v>18.748363502594032</v>
      </c>
      <c r="K163" s="2">
        <f t="shared" ca="1" si="133"/>
        <v>15.909210489014884</v>
      </c>
      <c r="L163" s="2">
        <f t="shared" ca="1" si="133"/>
        <v>14.603991495393339</v>
      </c>
      <c r="M163" s="2">
        <f t="shared" ca="1" si="133"/>
        <v>14.80978596739901</v>
      </c>
      <c r="N163" s="2">
        <f t="shared" ca="1" si="133"/>
        <v>14.414883061658401</v>
      </c>
      <c r="O163" s="2">
        <f t="shared" ca="1" si="133"/>
        <v>13.877221828490436</v>
      </c>
      <c r="P163" s="2">
        <f t="shared" ca="1" si="133"/>
        <v>13.621369241672575</v>
      </c>
      <c r="Q163" s="2">
        <f t="shared" ca="1" si="133"/>
        <v>13.08</v>
      </c>
      <c r="R163" s="2">
        <f t="shared" ca="1" si="133"/>
        <v>12.33</v>
      </c>
      <c r="S163" s="2">
        <f t="shared" ca="1" si="133"/>
        <v>12.862245000000001</v>
      </c>
      <c r="T163" s="2">
        <f t="shared" ca="1" si="133"/>
        <v>11.785681875000002</v>
      </c>
      <c r="U163" s="2">
        <f t="shared" ca="1" si="133"/>
        <v>11.285032500000003</v>
      </c>
      <c r="V163" s="2">
        <f t="shared" ca="1" si="133"/>
        <v>11.016341250000004</v>
      </c>
      <c r="W163" s="2">
        <f t="shared" ca="1" si="133"/>
        <v>10.901775000000004</v>
      </c>
      <c r="X163" s="2">
        <f t="shared" ca="1" si="133"/>
        <v>11.569649999999999</v>
      </c>
      <c r="Y163" s="2">
        <f t="shared" ca="1" si="133"/>
        <v>12.052574999999999</v>
      </c>
      <c r="Z163" s="2">
        <f t="shared" ca="1" si="133"/>
        <v>13.809599999999998</v>
      </c>
      <c r="AA163" s="2">
        <f t="shared" ca="1" si="133"/>
        <v>14.8782</v>
      </c>
      <c r="AB163" s="2">
        <f ca="1">SUMIF($B$10:$B$25,$D163,AB$10:AB$25)*SUMIF($B$10:$B$25,$D163,AB$46:AB$62)</f>
        <v>15.176174999999999</v>
      </c>
      <c r="AC163" s="2">
        <f t="shared" ref="AC163:AP163" ca="1" si="134">SUMIF($B$10:$B$25,$D163,AC$10:AC$25)*SUMIF($B$10:$B$25,$D163,AC$47:AC$62)</f>
        <v>15.135074999999999</v>
      </c>
      <c r="AD163" s="2">
        <f t="shared" ca="1" si="134"/>
        <v>15.063149999999998</v>
      </c>
      <c r="AE163" s="2">
        <f t="shared" ca="1" si="134"/>
        <v>15.145349999999997</v>
      </c>
      <c r="AF163" s="2">
        <f t="shared" ca="1" si="134"/>
        <v>15.453599999999998</v>
      </c>
      <c r="AG163" s="2">
        <f t="shared" ca="1" si="134"/>
        <v>18.402525000000001</v>
      </c>
      <c r="AH163" s="2">
        <f t="shared" ca="1" si="134"/>
        <v>21.238425000000003</v>
      </c>
      <c r="AI163" s="2">
        <f t="shared" ca="1" si="134"/>
        <v>20.806875000000002</v>
      </c>
      <c r="AJ163" s="2">
        <f t="shared" ca="1" si="134"/>
        <v>20.919900000000002</v>
      </c>
      <c r="AK163" s="2">
        <f t="shared" ca="1" si="134"/>
        <v>20.128725000000003</v>
      </c>
      <c r="AL163" s="2">
        <f t="shared" ca="1" si="134"/>
        <v>21.341175000000003</v>
      </c>
      <c r="AM163" s="2">
        <f t="shared" ca="1" si="134"/>
        <v>18.484725000000001</v>
      </c>
      <c r="AN163" s="2">
        <f t="shared" ca="1" si="134"/>
        <v>17.148975000000004</v>
      </c>
      <c r="AO163" s="2">
        <f t="shared" ca="1" si="134"/>
        <v>12.703325000000063</v>
      </c>
      <c r="AP163" s="2">
        <f t="shared" ca="1" si="134"/>
        <v>8.5111249999999927</v>
      </c>
    </row>
    <row r="164" spans="1:42">
      <c r="A164" s="48" t="str">
        <f>'[4]TS BYDem'!A94</f>
        <v/>
      </c>
      <c r="B164" t="s">
        <v>288</v>
      </c>
      <c r="C164" t="s">
        <v>137</v>
      </c>
      <c r="D164" s="3" t="str">
        <f>'[4]TS BYDem'!D94</f>
        <v>INFK</v>
      </c>
      <c r="E164" t="s">
        <v>137</v>
      </c>
      <c r="F164" t="s">
        <v>137</v>
      </c>
      <c r="G164" t="s">
        <v>137</v>
      </c>
      <c r="H164" t="s">
        <v>137</v>
      </c>
      <c r="I164">
        <v>0</v>
      </c>
      <c r="J164">
        <f>INDEX('[4]TS BYDem'!$J$10:$J$203,MATCH(D164,'[4]TS BYDem'!$D$10:$D$203,0))</f>
        <v>0.66789588210349726</v>
      </c>
      <c r="K164">
        <f ca="1">K$163/J$163*J164</f>
        <v>0.56675326204661181</v>
      </c>
      <c r="L164">
        <f t="shared" ref="L164:AP173" ca="1" si="135">L$163/K$163*K164</f>
        <v>0.52025584956778481</v>
      </c>
      <c r="M164" s="171">
        <f t="shared" ref="M164:M172" si="136">O164</f>
        <v>0.10062942167027458</v>
      </c>
      <c r="N164" s="171">
        <f t="shared" ref="N164:N172" si="137">O164</f>
        <v>0.10062942167027458</v>
      </c>
      <c r="O164" s="171">
        <f>INDEX('[4]TS BYDem'!$O$10:$O$203,MATCH(D164,'[4]TS BYDem'!$D$10:$D$203,0))</f>
        <v>0.10062942167027458</v>
      </c>
      <c r="P164">
        <f t="shared" ca="1" si="135"/>
        <v>9.8774129727656285E-2</v>
      </c>
      <c r="Q164">
        <f t="shared" ca="1" si="135"/>
        <v>9.4848439530232059E-2</v>
      </c>
      <c r="R164">
        <f t="shared" ca="1" si="135"/>
        <v>8.9409882217718756E-2</v>
      </c>
      <c r="S164">
        <f t="shared" ca="1" si="135"/>
        <v>9.3269408800116957E-2</v>
      </c>
      <c r="T164">
        <f t="shared" ca="1" si="135"/>
        <v>8.5462808458982381E-2</v>
      </c>
      <c r="U164">
        <f t="shared" ca="1" si="135"/>
        <v>8.1832394699767108E-2</v>
      </c>
      <c r="V164">
        <f t="shared" ca="1" si="135"/>
        <v>7.988400434977265E-2</v>
      </c>
      <c r="W164">
        <f t="shared" ca="1" si="135"/>
        <v>7.9053237527499681E-2</v>
      </c>
      <c r="X164">
        <f t="shared" ca="1" si="135"/>
        <v>8.3896272814292752E-2</v>
      </c>
      <c r="Y164">
        <f t="shared" ca="1" si="135"/>
        <v>8.7398159867820069E-2</v>
      </c>
      <c r="Z164">
        <f t="shared" ca="1" si="135"/>
        <v>0.10013906808384498</v>
      </c>
      <c r="AA164">
        <f t="shared" ca="1" si="135"/>
        <v>0.10788792454271395</v>
      </c>
      <c r="AB164">
        <f t="shared" ca="1" si="135"/>
        <v>0.11004866336297549</v>
      </c>
      <c r="AC164">
        <f t="shared" ca="1" si="135"/>
        <v>0.10975063042224976</v>
      </c>
      <c r="AD164">
        <f t="shared" ca="1" si="135"/>
        <v>0.10922907277597974</v>
      </c>
      <c r="AE164">
        <f t="shared" ca="1" si="135"/>
        <v>0.10982513865743118</v>
      </c>
      <c r="AF164">
        <f t="shared" ca="1" si="135"/>
        <v>0.11206038571287415</v>
      </c>
      <c r="AG164">
        <f t="shared" ca="1" si="135"/>
        <v>0.13344424920994524</v>
      </c>
      <c r="AH164">
        <f t="shared" ca="1" si="135"/>
        <v>0.15400852212002056</v>
      </c>
      <c r="AI164">
        <f t="shared" ca="1" si="135"/>
        <v>0.15087917624240038</v>
      </c>
      <c r="AJ164">
        <f t="shared" ca="1" si="135"/>
        <v>0.15169876682939615</v>
      </c>
      <c r="AK164">
        <f t="shared" ca="1" si="135"/>
        <v>0.14596163272042587</v>
      </c>
      <c r="AL164">
        <f t="shared" ca="1" si="135"/>
        <v>0.15475360447183487</v>
      </c>
      <c r="AM164">
        <f t="shared" ca="1" si="135"/>
        <v>0.13404031509139666</v>
      </c>
      <c r="AN164">
        <f t="shared" ca="1" si="135"/>
        <v>0.12435424451781049</v>
      </c>
      <c r="AO164">
        <f t="shared" ca="1" si="135"/>
        <v>9.2117014762644556E-2</v>
      </c>
      <c r="AP164">
        <f t="shared" ca="1" si="135"/>
        <v>6.1717654808619675E-2</v>
      </c>
    </row>
    <row r="165" spans="1:42">
      <c r="A165" s="48" t="str">
        <f>'[4]TS BYDem'!A95</f>
        <v/>
      </c>
      <c r="B165" t="s">
        <v>288</v>
      </c>
      <c r="C165" t="s">
        <v>137</v>
      </c>
      <c r="D165" s="3" t="str">
        <f>'[4]TS BYDem'!D95</f>
        <v>INFA</v>
      </c>
      <c r="E165" t="s">
        <v>137</v>
      </c>
      <c r="F165" t="s">
        <v>137</v>
      </c>
      <c r="G165" t="s">
        <v>137</v>
      </c>
      <c r="H165" t="s">
        <v>137</v>
      </c>
      <c r="I165">
        <v>0</v>
      </c>
      <c r="J165">
        <f>INDEX('[4]TS BYDem'!$J$10:$J$203,MATCH(D165,'[4]TS BYDem'!$D$10:$D$203,0))</f>
        <v>0</v>
      </c>
      <c r="K165">
        <f t="shared" ref="K165:N181" ca="1" si="138">K$163/J$163*J165</f>
        <v>0</v>
      </c>
      <c r="L165">
        <f t="shared" ca="1" si="135"/>
        <v>0</v>
      </c>
      <c r="M165" s="171">
        <f t="shared" si="136"/>
        <v>0</v>
      </c>
      <c r="N165" s="171">
        <f t="shared" si="137"/>
        <v>0</v>
      </c>
      <c r="O165" s="171">
        <f>INDEX('[4]TS BYDem'!$O$10:$O$203,MATCH(D165,'[4]TS BYDem'!$D$10:$D$203,0))</f>
        <v>0</v>
      </c>
      <c r="P165">
        <f t="shared" ca="1" si="135"/>
        <v>0</v>
      </c>
      <c r="Q165">
        <f t="shared" ca="1" si="135"/>
        <v>0</v>
      </c>
      <c r="R165">
        <f t="shared" ca="1" si="135"/>
        <v>0</v>
      </c>
      <c r="S165">
        <f t="shared" ca="1" si="135"/>
        <v>0</v>
      </c>
      <c r="T165">
        <f t="shared" ca="1" si="135"/>
        <v>0</v>
      </c>
      <c r="U165">
        <f t="shared" ca="1" si="135"/>
        <v>0</v>
      </c>
      <c r="V165">
        <f t="shared" ca="1" si="135"/>
        <v>0</v>
      </c>
      <c r="W165">
        <f t="shared" ca="1" si="135"/>
        <v>0</v>
      </c>
      <c r="X165">
        <f t="shared" ca="1" si="135"/>
        <v>0</v>
      </c>
      <c r="Y165">
        <f t="shared" ca="1" si="135"/>
        <v>0</v>
      </c>
      <c r="Z165">
        <f t="shared" ca="1" si="135"/>
        <v>0</v>
      </c>
      <c r="AA165">
        <f t="shared" ca="1" si="135"/>
        <v>0</v>
      </c>
      <c r="AB165">
        <f t="shared" ca="1" si="135"/>
        <v>0</v>
      </c>
      <c r="AC165">
        <f t="shared" ca="1" si="135"/>
        <v>0</v>
      </c>
      <c r="AD165">
        <f t="shared" ca="1" si="135"/>
        <v>0</v>
      </c>
      <c r="AE165">
        <f t="shared" ca="1" si="135"/>
        <v>0</v>
      </c>
      <c r="AF165">
        <f t="shared" ca="1" si="135"/>
        <v>0</v>
      </c>
      <c r="AG165">
        <f t="shared" ca="1" si="135"/>
        <v>0</v>
      </c>
      <c r="AH165">
        <f t="shared" ca="1" si="135"/>
        <v>0</v>
      </c>
      <c r="AI165">
        <f t="shared" ca="1" si="135"/>
        <v>0</v>
      </c>
      <c r="AJ165">
        <f t="shared" ca="1" si="135"/>
        <v>0</v>
      </c>
      <c r="AK165">
        <f t="shared" ca="1" si="135"/>
        <v>0</v>
      </c>
      <c r="AL165">
        <f t="shared" ca="1" si="135"/>
        <v>0</v>
      </c>
      <c r="AM165">
        <f t="shared" ca="1" si="135"/>
        <v>0</v>
      </c>
      <c r="AN165">
        <f t="shared" ca="1" si="135"/>
        <v>0</v>
      </c>
      <c r="AO165">
        <f t="shared" ca="1" si="135"/>
        <v>0</v>
      </c>
      <c r="AP165">
        <f t="shared" ca="1" si="135"/>
        <v>0</v>
      </c>
    </row>
    <row r="166" spans="1:42">
      <c r="A166" s="48" t="str">
        <f>'[4]TS BYDem'!A96</f>
        <v/>
      </c>
      <c r="B166" t="s">
        <v>288</v>
      </c>
      <c r="C166" t="s">
        <v>137</v>
      </c>
      <c r="D166" s="3" t="str">
        <f>'[4]TS BYDem'!D96</f>
        <v>INFL</v>
      </c>
      <c r="E166" t="s">
        <v>137</v>
      </c>
      <c r="F166" t="s">
        <v>137</v>
      </c>
      <c r="G166" t="s">
        <v>137</v>
      </c>
      <c r="H166" t="s">
        <v>137</v>
      </c>
      <c r="I166">
        <v>0</v>
      </c>
      <c r="J166">
        <f>INDEX('[4]TS BYDem'!$J$10:$J$203,MATCH(D166,'[4]TS BYDem'!$D$10:$D$203,0))</f>
        <v>0.20036876463104916</v>
      </c>
      <c r="K166">
        <f t="shared" ca="1" si="138"/>
        <v>0.17002597861398352</v>
      </c>
      <c r="L166">
        <f t="shared" ca="1" si="135"/>
        <v>0.15607675487033543</v>
      </c>
      <c r="M166" s="171">
        <f t="shared" si="136"/>
        <v>3.0188826501082372E-2</v>
      </c>
      <c r="N166" s="171">
        <f t="shared" si="137"/>
        <v>3.0188826501082372E-2</v>
      </c>
      <c r="O166" s="171">
        <f>INDEX('[4]TS BYDem'!$O$10:$O$203,MATCH(D166,'[4]TS BYDem'!$D$10:$D$203,0))</f>
        <v>3.0188826501082372E-2</v>
      </c>
      <c r="P166">
        <f t="shared" ca="1" si="135"/>
        <v>2.9632238918296885E-2</v>
      </c>
      <c r="Q166">
        <f t="shared" ca="1" si="135"/>
        <v>2.8454531859069619E-2</v>
      </c>
      <c r="R166">
        <f t="shared" ca="1" si="135"/>
        <v>2.6822964665315627E-2</v>
      </c>
      <c r="S166">
        <f t="shared" ca="1" si="135"/>
        <v>2.798082264003509E-2</v>
      </c>
      <c r="T166">
        <f t="shared" ca="1" si="135"/>
        <v>2.5638842537694717E-2</v>
      </c>
      <c r="U166">
        <f t="shared" ca="1" si="135"/>
        <v>2.4549718409930133E-2</v>
      </c>
      <c r="V166">
        <f t="shared" ca="1" si="135"/>
        <v>2.3965201304931797E-2</v>
      </c>
      <c r="W166">
        <f t="shared" ca="1" si="135"/>
        <v>2.3715971258249906E-2</v>
      </c>
      <c r="X166">
        <f t="shared" ca="1" si="135"/>
        <v>2.5168881844287828E-2</v>
      </c>
      <c r="Y166">
        <f t="shared" ca="1" si="135"/>
        <v>2.6219447960346025E-2</v>
      </c>
      <c r="Z166">
        <f t="shared" ca="1" si="135"/>
        <v>3.00417204251535E-2</v>
      </c>
      <c r="AA166">
        <f t="shared" ca="1" si="135"/>
        <v>3.236637736281419E-2</v>
      </c>
      <c r="AB166">
        <f t="shared" ca="1" si="135"/>
        <v>3.3014599008892649E-2</v>
      </c>
      <c r="AC166">
        <f t="shared" ca="1" si="135"/>
        <v>3.2925189126674928E-2</v>
      </c>
      <c r="AD166">
        <f t="shared" ca="1" si="135"/>
        <v>3.2768721832793918E-2</v>
      </c>
      <c r="AE166">
        <f t="shared" ca="1" si="135"/>
        <v>3.2947541597229353E-2</v>
      </c>
      <c r="AF166">
        <f t="shared" ca="1" si="135"/>
        <v>3.3618115713862244E-2</v>
      </c>
      <c r="AG166">
        <f t="shared" ca="1" si="135"/>
        <v>4.0033274762983566E-2</v>
      </c>
      <c r="AH166">
        <f t="shared" ca="1" si="135"/>
        <v>4.6202556636006163E-2</v>
      </c>
      <c r="AI166">
        <f t="shared" ca="1" si="135"/>
        <v>4.5263752872720116E-2</v>
      </c>
      <c r="AJ166">
        <f t="shared" ca="1" si="135"/>
        <v>4.5509630048818847E-2</v>
      </c>
      <c r="AK166">
        <f t="shared" ca="1" si="135"/>
        <v>4.3788489816127762E-2</v>
      </c>
      <c r="AL166">
        <f t="shared" ca="1" si="135"/>
        <v>4.6426081341550463E-2</v>
      </c>
      <c r="AM166">
        <f t="shared" ca="1" si="135"/>
        <v>4.0212094527419001E-2</v>
      </c>
      <c r="AN166">
        <f t="shared" ca="1" si="135"/>
        <v>3.7306273355343145E-2</v>
      </c>
      <c r="AO166">
        <f t="shared" ca="1" si="135"/>
        <v>2.7635104428793366E-2</v>
      </c>
      <c r="AP166">
        <f t="shared" ca="1" si="135"/>
        <v>1.8515296442585902E-2</v>
      </c>
    </row>
    <row r="167" spans="1:42">
      <c r="A167" s="48" t="str">
        <f>'[4]TS BYDem'!A97</f>
        <v/>
      </c>
      <c r="B167" t="s">
        <v>288</v>
      </c>
      <c r="C167" t="s">
        <v>137</v>
      </c>
      <c r="D167" s="3" t="str">
        <f>'[4]TS BYDem'!D97</f>
        <v>INFC</v>
      </c>
      <c r="E167" t="s">
        <v>137</v>
      </c>
      <c r="F167" t="s">
        <v>137</v>
      </c>
      <c r="G167" t="s">
        <v>137</v>
      </c>
      <c r="H167" t="s">
        <v>137</v>
      </c>
      <c r="I167">
        <v>0</v>
      </c>
      <c r="J167">
        <f>INDEX('[4]TS BYDem'!$J$10:$J$203,MATCH(D167,'[4]TS BYDem'!$D$10:$D$203,0))</f>
        <v>0</v>
      </c>
      <c r="K167">
        <f t="shared" ca="1" si="138"/>
        <v>0</v>
      </c>
      <c r="L167">
        <f t="shared" ca="1" si="135"/>
        <v>0</v>
      </c>
      <c r="M167" s="171">
        <f t="shared" si="136"/>
        <v>0</v>
      </c>
      <c r="N167" s="171">
        <f t="shared" si="137"/>
        <v>0</v>
      </c>
      <c r="O167" s="171">
        <f>INDEX('[4]TS BYDem'!$O$10:$O$203,MATCH(D167,'[4]TS BYDem'!$D$10:$D$203,0))</f>
        <v>0</v>
      </c>
      <c r="P167">
        <f t="shared" ca="1" si="135"/>
        <v>0</v>
      </c>
      <c r="Q167">
        <f t="shared" ca="1" si="135"/>
        <v>0</v>
      </c>
      <c r="R167">
        <f t="shared" ca="1" si="135"/>
        <v>0</v>
      </c>
      <c r="S167">
        <f t="shared" ca="1" si="135"/>
        <v>0</v>
      </c>
      <c r="T167">
        <f t="shared" ca="1" si="135"/>
        <v>0</v>
      </c>
      <c r="U167">
        <f t="shared" ca="1" si="135"/>
        <v>0</v>
      </c>
      <c r="V167">
        <f t="shared" ca="1" si="135"/>
        <v>0</v>
      </c>
      <c r="W167">
        <f t="shared" ca="1" si="135"/>
        <v>0</v>
      </c>
      <c r="X167">
        <f t="shared" ca="1" si="135"/>
        <v>0</v>
      </c>
      <c r="Y167">
        <f t="shared" ca="1" si="135"/>
        <v>0</v>
      </c>
      <c r="Z167">
        <f t="shared" ca="1" si="135"/>
        <v>0</v>
      </c>
      <c r="AA167">
        <f t="shared" ca="1" si="135"/>
        <v>0</v>
      </c>
      <c r="AB167">
        <f t="shared" ca="1" si="135"/>
        <v>0</v>
      </c>
      <c r="AC167">
        <f t="shared" ca="1" si="135"/>
        <v>0</v>
      </c>
      <c r="AD167">
        <f t="shared" ca="1" si="135"/>
        <v>0</v>
      </c>
      <c r="AE167">
        <f t="shared" ca="1" si="135"/>
        <v>0</v>
      </c>
      <c r="AF167">
        <f t="shared" ca="1" si="135"/>
        <v>0</v>
      </c>
      <c r="AG167">
        <f t="shared" ca="1" si="135"/>
        <v>0</v>
      </c>
      <c r="AH167">
        <f t="shared" ca="1" si="135"/>
        <v>0</v>
      </c>
      <c r="AI167">
        <f t="shared" ca="1" si="135"/>
        <v>0</v>
      </c>
      <c r="AJ167">
        <f t="shared" ca="1" si="135"/>
        <v>0</v>
      </c>
      <c r="AK167">
        <f t="shared" ca="1" si="135"/>
        <v>0</v>
      </c>
      <c r="AL167">
        <f t="shared" ca="1" si="135"/>
        <v>0</v>
      </c>
      <c r="AM167">
        <f t="shared" ca="1" si="135"/>
        <v>0</v>
      </c>
      <c r="AN167">
        <f t="shared" ca="1" si="135"/>
        <v>0</v>
      </c>
      <c r="AO167">
        <f t="shared" ca="1" si="135"/>
        <v>0</v>
      </c>
      <c r="AP167">
        <f t="shared" ca="1" si="135"/>
        <v>0</v>
      </c>
    </row>
    <row r="168" spans="1:42">
      <c r="A168" s="48" t="str">
        <f>'[4]TS BYDem'!A98</f>
        <v/>
      </c>
      <c r="B168" t="s">
        <v>288</v>
      </c>
      <c r="C168" t="s">
        <v>137</v>
      </c>
      <c r="D168" s="3" t="str">
        <f>'[4]TS BYDem'!D98</f>
        <v>INFH</v>
      </c>
      <c r="E168" t="s">
        <v>137</v>
      </c>
      <c r="F168" t="s">
        <v>137</v>
      </c>
      <c r="G168" t="s">
        <v>137</v>
      </c>
      <c r="H168" t="s">
        <v>137</v>
      </c>
      <c r="I168">
        <v>0</v>
      </c>
      <c r="J168">
        <f>INDEX('[4]TS BYDem'!$J$10:$J$203,MATCH(D168,'[4]TS BYDem'!$D$10:$D$203,0))</f>
        <v>0.60110629389314751</v>
      </c>
      <c r="K168">
        <f t="shared" ca="1" si="138"/>
        <v>0.5100779358419506</v>
      </c>
      <c r="L168">
        <f t="shared" ca="1" si="135"/>
        <v>0.46823026461100631</v>
      </c>
      <c r="M168" s="171">
        <f t="shared" si="136"/>
        <v>9.056647950324713E-2</v>
      </c>
      <c r="N168" s="171">
        <f t="shared" si="137"/>
        <v>9.056647950324713E-2</v>
      </c>
      <c r="O168" s="171">
        <f>INDEX('[4]TS BYDem'!$O$10:$O$203,MATCH(D168,'[4]TS BYDem'!$D$10:$D$203,0))</f>
        <v>9.056647950324713E-2</v>
      </c>
      <c r="P168">
        <f t="shared" ca="1" si="135"/>
        <v>8.8896716754890664E-2</v>
      </c>
      <c r="Q168">
        <f t="shared" ca="1" si="135"/>
        <v>8.5363595577208864E-2</v>
      </c>
      <c r="R168">
        <f t="shared" ca="1" si="135"/>
        <v>8.046889399594688E-2</v>
      </c>
      <c r="S168">
        <f t="shared" ca="1" si="135"/>
        <v>8.3942467920105263E-2</v>
      </c>
      <c r="T168">
        <f t="shared" ca="1" si="135"/>
        <v>7.6916527613084151E-2</v>
      </c>
      <c r="U168">
        <f t="shared" ca="1" si="135"/>
        <v>7.3649155229790403E-2</v>
      </c>
      <c r="V168">
        <f t="shared" ca="1" si="135"/>
        <v>7.1895603914795395E-2</v>
      </c>
      <c r="W168">
        <f t="shared" ca="1" si="135"/>
        <v>7.114791377474973E-2</v>
      </c>
      <c r="X168">
        <f t="shared" ca="1" si="135"/>
        <v>7.5506645532863487E-2</v>
      </c>
      <c r="Y168">
        <f t="shared" ca="1" si="135"/>
        <v>7.8658343881038081E-2</v>
      </c>
      <c r="Z168">
        <f t="shared" ca="1" si="135"/>
        <v>9.0125161275460511E-2</v>
      </c>
      <c r="AA168">
        <f t="shared" ca="1" si="135"/>
        <v>9.7099132088442591E-2</v>
      </c>
      <c r="AB168">
        <f t="shared" ca="1" si="135"/>
        <v>9.9043797026677968E-2</v>
      </c>
      <c r="AC168">
        <f t="shared" ca="1" si="135"/>
        <v>9.8775567380024812E-2</v>
      </c>
      <c r="AD168">
        <f t="shared" ca="1" si="135"/>
        <v>9.8306165498381795E-2</v>
      </c>
      <c r="AE168">
        <f t="shared" ca="1" si="135"/>
        <v>9.8842624791688094E-2</v>
      </c>
      <c r="AF168">
        <f t="shared" ca="1" si="135"/>
        <v>0.10085434714158677</v>
      </c>
      <c r="AG168">
        <f t="shared" ca="1" si="135"/>
        <v>0.12009982428895075</v>
      </c>
      <c r="AH168">
        <f t="shared" ca="1" si="135"/>
        <v>0.13860766990801854</v>
      </c>
      <c r="AI168">
        <f t="shared" ca="1" si="135"/>
        <v>0.13579125861816038</v>
      </c>
      <c r="AJ168">
        <f t="shared" ca="1" si="135"/>
        <v>0.13652889014645658</v>
      </c>
      <c r="AK168">
        <f t="shared" ca="1" si="135"/>
        <v>0.13136546944838334</v>
      </c>
      <c r="AL168">
        <f t="shared" ca="1" si="135"/>
        <v>0.13927824402465144</v>
      </c>
      <c r="AM168">
        <f t="shared" ca="1" si="135"/>
        <v>0.12063628358225706</v>
      </c>
      <c r="AN168">
        <f t="shared" ca="1" si="135"/>
        <v>0.11191882006602949</v>
      </c>
      <c r="AO168">
        <f t="shared" ca="1" si="135"/>
        <v>8.2905313286380136E-2</v>
      </c>
      <c r="AP168">
        <f t="shared" ca="1" si="135"/>
        <v>5.5545889327757732E-2</v>
      </c>
    </row>
    <row r="169" spans="1:42">
      <c r="A169" s="48" t="str">
        <f>'[4]TS BYDem'!A99</f>
        <v/>
      </c>
      <c r="B169" t="s">
        <v>288</v>
      </c>
      <c r="C169" t="s">
        <v>137</v>
      </c>
      <c r="D169" s="3" t="str">
        <f>'[4]TS BYDem'!D99</f>
        <v>INFP</v>
      </c>
      <c r="E169" t="s">
        <v>137</v>
      </c>
      <c r="F169" t="s">
        <v>137</v>
      </c>
      <c r="G169" t="s">
        <v>137</v>
      </c>
      <c r="H169" t="s">
        <v>137</v>
      </c>
      <c r="I169">
        <v>0</v>
      </c>
      <c r="J169">
        <f>INDEX('[4]TS BYDem'!$J$10:$J$203,MATCH(D169,'[4]TS BYDem'!$D$10:$D$203,0))</f>
        <v>0</v>
      </c>
      <c r="K169">
        <f t="shared" ca="1" si="138"/>
        <v>0</v>
      </c>
      <c r="L169">
        <f t="shared" ca="1" si="135"/>
        <v>0</v>
      </c>
      <c r="M169" s="171">
        <f t="shared" si="136"/>
        <v>0</v>
      </c>
      <c r="N169" s="171">
        <f t="shared" si="137"/>
        <v>0</v>
      </c>
      <c r="O169" s="171">
        <f>INDEX('[4]TS BYDem'!$O$10:$O$203,MATCH(D169,'[4]TS BYDem'!$D$10:$D$203,0))</f>
        <v>0</v>
      </c>
      <c r="P169">
        <f t="shared" ca="1" si="135"/>
        <v>0</v>
      </c>
      <c r="Q169">
        <f t="shared" ca="1" si="135"/>
        <v>0</v>
      </c>
      <c r="R169">
        <f t="shared" ca="1" si="135"/>
        <v>0</v>
      </c>
      <c r="S169">
        <f t="shared" ca="1" si="135"/>
        <v>0</v>
      </c>
      <c r="T169">
        <f t="shared" ca="1" si="135"/>
        <v>0</v>
      </c>
      <c r="U169">
        <f t="shared" ca="1" si="135"/>
        <v>0</v>
      </c>
      <c r="V169">
        <f t="shared" ca="1" si="135"/>
        <v>0</v>
      </c>
      <c r="W169">
        <f t="shared" ca="1" si="135"/>
        <v>0</v>
      </c>
      <c r="X169">
        <f t="shared" ca="1" si="135"/>
        <v>0</v>
      </c>
      <c r="Y169">
        <f t="shared" ca="1" si="135"/>
        <v>0</v>
      </c>
      <c r="Z169">
        <f t="shared" ca="1" si="135"/>
        <v>0</v>
      </c>
      <c r="AA169">
        <f t="shared" ca="1" si="135"/>
        <v>0</v>
      </c>
      <c r="AB169">
        <f t="shared" ca="1" si="135"/>
        <v>0</v>
      </c>
      <c r="AC169">
        <f t="shared" ca="1" si="135"/>
        <v>0</v>
      </c>
      <c r="AD169">
        <f t="shared" ca="1" si="135"/>
        <v>0</v>
      </c>
      <c r="AE169">
        <f t="shared" ca="1" si="135"/>
        <v>0</v>
      </c>
      <c r="AF169">
        <f t="shared" ca="1" si="135"/>
        <v>0</v>
      </c>
      <c r="AG169">
        <f t="shared" ca="1" si="135"/>
        <v>0</v>
      </c>
      <c r="AH169">
        <f t="shared" ca="1" si="135"/>
        <v>0</v>
      </c>
      <c r="AI169">
        <f t="shared" ca="1" si="135"/>
        <v>0</v>
      </c>
      <c r="AJ169">
        <f t="shared" ca="1" si="135"/>
        <v>0</v>
      </c>
      <c r="AK169">
        <f t="shared" ca="1" si="135"/>
        <v>0</v>
      </c>
      <c r="AL169">
        <f t="shared" ca="1" si="135"/>
        <v>0</v>
      </c>
      <c r="AM169">
        <f t="shared" ca="1" si="135"/>
        <v>0</v>
      </c>
      <c r="AN169">
        <f t="shared" ca="1" si="135"/>
        <v>0</v>
      </c>
      <c r="AO169">
        <f t="shared" ca="1" si="135"/>
        <v>0</v>
      </c>
      <c r="AP169">
        <f t="shared" ca="1" si="135"/>
        <v>0</v>
      </c>
    </row>
    <row r="170" spans="1:42">
      <c r="A170" s="48" t="str">
        <f>'[4]TS BYDem'!A100</f>
        <v/>
      </c>
      <c r="B170" t="s">
        <v>288</v>
      </c>
      <c r="C170" t="s">
        <v>137</v>
      </c>
      <c r="D170" s="3" t="str">
        <f>'[4]TS BYDem'!D100</f>
        <v>INFF</v>
      </c>
      <c r="E170" t="s">
        <v>137</v>
      </c>
      <c r="F170" t="s">
        <v>137</v>
      </c>
      <c r="G170" t="s">
        <v>137</v>
      </c>
      <c r="H170" t="s">
        <v>137</v>
      </c>
      <c r="I170">
        <v>0</v>
      </c>
      <c r="J170">
        <f>INDEX('[4]TS BYDem'!$J$10:$J$203,MATCH(D170,'[4]TS BYDem'!$D$10:$D$203,0))</f>
        <v>0</v>
      </c>
      <c r="K170">
        <f t="shared" ca="1" si="138"/>
        <v>0</v>
      </c>
      <c r="L170">
        <f t="shared" ca="1" si="135"/>
        <v>0</v>
      </c>
      <c r="M170" s="171">
        <f t="shared" si="136"/>
        <v>0</v>
      </c>
      <c r="N170" s="171">
        <f t="shared" si="137"/>
        <v>0</v>
      </c>
      <c r="O170" s="171">
        <f>INDEX('[4]TS BYDem'!$O$10:$O$203,MATCH(D170,'[4]TS BYDem'!$D$10:$D$203,0))</f>
        <v>0</v>
      </c>
      <c r="P170">
        <f t="shared" ca="1" si="135"/>
        <v>0</v>
      </c>
      <c r="Q170">
        <f t="shared" ca="1" si="135"/>
        <v>0</v>
      </c>
      <c r="R170">
        <f t="shared" ca="1" si="135"/>
        <v>0</v>
      </c>
      <c r="S170">
        <f t="shared" ca="1" si="135"/>
        <v>0</v>
      </c>
      <c r="T170">
        <f t="shared" ca="1" si="135"/>
        <v>0</v>
      </c>
      <c r="U170">
        <f t="shared" ca="1" si="135"/>
        <v>0</v>
      </c>
      <c r="V170">
        <f t="shared" ca="1" si="135"/>
        <v>0</v>
      </c>
      <c r="W170">
        <f t="shared" ca="1" si="135"/>
        <v>0</v>
      </c>
      <c r="X170">
        <f t="shared" ca="1" si="135"/>
        <v>0</v>
      </c>
      <c r="Y170">
        <f t="shared" ca="1" si="135"/>
        <v>0</v>
      </c>
      <c r="Z170">
        <f t="shared" ca="1" si="135"/>
        <v>0</v>
      </c>
      <c r="AA170">
        <f t="shared" ca="1" si="135"/>
        <v>0</v>
      </c>
      <c r="AB170">
        <f t="shared" ca="1" si="135"/>
        <v>0</v>
      </c>
      <c r="AC170">
        <f t="shared" ca="1" si="135"/>
        <v>0</v>
      </c>
      <c r="AD170">
        <f t="shared" ca="1" si="135"/>
        <v>0</v>
      </c>
      <c r="AE170">
        <f t="shared" ca="1" si="135"/>
        <v>0</v>
      </c>
      <c r="AF170">
        <f t="shared" ca="1" si="135"/>
        <v>0</v>
      </c>
      <c r="AG170">
        <f t="shared" ca="1" si="135"/>
        <v>0</v>
      </c>
      <c r="AH170">
        <f t="shared" ca="1" si="135"/>
        <v>0</v>
      </c>
      <c r="AI170">
        <f t="shared" ca="1" si="135"/>
        <v>0</v>
      </c>
      <c r="AJ170">
        <f t="shared" ca="1" si="135"/>
        <v>0</v>
      </c>
      <c r="AK170">
        <f t="shared" ca="1" si="135"/>
        <v>0</v>
      </c>
      <c r="AL170">
        <f t="shared" ca="1" si="135"/>
        <v>0</v>
      </c>
      <c r="AM170">
        <f t="shared" ca="1" si="135"/>
        <v>0</v>
      </c>
      <c r="AN170">
        <f t="shared" ca="1" si="135"/>
        <v>0</v>
      </c>
      <c r="AO170">
        <f t="shared" ca="1" si="135"/>
        <v>0</v>
      </c>
      <c r="AP170">
        <f t="shared" ca="1" si="135"/>
        <v>0</v>
      </c>
    </row>
    <row r="171" spans="1:42">
      <c r="A171" s="48" t="str">
        <f>'[4]TS BYDem'!A101</f>
        <v/>
      </c>
      <c r="B171" t="s">
        <v>288</v>
      </c>
      <c r="C171" t="s">
        <v>137</v>
      </c>
      <c r="D171" s="3" t="str">
        <f>'[4]TS BYDem'!D101</f>
        <v>INFO</v>
      </c>
      <c r="E171" t="s">
        <v>137</v>
      </c>
      <c r="F171" t="s">
        <v>137</v>
      </c>
      <c r="G171" t="s">
        <v>137</v>
      </c>
      <c r="H171" t="s">
        <v>137</v>
      </c>
      <c r="I171">
        <v>0</v>
      </c>
      <c r="J171">
        <f>INDEX('[4]TS BYDem'!$J$10:$J$203,MATCH(D171,'[4]TS BYDem'!$D$10:$D$203,0))</f>
        <v>3.7402169397795855</v>
      </c>
      <c r="K171">
        <f t="shared" ca="1" si="138"/>
        <v>3.1738182674610265</v>
      </c>
      <c r="L171">
        <f t="shared" ca="1" si="135"/>
        <v>2.9134327575795953</v>
      </c>
      <c r="M171" s="171">
        <f t="shared" si="136"/>
        <v>0.56352476135353768</v>
      </c>
      <c r="N171" s="171">
        <f t="shared" si="137"/>
        <v>0.56352476135353768</v>
      </c>
      <c r="O171" s="171">
        <f>INDEX('[4]TS BYDem'!$O$10:$O$203,MATCH(D171,'[4]TS BYDem'!$D$10:$D$203,0))</f>
        <v>0.56352476135353768</v>
      </c>
      <c r="P171">
        <f t="shared" ca="1" si="135"/>
        <v>0.55313512647487528</v>
      </c>
      <c r="Q171">
        <f t="shared" ca="1" si="135"/>
        <v>0.53115126136929969</v>
      </c>
      <c r="R171">
        <f t="shared" ca="1" si="135"/>
        <v>0.50069534041922514</v>
      </c>
      <c r="S171">
        <f t="shared" ca="1" si="135"/>
        <v>0.5223086892806551</v>
      </c>
      <c r="T171">
        <f t="shared" ca="1" si="135"/>
        <v>0.47859172737030148</v>
      </c>
      <c r="U171">
        <f t="shared" ca="1" si="135"/>
        <v>0.45826141031869594</v>
      </c>
      <c r="V171">
        <f t="shared" ca="1" si="135"/>
        <v>0.44735042435872696</v>
      </c>
      <c r="W171">
        <f t="shared" ca="1" si="135"/>
        <v>0.44269813015399834</v>
      </c>
      <c r="X171">
        <f t="shared" ca="1" si="135"/>
        <v>0.46981912776003953</v>
      </c>
      <c r="Y171">
        <f t="shared" ca="1" si="135"/>
        <v>0.48942969525979252</v>
      </c>
      <c r="Z171">
        <f t="shared" ca="1" si="135"/>
        <v>0.56077878126953207</v>
      </c>
      <c r="AA171">
        <f t="shared" ca="1" si="135"/>
        <v>0.60417237743919838</v>
      </c>
      <c r="AB171">
        <f t="shared" ca="1" si="135"/>
        <v>0.61627251483266299</v>
      </c>
      <c r="AC171">
        <f t="shared" ca="1" si="135"/>
        <v>0.61460353036459892</v>
      </c>
      <c r="AD171">
        <f t="shared" ca="1" si="135"/>
        <v>0.61168280754548676</v>
      </c>
      <c r="AE171">
        <f t="shared" ca="1" si="135"/>
        <v>0.61502077648161491</v>
      </c>
      <c r="AF171">
        <f t="shared" ca="1" si="135"/>
        <v>0.6275381599920955</v>
      </c>
      <c r="AG171">
        <f t="shared" ca="1" si="135"/>
        <v>0.74728779557569358</v>
      </c>
      <c r="AH171">
        <f t="shared" ca="1" si="135"/>
        <v>0.86244772387211543</v>
      </c>
      <c r="AI171">
        <f t="shared" ca="1" si="135"/>
        <v>0.84492338695744251</v>
      </c>
      <c r="AJ171">
        <f t="shared" ca="1" si="135"/>
        <v>0.84951309424461885</v>
      </c>
      <c r="AK171">
        <f t="shared" ca="1" si="135"/>
        <v>0.81738514323438527</v>
      </c>
      <c r="AL171">
        <f t="shared" ca="1" si="135"/>
        <v>0.86662018504227567</v>
      </c>
      <c r="AM171">
        <f t="shared" ca="1" si="135"/>
        <v>0.75062576451182172</v>
      </c>
      <c r="AN171">
        <f t="shared" ca="1" si="135"/>
        <v>0.69638376929973911</v>
      </c>
      <c r="AO171">
        <f t="shared" ca="1" si="135"/>
        <v>0.51585528267080982</v>
      </c>
      <c r="AP171">
        <f t="shared" ca="1" si="135"/>
        <v>0.34561886692827037</v>
      </c>
    </row>
    <row r="172" spans="1:42">
      <c r="A172" s="48" t="str">
        <f>'[4]TS BYDem'!A102</f>
        <v/>
      </c>
      <c r="B172" t="s">
        <v>288</v>
      </c>
      <c r="C172" t="s">
        <v>137</v>
      </c>
      <c r="D172" s="3" t="str">
        <f>'[4]TS BYDem'!D102</f>
        <v>INFE</v>
      </c>
      <c r="E172" t="s">
        <v>137</v>
      </c>
      <c r="F172" t="s">
        <v>137</v>
      </c>
      <c r="G172" t="s">
        <v>137</v>
      </c>
      <c r="H172" t="s">
        <v>137</v>
      </c>
      <c r="I172">
        <v>0</v>
      </c>
      <c r="J172">
        <f>INDEX('[4]TS BYDem'!$J$10:$J$203,MATCH(D172,'[4]TS BYDem'!$D$10:$D$203,0))</f>
        <v>45.684078335879221</v>
      </c>
      <c r="K172">
        <f t="shared" ca="1" si="138"/>
        <v>38.765923123988252</v>
      </c>
      <c r="L172">
        <f t="shared" ca="1" si="135"/>
        <v>35.585500110436485</v>
      </c>
      <c r="M172" s="171">
        <f t="shared" si="136"/>
        <v>6.8830524422467816</v>
      </c>
      <c r="N172" s="171">
        <f t="shared" si="137"/>
        <v>6.8830524422467816</v>
      </c>
      <c r="O172" s="171">
        <f>INDEX('[4]TS BYDem'!$O$10:$O$203,MATCH(D172,'[4]TS BYDem'!$D$10:$D$203,0))</f>
        <v>6.8830524422467816</v>
      </c>
      <c r="P172">
        <f t="shared" ca="1" si="135"/>
        <v>6.7561504733716902</v>
      </c>
      <c r="Q172">
        <f t="shared" ca="1" si="135"/>
        <v>6.4876332638678731</v>
      </c>
      <c r="R172">
        <f t="shared" ca="1" si="135"/>
        <v>6.115635943691963</v>
      </c>
      <c r="S172">
        <f t="shared" ca="1" si="135"/>
        <v>6.3796275619280003</v>
      </c>
      <c r="T172">
        <f t="shared" ca="1" si="135"/>
        <v>5.8456560985943957</v>
      </c>
      <c r="U172">
        <f t="shared" ca="1" si="135"/>
        <v>5.597335797464071</v>
      </c>
      <c r="V172">
        <f t="shared" ca="1" si="135"/>
        <v>5.46406589752445</v>
      </c>
      <c r="W172">
        <f t="shared" ca="1" si="135"/>
        <v>5.4072414468809793</v>
      </c>
      <c r="X172">
        <f t="shared" ca="1" si="135"/>
        <v>5.7385050604976255</v>
      </c>
      <c r="Y172">
        <f t="shared" ca="1" si="135"/>
        <v>5.9780341349588948</v>
      </c>
      <c r="Z172">
        <f t="shared" ca="1" si="135"/>
        <v>6.8495122569349993</v>
      </c>
      <c r="AA172">
        <f t="shared" ca="1" si="135"/>
        <v>7.379534038721637</v>
      </c>
      <c r="AB172">
        <f t="shared" ca="1" si="135"/>
        <v>7.5273285740275258</v>
      </c>
      <c r="AC172">
        <f t="shared" ca="1" si="135"/>
        <v>7.5069431208818864</v>
      </c>
      <c r="AD172">
        <f t="shared" ca="1" si="135"/>
        <v>7.4712685778770167</v>
      </c>
      <c r="AE172">
        <f t="shared" ca="1" si="135"/>
        <v>7.5120394841682963</v>
      </c>
      <c r="AF172">
        <f t="shared" ca="1" si="135"/>
        <v>7.6649303827605957</v>
      </c>
      <c r="AG172">
        <f t="shared" ca="1" si="135"/>
        <v>9.1275866459602586</v>
      </c>
      <c r="AH172">
        <f t="shared" ca="1" si="135"/>
        <v>10.534182913009412</v>
      </c>
      <c r="AI172">
        <f t="shared" ca="1" si="135"/>
        <v>10.320135654980191</v>
      </c>
      <c r="AJ172">
        <f t="shared" ca="1" si="135"/>
        <v>10.376195651130702</v>
      </c>
      <c r="AK172">
        <f t="shared" ca="1" si="135"/>
        <v>9.9837756780771354</v>
      </c>
      <c r="AL172">
        <f t="shared" ca="1" si="135"/>
        <v>10.585146545873512</v>
      </c>
      <c r="AM172">
        <f t="shared" ca="1" si="135"/>
        <v>9.168357552251539</v>
      </c>
      <c r="AN172">
        <f t="shared" ca="1" si="135"/>
        <v>8.5058303250182448</v>
      </c>
      <c r="AO172">
        <f t="shared" ca="1" si="135"/>
        <v>6.3008038097648926</v>
      </c>
      <c r="AP172">
        <f t="shared" ca="1" si="135"/>
        <v>4.2214875889095893</v>
      </c>
    </row>
    <row r="173" spans="1:42">
      <c r="A173" s="48" t="str">
        <f>'[4]TS BYDem'!A103</f>
        <v>*</v>
      </c>
      <c r="B173" t="s">
        <v>288</v>
      </c>
      <c r="C173" t="s">
        <v>137</v>
      </c>
      <c r="D173" s="3" t="str">
        <f>'[4]TS BYDem'!D103</f>
        <v xml:space="preserve"> </v>
      </c>
      <c r="E173" t="s">
        <v>137</v>
      </c>
      <c r="F173" t="s">
        <v>137</v>
      </c>
      <c r="G173" t="s">
        <v>137</v>
      </c>
      <c r="H173" t="s">
        <v>137</v>
      </c>
      <c r="I173">
        <v>0</v>
      </c>
      <c r="J173" t="str">
        <f>INDEX('[4]TS BYDem'!$J$10:$J$203,MATCH(D173,'[4]TS BYDem'!$D$10:$D$203,0))</f>
        <v/>
      </c>
      <c r="K173" t="e">
        <f t="shared" ca="1" si="138"/>
        <v>#VALUE!</v>
      </c>
      <c r="L173" t="e">
        <f t="shared" ca="1" si="135"/>
        <v>#VALUE!</v>
      </c>
      <c r="M173" t="e">
        <f t="shared" ca="1" si="135"/>
        <v>#VALUE!</v>
      </c>
      <c r="N173" t="e">
        <f t="shared" ca="1" si="135"/>
        <v>#VALUE!</v>
      </c>
      <c r="O173" t="e">
        <f t="shared" ref="O173:AD181" ca="1" si="139">O$163/N$163*N173</f>
        <v>#VALUE!</v>
      </c>
      <c r="P173" t="e">
        <f t="shared" ca="1" si="139"/>
        <v>#VALUE!</v>
      </c>
      <c r="Q173" t="e">
        <f t="shared" ca="1" si="139"/>
        <v>#VALUE!</v>
      </c>
      <c r="R173" t="e">
        <f t="shared" ca="1" si="139"/>
        <v>#VALUE!</v>
      </c>
      <c r="S173" t="e">
        <f t="shared" ca="1" si="139"/>
        <v>#VALUE!</v>
      </c>
      <c r="T173" t="e">
        <f t="shared" ca="1" si="139"/>
        <v>#VALUE!</v>
      </c>
      <c r="U173" t="e">
        <f t="shared" ca="1" si="139"/>
        <v>#VALUE!</v>
      </c>
      <c r="V173" t="e">
        <f t="shared" ca="1" si="139"/>
        <v>#VALUE!</v>
      </c>
      <c r="W173" t="e">
        <f t="shared" ca="1" si="139"/>
        <v>#VALUE!</v>
      </c>
      <c r="X173" t="e">
        <f t="shared" ca="1" si="139"/>
        <v>#VALUE!</v>
      </c>
      <c r="Y173" t="e">
        <f t="shared" ca="1" si="139"/>
        <v>#VALUE!</v>
      </c>
      <c r="Z173" t="e">
        <f t="shared" ca="1" si="139"/>
        <v>#VALUE!</v>
      </c>
      <c r="AA173" t="e">
        <f t="shared" ca="1" si="139"/>
        <v>#VALUE!</v>
      </c>
      <c r="AB173" t="e">
        <f t="shared" ca="1" si="139"/>
        <v>#VALUE!</v>
      </c>
      <c r="AC173" t="e">
        <f t="shared" ca="1" si="139"/>
        <v>#VALUE!</v>
      </c>
      <c r="AD173" t="e">
        <f t="shared" ca="1" si="139"/>
        <v>#VALUE!</v>
      </c>
      <c r="AE173" t="e">
        <f t="shared" ref="AE173:AP181" ca="1" si="140">AE$163/AD$163*AD173</f>
        <v>#VALUE!</v>
      </c>
      <c r="AF173" t="e">
        <f t="shared" ca="1" si="140"/>
        <v>#VALUE!</v>
      </c>
      <c r="AG173" t="e">
        <f t="shared" ca="1" si="140"/>
        <v>#VALUE!</v>
      </c>
      <c r="AH173" t="e">
        <f t="shared" ca="1" si="140"/>
        <v>#VALUE!</v>
      </c>
      <c r="AI173" t="e">
        <f t="shared" ca="1" si="140"/>
        <v>#VALUE!</v>
      </c>
      <c r="AJ173" t="e">
        <f t="shared" ca="1" si="140"/>
        <v>#VALUE!</v>
      </c>
      <c r="AK173" t="e">
        <f t="shared" ca="1" si="140"/>
        <v>#VALUE!</v>
      </c>
      <c r="AL173" t="e">
        <f t="shared" ca="1" si="140"/>
        <v>#VALUE!</v>
      </c>
      <c r="AM173" t="e">
        <f t="shared" ca="1" si="140"/>
        <v>#VALUE!</v>
      </c>
      <c r="AN173" t="e">
        <f t="shared" ca="1" si="140"/>
        <v>#VALUE!</v>
      </c>
      <c r="AO173" t="e">
        <f t="shared" ca="1" si="140"/>
        <v>#VALUE!</v>
      </c>
      <c r="AP173" t="e">
        <f t="shared" ca="1" si="140"/>
        <v>#VALUE!</v>
      </c>
    </row>
    <row r="174" spans="1:42">
      <c r="A174" s="48" t="str">
        <f>'[4]TS BYDem'!A104</f>
        <v/>
      </c>
      <c r="B174" t="s">
        <v>288</v>
      </c>
      <c r="C174" t="s">
        <v>137</v>
      </c>
      <c r="D174" s="3" t="str">
        <f>'[4]TS BYDem'!D104</f>
        <v>INFS</v>
      </c>
      <c r="E174" t="s">
        <v>137</v>
      </c>
      <c r="F174" t="s">
        <v>137</v>
      </c>
      <c r="G174" t="s">
        <v>137</v>
      </c>
      <c r="H174" t="s">
        <v>137</v>
      </c>
      <c r="I174">
        <v>0</v>
      </c>
      <c r="J174">
        <f>INDEX('[4]TS BYDem'!$J$10:$J$203,MATCH(D174,'[4]TS BYDem'!$D$10:$D$203,0))</f>
        <v>2.487856608</v>
      </c>
      <c r="K174">
        <f t="shared" ca="1" si="138"/>
        <v>2.1111087609157093</v>
      </c>
      <c r="L174">
        <f t="shared" ca="1" si="138"/>
        <v>1.9379097668958214</v>
      </c>
      <c r="M174" s="171">
        <f t="shared" ref="M174" si="141">O174</f>
        <v>1.9115199999999999</v>
      </c>
      <c r="N174" s="171">
        <f t="shared" ref="N174" si="142">O174</f>
        <v>1.9115199999999999</v>
      </c>
      <c r="O174" s="171">
        <f>INDEX('[4]TS BYDem'!$O$10:$O$203,MATCH(D174,'[4]TS BYDem'!$D$10:$D$203,0))</f>
        <v>1.9115199999999999</v>
      </c>
      <c r="P174">
        <f t="shared" ca="1" si="139"/>
        <v>1.8762775470941881</v>
      </c>
      <c r="Q174">
        <f t="shared" ca="1" si="139"/>
        <v>1.8017065597862387</v>
      </c>
      <c r="R174">
        <f t="shared" ca="1" si="139"/>
        <v>1.6983976974131745</v>
      </c>
      <c r="S174">
        <f t="shared" ca="1" si="139"/>
        <v>1.7717118646848433</v>
      </c>
      <c r="T174">
        <f t="shared" ca="1" si="139"/>
        <v>1.6234205157294554</v>
      </c>
      <c r="U174">
        <f t="shared" ca="1" si="139"/>
        <v>1.5544584925574083</v>
      </c>
      <c r="V174">
        <f t="shared" ca="1" si="139"/>
        <v>1.5174475760679462</v>
      </c>
      <c r="W174">
        <f t="shared" ca="1" si="139"/>
        <v>1.5016666307961488</v>
      </c>
      <c r="X174">
        <f t="shared" ca="1" si="139"/>
        <v>1.5936631727393618</v>
      </c>
      <c r="Y174">
        <f t="shared" ca="1" si="139"/>
        <v>1.6601837492213778</v>
      </c>
      <c r="Z174">
        <f t="shared" ca="1" si="139"/>
        <v>1.902205421102755</v>
      </c>
      <c r="AA174">
        <f t="shared" ca="1" si="139"/>
        <v>2.0493998882118971</v>
      </c>
      <c r="AB174">
        <f t="shared" ca="1" si="139"/>
        <v>2.0904444992327154</v>
      </c>
      <c r="AC174">
        <f t="shared" ca="1" si="139"/>
        <v>2.0847831735746714</v>
      </c>
      <c r="AD174">
        <f t="shared" ca="1" si="139"/>
        <v>2.0748758536730945</v>
      </c>
      <c r="AE174">
        <f t="shared" ca="1" si="140"/>
        <v>2.086198504989182</v>
      </c>
      <c r="AF174">
        <f t="shared" ca="1" si="140"/>
        <v>2.1286584474245114</v>
      </c>
      <c r="AG174">
        <f t="shared" ca="1" si="140"/>
        <v>2.5348585633891627</v>
      </c>
      <c r="AH174">
        <f t="shared" ca="1" si="140"/>
        <v>2.9254900337941931</v>
      </c>
      <c r="AI174">
        <f t="shared" ca="1" si="140"/>
        <v>2.8660461143847318</v>
      </c>
      <c r="AJ174">
        <f t="shared" ca="1" si="140"/>
        <v>2.8816147599443527</v>
      </c>
      <c r="AK174">
        <f t="shared" ca="1" si="140"/>
        <v>2.7726342410270077</v>
      </c>
      <c r="AL174">
        <f t="shared" ca="1" si="140"/>
        <v>2.9396433479393029</v>
      </c>
      <c r="AM174">
        <f t="shared" ca="1" si="140"/>
        <v>2.5461812147052507</v>
      </c>
      <c r="AN174">
        <f t="shared" ca="1" si="140"/>
        <v>2.362188130818824</v>
      </c>
      <c r="AO174">
        <f t="shared" ca="1" si="140"/>
        <v>1.7498214054737486</v>
      </c>
      <c r="AP174">
        <f t="shared" ca="1" si="140"/>
        <v>1.1723661883532595</v>
      </c>
    </row>
    <row r="175" spans="1:42">
      <c r="A175" s="48" t="str">
        <f>'[4]TS BYDem'!A105</f>
        <v>*</v>
      </c>
      <c r="B175" t="s">
        <v>288</v>
      </c>
      <c r="C175" t="s">
        <v>137</v>
      </c>
      <c r="D175" s="3" t="str">
        <f>'[4]TS BYDem'!D105</f>
        <v>INFS</v>
      </c>
      <c r="E175" t="s">
        <v>137</v>
      </c>
      <c r="F175" t="s">
        <v>137</v>
      </c>
      <c r="G175" t="s">
        <v>137</v>
      </c>
      <c r="H175" t="s">
        <v>137</v>
      </c>
      <c r="I175">
        <v>0</v>
      </c>
      <c r="J175">
        <f>INDEX('[4]TS BYDem'!$J$10:$J$203,MATCH(D175,'[4]TS BYDem'!$D$10:$D$203,0))</f>
        <v>2.487856608</v>
      </c>
      <c r="K175">
        <f t="shared" ca="1" si="138"/>
        <v>2.1111087609157093</v>
      </c>
      <c r="L175">
        <f t="shared" ca="1" si="138"/>
        <v>1.9379097668958214</v>
      </c>
      <c r="M175">
        <f t="shared" ca="1" si="138"/>
        <v>1.965218131009753</v>
      </c>
      <c r="N175">
        <f t="shared" ca="1" si="138"/>
        <v>1.9128155944668037</v>
      </c>
      <c r="O175">
        <f t="shared" ca="1" si="139"/>
        <v>1.8414694179529294</v>
      </c>
      <c r="P175">
        <f t="shared" ca="1" si="139"/>
        <v>1.807518478784258</v>
      </c>
      <c r="Q175">
        <f t="shared" ca="1" si="139"/>
        <v>1.735680259673736</v>
      </c>
      <c r="R175">
        <f t="shared" ca="1" si="139"/>
        <v>1.6361573090043704</v>
      </c>
      <c r="S175">
        <f t="shared" ca="1" si="139"/>
        <v>1.7067847661763926</v>
      </c>
      <c r="T175">
        <f t="shared" ca="1" si="139"/>
        <v>1.5639277811339485</v>
      </c>
      <c r="U175">
        <f t="shared" ca="1" si="139"/>
        <v>1.4974929770662504</v>
      </c>
      <c r="V175">
        <f t="shared" ca="1" si="139"/>
        <v>1.4618383823741967</v>
      </c>
      <c r="W175">
        <f t="shared" ca="1" si="139"/>
        <v>1.4466357540446979</v>
      </c>
      <c r="X175">
        <f t="shared" ca="1" si="139"/>
        <v>1.5352609416157674</v>
      </c>
      <c r="Y175">
        <f t="shared" ca="1" si="139"/>
        <v>1.599343769551772</v>
      </c>
      <c r="Z175">
        <f t="shared" ca="1" si="139"/>
        <v>1.8324961860848947</v>
      </c>
      <c r="AA175">
        <f t="shared" ca="1" si="139"/>
        <v>1.9742964861986072</v>
      </c>
      <c r="AB175">
        <f t="shared" ca="1" si="139"/>
        <v>2.013836954499546</v>
      </c>
      <c r="AC175">
        <f t="shared" ca="1" si="139"/>
        <v>2.0083830968028646</v>
      </c>
      <c r="AD175">
        <f t="shared" ca="1" si="139"/>
        <v>1.9988388458336726</v>
      </c>
      <c r="AE175">
        <f t="shared" ca="1" si="140"/>
        <v>2.0097465612270349</v>
      </c>
      <c r="AF175">
        <f t="shared" ca="1" si="140"/>
        <v>2.0506504939521442</v>
      </c>
      <c r="AG175">
        <f t="shared" ca="1" si="140"/>
        <v>2.441964783689023</v>
      </c>
      <c r="AH175">
        <f t="shared" ca="1" si="140"/>
        <v>2.8182809647600284</v>
      </c>
      <c r="AI175">
        <f t="shared" ca="1" si="140"/>
        <v>2.7610154589448754</v>
      </c>
      <c r="AJ175">
        <f t="shared" ca="1" si="140"/>
        <v>2.7760135676107489</v>
      </c>
      <c r="AK175">
        <f t="shared" ca="1" si="140"/>
        <v>2.6710268069496355</v>
      </c>
      <c r="AL175">
        <f t="shared" ca="1" si="140"/>
        <v>2.8319156090017317</v>
      </c>
      <c r="AM175">
        <f t="shared" ca="1" si="140"/>
        <v>2.4528724990823854</v>
      </c>
      <c r="AN175">
        <f t="shared" ca="1" si="140"/>
        <v>2.2756221239402454</v>
      </c>
      <c r="AO175">
        <f t="shared" ca="1" si="140"/>
        <v>1.6856965164158999</v>
      </c>
      <c r="AP175">
        <f t="shared" ca="1" si="140"/>
        <v>1.1294030313544046</v>
      </c>
    </row>
    <row r="176" spans="1:42">
      <c r="A176" s="48" t="str">
        <f>'[4]TS BYDem'!A106</f>
        <v>*</v>
      </c>
      <c r="B176" t="s">
        <v>288</v>
      </c>
      <c r="C176" t="s">
        <v>137</v>
      </c>
      <c r="D176" s="3" t="str">
        <f>'[4]TS BYDem'!D106</f>
        <v>INFS</v>
      </c>
      <c r="E176" t="s">
        <v>137</v>
      </c>
      <c r="F176" t="s">
        <v>137</v>
      </c>
      <c r="G176" t="s">
        <v>137</v>
      </c>
      <c r="H176" t="s">
        <v>137</v>
      </c>
      <c r="I176">
        <v>0</v>
      </c>
      <c r="J176">
        <f>INDEX('[4]TS BYDem'!$J$10:$J$203,MATCH(D176,'[4]TS BYDem'!$D$10:$D$203,0))</f>
        <v>2.487856608</v>
      </c>
      <c r="K176">
        <f t="shared" ca="1" si="138"/>
        <v>2.1111087609157093</v>
      </c>
      <c r="L176">
        <f t="shared" ca="1" si="138"/>
        <v>1.9379097668958214</v>
      </c>
      <c r="M176">
        <f t="shared" ca="1" si="138"/>
        <v>1.965218131009753</v>
      </c>
      <c r="N176">
        <f t="shared" ca="1" si="138"/>
        <v>1.9128155944668037</v>
      </c>
      <c r="O176">
        <f t="shared" ca="1" si="139"/>
        <v>1.8414694179529294</v>
      </c>
      <c r="P176">
        <f t="shared" ca="1" si="139"/>
        <v>1.807518478784258</v>
      </c>
      <c r="Q176">
        <f t="shared" ca="1" si="139"/>
        <v>1.735680259673736</v>
      </c>
      <c r="R176">
        <f t="shared" ca="1" si="139"/>
        <v>1.6361573090043704</v>
      </c>
      <c r="S176">
        <f t="shared" ca="1" si="139"/>
        <v>1.7067847661763926</v>
      </c>
      <c r="T176">
        <f t="shared" ca="1" si="139"/>
        <v>1.5639277811339485</v>
      </c>
      <c r="U176">
        <f t="shared" ca="1" si="139"/>
        <v>1.4974929770662504</v>
      </c>
      <c r="V176">
        <f t="shared" ca="1" si="139"/>
        <v>1.4618383823741967</v>
      </c>
      <c r="W176">
        <f t="shared" ca="1" si="139"/>
        <v>1.4466357540446979</v>
      </c>
      <c r="X176">
        <f t="shared" ca="1" si="139"/>
        <v>1.5352609416157674</v>
      </c>
      <c r="Y176">
        <f t="shared" ca="1" si="139"/>
        <v>1.599343769551772</v>
      </c>
      <c r="Z176">
        <f t="shared" ca="1" si="139"/>
        <v>1.8324961860848947</v>
      </c>
      <c r="AA176">
        <f t="shared" ca="1" si="139"/>
        <v>1.9742964861986072</v>
      </c>
      <c r="AB176">
        <f t="shared" ca="1" si="139"/>
        <v>2.013836954499546</v>
      </c>
      <c r="AC176">
        <f t="shared" ca="1" si="139"/>
        <v>2.0083830968028646</v>
      </c>
      <c r="AD176">
        <f t="shared" ca="1" si="139"/>
        <v>1.9988388458336726</v>
      </c>
      <c r="AE176">
        <f t="shared" ca="1" si="140"/>
        <v>2.0097465612270349</v>
      </c>
      <c r="AF176">
        <f t="shared" ca="1" si="140"/>
        <v>2.0506504939521442</v>
      </c>
      <c r="AG176">
        <f t="shared" ca="1" si="140"/>
        <v>2.441964783689023</v>
      </c>
      <c r="AH176">
        <f t="shared" ca="1" si="140"/>
        <v>2.8182809647600284</v>
      </c>
      <c r="AI176">
        <f t="shared" ca="1" si="140"/>
        <v>2.7610154589448754</v>
      </c>
      <c r="AJ176">
        <f t="shared" ca="1" si="140"/>
        <v>2.7760135676107489</v>
      </c>
      <c r="AK176">
        <f t="shared" ca="1" si="140"/>
        <v>2.6710268069496355</v>
      </c>
      <c r="AL176">
        <f t="shared" ca="1" si="140"/>
        <v>2.8319156090017317</v>
      </c>
      <c r="AM176">
        <f t="shared" ca="1" si="140"/>
        <v>2.4528724990823854</v>
      </c>
      <c r="AN176">
        <f t="shared" ca="1" si="140"/>
        <v>2.2756221239402454</v>
      </c>
      <c r="AO176">
        <f t="shared" ca="1" si="140"/>
        <v>1.6856965164158999</v>
      </c>
      <c r="AP176">
        <f t="shared" ca="1" si="140"/>
        <v>1.1294030313544046</v>
      </c>
    </row>
    <row r="177" spans="1:42">
      <c r="A177" s="48" t="str">
        <f>'[4]TS BYDem'!A107</f>
        <v>*</v>
      </c>
      <c r="B177" t="s">
        <v>288</v>
      </c>
      <c r="C177" t="s">
        <v>137</v>
      </c>
      <c r="D177" s="3" t="str">
        <f>'[4]TS BYDem'!D107</f>
        <v>INFS</v>
      </c>
      <c r="E177" t="s">
        <v>137</v>
      </c>
      <c r="F177" t="s">
        <v>137</v>
      </c>
      <c r="G177" t="s">
        <v>137</v>
      </c>
      <c r="H177" t="s">
        <v>137</v>
      </c>
      <c r="I177">
        <v>0</v>
      </c>
      <c r="J177">
        <f>INDEX('[4]TS BYDem'!$J$10:$J$203,MATCH(D177,'[4]TS BYDem'!$D$10:$D$203,0))</f>
        <v>2.487856608</v>
      </c>
      <c r="K177">
        <f t="shared" ca="1" si="138"/>
        <v>2.1111087609157093</v>
      </c>
      <c r="L177">
        <f t="shared" ca="1" si="138"/>
        <v>1.9379097668958214</v>
      </c>
      <c r="M177">
        <f t="shared" ca="1" si="138"/>
        <v>1.965218131009753</v>
      </c>
      <c r="N177">
        <f t="shared" ca="1" si="138"/>
        <v>1.9128155944668037</v>
      </c>
      <c r="O177">
        <f t="shared" ca="1" si="139"/>
        <v>1.8414694179529294</v>
      </c>
      <c r="P177">
        <f t="shared" ca="1" si="139"/>
        <v>1.807518478784258</v>
      </c>
      <c r="Q177">
        <f t="shared" ca="1" si="139"/>
        <v>1.735680259673736</v>
      </c>
      <c r="R177">
        <f t="shared" ca="1" si="139"/>
        <v>1.6361573090043704</v>
      </c>
      <c r="S177">
        <f t="shared" ca="1" si="139"/>
        <v>1.7067847661763926</v>
      </c>
      <c r="T177">
        <f t="shared" ca="1" si="139"/>
        <v>1.5639277811339485</v>
      </c>
      <c r="U177">
        <f t="shared" ca="1" si="139"/>
        <v>1.4974929770662504</v>
      </c>
      <c r="V177">
        <f t="shared" ca="1" si="139"/>
        <v>1.4618383823741967</v>
      </c>
      <c r="W177">
        <f t="shared" ca="1" si="139"/>
        <v>1.4466357540446979</v>
      </c>
      <c r="X177">
        <f t="shared" ca="1" si="139"/>
        <v>1.5352609416157674</v>
      </c>
      <c r="Y177">
        <f t="shared" ca="1" si="139"/>
        <v>1.599343769551772</v>
      </c>
      <c r="Z177">
        <f t="shared" ca="1" si="139"/>
        <v>1.8324961860848947</v>
      </c>
      <c r="AA177">
        <f t="shared" ca="1" si="139"/>
        <v>1.9742964861986072</v>
      </c>
      <c r="AB177">
        <f t="shared" ca="1" si="139"/>
        <v>2.013836954499546</v>
      </c>
      <c r="AC177">
        <f t="shared" ca="1" si="139"/>
        <v>2.0083830968028646</v>
      </c>
      <c r="AD177">
        <f t="shared" ca="1" si="139"/>
        <v>1.9988388458336726</v>
      </c>
      <c r="AE177">
        <f t="shared" ca="1" si="140"/>
        <v>2.0097465612270349</v>
      </c>
      <c r="AF177">
        <f t="shared" ca="1" si="140"/>
        <v>2.0506504939521442</v>
      </c>
      <c r="AG177">
        <f t="shared" ca="1" si="140"/>
        <v>2.441964783689023</v>
      </c>
      <c r="AH177">
        <f t="shared" ca="1" si="140"/>
        <v>2.8182809647600284</v>
      </c>
      <c r="AI177">
        <f t="shared" ca="1" si="140"/>
        <v>2.7610154589448754</v>
      </c>
      <c r="AJ177">
        <f t="shared" ca="1" si="140"/>
        <v>2.7760135676107489</v>
      </c>
      <c r="AK177">
        <f t="shared" ca="1" si="140"/>
        <v>2.6710268069496355</v>
      </c>
      <c r="AL177">
        <f t="shared" ca="1" si="140"/>
        <v>2.8319156090017317</v>
      </c>
      <c r="AM177">
        <f t="shared" ca="1" si="140"/>
        <v>2.4528724990823854</v>
      </c>
      <c r="AN177">
        <f t="shared" ca="1" si="140"/>
        <v>2.2756221239402454</v>
      </c>
      <c r="AO177">
        <f t="shared" ca="1" si="140"/>
        <v>1.6856965164158999</v>
      </c>
      <c r="AP177">
        <f t="shared" ca="1" si="140"/>
        <v>1.1294030313544046</v>
      </c>
    </row>
    <row r="178" spans="1:42">
      <c r="A178" s="48" t="str">
        <f>'[4]TS BYDem'!A108</f>
        <v>*</v>
      </c>
      <c r="B178" t="s">
        <v>288</v>
      </c>
      <c r="C178" t="s">
        <v>137</v>
      </c>
      <c r="D178" s="3" t="str">
        <f>'[4]TS BYDem'!D108</f>
        <v>INFS</v>
      </c>
      <c r="E178" t="s">
        <v>137</v>
      </c>
      <c r="F178" t="s">
        <v>137</v>
      </c>
      <c r="G178" t="s">
        <v>137</v>
      </c>
      <c r="H178" t="s">
        <v>137</v>
      </c>
      <c r="I178">
        <v>0</v>
      </c>
      <c r="J178">
        <f>INDEX('[4]TS BYDem'!$J$10:$J$203,MATCH(D178,'[4]TS BYDem'!$D$10:$D$203,0))</f>
        <v>2.487856608</v>
      </c>
      <c r="K178">
        <f t="shared" ca="1" si="138"/>
        <v>2.1111087609157093</v>
      </c>
      <c r="L178">
        <f t="shared" ca="1" si="138"/>
        <v>1.9379097668958214</v>
      </c>
      <c r="M178">
        <f t="shared" ca="1" si="138"/>
        <v>1.965218131009753</v>
      </c>
      <c r="N178">
        <f t="shared" ca="1" si="138"/>
        <v>1.9128155944668037</v>
      </c>
      <c r="O178">
        <f t="shared" ca="1" si="139"/>
        <v>1.8414694179529294</v>
      </c>
      <c r="P178">
        <f t="shared" ca="1" si="139"/>
        <v>1.807518478784258</v>
      </c>
      <c r="Q178">
        <f t="shared" ca="1" si="139"/>
        <v>1.735680259673736</v>
      </c>
      <c r="R178">
        <f t="shared" ca="1" si="139"/>
        <v>1.6361573090043704</v>
      </c>
      <c r="S178">
        <f t="shared" ca="1" si="139"/>
        <v>1.7067847661763926</v>
      </c>
      <c r="T178">
        <f t="shared" ca="1" si="139"/>
        <v>1.5639277811339485</v>
      </c>
      <c r="U178">
        <f t="shared" ca="1" si="139"/>
        <v>1.4974929770662504</v>
      </c>
      <c r="V178">
        <f t="shared" ca="1" si="139"/>
        <v>1.4618383823741967</v>
      </c>
      <c r="W178">
        <f t="shared" ca="1" si="139"/>
        <v>1.4466357540446979</v>
      </c>
      <c r="X178">
        <f t="shared" ca="1" si="139"/>
        <v>1.5352609416157674</v>
      </c>
      <c r="Y178">
        <f t="shared" ca="1" si="139"/>
        <v>1.599343769551772</v>
      </c>
      <c r="Z178">
        <f t="shared" ca="1" si="139"/>
        <v>1.8324961860848947</v>
      </c>
      <c r="AA178">
        <f t="shared" ca="1" si="139"/>
        <v>1.9742964861986072</v>
      </c>
      <c r="AB178">
        <f t="shared" ca="1" si="139"/>
        <v>2.013836954499546</v>
      </c>
      <c r="AC178">
        <f t="shared" ca="1" si="139"/>
        <v>2.0083830968028646</v>
      </c>
      <c r="AD178">
        <f t="shared" ca="1" si="139"/>
        <v>1.9988388458336726</v>
      </c>
      <c r="AE178">
        <f t="shared" ca="1" si="140"/>
        <v>2.0097465612270349</v>
      </c>
      <c r="AF178">
        <f t="shared" ca="1" si="140"/>
        <v>2.0506504939521442</v>
      </c>
      <c r="AG178">
        <f t="shared" ca="1" si="140"/>
        <v>2.441964783689023</v>
      </c>
      <c r="AH178">
        <f t="shared" ca="1" si="140"/>
        <v>2.8182809647600284</v>
      </c>
      <c r="AI178">
        <f t="shared" ca="1" si="140"/>
        <v>2.7610154589448754</v>
      </c>
      <c r="AJ178">
        <f t="shared" ca="1" si="140"/>
        <v>2.7760135676107489</v>
      </c>
      <c r="AK178">
        <f t="shared" ca="1" si="140"/>
        <v>2.6710268069496355</v>
      </c>
      <c r="AL178">
        <f t="shared" ca="1" si="140"/>
        <v>2.8319156090017317</v>
      </c>
      <c r="AM178">
        <f t="shared" ca="1" si="140"/>
        <v>2.4528724990823854</v>
      </c>
      <c r="AN178">
        <f t="shared" ca="1" si="140"/>
        <v>2.2756221239402454</v>
      </c>
      <c r="AO178">
        <f t="shared" ca="1" si="140"/>
        <v>1.6856965164158999</v>
      </c>
      <c r="AP178">
        <f t="shared" ca="1" si="140"/>
        <v>1.1294030313544046</v>
      </c>
    </row>
    <row r="179" spans="1:42">
      <c r="A179" s="48" t="str">
        <f>'[4]TS BYDem'!A109</f>
        <v>*</v>
      </c>
      <c r="B179" t="s">
        <v>288</v>
      </c>
      <c r="C179" t="s">
        <v>137</v>
      </c>
      <c r="D179" s="3" t="str">
        <f>'[4]TS BYDem'!D109</f>
        <v>INFS</v>
      </c>
      <c r="E179" t="s">
        <v>137</v>
      </c>
      <c r="F179" t="s">
        <v>137</v>
      </c>
      <c r="G179" t="s">
        <v>137</v>
      </c>
      <c r="H179" t="s">
        <v>137</v>
      </c>
      <c r="I179">
        <v>0</v>
      </c>
      <c r="J179">
        <f>INDEX('[4]TS BYDem'!$J$10:$J$203,MATCH(D179,'[4]TS BYDem'!$D$10:$D$203,0))</f>
        <v>2.487856608</v>
      </c>
      <c r="K179">
        <f t="shared" ca="1" si="138"/>
        <v>2.1111087609157093</v>
      </c>
      <c r="L179">
        <f t="shared" ca="1" si="138"/>
        <v>1.9379097668958214</v>
      </c>
      <c r="M179">
        <f t="shared" ca="1" si="138"/>
        <v>1.965218131009753</v>
      </c>
      <c r="N179">
        <f t="shared" ca="1" si="138"/>
        <v>1.9128155944668037</v>
      </c>
      <c r="O179">
        <f t="shared" ca="1" si="139"/>
        <v>1.8414694179529294</v>
      </c>
      <c r="P179">
        <f t="shared" ca="1" si="139"/>
        <v>1.807518478784258</v>
      </c>
      <c r="Q179">
        <f t="shared" ca="1" si="139"/>
        <v>1.735680259673736</v>
      </c>
      <c r="R179">
        <f t="shared" ca="1" si="139"/>
        <v>1.6361573090043704</v>
      </c>
      <c r="S179">
        <f t="shared" ca="1" si="139"/>
        <v>1.7067847661763926</v>
      </c>
      <c r="T179">
        <f t="shared" ca="1" si="139"/>
        <v>1.5639277811339485</v>
      </c>
      <c r="U179">
        <f t="shared" ca="1" si="139"/>
        <v>1.4974929770662504</v>
      </c>
      <c r="V179">
        <f t="shared" ca="1" si="139"/>
        <v>1.4618383823741967</v>
      </c>
      <c r="W179">
        <f t="shared" ca="1" si="139"/>
        <v>1.4466357540446979</v>
      </c>
      <c r="X179">
        <f t="shared" ca="1" si="139"/>
        <v>1.5352609416157674</v>
      </c>
      <c r="Y179">
        <f t="shared" ca="1" si="139"/>
        <v>1.599343769551772</v>
      </c>
      <c r="Z179">
        <f t="shared" ca="1" si="139"/>
        <v>1.8324961860848947</v>
      </c>
      <c r="AA179">
        <f t="shared" ca="1" si="139"/>
        <v>1.9742964861986072</v>
      </c>
      <c r="AB179">
        <f t="shared" ca="1" si="139"/>
        <v>2.013836954499546</v>
      </c>
      <c r="AC179">
        <f t="shared" ca="1" si="139"/>
        <v>2.0083830968028646</v>
      </c>
      <c r="AD179">
        <f t="shared" ca="1" si="139"/>
        <v>1.9988388458336726</v>
      </c>
      <c r="AE179">
        <f t="shared" ca="1" si="140"/>
        <v>2.0097465612270349</v>
      </c>
      <c r="AF179">
        <f t="shared" ca="1" si="140"/>
        <v>2.0506504939521442</v>
      </c>
      <c r="AG179">
        <f t="shared" ca="1" si="140"/>
        <v>2.441964783689023</v>
      </c>
      <c r="AH179">
        <f t="shared" ca="1" si="140"/>
        <v>2.8182809647600284</v>
      </c>
      <c r="AI179">
        <f t="shared" ca="1" si="140"/>
        <v>2.7610154589448754</v>
      </c>
      <c r="AJ179">
        <f t="shared" ca="1" si="140"/>
        <v>2.7760135676107489</v>
      </c>
      <c r="AK179">
        <f t="shared" ca="1" si="140"/>
        <v>2.6710268069496355</v>
      </c>
      <c r="AL179">
        <f t="shared" ca="1" si="140"/>
        <v>2.8319156090017317</v>
      </c>
      <c r="AM179">
        <f t="shared" ca="1" si="140"/>
        <v>2.4528724990823854</v>
      </c>
      <c r="AN179">
        <f t="shared" ca="1" si="140"/>
        <v>2.2756221239402454</v>
      </c>
      <c r="AO179">
        <f t="shared" ca="1" si="140"/>
        <v>1.6856965164158999</v>
      </c>
      <c r="AP179">
        <f t="shared" ca="1" si="140"/>
        <v>1.1294030313544046</v>
      </c>
    </row>
    <row r="180" spans="1:42">
      <c r="A180" s="48" t="str">
        <f>'[4]TS BYDem'!A110</f>
        <v>*</v>
      </c>
      <c r="B180" t="s">
        <v>288</v>
      </c>
      <c r="C180" t="s">
        <v>137</v>
      </c>
      <c r="D180" s="3" t="str">
        <f>'[4]TS BYDem'!D110</f>
        <v>Useful Energy Service</v>
      </c>
      <c r="E180" t="s">
        <v>137</v>
      </c>
      <c r="F180" t="s">
        <v>137</v>
      </c>
      <c r="G180" t="s">
        <v>137</v>
      </c>
      <c r="H180" t="s">
        <v>137</v>
      </c>
      <c r="I180">
        <v>0</v>
      </c>
      <c r="J180" t="str">
        <f>INDEX('[4]TS BYDem'!$J$10:$J$203,MATCH(D180,'[4]TS BYDem'!$D$10:$D$203,0))</f>
        <v/>
      </c>
      <c r="K180" t="e">
        <f t="shared" ca="1" si="138"/>
        <v>#VALUE!</v>
      </c>
      <c r="L180" t="e">
        <f t="shared" ca="1" si="138"/>
        <v>#VALUE!</v>
      </c>
      <c r="M180" t="e">
        <f t="shared" ca="1" si="138"/>
        <v>#VALUE!</v>
      </c>
      <c r="N180" t="e">
        <f t="shared" ca="1" si="138"/>
        <v>#VALUE!</v>
      </c>
      <c r="O180" t="e">
        <f t="shared" ca="1" si="139"/>
        <v>#VALUE!</v>
      </c>
      <c r="P180" t="e">
        <f t="shared" ca="1" si="139"/>
        <v>#VALUE!</v>
      </c>
      <c r="Q180" t="e">
        <f t="shared" ca="1" si="139"/>
        <v>#VALUE!</v>
      </c>
      <c r="R180" t="e">
        <f t="shared" ca="1" si="139"/>
        <v>#VALUE!</v>
      </c>
      <c r="S180" t="e">
        <f t="shared" ca="1" si="139"/>
        <v>#VALUE!</v>
      </c>
      <c r="T180" t="e">
        <f t="shared" ca="1" si="139"/>
        <v>#VALUE!</v>
      </c>
      <c r="U180" t="e">
        <f t="shared" ca="1" si="139"/>
        <v>#VALUE!</v>
      </c>
      <c r="V180" t="e">
        <f t="shared" ca="1" si="139"/>
        <v>#VALUE!</v>
      </c>
      <c r="W180" t="e">
        <f t="shared" ca="1" si="139"/>
        <v>#VALUE!</v>
      </c>
      <c r="X180" t="e">
        <f t="shared" ca="1" si="139"/>
        <v>#VALUE!</v>
      </c>
      <c r="Y180" t="e">
        <f t="shared" ca="1" si="139"/>
        <v>#VALUE!</v>
      </c>
      <c r="Z180" t="e">
        <f t="shared" ca="1" si="139"/>
        <v>#VALUE!</v>
      </c>
      <c r="AA180" t="e">
        <f t="shared" ca="1" si="139"/>
        <v>#VALUE!</v>
      </c>
      <c r="AB180" t="e">
        <f t="shared" ca="1" si="139"/>
        <v>#VALUE!</v>
      </c>
      <c r="AC180" t="e">
        <f t="shared" ca="1" si="139"/>
        <v>#VALUE!</v>
      </c>
      <c r="AD180" t="e">
        <f t="shared" ca="1" si="139"/>
        <v>#VALUE!</v>
      </c>
      <c r="AE180" t="e">
        <f t="shared" ca="1" si="140"/>
        <v>#VALUE!</v>
      </c>
      <c r="AF180" t="e">
        <f t="shared" ca="1" si="140"/>
        <v>#VALUE!</v>
      </c>
      <c r="AG180" t="e">
        <f t="shared" ca="1" si="140"/>
        <v>#VALUE!</v>
      </c>
      <c r="AH180" t="e">
        <f t="shared" ca="1" si="140"/>
        <v>#VALUE!</v>
      </c>
      <c r="AI180" t="e">
        <f t="shared" ca="1" si="140"/>
        <v>#VALUE!</v>
      </c>
      <c r="AJ180" t="e">
        <f t="shared" ca="1" si="140"/>
        <v>#VALUE!</v>
      </c>
      <c r="AK180" t="e">
        <f t="shared" ca="1" si="140"/>
        <v>#VALUE!</v>
      </c>
      <c r="AL180" t="e">
        <f t="shared" ca="1" si="140"/>
        <v>#VALUE!</v>
      </c>
      <c r="AM180" t="e">
        <f t="shared" ca="1" si="140"/>
        <v>#VALUE!</v>
      </c>
      <c r="AN180" t="e">
        <f t="shared" ca="1" si="140"/>
        <v>#VALUE!</v>
      </c>
      <c r="AO180" t="e">
        <f t="shared" ca="1" si="140"/>
        <v>#VALUE!</v>
      </c>
      <c r="AP180" t="e">
        <f t="shared" ca="1" si="140"/>
        <v>#VALUE!</v>
      </c>
    </row>
    <row r="181" spans="1:42">
      <c r="A181" s="48" t="str">
        <f>'[4]TS BYDem'!A111</f>
        <v>*</v>
      </c>
      <c r="B181" t="s">
        <v>288</v>
      </c>
      <c r="C181" t="s">
        <v>137</v>
      </c>
      <c r="D181" s="3">
        <f>'[4]TS BYDem'!D111</f>
        <v>0</v>
      </c>
      <c r="E181" t="s">
        <v>137</v>
      </c>
      <c r="F181" t="s">
        <v>137</v>
      </c>
      <c r="G181" t="s">
        <v>137</v>
      </c>
      <c r="H181" t="s">
        <v>137</v>
      </c>
      <c r="I181">
        <v>0</v>
      </c>
      <c r="J181" t="str">
        <f>INDEX('[4]TS BYDem'!$J$10:$J$203,MATCH(D181,'[4]TS BYDem'!$D$10:$D$203,0))</f>
        <v/>
      </c>
      <c r="K181" t="e">
        <f t="shared" ca="1" si="138"/>
        <v>#VALUE!</v>
      </c>
      <c r="L181" t="e">
        <f t="shared" ca="1" si="138"/>
        <v>#VALUE!</v>
      </c>
      <c r="M181" t="e">
        <f t="shared" ca="1" si="138"/>
        <v>#VALUE!</v>
      </c>
      <c r="N181" t="e">
        <f t="shared" ca="1" si="138"/>
        <v>#VALUE!</v>
      </c>
      <c r="O181" t="e">
        <f t="shared" ca="1" si="139"/>
        <v>#VALUE!</v>
      </c>
      <c r="P181" t="e">
        <f t="shared" ca="1" si="139"/>
        <v>#VALUE!</v>
      </c>
      <c r="Q181" t="e">
        <f t="shared" ca="1" si="139"/>
        <v>#VALUE!</v>
      </c>
      <c r="R181" t="e">
        <f t="shared" ca="1" si="139"/>
        <v>#VALUE!</v>
      </c>
      <c r="S181" t="e">
        <f t="shared" ca="1" si="139"/>
        <v>#VALUE!</v>
      </c>
      <c r="T181" t="e">
        <f t="shared" ca="1" si="139"/>
        <v>#VALUE!</v>
      </c>
      <c r="U181" t="e">
        <f t="shared" ca="1" si="139"/>
        <v>#VALUE!</v>
      </c>
      <c r="V181" t="e">
        <f t="shared" ca="1" si="139"/>
        <v>#VALUE!</v>
      </c>
      <c r="W181" t="e">
        <f t="shared" ca="1" si="139"/>
        <v>#VALUE!</v>
      </c>
      <c r="X181" t="e">
        <f t="shared" ca="1" si="139"/>
        <v>#VALUE!</v>
      </c>
      <c r="Y181" t="e">
        <f t="shared" ca="1" si="139"/>
        <v>#VALUE!</v>
      </c>
      <c r="Z181" t="e">
        <f t="shared" ca="1" si="139"/>
        <v>#VALUE!</v>
      </c>
      <c r="AA181" t="e">
        <f t="shared" ca="1" si="139"/>
        <v>#VALUE!</v>
      </c>
      <c r="AB181" t="e">
        <f t="shared" ca="1" si="139"/>
        <v>#VALUE!</v>
      </c>
      <c r="AC181" t="e">
        <f t="shared" ca="1" si="139"/>
        <v>#VALUE!</v>
      </c>
      <c r="AD181" t="e">
        <f t="shared" ca="1" si="139"/>
        <v>#VALUE!</v>
      </c>
      <c r="AE181" t="e">
        <f t="shared" ca="1" si="140"/>
        <v>#VALUE!</v>
      </c>
      <c r="AF181" t="e">
        <f t="shared" ca="1" si="140"/>
        <v>#VALUE!</v>
      </c>
      <c r="AG181" t="e">
        <f t="shared" ca="1" si="140"/>
        <v>#VALUE!</v>
      </c>
      <c r="AH181" t="e">
        <f t="shared" ca="1" si="140"/>
        <v>#VALUE!</v>
      </c>
      <c r="AI181" t="e">
        <f t="shared" ca="1" si="140"/>
        <v>#VALUE!</v>
      </c>
      <c r="AJ181" t="e">
        <f t="shared" ca="1" si="140"/>
        <v>#VALUE!</v>
      </c>
      <c r="AK181" t="e">
        <f t="shared" ca="1" si="140"/>
        <v>#VALUE!</v>
      </c>
      <c r="AL181" t="e">
        <f t="shared" ca="1" si="140"/>
        <v>#VALUE!</v>
      </c>
      <c r="AM181" t="e">
        <f t="shared" ca="1" si="140"/>
        <v>#VALUE!</v>
      </c>
      <c r="AN181" t="e">
        <f t="shared" ca="1" si="140"/>
        <v>#VALUE!</v>
      </c>
      <c r="AO181" t="e">
        <f t="shared" ca="1" si="140"/>
        <v>#VALUE!</v>
      </c>
      <c r="AP181" t="e">
        <f t="shared" ca="1" si="140"/>
        <v>#VALUE!</v>
      </c>
    </row>
    <row r="182" spans="1:42" s="2" customFormat="1">
      <c r="A182" s="48" t="str">
        <f>'[4]TS BYDem'!A108</f>
        <v>*</v>
      </c>
      <c r="B182" s="2">
        <f>B163+1</f>
        <v>9</v>
      </c>
      <c r="C182" s="1" t="str">
        <f ca="1">OFFSET($C$9,$B182,0)</f>
        <v>N.M.M Products</v>
      </c>
      <c r="D182" s="1" t="str">
        <f ca="1">OFFSET($B$9,$B182,0)</f>
        <v>NM</v>
      </c>
      <c r="J182" s="2">
        <f t="shared" ref="J182:AA182" ca="1" si="143">SUMIF($B$10:$B$25,$D182,J$10:J$25)*SUMIF($B$10:$B$25,$D182,J$47:J$62)</f>
        <v>257.58518677457675</v>
      </c>
      <c r="K182" s="2">
        <f t="shared" ca="1" si="143"/>
        <v>264.30158634505625</v>
      </c>
      <c r="L182" s="2">
        <f t="shared" ca="1" si="143"/>
        <v>268.93658572408242</v>
      </c>
      <c r="M182" s="2">
        <f t="shared" ca="1" si="143"/>
        <v>272.7384123589984</v>
      </c>
      <c r="N182" s="2">
        <f t="shared" ca="1" si="143"/>
        <v>275.72686743019443</v>
      </c>
      <c r="O182" s="2">
        <f t="shared" ca="1" si="143"/>
        <v>278.79300405522883</v>
      </c>
      <c r="P182" s="2">
        <f t="shared" ca="1" si="143"/>
        <v>282.38311037674208</v>
      </c>
      <c r="Q182" s="2">
        <f t="shared" ca="1" si="143"/>
        <v>282.08</v>
      </c>
      <c r="R182" s="2">
        <f t="shared" ca="1" si="143"/>
        <v>263.36</v>
      </c>
      <c r="S182" s="2">
        <f t="shared" ca="1" si="143"/>
        <v>271.88141636141643</v>
      </c>
      <c r="T182" s="2">
        <f t="shared" ca="1" si="143"/>
        <v>278.15189255189262</v>
      </c>
      <c r="U182" s="2">
        <f t="shared" ca="1" si="143"/>
        <v>284.90471306471306</v>
      </c>
      <c r="V182" s="2">
        <f t="shared" ca="1" si="143"/>
        <v>292.13987789987794</v>
      </c>
      <c r="W182" s="2">
        <f t="shared" ca="1" si="143"/>
        <v>299.05347985347993</v>
      </c>
      <c r="X182" s="2">
        <f t="shared" ca="1" si="143"/>
        <v>305.48473748473754</v>
      </c>
      <c r="Y182" s="2">
        <f t="shared" ca="1" si="143"/>
        <v>311.91599511599514</v>
      </c>
      <c r="Z182" s="2">
        <f t="shared" ca="1" si="143"/>
        <v>321.0805372405373</v>
      </c>
      <c r="AA182" s="2">
        <f t="shared" ca="1" si="143"/>
        <v>330.08429792429803</v>
      </c>
      <c r="AB182" s="2">
        <f ca="1">SUMIF($B$10:$B$25,$D182,AB$10:AB$25)*SUMIF($B$10:$B$25,$D182,AB$46:AB$62)</f>
        <v>337.48024420024421</v>
      </c>
      <c r="AC182" s="2">
        <f t="shared" ref="AC182:AP182" ca="1" si="144">SUMIF($B$10:$B$25,$D182,AC$10:AC$25)*SUMIF($B$10:$B$25,$D182,AC$47:AC$62)</f>
        <v>345.84087912087915</v>
      </c>
      <c r="AD182" s="2">
        <f t="shared" ca="1" si="144"/>
        <v>354.20151404151403</v>
      </c>
      <c r="AE182" s="2">
        <f t="shared" ca="1" si="144"/>
        <v>364.65230769230766</v>
      </c>
      <c r="AF182" s="2">
        <f t="shared" ca="1" si="144"/>
        <v>375.42466422466424</v>
      </c>
      <c r="AG182" s="2">
        <f t="shared" ca="1" si="144"/>
        <v>387.64405372405378</v>
      </c>
      <c r="AH182" s="2">
        <f t="shared" ca="1" si="144"/>
        <v>397.77328449328451</v>
      </c>
      <c r="AI182" s="2">
        <f t="shared" ca="1" si="144"/>
        <v>402.91829059829058</v>
      </c>
      <c r="AJ182" s="2">
        <f t="shared" ca="1" si="144"/>
        <v>410.15345543345546</v>
      </c>
      <c r="AK182" s="2">
        <f t="shared" ca="1" si="144"/>
        <v>419.15721611721608</v>
      </c>
      <c r="AL182" s="2">
        <f t="shared" ca="1" si="144"/>
        <v>428.4825396825396</v>
      </c>
      <c r="AM182" s="2">
        <f t="shared" ca="1" si="144"/>
        <v>477.84244200244194</v>
      </c>
      <c r="AN182" s="2">
        <f t="shared" ca="1" si="144"/>
        <v>508.71247863247856</v>
      </c>
      <c r="AO182" s="2">
        <f t="shared" ca="1" si="144"/>
        <v>592.02406186406188</v>
      </c>
      <c r="AP182" s="2">
        <f t="shared" ca="1" si="144"/>
        <v>672.25400081400039</v>
      </c>
    </row>
    <row r="183" spans="1:42">
      <c r="A183" s="48" t="str">
        <f>'[4]TS BYDem'!A113</f>
        <v>*</v>
      </c>
      <c r="B183" t="s">
        <v>288</v>
      </c>
      <c r="C183" t="s">
        <v>137</v>
      </c>
      <c r="D183" s="3" t="str">
        <f>'[4]TS BYDem'!D113</f>
        <v>INMK</v>
      </c>
      <c r="E183" t="s">
        <v>137</v>
      </c>
      <c r="F183" t="s">
        <v>137</v>
      </c>
      <c r="G183" t="s">
        <v>137</v>
      </c>
      <c r="H183" t="s">
        <v>137</v>
      </c>
      <c r="I183">
        <v>0</v>
      </c>
      <c r="J183" t="str">
        <f>INDEX('[4]TS BYDem'!$J$10:$J$203,MATCH(D183,'[4]TS BYDem'!$D$10:$D$203,0))</f>
        <v/>
      </c>
      <c r="K183" t="e">
        <f t="shared" ref="K183:Z198" ca="1" si="145">K$182/J$182*J183</f>
        <v>#VALUE!</v>
      </c>
      <c r="L183" t="e">
        <f t="shared" ca="1" si="145"/>
        <v>#VALUE!</v>
      </c>
      <c r="M183" t="e">
        <f t="shared" ca="1" si="145"/>
        <v>#VALUE!</v>
      </c>
      <c r="N183" t="e">
        <f t="shared" ca="1" si="145"/>
        <v>#VALUE!</v>
      </c>
      <c r="O183" t="e">
        <f t="shared" ca="1" si="145"/>
        <v>#VALUE!</v>
      </c>
      <c r="P183" t="e">
        <f t="shared" ca="1" si="145"/>
        <v>#VALUE!</v>
      </c>
      <c r="Q183" t="e">
        <f t="shared" ca="1" si="145"/>
        <v>#VALUE!</v>
      </c>
      <c r="R183" t="e">
        <f t="shared" ca="1" si="145"/>
        <v>#VALUE!</v>
      </c>
      <c r="S183" t="e">
        <f t="shared" ca="1" si="145"/>
        <v>#VALUE!</v>
      </c>
      <c r="T183" t="e">
        <f t="shared" ca="1" si="145"/>
        <v>#VALUE!</v>
      </c>
      <c r="U183" t="e">
        <f t="shared" ca="1" si="145"/>
        <v>#VALUE!</v>
      </c>
      <c r="V183" t="e">
        <f t="shared" ca="1" si="145"/>
        <v>#VALUE!</v>
      </c>
      <c r="W183" t="e">
        <f t="shared" ca="1" si="145"/>
        <v>#VALUE!</v>
      </c>
      <c r="X183" t="e">
        <f t="shared" ca="1" si="145"/>
        <v>#VALUE!</v>
      </c>
      <c r="Y183" t="e">
        <f t="shared" ca="1" si="145"/>
        <v>#VALUE!</v>
      </c>
      <c r="Z183" t="e">
        <f t="shared" ca="1" si="145"/>
        <v>#VALUE!</v>
      </c>
      <c r="AA183" t="e">
        <f t="shared" ref="AA183:AP198" ca="1" si="146">AA$182/Z$182*Z183</f>
        <v>#VALUE!</v>
      </c>
      <c r="AB183" t="e">
        <f t="shared" ca="1" si="146"/>
        <v>#VALUE!</v>
      </c>
      <c r="AC183" t="e">
        <f t="shared" ca="1" si="146"/>
        <v>#VALUE!</v>
      </c>
      <c r="AD183" t="e">
        <f t="shared" ca="1" si="146"/>
        <v>#VALUE!</v>
      </c>
      <c r="AE183" t="e">
        <f t="shared" ca="1" si="146"/>
        <v>#VALUE!</v>
      </c>
      <c r="AF183" t="e">
        <f t="shared" ca="1" si="146"/>
        <v>#VALUE!</v>
      </c>
      <c r="AG183" t="e">
        <f t="shared" ca="1" si="146"/>
        <v>#VALUE!</v>
      </c>
      <c r="AH183" t="e">
        <f t="shared" ca="1" si="146"/>
        <v>#VALUE!</v>
      </c>
      <c r="AI183" t="e">
        <f t="shared" ca="1" si="146"/>
        <v>#VALUE!</v>
      </c>
      <c r="AJ183" t="e">
        <f t="shared" ca="1" si="146"/>
        <v>#VALUE!</v>
      </c>
      <c r="AK183" t="e">
        <f t="shared" ca="1" si="146"/>
        <v>#VALUE!</v>
      </c>
      <c r="AL183" t="e">
        <f t="shared" ca="1" si="146"/>
        <v>#VALUE!</v>
      </c>
      <c r="AM183" t="e">
        <f t="shared" ca="1" si="146"/>
        <v>#VALUE!</v>
      </c>
      <c r="AN183" t="e">
        <f t="shared" ca="1" si="146"/>
        <v>#VALUE!</v>
      </c>
      <c r="AO183" t="e">
        <f t="shared" ca="1" si="146"/>
        <v>#VALUE!</v>
      </c>
      <c r="AP183" t="e">
        <f t="shared" ca="1" si="146"/>
        <v>#VALUE!</v>
      </c>
    </row>
    <row r="184" spans="1:42">
      <c r="A184" s="48" t="str">
        <f>'[4]TS BYDem'!A114</f>
        <v>*</v>
      </c>
      <c r="B184" t="s">
        <v>288</v>
      </c>
      <c r="C184" t="s">
        <v>137</v>
      </c>
      <c r="D184" s="3" t="str">
        <f>'[4]TS BYDem'!D114</f>
        <v>INMA</v>
      </c>
      <c r="E184" t="s">
        <v>137</v>
      </c>
      <c r="F184" t="s">
        <v>137</v>
      </c>
      <c r="G184" t="s">
        <v>137</v>
      </c>
      <c r="H184" t="s">
        <v>137</v>
      </c>
      <c r="I184">
        <v>0</v>
      </c>
      <c r="J184" t="str">
        <f>INDEX('[4]TS BYDem'!$J$10:$J$203,MATCH(D184,'[4]TS BYDem'!$D$10:$D$203,0))</f>
        <v/>
      </c>
      <c r="K184" t="e">
        <f t="shared" ca="1" si="145"/>
        <v>#VALUE!</v>
      </c>
      <c r="L184" t="e">
        <f t="shared" ca="1" si="145"/>
        <v>#VALUE!</v>
      </c>
      <c r="M184" t="e">
        <f t="shared" ca="1" si="145"/>
        <v>#VALUE!</v>
      </c>
      <c r="N184" t="e">
        <f t="shared" ca="1" si="145"/>
        <v>#VALUE!</v>
      </c>
      <c r="O184" t="e">
        <f t="shared" ca="1" si="145"/>
        <v>#VALUE!</v>
      </c>
      <c r="P184" t="e">
        <f t="shared" ca="1" si="145"/>
        <v>#VALUE!</v>
      </c>
      <c r="Q184" t="e">
        <f t="shared" ca="1" si="145"/>
        <v>#VALUE!</v>
      </c>
      <c r="R184" t="e">
        <f t="shared" ca="1" si="145"/>
        <v>#VALUE!</v>
      </c>
      <c r="S184" t="e">
        <f t="shared" ca="1" si="145"/>
        <v>#VALUE!</v>
      </c>
      <c r="T184" t="e">
        <f t="shared" ca="1" si="145"/>
        <v>#VALUE!</v>
      </c>
      <c r="U184" t="e">
        <f t="shared" ca="1" si="145"/>
        <v>#VALUE!</v>
      </c>
      <c r="V184" t="e">
        <f t="shared" ca="1" si="145"/>
        <v>#VALUE!</v>
      </c>
      <c r="W184" t="e">
        <f t="shared" ca="1" si="145"/>
        <v>#VALUE!</v>
      </c>
      <c r="X184" t="e">
        <f t="shared" ca="1" si="145"/>
        <v>#VALUE!</v>
      </c>
      <c r="Y184" t="e">
        <f t="shared" ca="1" si="145"/>
        <v>#VALUE!</v>
      </c>
      <c r="Z184" t="e">
        <f t="shared" ca="1" si="145"/>
        <v>#VALUE!</v>
      </c>
      <c r="AA184" t="e">
        <f t="shared" ca="1" si="146"/>
        <v>#VALUE!</v>
      </c>
      <c r="AB184" t="e">
        <f t="shared" ca="1" si="146"/>
        <v>#VALUE!</v>
      </c>
      <c r="AC184" t="e">
        <f t="shared" ca="1" si="146"/>
        <v>#VALUE!</v>
      </c>
      <c r="AD184" t="e">
        <f t="shared" ca="1" si="146"/>
        <v>#VALUE!</v>
      </c>
      <c r="AE184" t="e">
        <f t="shared" ca="1" si="146"/>
        <v>#VALUE!</v>
      </c>
      <c r="AF184" t="e">
        <f t="shared" ca="1" si="146"/>
        <v>#VALUE!</v>
      </c>
      <c r="AG184" t="e">
        <f t="shared" ca="1" si="146"/>
        <v>#VALUE!</v>
      </c>
      <c r="AH184" t="e">
        <f t="shared" ca="1" si="146"/>
        <v>#VALUE!</v>
      </c>
      <c r="AI184" t="e">
        <f t="shared" ca="1" si="146"/>
        <v>#VALUE!</v>
      </c>
      <c r="AJ184" t="e">
        <f t="shared" ca="1" si="146"/>
        <v>#VALUE!</v>
      </c>
      <c r="AK184" t="e">
        <f t="shared" ca="1" si="146"/>
        <v>#VALUE!</v>
      </c>
      <c r="AL184" t="e">
        <f t="shared" ca="1" si="146"/>
        <v>#VALUE!</v>
      </c>
      <c r="AM184" t="e">
        <f t="shared" ca="1" si="146"/>
        <v>#VALUE!</v>
      </c>
      <c r="AN184" t="e">
        <f t="shared" ca="1" si="146"/>
        <v>#VALUE!</v>
      </c>
      <c r="AO184" t="e">
        <f t="shared" ca="1" si="146"/>
        <v>#VALUE!</v>
      </c>
      <c r="AP184" t="e">
        <f t="shared" ca="1" si="146"/>
        <v>#VALUE!</v>
      </c>
    </row>
    <row r="185" spans="1:42">
      <c r="A185" s="48" t="str">
        <f>'[4]TS BYDem'!A115</f>
        <v>*</v>
      </c>
      <c r="B185" t="s">
        <v>288</v>
      </c>
      <c r="C185" t="s">
        <v>137</v>
      </c>
      <c r="D185" s="3" t="str">
        <f>'[4]TS BYDem'!D115</f>
        <v>INML</v>
      </c>
      <c r="E185" t="s">
        <v>137</v>
      </c>
      <c r="F185" t="s">
        <v>137</v>
      </c>
      <c r="G185" t="s">
        <v>137</v>
      </c>
      <c r="H185" t="s">
        <v>137</v>
      </c>
      <c r="I185">
        <v>0</v>
      </c>
      <c r="J185" t="str">
        <f>INDEX('[4]TS BYDem'!$J$10:$J$203,MATCH(D185,'[4]TS BYDem'!$D$10:$D$203,0))</f>
        <v/>
      </c>
      <c r="K185" t="e">
        <f t="shared" ca="1" si="145"/>
        <v>#VALUE!</v>
      </c>
      <c r="L185" t="e">
        <f t="shared" ca="1" si="145"/>
        <v>#VALUE!</v>
      </c>
      <c r="M185" t="e">
        <f t="shared" ca="1" si="145"/>
        <v>#VALUE!</v>
      </c>
      <c r="N185" t="e">
        <f t="shared" ca="1" si="145"/>
        <v>#VALUE!</v>
      </c>
      <c r="O185" t="e">
        <f t="shared" ca="1" si="145"/>
        <v>#VALUE!</v>
      </c>
      <c r="P185" t="e">
        <f t="shared" ca="1" si="145"/>
        <v>#VALUE!</v>
      </c>
      <c r="Q185" t="e">
        <f t="shared" ca="1" si="145"/>
        <v>#VALUE!</v>
      </c>
      <c r="R185" t="e">
        <f t="shared" ca="1" si="145"/>
        <v>#VALUE!</v>
      </c>
      <c r="S185" t="e">
        <f t="shared" ca="1" si="145"/>
        <v>#VALUE!</v>
      </c>
      <c r="T185" t="e">
        <f t="shared" ca="1" si="145"/>
        <v>#VALUE!</v>
      </c>
      <c r="U185" t="e">
        <f t="shared" ca="1" si="145"/>
        <v>#VALUE!</v>
      </c>
      <c r="V185" t="e">
        <f t="shared" ca="1" si="145"/>
        <v>#VALUE!</v>
      </c>
      <c r="W185" t="e">
        <f t="shared" ca="1" si="145"/>
        <v>#VALUE!</v>
      </c>
      <c r="X185" t="e">
        <f t="shared" ca="1" si="145"/>
        <v>#VALUE!</v>
      </c>
      <c r="Y185" t="e">
        <f t="shared" ca="1" si="145"/>
        <v>#VALUE!</v>
      </c>
      <c r="Z185" t="e">
        <f t="shared" ca="1" si="145"/>
        <v>#VALUE!</v>
      </c>
      <c r="AA185" t="e">
        <f t="shared" ca="1" si="146"/>
        <v>#VALUE!</v>
      </c>
      <c r="AB185" t="e">
        <f t="shared" ca="1" si="146"/>
        <v>#VALUE!</v>
      </c>
      <c r="AC185" t="e">
        <f t="shared" ca="1" si="146"/>
        <v>#VALUE!</v>
      </c>
      <c r="AD185" t="e">
        <f t="shared" ca="1" si="146"/>
        <v>#VALUE!</v>
      </c>
      <c r="AE185" t="e">
        <f t="shared" ca="1" si="146"/>
        <v>#VALUE!</v>
      </c>
      <c r="AF185" t="e">
        <f t="shared" ca="1" si="146"/>
        <v>#VALUE!</v>
      </c>
      <c r="AG185" t="e">
        <f t="shared" ca="1" si="146"/>
        <v>#VALUE!</v>
      </c>
      <c r="AH185" t="e">
        <f t="shared" ca="1" si="146"/>
        <v>#VALUE!</v>
      </c>
      <c r="AI185" t="e">
        <f t="shared" ca="1" si="146"/>
        <v>#VALUE!</v>
      </c>
      <c r="AJ185" t="e">
        <f t="shared" ca="1" si="146"/>
        <v>#VALUE!</v>
      </c>
      <c r="AK185" t="e">
        <f t="shared" ca="1" si="146"/>
        <v>#VALUE!</v>
      </c>
      <c r="AL185" t="e">
        <f t="shared" ca="1" si="146"/>
        <v>#VALUE!</v>
      </c>
      <c r="AM185" t="e">
        <f t="shared" ca="1" si="146"/>
        <v>#VALUE!</v>
      </c>
      <c r="AN185" t="e">
        <f t="shared" ca="1" si="146"/>
        <v>#VALUE!</v>
      </c>
      <c r="AO185" t="e">
        <f t="shared" ca="1" si="146"/>
        <v>#VALUE!</v>
      </c>
      <c r="AP185" t="e">
        <f t="shared" ca="1" si="146"/>
        <v>#VALUE!</v>
      </c>
    </row>
    <row r="186" spans="1:42">
      <c r="A186" s="48" t="str">
        <f>'[4]TS BYDem'!A116</f>
        <v>*</v>
      </c>
      <c r="B186" t="s">
        <v>288</v>
      </c>
      <c r="C186" t="s">
        <v>137</v>
      </c>
      <c r="D186" s="3" t="str">
        <f>'[4]TS BYDem'!D116</f>
        <v>INMC</v>
      </c>
      <c r="E186" t="s">
        <v>137</v>
      </c>
      <c r="F186" t="s">
        <v>137</v>
      </c>
      <c r="G186" t="s">
        <v>137</v>
      </c>
      <c r="H186" t="s">
        <v>137</v>
      </c>
      <c r="I186">
        <v>0</v>
      </c>
      <c r="J186" t="str">
        <f>INDEX('[4]TS BYDem'!$J$10:$J$203,MATCH(D186,'[4]TS BYDem'!$D$10:$D$203,0))</f>
        <v/>
      </c>
      <c r="K186" t="e">
        <f t="shared" ca="1" si="145"/>
        <v>#VALUE!</v>
      </c>
      <c r="L186" t="e">
        <f t="shared" ca="1" si="145"/>
        <v>#VALUE!</v>
      </c>
      <c r="M186" t="e">
        <f t="shared" ca="1" si="145"/>
        <v>#VALUE!</v>
      </c>
      <c r="N186" t="e">
        <f t="shared" ca="1" si="145"/>
        <v>#VALUE!</v>
      </c>
      <c r="O186" t="e">
        <f t="shared" ca="1" si="145"/>
        <v>#VALUE!</v>
      </c>
      <c r="P186" t="e">
        <f t="shared" ca="1" si="145"/>
        <v>#VALUE!</v>
      </c>
      <c r="Q186" t="e">
        <f t="shared" ca="1" si="145"/>
        <v>#VALUE!</v>
      </c>
      <c r="R186" t="e">
        <f t="shared" ca="1" si="145"/>
        <v>#VALUE!</v>
      </c>
      <c r="S186" t="e">
        <f t="shared" ca="1" si="145"/>
        <v>#VALUE!</v>
      </c>
      <c r="T186" t="e">
        <f t="shared" ca="1" si="145"/>
        <v>#VALUE!</v>
      </c>
      <c r="U186" t="e">
        <f t="shared" ca="1" si="145"/>
        <v>#VALUE!</v>
      </c>
      <c r="V186" t="e">
        <f t="shared" ca="1" si="145"/>
        <v>#VALUE!</v>
      </c>
      <c r="W186" t="e">
        <f t="shared" ca="1" si="145"/>
        <v>#VALUE!</v>
      </c>
      <c r="X186" t="e">
        <f t="shared" ca="1" si="145"/>
        <v>#VALUE!</v>
      </c>
      <c r="Y186" t="e">
        <f t="shared" ca="1" si="145"/>
        <v>#VALUE!</v>
      </c>
      <c r="Z186" t="e">
        <f t="shared" ca="1" si="145"/>
        <v>#VALUE!</v>
      </c>
      <c r="AA186" t="e">
        <f t="shared" ca="1" si="146"/>
        <v>#VALUE!</v>
      </c>
      <c r="AB186" t="e">
        <f t="shared" ca="1" si="146"/>
        <v>#VALUE!</v>
      </c>
      <c r="AC186" t="e">
        <f t="shared" ca="1" si="146"/>
        <v>#VALUE!</v>
      </c>
      <c r="AD186" t="e">
        <f t="shared" ca="1" si="146"/>
        <v>#VALUE!</v>
      </c>
      <c r="AE186" t="e">
        <f t="shared" ca="1" si="146"/>
        <v>#VALUE!</v>
      </c>
      <c r="AF186" t="e">
        <f t="shared" ca="1" si="146"/>
        <v>#VALUE!</v>
      </c>
      <c r="AG186" t="e">
        <f t="shared" ca="1" si="146"/>
        <v>#VALUE!</v>
      </c>
      <c r="AH186" t="e">
        <f t="shared" ca="1" si="146"/>
        <v>#VALUE!</v>
      </c>
      <c r="AI186" t="e">
        <f t="shared" ca="1" si="146"/>
        <v>#VALUE!</v>
      </c>
      <c r="AJ186" t="e">
        <f t="shared" ca="1" si="146"/>
        <v>#VALUE!</v>
      </c>
      <c r="AK186" t="e">
        <f t="shared" ca="1" si="146"/>
        <v>#VALUE!</v>
      </c>
      <c r="AL186" t="e">
        <f t="shared" ca="1" si="146"/>
        <v>#VALUE!</v>
      </c>
      <c r="AM186" t="e">
        <f t="shared" ca="1" si="146"/>
        <v>#VALUE!</v>
      </c>
      <c r="AN186" t="e">
        <f t="shared" ca="1" si="146"/>
        <v>#VALUE!</v>
      </c>
      <c r="AO186" t="e">
        <f t="shared" ca="1" si="146"/>
        <v>#VALUE!</v>
      </c>
      <c r="AP186" t="e">
        <f t="shared" ca="1" si="146"/>
        <v>#VALUE!</v>
      </c>
    </row>
    <row r="187" spans="1:42">
      <c r="A187" s="48" t="str">
        <f>'[4]TS BYDem'!A117</f>
        <v>*</v>
      </c>
      <c r="B187" t="s">
        <v>288</v>
      </c>
      <c r="C187" t="s">
        <v>137</v>
      </c>
      <c r="D187" s="3" t="str">
        <f>'[4]TS BYDem'!D117</f>
        <v>INMH</v>
      </c>
      <c r="E187" t="s">
        <v>137</v>
      </c>
      <c r="F187" t="s">
        <v>137</v>
      </c>
      <c r="G187" t="s">
        <v>137</v>
      </c>
      <c r="H187" t="s">
        <v>137</v>
      </c>
      <c r="I187">
        <v>0</v>
      </c>
      <c r="J187" t="str">
        <f>INDEX('[4]TS BYDem'!$J$10:$J$203,MATCH(D187,'[4]TS BYDem'!$D$10:$D$203,0))</f>
        <v/>
      </c>
      <c r="K187" t="e">
        <f t="shared" ca="1" si="145"/>
        <v>#VALUE!</v>
      </c>
      <c r="L187" t="e">
        <f t="shared" ca="1" si="145"/>
        <v>#VALUE!</v>
      </c>
      <c r="M187" t="e">
        <f t="shared" ca="1" si="145"/>
        <v>#VALUE!</v>
      </c>
      <c r="N187" t="e">
        <f t="shared" ca="1" si="145"/>
        <v>#VALUE!</v>
      </c>
      <c r="O187" t="e">
        <f t="shared" ca="1" si="145"/>
        <v>#VALUE!</v>
      </c>
      <c r="P187" t="e">
        <f t="shared" ca="1" si="145"/>
        <v>#VALUE!</v>
      </c>
      <c r="Q187" t="e">
        <f t="shared" ca="1" si="145"/>
        <v>#VALUE!</v>
      </c>
      <c r="R187" t="e">
        <f t="shared" ca="1" si="145"/>
        <v>#VALUE!</v>
      </c>
      <c r="S187" t="e">
        <f t="shared" ca="1" si="145"/>
        <v>#VALUE!</v>
      </c>
      <c r="T187" t="e">
        <f t="shared" ca="1" si="145"/>
        <v>#VALUE!</v>
      </c>
      <c r="U187" t="e">
        <f t="shared" ca="1" si="145"/>
        <v>#VALUE!</v>
      </c>
      <c r="V187" t="e">
        <f t="shared" ca="1" si="145"/>
        <v>#VALUE!</v>
      </c>
      <c r="W187" t="e">
        <f t="shared" ca="1" si="145"/>
        <v>#VALUE!</v>
      </c>
      <c r="X187" t="e">
        <f t="shared" ca="1" si="145"/>
        <v>#VALUE!</v>
      </c>
      <c r="Y187" t="e">
        <f t="shared" ca="1" si="145"/>
        <v>#VALUE!</v>
      </c>
      <c r="Z187" t="e">
        <f t="shared" ca="1" si="145"/>
        <v>#VALUE!</v>
      </c>
      <c r="AA187" t="e">
        <f t="shared" ca="1" si="146"/>
        <v>#VALUE!</v>
      </c>
      <c r="AB187" t="e">
        <f t="shared" ca="1" si="146"/>
        <v>#VALUE!</v>
      </c>
      <c r="AC187" t="e">
        <f t="shared" ca="1" si="146"/>
        <v>#VALUE!</v>
      </c>
      <c r="AD187" t="e">
        <f t="shared" ca="1" si="146"/>
        <v>#VALUE!</v>
      </c>
      <c r="AE187" t="e">
        <f t="shared" ca="1" si="146"/>
        <v>#VALUE!</v>
      </c>
      <c r="AF187" t="e">
        <f t="shared" ca="1" si="146"/>
        <v>#VALUE!</v>
      </c>
      <c r="AG187" t="e">
        <f t="shared" ca="1" si="146"/>
        <v>#VALUE!</v>
      </c>
      <c r="AH187" t="e">
        <f t="shared" ca="1" si="146"/>
        <v>#VALUE!</v>
      </c>
      <c r="AI187" t="e">
        <f t="shared" ca="1" si="146"/>
        <v>#VALUE!</v>
      </c>
      <c r="AJ187" t="e">
        <f t="shared" ca="1" si="146"/>
        <v>#VALUE!</v>
      </c>
      <c r="AK187" t="e">
        <f t="shared" ca="1" si="146"/>
        <v>#VALUE!</v>
      </c>
      <c r="AL187" t="e">
        <f t="shared" ca="1" si="146"/>
        <v>#VALUE!</v>
      </c>
      <c r="AM187" t="e">
        <f t="shared" ca="1" si="146"/>
        <v>#VALUE!</v>
      </c>
      <c r="AN187" t="e">
        <f t="shared" ca="1" si="146"/>
        <v>#VALUE!</v>
      </c>
      <c r="AO187" t="e">
        <f t="shared" ca="1" si="146"/>
        <v>#VALUE!</v>
      </c>
      <c r="AP187" t="e">
        <f t="shared" ca="1" si="146"/>
        <v>#VALUE!</v>
      </c>
    </row>
    <row r="188" spans="1:42">
      <c r="A188" s="48" t="str">
        <f>'[4]TS BYDem'!A118</f>
        <v>*</v>
      </c>
      <c r="B188" t="s">
        <v>288</v>
      </c>
      <c r="C188" t="s">
        <v>137</v>
      </c>
      <c r="D188" s="3" t="str">
        <f>'[4]TS BYDem'!D118</f>
        <v>INMP</v>
      </c>
      <c r="E188" t="s">
        <v>137</v>
      </c>
      <c r="F188" t="s">
        <v>137</v>
      </c>
      <c r="G188" t="s">
        <v>137</v>
      </c>
      <c r="H188" t="s">
        <v>137</v>
      </c>
      <c r="I188">
        <v>0</v>
      </c>
      <c r="J188" t="str">
        <f>INDEX('[4]TS BYDem'!$J$10:$J$203,MATCH(D188,'[4]TS BYDem'!$D$10:$D$203,0))</f>
        <v/>
      </c>
      <c r="K188" t="e">
        <f t="shared" ca="1" si="145"/>
        <v>#VALUE!</v>
      </c>
      <c r="L188" t="e">
        <f t="shared" ca="1" si="145"/>
        <v>#VALUE!</v>
      </c>
      <c r="M188" t="e">
        <f t="shared" ca="1" si="145"/>
        <v>#VALUE!</v>
      </c>
      <c r="N188" t="e">
        <f t="shared" ca="1" si="145"/>
        <v>#VALUE!</v>
      </c>
      <c r="O188" t="e">
        <f t="shared" ca="1" si="145"/>
        <v>#VALUE!</v>
      </c>
      <c r="P188" t="e">
        <f t="shared" ca="1" si="145"/>
        <v>#VALUE!</v>
      </c>
      <c r="Q188" t="e">
        <f t="shared" ca="1" si="145"/>
        <v>#VALUE!</v>
      </c>
      <c r="R188" t="e">
        <f t="shared" ca="1" si="145"/>
        <v>#VALUE!</v>
      </c>
      <c r="S188" t="e">
        <f t="shared" ca="1" si="145"/>
        <v>#VALUE!</v>
      </c>
      <c r="T188" t="e">
        <f t="shared" ca="1" si="145"/>
        <v>#VALUE!</v>
      </c>
      <c r="U188" t="e">
        <f t="shared" ca="1" si="145"/>
        <v>#VALUE!</v>
      </c>
      <c r="V188" t="e">
        <f t="shared" ca="1" si="145"/>
        <v>#VALUE!</v>
      </c>
      <c r="W188" t="e">
        <f t="shared" ca="1" si="145"/>
        <v>#VALUE!</v>
      </c>
      <c r="X188" t="e">
        <f t="shared" ca="1" si="145"/>
        <v>#VALUE!</v>
      </c>
      <c r="Y188" t="e">
        <f t="shared" ca="1" si="145"/>
        <v>#VALUE!</v>
      </c>
      <c r="Z188" t="e">
        <f t="shared" ca="1" si="145"/>
        <v>#VALUE!</v>
      </c>
      <c r="AA188" t="e">
        <f t="shared" ca="1" si="146"/>
        <v>#VALUE!</v>
      </c>
      <c r="AB188" t="e">
        <f t="shared" ca="1" si="146"/>
        <v>#VALUE!</v>
      </c>
      <c r="AC188" t="e">
        <f t="shared" ca="1" si="146"/>
        <v>#VALUE!</v>
      </c>
      <c r="AD188" t="e">
        <f t="shared" ca="1" si="146"/>
        <v>#VALUE!</v>
      </c>
      <c r="AE188" t="e">
        <f t="shared" ca="1" si="146"/>
        <v>#VALUE!</v>
      </c>
      <c r="AF188" t="e">
        <f t="shared" ca="1" si="146"/>
        <v>#VALUE!</v>
      </c>
      <c r="AG188" t="e">
        <f t="shared" ca="1" si="146"/>
        <v>#VALUE!</v>
      </c>
      <c r="AH188" t="e">
        <f t="shared" ca="1" si="146"/>
        <v>#VALUE!</v>
      </c>
      <c r="AI188" t="e">
        <f t="shared" ca="1" si="146"/>
        <v>#VALUE!</v>
      </c>
      <c r="AJ188" t="e">
        <f t="shared" ca="1" si="146"/>
        <v>#VALUE!</v>
      </c>
      <c r="AK188" t="e">
        <f t="shared" ca="1" si="146"/>
        <v>#VALUE!</v>
      </c>
      <c r="AL188" t="e">
        <f t="shared" ca="1" si="146"/>
        <v>#VALUE!</v>
      </c>
      <c r="AM188" t="e">
        <f t="shared" ca="1" si="146"/>
        <v>#VALUE!</v>
      </c>
      <c r="AN188" t="e">
        <f t="shared" ca="1" si="146"/>
        <v>#VALUE!</v>
      </c>
      <c r="AO188" t="e">
        <f t="shared" ca="1" si="146"/>
        <v>#VALUE!</v>
      </c>
      <c r="AP188" t="e">
        <f t="shared" ca="1" si="146"/>
        <v>#VALUE!</v>
      </c>
    </row>
    <row r="189" spans="1:42">
      <c r="A189" s="48" t="str">
        <f>'[4]TS BYDem'!A119</f>
        <v>*</v>
      </c>
      <c r="B189" t="s">
        <v>288</v>
      </c>
      <c r="C189" t="s">
        <v>137</v>
      </c>
      <c r="D189" s="3" t="str">
        <f>'[4]TS BYDem'!D119</f>
        <v>INMF</v>
      </c>
      <c r="E189" t="s">
        <v>137</v>
      </c>
      <c r="F189" t="s">
        <v>137</v>
      </c>
      <c r="G189" t="s">
        <v>137</v>
      </c>
      <c r="H189" t="s">
        <v>137</v>
      </c>
      <c r="I189">
        <v>0</v>
      </c>
      <c r="J189" t="str">
        <f>INDEX('[4]TS BYDem'!$J$10:$J$203,MATCH(D189,'[4]TS BYDem'!$D$10:$D$203,0))</f>
        <v/>
      </c>
      <c r="K189" t="e">
        <f t="shared" ca="1" si="145"/>
        <v>#VALUE!</v>
      </c>
      <c r="L189" t="e">
        <f t="shared" ca="1" si="145"/>
        <v>#VALUE!</v>
      </c>
      <c r="M189" t="e">
        <f t="shared" ca="1" si="145"/>
        <v>#VALUE!</v>
      </c>
      <c r="N189" t="e">
        <f t="shared" ca="1" si="145"/>
        <v>#VALUE!</v>
      </c>
      <c r="O189" t="e">
        <f t="shared" ca="1" si="145"/>
        <v>#VALUE!</v>
      </c>
      <c r="P189" t="e">
        <f t="shared" ca="1" si="145"/>
        <v>#VALUE!</v>
      </c>
      <c r="Q189" t="e">
        <f t="shared" ca="1" si="145"/>
        <v>#VALUE!</v>
      </c>
      <c r="R189" t="e">
        <f t="shared" ca="1" si="145"/>
        <v>#VALUE!</v>
      </c>
      <c r="S189" t="e">
        <f t="shared" ca="1" si="145"/>
        <v>#VALUE!</v>
      </c>
      <c r="T189" t="e">
        <f t="shared" ca="1" si="145"/>
        <v>#VALUE!</v>
      </c>
      <c r="U189" t="e">
        <f t="shared" ca="1" si="145"/>
        <v>#VALUE!</v>
      </c>
      <c r="V189" t="e">
        <f t="shared" ca="1" si="145"/>
        <v>#VALUE!</v>
      </c>
      <c r="W189" t="e">
        <f t="shared" ca="1" si="145"/>
        <v>#VALUE!</v>
      </c>
      <c r="X189" t="e">
        <f t="shared" ca="1" si="145"/>
        <v>#VALUE!</v>
      </c>
      <c r="Y189" t="e">
        <f t="shared" ca="1" si="145"/>
        <v>#VALUE!</v>
      </c>
      <c r="Z189" t="e">
        <f t="shared" ca="1" si="145"/>
        <v>#VALUE!</v>
      </c>
      <c r="AA189" t="e">
        <f t="shared" ca="1" si="146"/>
        <v>#VALUE!</v>
      </c>
      <c r="AB189" t="e">
        <f t="shared" ca="1" si="146"/>
        <v>#VALUE!</v>
      </c>
      <c r="AC189" t="e">
        <f t="shared" ca="1" si="146"/>
        <v>#VALUE!</v>
      </c>
      <c r="AD189" t="e">
        <f t="shared" ca="1" si="146"/>
        <v>#VALUE!</v>
      </c>
      <c r="AE189" t="e">
        <f t="shared" ca="1" si="146"/>
        <v>#VALUE!</v>
      </c>
      <c r="AF189" t="e">
        <f t="shared" ca="1" si="146"/>
        <v>#VALUE!</v>
      </c>
      <c r="AG189" t="e">
        <f t="shared" ca="1" si="146"/>
        <v>#VALUE!</v>
      </c>
      <c r="AH189" t="e">
        <f t="shared" ca="1" si="146"/>
        <v>#VALUE!</v>
      </c>
      <c r="AI189" t="e">
        <f t="shared" ca="1" si="146"/>
        <v>#VALUE!</v>
      </c>
      <c r="AJ189" t="e">
        <f t="shared" ca="1" si="146"/>
        <v>#VALUE!</v>
      </c>
      <c r="AK189" t="e">
        <f t="shared" ca="1" si="146"/>
        <v>#VALUE!</v>
      </c>
      <c r="AL189" t="e">
        <f t="shared" ca="1" si="146"/>
        <v>#VALUE!</v>
      </c>
      <c r="AM189" t="e">
        <f t="shared" ca="1" si="146"/>
        <v>#VALUE!</v>
      </c>
      <c r="AN189" t="e">
        <f t="shared" ca="1" si="146"/>
        <v>#VALUE!</v>
      </c>
      <c r="AO189" t="e">
        <f t="shared" ca="1" si="146"/>
        <v>#VALUE!</v>
      </c>
      <c r="AP189" t="e">
        <f t="shared" ca="1" si="146"/>
        <v>#VALUE!</v>
      </c>
    </row>
    <row r="190" spans="1:42">
      <c r="A190" s="48" t="str">
        <f>'[4]TS BYDem'!A120</f>
        <v>*</v>
      </c>
      <c r="B190" t="s">
        <v>288</v>
      </c>
      <c r="C190" t="s">
        <v>137</v>
      </c>
      <c r="D190" s="3" t="str">
        <f>'[4]TS BYDem'!D120</f>
        <v>INMO</v>
      </c>
      <c r="E190" t="s">
        <v>137</v>
      </c>
      <c r="F190" t="s">
        <v>137</v>
      </c>
      <c r="G190" t="s">
        <v>137</v>
      </c>
      <c r="H190" t="s">
        <v>137</v>
      </c>
      <c r="I190">
        <v>0</v>
      </c>
      <c r="J190" t="str">
        <f>INDEX('[4]TS BYDem'!$J$10:$J$203,MATCH(D190,'[4]TS BYDem'!$D$10:$D$203,0))</f>
        <v/>
      </c>
      <c r="K190" t="e">
        <f t="shared" ca="1" si="145"/>
        <v>#VALUE!</v>
      </c>
      <c r="L190" t="e">
        <f t="shared" ca="1" si="145"/>
        <v>#VALUE!</v>
      </c>
      <c r="M190" t="e">
        <f t="shared" ca="1" si="145"/>
        <v>#VALUE!</v>
      </c>
      <c r="N190" t="e">
        <f t="shared" ca="1" si="145"/>
        <v>#VALUE!</v>
      </c>
      <c r="O190" t="e">
        <f t="shared" ca="1" si="145"/>
        <v>#VALUE!</v>
      </c>
      <c r="P190" t="e">
        <f t="shared" ca="1" si="145"/>
        <v>#VALUE!</v>
      </c>
      <c r="Q190" t="e">
        <f t="shared" ca="1" si="145"/>
        <v>#VALUE!</v>
      </c>
      <c r="R190" t="e">
        <f t="shared" ca="1" si="145"/>
        <v>#VALUE!</v>
      </c>
      <c r="S190" t="e">
        <f t="shared" ca="1" si="145"/>
        <v>#VALUE!</v>
      </c>
      <c r="T190" t="e">
        <f t="shared" ca="1" si="145"/>
        <v>#VALUE!</v>
      </c>
      <c r="U190" t="e">
        <f t="shared" ca="1" si="145"/>
        <v>#VALUE!</v>
      </c>
      <c r="V190" t="e">
        <f t="shared" ca="1" si="145"/>
        <v>#VALUE!</v>
      </c>
      <c r="W190" t="e">
        <f t="shared" ca="1" si="145"/>
        <v>#VALUE!</v>
      </c>
      <c r="X190" t="e">
        <f t="shared" ca="1" si="145"/>
        <v>#VALUE!</v>
      </c>
      <c r="Y190" t="e">
        <f t="shared" ca="1" si="145"/>
        <v>#VALUE!</v>
      </c>
      <c r="Z190" t="e">
        <f t="shared" ca="1" si="145"/>
        <v>#VALUE!</v>
      </c>
      <c r="AA190" t="e">
        <f t="shared" ca="1" si="146"/>
        <v>#VALUE!</v>
      </c>
      <c r="AB190" t="e">
        <f t="shared" ca="1" si="146"/>
        <v>#VALUE!</v>
      </c>
      <c r="AC190" t="e">
        <f t="shared" ca="1" si="146"/>
        <v>#VALUE!</v>
      </c>
      <c r="AD190" t="e">
        <f t="shared" ca="1" si="146"/>
        <v>#VALUE!</v>
      </c>
      <c r="AE190" t="e">
        <f t="shared" ca="1" si="146"/>
        <v>#VALUE!</v>
      </c>
      <c r="AF190" t="e">
        <f t="shared" ca="1" si="146"/>
        <v>#VALUE!</v>
      </c>
      <c r="AG190" t="e">
        <f t="shared" ca="1" si="146"/>
        <v>#VALUE!</v>
      </c>
      <c r="AH190" t="e">
        <f t="shared" ca="1" si="146"/>
        <v>#VALUE!</v>
      </c>
      <c r="AI190" t="e">
        <f t="shared" ca="1" si="146"/>
        <v>#VALUE!</v>
      </c>
      <c r="AJ190" t="e">
        <f t="shared" ca="1" si="146"/>
        <v>#VALUE!</v>
      </c>
      <c r="AK190" t="e">
        <f t="shared" ca="1" si="146"/>
        <v>#VALUE!</v>
      </c>
      <c r="AL190" t="e">
        <f t="shared" ca="1" si="146"/>
        <v>#VALUE!</v>
      </c>
      <c r="AM190" t="e">
        <f t="shared" ca="1" si="146"/>
        <v>#VALUE!</v>
      </c>
      <c r="AN190" t="e">
        <f t="shared" ca="1" si="146"/>
        <v>#VALUE!</v>
      </c>
      <c r="AO190" t="e">
        <f t="shared" ca="1" si="146"/>
        <v>#VALUE!</v>
      </c>
      <c r="AP190" t="e">
        <f t="shared" ca="1" si="146"/>
        <v>#VALUE!</v>
      </c>
    </row>
    <row r="191" spans="1:42">
      <c r="A191" s="48" t="str">
        <f>'[4]TS BYDem'!A121</f>
        <v>*</v>
      </c>
      <c r="B191" t="s">
        <v>288</v>
      </c>
      <c r="C191" t="s">
        <v>137</v>
      </c>
      <c r="D191" s="3" t="str">
        <f>'[4]TS BYDem'!D121</f>
        <v>INME</v>
      </c>
      <c r="E191" t="s">
        <v>137</v>
      </c>
      <c r="F191" t="s">
        <v>137</v>
      </c>
      <c r="G191" t="s">
        <v>137</v>
      </c>
      <c r="H191" t="s">
        <v>137</v>
      </c>
      <c r="I191">
        <v>0</v>
      </c>
      <c r="J191" t="str">
        <f>INDEX('[4]TS BYDem'!$J$10:$J$203,MATCH(D191,'[4]TS BYDem'!$D$10:$D$203,0))</f>
        <v/>
      </c>
      <c r="K191" t="e">
        <f t="shared" ca="1" si="145"/>
        <v>#VALUE!</v>
      </c>
      <c r="L191" t="e">
        <f t="shared" ca="1" si="145"/>
        <v>#VALUE!</v>
      </c>
      <c r="M191" t="e">
        <f t="shared" ca="1" si="145"/>
        <v>#VALUE!</v>
      </c>
      <c r="N191" t="e">
        <f t="shared" ca="1" si="145"/>
        <v>#VALUE!</v>
      </c>
      <c r="O191" t="e">
        <f t="shared" ca="1" si="145"/>
        <v>#VALUE!</v>
      </c>
      <c r="P191" t="e">
        <f t="shared" ca="1" si="145"/>
        <v>#VALUE!</v>
      </c>
      <c r="Q191" t="e">
        <f t="shared" ca="1" si="145"/>
        <v>#VALUE!</v>
      </c>
      <c r="R191" t="e">
        <f t="shared" ca="1" si="145"/>
        <v>#VALUE!</v>
      </c>
      <c r="S191" t="e">
        <f t="shared" ca="1" si="145"/>
        <v>#VALUE!</v>
      </c>
      <c r="T191" t="e">
        <f t="shared" ca="1" si="145"/>
        <v>#VALUE!</v>
      </c>
      <c r="U191" t="e">
        <f t="shared" ca="1" si="145"/>
        <v>#VALUE!</v>
      </c>
      <c r="V191" t="e">
        <f t="shared" ca="1" si="145"/>
        <v>#VALUE!</v>
      </c>
      <c r="W191" t="e">
        <f t="shared" ca="1" si="145"/>
        <v>#VALUE!</v>
      </c>
      <c r="X191" t="e">
        <f t="shared" ca="1" si="145"/>
        <v>#VALUE!</v>
      </c>
      <c r="Y191" t="e">
        <f t="shared" ca="1" si="145"/>
        <v>#VALUE!</v>
      </c>
      <c r="Z191" t="e">
        <f t="shared" ca="1" si="145"/>
        <v>#VALUE!</v>
      </c>
      <c r="AA191" t="e">
        <f t="shared" ca="1" si="146"/>
        <v>#VALUE!</v>
      </c>
      <c r="AB191" t="e">
        <f t="shared" ca="1" si="146"/>
        <v>#VALUE!</v>
      </c>
      <c r="AC191" t="e">
        <f t="shared" ca="1" si="146"/>
        <v>#VALUE!</v>
      </c>
      <c r="AD191" t="e">
        <f t="shared" ca="1" si="146"/>
        <v>#VALUE!</v>
      </c>
      <c r="AE191" t="e">
        <f t="shared" ca="1" si="146"/>
        <v>#VALUE!</v>
      </c>
      <c r="AF191" t="e">
        <f t="shared" ca="1" si="146"/>
        <v>#VALUE!</v>
      </c>
      <c r="AG191" t="e">
        <f t="shared" ca="1" si="146"/>
        <v>#VALUE!</v>
      </c>
      <c r="AH191" t="e">
        <f t="shared" ca="1" si="146"/>
        <v>#VALUE!</v>
      </c>
      <c r="AI191" t="e">
        <f t="shared" ca="1" si="146"/>
        <v>#VALUE!</v>
      </c>
      <c r="AJ191" t="e">
        <f t="shared" ca="1" si="146"/>
        <v>#VALUE!</v>
      </c>
      <c r="AK191" t="e">
        <f t="shared" ca="1" si="146"/>
        <v>#VALUE!</v>
      </c>
      <c r="AL191" t="e">
        <f t="shared" ca="1" si="146"/>
        <v>#VALUE!</v>
      </c>
      <c r="AM191" t="e">
        <f t="shared" ca="1" si="146"/>
        <v>#VALUE!</v>
      </c>
      <c r="AN191" t="e">
        <f t="shared" ca="1" si="146"/>
        <v>#VALUE!</v>
      </c>
      <c r="AO191" t="e">
        <f t="shared" ca="1" si="146"/>
        <v>#VALUE!</v>
      </c>
      <c r="AP191" t="e">
        <f t="shared" ca="1" si="146"/>
        <v>#VALUE!</v>
      </c>
    </row>
    <row r="192" spans="1:42">
      <c r="A192" s="48" t="str">
        <f>'[4]TS BYDem'!A122</f>
        <v>*</v>
      </c>
      <c r="B192" t="s">
        <v>288</v>
      </c>
      <c r="C192" t="s">
        <v>137</v>
      </c>
      <c r="D192" s="3" t="str">
        <f>'[4]TS BYDem'!D122</f>
        <v xml:space="preserve"> </v>
      </c>
      <c r="E192" t="s">
        <v>137</v>
      </c>
      <c r="F192" t="s">
        <v>137</v>
      </c>
      <c r="G192" t="s">
        <v>137</v>
      </c>
      <c r="H192" t="s">
        <v>137</v>
      </c>
      <c r="I192">
        <v>0</v>
      </c>
      <c r="J192" t="str">
        <f>INDEX('[4]TS BYDem'!$J$10:$J$203,MATCH(D192,'[4]TS BYDem'!$D$10:$D$203,0))</f>
        <v/>
      </c>
      <c r="K192" t="e">
        <f t="shared" ca="1" si="145"/>
        <v>#VALUE!</v>
      </c>
      <c r="L192" t="e">
        <f t="shared" ca="1" si="145"/>
        <v>#VALUE!</v>
      </c>
      <c r="M192" t="e">
        <f t="shared" ca="1" si="145"/>
        <v>#VALUE!</v>
      </c>
      <c r="N192" t="e">
        <f t="shared" ca="1" si="145"/>
        <v>#VALUE!</v>
      </c>
      <c r="O192" t="e">
        <f t="shared" ca="1" si="145"/>
        <v>#VALUE!</v>
      </c>
      <c r="P192" t="e">
        <f t="shared" ca="1" si="145"/>
        <v>#VALUE!</v>
      </c>
      <c r="Q192" t="e">
        <f t="shared" ca="1" si="145"/>
        <v>#VALUE!</v>
      </c>
      <c r="R192" t="e">
        <f t="shared" ca="1" si="145"/>
        <v>#VALUE!</v>
      </c>
      <c r="S192" t="e">
        <f t="shared" ca="1" si="145"/>
        <v>#VALUE!</v>
      </c>
      <c r="T192" t="e">
        <f t="shared" ca="1" si="145"/>
        <v>#VALUE!</v>
      </c>
      <c r="U192" t="e">
        <f t="shared" ca="1" si="145"/>
        <v>#VALUE!</v>
      </c>
      <c r="V192" t="e">
        <f t="shared" ca="1" si="145"/>
        <v>#VALUE!</v>
      </c>
      <c r="W192" t="e">
        <f t="shared" ca="1" si="145"/>
        <v>#VALUE!</v>
      </c>
      <c r="X192" t="e">
        <f t="shared" ca="1" si="145"/>
        <v>#VALUE!</v>
      </c>
      <c r="Y192" t="e">
        <f t="shared" ca="1" si="145"/>
        <v>#VALUE!</v>
      </c>
      <c r="Z192" t="e">
        <f t="shared" ca="1" si="145"/>
        <v>#VALUE!</v>
      </c>
      <c r="AA192" t="e">
        <f t="shared" ca="1" si="146"/>
        <v>#VALUE!</v>
      </c>
      <c r="AB192" t="e">
        <f t="shared" ca="1" si="146"/>
        <v>#VALUE!</v>
      </c>
      <c r="AC192" t="e">
        <f t="shared" ca="1" si="146"/>
        <v>#VALUE!</v>
      </c>
      <c r="AD192" t="e">
        <f t="shared" ca="1" si="146"/>
        <v>#VALUE!</v>
      </c>
      <c r="AE192" t="e">
        <f t="shared" ca="1" si="146"/>
        <v>#VALUE!</v>
      </c>
      <c r="AF192" t="e">
        <f t="shared" ca="1" si="146"/>
        <v>#VALUE!</v>
      </c>
      <c r="AG192" t="e">
        <f t="shared" ca="1" si="146"/>
        <v>#VALUE!</v>
      </c>
      <c r="AH192" t="e">
        <f t="shared" ca="1" si="146"/>
        <v>#VALUE!</v>
      </c>
      <c r="AI192" t="e">
        <f t="shared" ca="1" si="146"/>
        <v>#VALUE!</v>
      </c>
      <c r="AJ192" t="e">
        <f t="shared" ca="1" si="146"/>
        <v>#VALUE!</v>
      </c>
      <c r="AK192" t="e">
        <f t="shared" ca="1" si="146"/>
        <v>#VALUE!</v>
      </c>
      <c r="AL192" t="e">
        <f t="shared" ca="1" si="146"/>
        <v>#VALUE!</v>
      </c>
      <c r="AM192" t="e">
        <f t="shared" ca="1" si="146"/>
        <v>#VALUE!</v>
      </c>
      <c r="AN192" t="e">
        <f t="shared" ca="1" si="146"/>
        <v>#VALUE!</v>
      </c>
      <c r="AO192" t="e">
        <f t="shared" ca="1" si="146"/>
        <v>#VALUE!</v>
      </c>
      <c r="AP192" t="e">
        <f t="shared" ca="1" si="146"/>
        <v>#VALUE!</v>
      </c>
    </row>
    <row r="193" spans="1:42">
      <c r="A193" s="48" t="str">
        <f>'[4]TS BYDem'!A123</f>
        <v>*</v>
      </c>
      <c r="B193" t="s">
        <v>288</v>
      </c>
      <c r="C193" t="s">
        <v>137</v>
      </c>
      <c r="D193" s="3" t="str">
        <f>'[4]TS BYDem'!D123</f>
        <v>INMS</v>
      </c>
      <c r="E193" t="s">
        <v>137</v>
      </c>
      <c r="F193" t="s">
        <v>137</v>
      </c>
      <c r="G193" t="s">
        <v>137</v>
      </c>
      <c r="H193" t="s">
        <v>137</v>
      </c>
      <c r="I193">
        <v>0</v>
      </c>
      <c r="J193" t="str">
        <f>INDEX('[4]TS BYDem'!$J$10:$J$203,MATCH(D193,'[4]TS BYDem'!$D$10:$D$203,0))</f>
        <v/>
      </c>
      <c r="K193" t="e">
        <f t="shared" ca="1" si="145"/>
        <v>#VALUE!</v>
      </c>
      <c r="L193" t="e">
        <f t="shared" ca="1" si="145"/>
        <v>#VALUE!</v>
      </c>
      <c r="M193" t="e">
        <f t="shared" ca="1" si="145"/>
        <v>#VALUE!</v>
      </c>
      <c r="N193" t="e">
        <f t="shared" ca="1" si="145"/>
        <v>#VALUE!</v>
      </c>
      <c r="O193" t="e">
        <f t="shared" ca="1" si="145"/>
        <v>#VALUE!</v>
      </c>
      <c r="P193" t="e">
        <f t="shared" ca="1" si="145"/>
        <v>#VALUE!</v>
      </c>
      <c r="Q193" t="e">
        <f t="shared" ca="1" si="145"/>
        <v>#VALUE!</v>
      </c>
      <c r="R193" t="e">
        <f t="shared" ca="1" si="145"/>
        <v>#VALUE!</v>
      </c>
      <c r="S193" t="e">
        <f t="shared" ca="1" si="145"/>
        <v>#VALUE!</v>
      </c>
      <c r="T193" t="e">
        <f t="shared" ca="1" si="145"/>
        <v>#VALUE!</v>
      </c>
      <c r="U193" t="e">
        <f t="shared" ca="1" si="145"/>
        <v>#VALUE!</v>
      </c>
      <c r="V193" t="e">
        <f t="shared" ca="1" si="145"/>
        <v>#VALUE!</v>
      </c>
      <c r="W193" t="e">
        <f t="shared" ca="1" si="145"/>
        <v>#VALUE!</v>
      </c>
      <c r="X193" t="e">
        <f t="shared" ca="1" si="145"/>
        <v>#VALUE!</v>
      </c>
      <c r="Y193" t="e">
        <f t="shared" ca="1" si="145"/>
        <v>#VALUE!</v>
      </c>
      <c r="Z193" t="e">
        <f t="shared" ca="1" si="145"/>
        <v>#VALUE!</v>
      </c>
      <c r="AA193" t="e">
        <f t="shared" ca="1" si="146"/>
        <v>#VALUE!</v>
      </c>
      <c r="AB193" t="e">
        <f t="shared" ca="1" si="146"/>
        <v>#VALUE!</v>
      </c>
      <c r="AC193" t="e">
        <f t="shared" ca="1" si="146"/>
        <v>#VALUE!</v>
      </c>
      <c r="AD193" t="e">
        <f t="shared" ca="1" si="146"/>
        <v>#VALUE!</v>
      </c>
      <c r="AE193" t="e">
        <f t="shared" ca="1" si="146"/>
        <v>#VALUE!</v>
      </c>
      <c r="AF193" t="e">
        <f t="shared" ca="1" si="146"/>
        <v>#VALUE!</v>
      </c>
      <c r="AG193" t="e">
        <f t="shared" ca="1" si="146"/>
        <v>#VALUE!</v>
      </c>
      <c r="AH193" t="e">
        <f t="shared" ca="1" si="146"/>
        <v>#VALUE!</v>
      </c>
      <c r="AI193" t="e">
        <f t="shared" ca="1" si="146"/>
        <v>#VALUE!</v>
      </c>
      <c r="AJ193" t="e">
        <f t="shared" ca="1" si="146"/>
        <v>#VALUE!</v>
      </c>
      <c r="AK193" t="e">
        <f t="shared" ca="1" si="146"/>
        <v>#VALUE!</v>
      </c>
      <c r="AL193" t="e">
        <f t="shared" ca="1" si="146"/>
        <v>#VALUE!</v>
      </c>
      <c r="AM193" t="e">
        <f t="shared" ca="1" si="146"/>
        <v>#VALUE!</v>
      </c>
      <c r="AN193" t="e">
        <f t="shared" ca="1" si="146"/>
        <v>#VALUE!</v>
      </c>
      <c r="AO193" t="e">
        <f t="shared" ca="1" si="146"/>
        <v>#VALUE!</v>
      </c>
      <c r="AP193" t="e">
        <f t="shared" ca="1" si="146"/>
        <v>#VALUE!</v>
      </c>
    </row>
    <row r="194" spans="1:42">
      <c r="A194" s="48" t="str">
        <f>'[4]TS BYDem'!A124</f>
        <v>*</v>
      </c>
      <c r="B194" t="s">
        <v>288</v>
      </c>
      <c r="C194" t="s">
        <v>137</v>
      </c>
      <c r="D194" s="3" t="str">
        <f>'[4]TS BYDem'!D124</f>
        <v>INMS</v>
      </c>
      <c r="E194" t="s">
        <v>137</v>
      </c>
      <c r="F194" t="s">
        <v>137</v>
      </c>
      <c r="G194" t="s">
        <v>137</v>
      </c>
      <c r="H194" t="s">
        <v>137</v>
      </c>
      <c r="I194">
        <v>0</v>
      </c>
      <c r="J194" t="str">
        <f>INDEX('[4]TS BYDem'!$J$10:$J$203,MATCH(D194,'[4]TS BYDem'!$D$10:$D$203,0))</f>
        <v/>
      </c>
      <c r="K194" t="e">
        <f t="shared" ca="1" si="145"/>
        <v>#VALUE!</v>
      </c>
      <c r="L194" t="e">
        <f t="shared" ca="1" si="145"/>
        <v>#VALUE!</v>
      </c>
      <c r="M194" t="e">
        <f t="shared" ca="1" si="145"/>
        <v>#VALUE!</v>
      </c>
      <c r="N194" t="e">
        <f t="shared" ca="1" si="145"/>
        <v>#VALUE!</v>
      </c>
      <c r="O194" t="e">
        <f t="shared" ca="1" si="145"/>
        <v>#VALUE!</v>
      </c>
      <c r="P194" t="e">
        <f t="shared" ca="1" si="145"/>
        <v>#VALUE!</v>
      </c>
      <c r="Q194" t="e">
        <f t="shared" ca="1" si="145"/>
        <v>#VALUE!</v>
      </c>
      <c r="R194" t="e">
        <f t="shared" ca="1" si="145"/>
        <v>#VALUE!</v>
      </c>
      <c r="S194" t="e">
        <f t="shared" ca="1" si="145"/>
        <v>#VALUE!</v>
      </c>
      <c r="T194" t="e">
        <f t="shared" ca="1" si="145"/>
        <v>#VALUE!</v>
      </c>
      <c r="U194" t="e">
        <f t="shared" ca="1" si="145"/>
        <v>#VALUE!</v>
      </c>
      <c r="V194" t="e">
        <f t="shared" ca="1" si="145"/>
        <v>#VALUE!</v>
      </c>
      <c r="W194" t="e">
        <f t="shared" ca="1" si="145"/>
        <v>#VALUE!</v>
      </c>
      <c r="X194" t="e">
        <f t="shared" ca="1" si="145"/>
        <v>#VALUE!</v>
      </c>
      <c r="Y194" t="e">
        <f t="shared" ca="1" si="145"/>
        <v>#VALUE!</v>
      </c>
      <c r="Z194" t="e">
        <f t="shared" ca="1" si="145"/>
        <v>#VALUE!</v>
      </c>
      <c r="AA194" t="e">
        <f t="shared" ca="1" si="146"/>
        <v>#VALUE!</v>
      </c>
      <c r="AB194" t="e">
        <f t="shared" ca="1" si="146"/>
        <v>#VALUE!</v>
      </c>
      <c r="AC194" t="e">
        <f t="shared" ca="1" si="146"/>
        <v>#VALUE!</v>
      </c>
      <c r="AD194" t="e">
        <f t="shared" ca="1" si="146"/>
        <v>#VALUE!</v>
      </c>
      <c r="AE194" t="e">
        <f t="shared" ca="1" si="146"/>
        <v>#VALUE!</v>
      </c>
      <c r="AF194" t="e">
        <f t="shared" ca="1" si="146"/>
        <v>#VALUE!</v>
      </c>
      <c r="AG194" t="e">
        <f t="shared" ca="1" si="146"/>
        <v>#VALUE!</v>
      </c>
      <c r="AH194" t="e">
        <f t="shared" ca="1" si="146"/>
        <v>#VALUE!</v>
      </c>
      <c r="AI194" t="e">
        <f t="shared" ca="1" si="146"/>
        <v>#VALUE!</v>
      </c>
      <c r="AJ194" t="e">
        <f t="shared" ca="1" si="146"/>
        <v>#VALUE!</v>
      </c>
      <c r="AK194" t="e">
        <f t="shared" ca="1" si="146"/>
        <v>#VALUE!</v>
      </c>
      <c r="AL194" t="e">
        <f t="shared" ca="1" si="146"/>
        <v>#VALUE!</v>
      </c>
      <c r="AM194" t="e">
        <f t="shared" ca="1" si="146"/>
        <v>#VALUE!</v>
      </c>
      <c r="AN194" t="e">
        <f t="shared" ca="1" si="146"/>
        <v>#VALUE!</v>
      </c>
      <c r="AO194" t="e">
        <f t="shared" ca="1" si="146"/>
        <v>#VALUE!</v>
      </c>
      <c r="AP194" t="e">
        <f t="shared" ca="1" si="146"/>
        <v>#VALUE!</v>
      </c>
    </row>
    <row r="195" spans="1:42">
      <c r="A195" s="48" t="str">
        <f>'[4]TS BYDem'!A125</f>
        <v>*</v>
      </c>
      <c r="B195" t="s">
        <v>288</v>
      </c>
      <c r="C195" t="s">
        <v>137</v>
      </c>
      <c r="D195" s="3" t="str">
        <f>'[4]TS BYDem'!D125</f>
        <v>INMS</v>
      </c>
      <c r="E195" t="s">
        <v>137</v>
      </c>
      <c r="F195" t="s">
        <v>137</v>
      </c>
      <c r="G195" t="s">
        <v>137</v>
      </c>
      <c r="H195" t="s">
        <v>137</v>
      </c>
      <c r="I195">
        <v>0</v>
      </c>
      <c r="J195" t="str">
        <f>INDEX('[4]TS BYDem'!$J$10:$J$203,MATCH(D195,'[4]TS BYDem'!$D$10:$D$203,0))</f>
        <v/>
      </c>
      <c r="K195" t="e">
        <f t="shared" ca="1" si="145"/>
        <v>#VALUE!</v>
      </c>
      <c r="L195" t="e">
        <f t="shared" ca="1" si="145"/>
        <v>#VALUE!</v>
      </c>
      <c r="M195" t="e">
        <f t="shared" ca="1" si="145"/>
        <v>#VALUE!</v>
      </c>
      <c r="N195" t="e">
        <f t="shared" ca="1" si="145"/>
        <v>#VALUE!</v>
      </c>
      <c r="O195" t="e">
        <f t="shared" ca="1" si="145"/>
        <v>#VALUE!</v>
      </c>
      <c r="P195" t="e">
        <f t="shared" ca="1" si="145"/>
        <v>#VALUE!</v>
      </c>
      <c r="Q195" t="e">
        <f t="shared" ca="1" si="145"/>
        <v>#VALUE!</v>
      </c>
      <c r="R195" t="e">
        <f t="shared" ca="1" si="145"/>
        <v>#VALUE!</v>
      </c>
      <c r="S195" t="e">
        <f t="shared" ca="1" si="145"/>
        <v>#VALUE!</v>
      </c>
      <c r="T195" t="e">
        <f t="shared" ca="1" si="145"/>
        <v>#VALUE!</v>
      </c>
      <c r="U195" t="e">
        <f t="shared" ca="1" si="145"/>
        <v>#VALUE!</v>
      </c>
      <c r="V195" t="e">
        <f t="shared" ca="1" si="145"/>
        <v>#VALUE!</v>
      </c>
      <c r="W195" t="e">
        <f t="shared" ca="1" si="145"/>
        <v>#VALUE!</v>
      </c>
      <c r="X195" t="e">
        <f t="shared" ca="1" si="145"/>
        <v>#VALUE!</v>
      </c>
      <c r="Y195" t="e">
        <f t="shared" ca="1" si="145"/>
        <v>#VALUE!</v>
      </c>
      <c r="Z195" t="e">
        <f t="shared" ca="1" si="145"/>
        <v>#VALUE!</v>
      </c>
      <c r="AA195" t="e">
        <f t="shared" ca="1" si="146"/>
        <v>#VALUE!</v>
      </c>
      <c r="AB195" t="e">
        <f t="shared" ca="1" si="146"/>
        <v>#VALUE!</v>
      </c>
      <c r="AC195" t="e">
        <f t="shared" ca="1" si="146"/>
        <v>#VALUE!</v>
      </c>
      <c r="AD195" t="e">
        <f t="shared" ca="1" si="146"/>
        <v>#VALUE!</v>
      </c>
      <c r="AE195" t="e">
        <f t="shared" ca="1" si="146"/>
        <v>#VALUE!</v>
      </c>
      <c r="AF195" t="e">
        <f t="shared" ca="1" si="146"/>
        <v>#VALUE!</v>
      </c>
      <c r="AG195" t="e">
        <f t="shared" ca="1" si="146"/>
        <v>#VALUE!</v>
      </c>
      <c r="AH195" t="e">
        <f t="shared" ca="1" si="146"/>
        <v>#VALUE!</v>
      </c>
      <c r="AI195" t="e">
        <f t="shared" ca="1" si="146"/>
        <v>#VALUE!</v>
      </c>
      <c r="AJ195" t="e">
        <f t="shared" ca="1" si="146"/>
        <v>#VALUE!</v>
      </c>
      <c r="AK195" t="e">
        <f t="shared" ca="1" si="146"/>
        <v>#VALUE!</v>
      </c>
      <c r="AL195" t="e">
        <f t="shared" ca="1" si="146"/>
        <v>#VALUE!</v>
      </c>
      <c r="AM195" t="e">
        <f t="shared" ca="1" si="146"/>
        <v>#VALUE!</v>
      </c>
      <c r="AN195" t="e">
        <f t="shared" ca="1" si="146"/>
        <v>#VALUE!</v>
      </c>
      <c r="AO195" t="e">
        <f t="shared" ca="1" si="146"/>
        <v>#VALUE!</v>
      </c>
      <c r="AP195" t="e">
        <f t="shared" ca="1" si="146"/>
        <v>#VALUE!</v>
      </c>
    </row>
    <row r="196" spans="1:42">
      <c r="A196" s="48" t="str">
        <f>'[4]TS BYDem'!A126</f>
        <v>*</v>
      </c>
      <c r="B196" t="s">
        <v>288</v>
      </c>
      <c r="C196" t="s">
        <v>137</v>
      </c>
      <c r="D196" s="3" t="str">
        <f>'[4]TS BYDem'!D126</f>
        <v>INMS</v>
      </c>
      <c r="E196" t="s">
        <v>137</v>
      </c>
      <c r="F196" t="s">
        <v>137</v>
      </c>
      <c r="G196" t="s">
        <v>137</v>
      </c>
      <c r="H196" t="s">
        <v>137</v>
      </c>
      <c r="I196">
        <v>0</v>
      </c>
      <c r="J196" t="str">
        <f>INDEX('[4]TS BYDem'!$J$10:$J$203,MATCH(D196,'[4]TS BYDem'!$D$10:$D$203,0))</f>
        <v/>
      </c>
      <c r="K196" t="e">
        <f t="shared" ca="1" si="145"/>
        <v>#VALUE!</v>
      </c>
      <c r="L196" t="e">
        <f t="shared" ca="1" si="145"/>
        <v>#VALUE!</v>
      </c>
      <c r="M196" t="e">
        <f t="shared" ca="1" si="145"/>
        <v>#VALUE!</v>
      </c>
      <c r="N196" t="e">
        <f t="shared" ca="1" si="145"/>
        <v>#VALUE!</v>
      </c>
      <c r="O196" t="e">
        <f t="shared" ca="1" si="145"/>
        <v>#VALUE!</v>
      </c>
      <c r="P196" t="e">
        <f t="shared" ca="1" si="145"/>
        <v>#VALUE!</v>
      </c>
      <c r="Q196" t="e">
        <f t="shared" ca="1" si="145"/>
        <v>#VALUE!</v>
      </c>
      <c r="R196" t="e">
        <f t="shared" ca="1" si="145"/>
        <v>#VALUE!</v>
      </c>
      <c r="S196" t="e">
        <f t="shared" ca="1" si="145"/>
        <v>#VALUE!</v>
      </c>
      <c r="T196" t="e">
        <f t="shared" ca="1" si="145"/>
        <v>#VALUE!</v>
      </c>
      <c r="U196" t="e">
        <f t="shared" ca="1" si="145"/>
        <v>#VALUE!</v>
      </c>
      <c r="V196" t="e">
        <f t="shared" ca="1" si="145"/>
        <v>#VALUE!</v>
      </c>
      <c r="W196" t="e">
        <f t="shared" ca="1" si="145"/>
        <v>#VALUE!</v>
      </c>
      <c r="X196" t="e">
        <f t="shared" ca="1" si="145"/>
        <v>#VALUE!</v>
      </c>
      <c r="Y196" t="e">
        <f t="shared" ca="1" si="145"/>
        <v>#VALUE!</v>
      </c>
      <c r="Z196" t="e">
        <f t="shared" ca="1" si="145"/>
        <v>#VALUE!</v>
      </c>
      <c r="AA196" t="e">
        <f t="shared" ca="1" si="146"/>
        <v>#VALUE!</v>
      </c>
      <c r="AB196" t="e">
        <f t="shared" ca="1" si="146"/>
        <v>#VALUE!</v>
      </c>
      <c r="AC196" t="e">
        <f t="shared" ca="1" si="146"/>
        <v>#VALUE!</v>
      </c>
      <c r="AD196" t="e">
        <f t="shared" ca="1" si="146"/>
        <v>#VALUE!</v>
      </c>
      <c r="AE196" t="e">
        <f t="shared" ca="1" si="146"/>
        <v>#VALUE!</v>
      </c>
      <c r="AF196" t="e">
        <f t="shared" ca="1" si="146"/>
        <v>#VALUE!</v>
      </c>
      <c r="AG196" t="e">
        <f t="shared" ca="1" si="146"/>
        <v>#VALUE!</v>
      </c>
      <c r="AH196" t="e">
        <f t="shared" ca="1" si="146"/>
        <v>#VALUE!</v>
      </c>
      <c r="AI196" t="e">
        <f t="shared" ca="1" si="146"/>
        <v>#VALUE!</v>
      </c>
      <c r="AJ196" t="e">
        <f t="shared" ca="1" si="146"/>
        <v>#VALUE!</v>
      </c>
      <c r="AK196" t="e">
        <f t="shared" ca="1" si="146"/>
        <v>#VALUE!</v>
      </c>
      <c r="AL196" t="e">
        <f t="shared" ca="1" si="146"/>
        <v>#VALUE!</v>
      </c>
      <c r="AM196" t="e">
        <f t="shared" ca="1" si="146"/>
        <v>#VALUE!</v>
      </c>
      <c r="AN196" t="e">
        <f t="shared" ca="1" si="146"/>
        <v>#VALUE!</v>
      </c>
      <c r="AO196" t="e">
        <f t="shared" ca="1" si="146"/>
        <v>#VALUE!</v>
      </c>
      <c r="AP196" t="e">
        <f t="shared" ca="1" si="146"/>
        <v>#VALUE!</v>
      </c>
    </row>
    <row r="197" spans="1:42">
      <c r="A197" s="48" t="str">
        <f>'[4]TS BYDem'!A127</f>
        <v>*</v>
      </c>
      <c r="B197" t="s">
        <v>288</v>
      </c>
      <c r="C197" t="s">
        <v>137</v>
      </c>
      <c r="D197" s="3" t="str">
        <f>'[4]TS BYDem'!D127</f>
        <v>INMS</v>
      </c>
      <c r="E197" t="s">
        <v>137</v>
      </c>
      <c r="F197" t="s">
        <v>137</v>
      </c>
      <c r="G197" t="s">
        <v>137</v>
      </c>
      <c r="H197" t="s">
        <v>137</v>
      </c>
      <c r="I197">
        <v>0</v>
      </c>
      <c r="J197" t="str">
        <f>INDEX('[4]TS BYDem'!$J$10:$J$203,MATCH(D197,'[4]TS BYDem'!$D$10:$D$203,0))</f>
        <v/>
      </c>
      <c r="K197" t="e">
        <f t="shared" ca="1" si="145"/>
        <v>#VALUE!</v>
      </c>
      <c r="L197" t="e">
        <f t="shared" ca="1" si="145"/>
        <v>#VALUE!</v>
      </c>
      <c r="M197" t="e">
        <f t="shared" ca="1" si="145"/>
        <v>#VALUE!</v>
      </c>
      <c r="N197" t="e">
        <f t="shared" ca="1" si="145"/>
        <v>#VALUE!</v>
      </c>
      <c r="O197" t="e">
        <f t="shared" ca="1" si="145"/>
        <v>#VALUE!</v>
      </c>
      <c r="P197" t="e">
        <f t="shared" ca="1" si="145"/>
        <v>#VALUE!</v>
      </c>
      <c r="Q197" t="e">
        <f t="shared" ca="1" si="145"/>
        <v>#VALUE!</v>
      </c>
      <c r="R197" t="e">
        <f t="shared" ca="1" si="145"/>
        <v>#VALUE!</v>
      </c>
      <c r="S197" t="e">
        <f t="shared" ca="1" si="145"/>
        <v>#VALUE!</v>
      </c>
      <c r="T197" t="e">
        <f t="shared" ca="1" si="145"/>
        <v>#VALUE!</v>
      </c>
      <c r="U197" t="e">
        <f t="shared" ca="1" si="145"/>
        <v>#VALUE!</v>
      </c>
      <c r="V197" t="e">
        <f t="shared" ca="1" si="145"/>
        <v>#VALUE!</v>
      </c>
      <c r="W197" t="e">
        <f t="shared" ca="1" si="145"/>
        <v>#VALUE!</v>
      </c>
      <c r="X197" t="e">
        <f t="shared" ca="1" si="145"/>
        <v>#VALUE!</v>
      </c>
      <c r="Y197" t="e">
        <f t="shared" ca="1" si="145"/>
        <v>#VALUE!</v>
      </c>
      <c r="Z197" t="e">
        <f t="shared" ca="1" si="145"/>
        <v>#VALUE!</v>
      </c>
      <c r="AA197" t="e">
        <f t="shared" ca="1" si="146"/>
        <v>#VALUE!</v>
      </c>
      <c r="AB197" t="e">
        <f t="shared" ca="1" si="146"/>
        <v>#VALUE!</v>
      </c>
      <c r="AC197" t="e">
        <f t="shared" ca="1" si="146"/>
        <v>#VALUE!</v>
      </c>
      <c r="AD197" t="e">
        <f t="shared" ca="1" si="146"/>
        <v>#VALUE!</v>
      </c>
      <c r="AE197" t="e">
        <f t="shared" ca="1" si="146"/>
        <v>#VALUE!</v>
      </c>
      <c r="AF197" t="e">
        <f t="shared" ca="1" si="146"/>
        <v>#VALUE!</v>
      </c>
      <c r="AG197" t="e">
        <f t="shared" ca="1" si="146"/>
        <v>#VALUE!</v>
      </c>
      <c r="AH197" t="e">
        <f t="shared" ca="1" si="146"/>
        <v>#VALUE!</v>
      </c>
      <c r="AI197" t="e">
        <f t="shared" ca="1" si="146"/>
        <v>#VALUE!</v>
      </c>
      <c r="AJ197" t="e">
        <f t="shared" ca="1" si="146"/>
        <v>#VALUE!</v>
      </c>
      <c r="AK197" t="e">
        <f t="shared" ca="1" si="146"/>
        <v>#VALUE!</v>
      </c>
      <c r="AL197" t="e">
        <f t="shared" ca="1" si="146"/>
        <v>#VALUE!</v>
      </c>
      <c r="AM197" t="e">
        <f t="shared" ca="1" si="146"/>
        <v>#VALUE!</v>
      </c>
      <c r="AN197" t="e">
        <f t="shared" ca="1" si="146"/>
        <v>#VALUE!</v>
      </c>
      <c r="AO197" t="e">
        <f t="shared" ca="1" si="146"/>
        <v>#VALUE!</v>
      </c>
      <c r="AP197" t="e">
        <f t="shared" ca="1" si="146"/>
        <v>#VALUE!</v>
      </c>
    </row>
    <row r="198" spans="1:42">
      <c r="A198" s="48" t="str">
        <f>'[4]TS BYDem'!A128</f>
        <v>*</v>
      </c>
      <c r="B198" t="s">
        <v>288</v>
      </c>
      <c r="C198" t="s">
        <v>137</v>
      </c>
      <c r="D198" s="3" t="str">
        <f>'[4]TS BYDem'!D128</f>
        <v>INMS</v>
      </c>
      <c r="E198" t="s">
        <v>137</v>
      </c>
      <c r="F198" t="s">
        <v>137</v>
      </c>
      <c r="G198" t="s">
        <v>137</v>
      </c>
      <c r="H198" t="s">
        <v>137</v>
      </c>
      <c r="I198">
        <v>0</v>
      </c>
      <c r="J198" t="str">
        <f>INDEX('[4]TS BYDem'!$J$10:$J$203,MATCH(D198,'[4]TS BYDem'!$D$10:$D$203,0))</f>
        <v/>
      </c>
      <c r="K198" t="e">
        <f t="shared" ca="1" si="145"/>
        <v>#VALUE!</v>
      </c>
      <c r="L198" t="e">
        <f t="shared" ca="1" si="145"/>
        <v>#VALUE!</v>
      </c>
      <c r="M198" t="e">
        <f t="shared" ca="1" si="145"/>
        <v>#VALUE!</v>
      </c>
      <c r="N198" t="e">
        <f t="shared" ca="1" si="145"/>
        <v>#VALUE!</v>
      </c>
      <c r="O198" t="e">
        <f t="shared" ca="1" si="145"/>
        <v>#VALUE!</v>
      </c>
      <c r="P198" t="e">
        <f t="shared" ca="1" si="145"/>
        <v>#VALUE!</v>
      </c>
      <c r="Q198" t="e">
        <f t="shared" ca="1" si="145"/>
        <v>#VALUE!</v>
      </c>
      <c r="R198" t="e">
        <f t="shared" ca="1" si="145"/>
        <v>#VALUE!</v>
      </c>
      <c r="S198" t="e">
        <f t="shared" ca="1" si="145"/>
        <v>#VALUE!</v>
      </c>
      <c r="T198" t="e">
        <f t="shared" ca="1" si="145"/>
        <v>#VALUE!</v>
      </c>
      <c r="U198" t="e">
        <f t="shared" ca="1" si="145"/>
        <v>#VALUE!</v>
      </c>
      <c r="V198" t="e">
        <f t="shared" ca="1" si="145"/>
        <v>#VALUE!</v>
      </c>
      <c r="W198" t="e">
        <f t="shared" ca="1" si="145"/>
        <v>#VALUE!</v>
      </c>
      <c r="X198" t="e">
        <f t="shared" ca="1" si="145"/>
        <v>#VALUE!</v>
      </c>
      <c r="Y198" t="e">
        <f t="shared" ca="1" si="145"/>
        <v>#VALUE!</v>
      </c>
      <c r="Z198" t="e">
        <f t="shared" ref="Z198:AO198" ca="1" si="147">Z$182/Y$182*Y198</f>
        <v>#VALUE!</v>
      </c>
      <c r="AA198" t="e">
        <f t="shared" ca="1" si="147"/>
        <v>#VALUE!</v>
      </c>
      <c r="AB198" t="e">
        <f t="shared" ca="1" si="147"/>
        <v>#VALUE!</v>
      </c>
      <c r="AC198" t="e">
        <f t="shared" ca="1" si="147"/>
        <v>#VALUE!</v>
      </c>
      <c r="AD198" t="e">
        <f t="shared" ca="1" si="147"/>
        <v>#VALUE!</v>
      </c>
      <c r="AE198" t="e">
        <f t="shared" ca="1" si="147"/>
        <v>#VALUE!</v>
      </c>
      <c r="AF198" t="e">
        <f t="shared" ca="1" si="147"/>
        <v>#VALUE!</v>
      </c>
      <c r="AG198" t="e">
        <f t="shared" ca="1" si="147"/>
        <v>#VALUE!</v>
      </c>
      <c r="AH198" t="e">
        <f t="shared" ca="1" si="147"/>
        <v>#VALUE!</v>
      </c>
      <c r="AI198" t="e">
        <f t="shared" ca="1" si="147"/>
        <v>#VALUE!</v>
      </c>
      <c r="AJ198" t="e">
        <f t="shared" ca="1" si="147"/>
        <v>#VALUE!</v>
      </c>
      <c r="AK198" t="e">
        <f t="shared" ca="1" si="147"/>
        <v>#VALUE!</v>
      </c>
      <c r="AL198" t="e">
        <f t="shared" ca="1" si="147"/>
        <v>#VALUE!</v>
      </c>
      <c r="AM198" t="e">
        <f t="shared" ca="1" si="147"/>
        <v>#VALUE!</v>
      </c>
      <c r="AN198" t="e">
        <f t="shared" ca="1" si="147"/>
        <v>#VALUE!</v>
      </c>
      <c r="AO198" t="e">
        <f t="shared" ca="1" si="147"/>
        <v>#VALUE!</v>
      </c>
      <c r="AP198" t="e">
        <f t="shared" ca="1" si="146"/>
        <v>#VALUE!</v>
      </c>
    </row>
    <row r="199" spans="1:42">
      <c r="A199" s="48" t="str">
        <f>'[4]TS BYDem'!A129</f>
        <v>*</v>
      </c>
      <c r="B199" t="s">
        <v>288</v>
      </c>
      <c r="C199" t="s">
        <v>137</v>
      </c>
      <c r="D199" s="3" t="str">
        <f>'[4]TS BYDem'!D129</f>
        <v>Useful Energy Service</v>
      </c>
      <c r="E199" t="s">
        <v>137</v>
      </c>
      <c r="F199" t="s">
        <v>137</v>
      </c>
      <c r="G199" t="s">
        <v>137</v>
      </c>
      <c r="H199" t="s">
        <v>137</v>
      </c>
      <c r="I199">
        <v>0</v>
      </c>
      <c r="J199" t="str">
        <f>INDEX('[4]TS BYDem'!$J$10:$J$203,MATCH(D199,'[4]TS BYDem'!$D$10:$D$203,0))</f>
        <v/>
      </c>
    </row>
    <row r="200" spans="1:42">
      <c r="A200" s="48" t="str">
        <f>'[4]TS BYDem'!A130</f>
        <v>*</v>
      </c>
      <c r="B200" t="s">
        <v>288</v>
      </c>
      <c r="C200" t="s">
        <v>137</v>
      </c>
      <c r="D200" s="3">
        <f>'[4]TS BYDem'!D130</f>
        <v>0</v>
      </c>
      <c r="E200" t="s">
        <v>137</v>
      </c>
      <c r="F200" t="s">
        <v>137</v>
      </c>
      <c r="G200" t="s">
        <v>137</v>
      </c>
      <c r="H200" t="s">
        <v>137</v>
      </c>
      <c r="I200">
        <v>0</v>
      </c>
      <c r="J200" t="str">
        <f>INDEX('[4]TS BYDem'!$J$10:$J$203,MATCH(D200,'[4]TS BYDem'!$D$10:$D$203,0))</f>
        <v/>
      </c>
    </row>
    <row r="201" spans="1:42" s="2" customFormat="1">
      <c r="A201" s="48" t="str">
        <f>'[4]TS BYDem'!A127</f>
        <v>*</v>
      </c>
      <c r="B201" s="307">
        <f>B182+4</f>
        <v>13</v>
      </c>
      <c r="C201" s="1" t="str">
        <f ca="1">OFFSET($C$9,$B201,0)</f>
        <v>Food, Beverage &amp; Tabacco</v>
      </c>
      <c r="D201" s="1" t="str">
        <f ca="1">OFFSET($B$9,$B201,0)</f>
        <v>FB</v>
      </c>
      <c r="J201" s="2">
        <f t="shared" ref="J201:AA201" ca="1" si="148">SUMIF($B$10:$B$25,$D201,J$10:J$25)*SUMIF($B$10:$B$25,$D201,J$47:J$62)</f>
        <v>138.08343097582718</v>
      </c>
      <c r="K201" s="2">
        <f t="shared" ca="1" si="148"/>
        <v>143.16360238477418</v>
      </c>
      <c r="L201" s="2">
        <f t="shared" ca="1" si="148"/>
        <v>146.98438355117329</v>
      </c>
      <c r="M201" s="2">
        <f t="shared" ca="1" si="148"/>
        <v>148.78204922418408</v>
      </c>
      <c r="N201" s="2">
        <f t="shared" ca="1" si="148"/>
        <v>151.86270236184362</v>
      </c>
      <c r="O201" s="2">
        <f t="shared" ca="1" si="148"/>
        <v>153.55950890468549</v>
      </c>
      <c r="P201" s="2">
        <f t="shared" ca="1" si="148"/>
        <v>155.74281242834212</v>
      </c>
      <c r="Q201" s="2">
        <f t="shared" ca="1" si="148"/>
        <v>155.24</v>
      </c>
      <c r="R201" s="2">
        <f t="shared" ca="1" si="148"/>
        <v>152.88999999999999</v>
      </c>
      <c r="S201" s="2">
        <f t="shared" ca="1" si="148"/>
        <v>163.32030205035272</v>
      </c>
      <c r="T201" s="2">
        <f t="shared" ca="1" si="148"/>
        <v>168.46196177852565</v>
      </c>
      <c r="U201" s="2">
        <f t="shared" ca="1" si="148"/>
        <v>172.97461635298686</v>
      </c>
      <c r="V201" s="2">
        <f t="shared" ca="1" si="148"/>
        <v>177.50475566176948</v>
      </c>
      <c r="W201" s="2">
        <f t="shared" ca="1" si="148"/>
        <v>181.36824865704483</v>
      </c>
      <c r="X201" s="2">
        <f t="shared" ca="1" si="148"/>
        <v>185.44505145298035</v>
      </c>
      <c r="Y201" s="2">
        <f t="shared" ca="1" si="148"/>
        <v>189.51195909649857</v>
      </c>
      <c r="Z201" s="2">
        <f t="shared" ca="1" si="148"/>
        <v>196.75521066597628</v>
      </c>
      <c r="AA201" s="2">
        <f t="shared" ca="1" si="148"/>
        <v>203.02873729855671</v>
      </c>
      <c r="AB201" s="2">
        <f ca="1">SUMIF($B$10:$B$25,$D201,AB$10:AB$25)*SUMIF($B$10:$B$25,$D201,AB$46:AB$62)</f>
        <v>207.55082195327159</v>
      </c>
      <c r="AC201" s="2">
        <f t="shared" ref="AC201:AP201" ca="1" si="149">SUMIF($B$10:$B$25,$D201,AC$10:AC$25)*SUMIF($B$10:$B$25,$D201,AC$47:AC$62)</f>
        <v>212.64682544819104</v>
      </c>
      <c r="AD201" s="2">
        <f t="shared" ca="1" si="149"/>
        <v>217.16891010290593</v>
      </c>
      <c r="AE201" s="2">
        <f t="shared" ca="1" si="149"/>
        <v>222.71019545660471</v>
      </c>
      <c r="AF201" s="2">
        <f t="shared" ca="1" si="149"/>
        <v>228.0733680667918</v>
      </c>
      <c r="AG201" s="2">
        <f t="shared" ca="1" si="149"/>
        <v>238.55233447673291</v>
      </c>
      <c r="AH201" s="2">
        <f t="shared" ca="1" si="149"/>
        <v>249.27867969710698</v>
      </c>
      <c r="AI201" s="2">
        <f t="shared" ca="1" si="149"/>
        <v>252.7716685004207</v>
      </c>
      <c r="AJ201" s="2">
        <f t="shared" ca="1" si="149"/>
        <v>256.4724555044981</v>
      </c>
      <c r="AK201" s="2">
        <f t="shared" ca="1" si="149"/>
        <v>258.71865510322954</v>
      </c>
      <c r="AL201" s="2">
        <f t="shared" ca="1" si="149"/>
        <v>264.13130347550322</v>
      </c>
      <c r="AM201" s="2">
        <f t="shared" ca="1" si="149"/>
        <v>284.95070416154294</v>
      </c>
      <c r="AN201" s="2">
        <f t="shared" ca="1" si="149"/>
        <v>290.85811015468255</v>
      </c>
      <c r="AO201" s="2">
        <f t="shared" ca="1" si="149"/>
        <v>320.07024928267947</v>
      </c>
      <c r="AP201" s="2">
        <f t="shared" ca="1" si="149"/>
        <v>346.79705596185886</v>
      </c>
    </row>
    <row r="202" spans="1:42">
      <c r="A202" s="48" t="str">
        <f>'[4]TS BYDem'!A132</f>
        <v/>
      </c>
      <c r="B202" t="s">
        <v>288</v>
      </c>
      <c r="C202" t="s">
        <v>137</v>
      </c>
      <c r="D202" s="3" t="str">
        <f>'[4]TS BYDem'!D132</f>
        <v>IFBK</v>
      </c>
      <c r="E202" t="s">
        <v>137</v>
      </c>
      <c r="F202" t="s">
        <v>137</v>
      </c>
      <c r="G202" t="s">
        <v>137</v>
      </c>
      <c r="H202" t="s">
        <v>137</v>
      </c>
      <c r="I202">
        <v>0</v>
      </c>
      <c r="J202">
        <f>INDEX('[4]TS BYDem'!$J$10:$J$203,MATCH(D202,'[4]TS BYDem'!$D$10:$D$203,0))</f>
        <v>1.1176071642017353</v>
      </c>
      <c r="K202">
        <f t="shared" ref="K202:Z217" ca="1" si="150">K$201/J$201*J202</f>
        <v>1.1587245953220986</v>
      </c>
      <c r="L202">
        <f t="shared" ca="1" si="150"/>
        <v>1.1896488877896161</v>
      </c>
      <c r="M202" s="171">
        <f t="shared" ref="M202:M210" si="151">O202</f>
        <v>1.04664</v>
      </c>
      <c r="N202" s="171">
        <f t="shared" ref="N202:N210" si="152">O202</f>
        <v>1.04664</v>
      </c>
      <c r="O202" s="171">
        <f>INDEX('[4]TS BYDem'!$O$10:$O$203,MATCH(D202,'[4]TS BYDem'!$D$10:$D$203,0))</f>
        <v>1.04664</v>
      </c>
      <c r="P202">
        <f t="shared" ca="1" si="150"/>
        <v>1.0615210895287399</v>
      </c>
      <c r="Q202">
        <f t="shared" ca="1" si="150"/>
        <v>1.0580939907853684</v>
      </c>
      <c r="R202">
        <f t="shared" ca="1" si="150"/>
        <v>1.0420767215355253</v>
      </c>
      <c r="S202">
        <f t="shared" ca="1" si="150"/>
        <v>1.113168192300499</v>
      </c>
      <c r="T202">
        <f t="shared" ca="1" si="150"/>
        <v>1.1482130213461246</v>
      </c>
      <c r="U202">
        <f t="shared" ca="1" si="150"/>
        <v>1.1789706397932227</v>
      </c>
      <c r="V202">
        <f t="shared" ca="1" si="150"/>
        <v>1.209847431728571</v>
      </c>
      <c r="W202">
        <f t="shared" ca="1" si="150"/>
        <v>1.236180456218021</v>
      </c>
      <c r="X202">
        <f t="shared" ca="1" si="150"/>
        <v>1.2639673702865366</v>
      </c>
      <c r="Y202">
        <f t="shared" ca="1" si="150"/>
        <v>1.2916868403888666</v>
      </c>
      <c r="Z202">
        <f t="shared" ca="1" si="150"/>
        <v>1.341055823636812</v>
      </c>
      <c r="AA202">
        <f t="shared" ref="AA202:AP217" ca="1" si="153">AA$201/Z$201*Z202</f>
        <v>1.3838152981985572</v>
      </c>
      <c r="AB202">
        <f t="shared" ca="1" si="153"/>
        <v>1.41463719074543</v>
      </c>
      <c r="AC202">
        <f t="shared" ca="1" si="153"/>
        <v>1.4493708333310749</v>
      </c>
      <c r="AD202">
        <f t="shared" ca="1" si="153"/>
        <v>1.4801927258779477</v>
      </c>
      <c r="AE202">
        <f t="shared" ca="1" si="153"/>
        <v>1.5179613469419495</v>
      </c>
      <c r="AF202">
        <f t="shared" ca="1" si="153"/>
        <v>1.5545159766146088</v>
      </c>
      <c r="AG202">
        <f t="shared" ca="1" si="153"/>
        <v>1.6259391368052838</v>
      </c>
      <c r="AH202">
        <f t="shared" ca="1" si="153"/>
        <v>1.6990483961506018</v>
      </c>
      <c r="AI202">
        <f t="shared" ca="1" si="153"/>
        <v>1.7228561162141602</v>
      </c>
      <c r="AJ202">
        <f t="shared" ca="1" si="153"/>
        <v>1.7480801595676185</v>
      </c>
      <c r="AK202">
        <f t="shared" ca="1" si="153"/>
        <v>1.7633899398917763</v>
      </c>
      <c r="AL202">
        <f t="shared" ca="1" si="153"/>
        <v>1.8002817893953642</v>
      </c>
      <c r="AM202">
        <f t="shared" ca="1" si="153"/>
        <v>1.9421838942501144</v>
      </c>
      <c r="AN202">
        <f t="shared" ca="1" si="153"/>
        <v>1.9824479420629877</v>
      </c>
      <c r="AO202">
        <f t="shared" ca="1" si="153"/>
        <v>2.1815537709042632</v>
      </c>
      <c r="AP202">
        <f t="shared" ca="1" si="153"/>
        <v>2.3637199235718875</v>
      </c>
    </row>
    <row r="203" spans="1:42">
      <c r="A203" s="48" t="str">
        <f>'[4]TS BYDem'!A133</f>
        <v/>
      </c>
      <c r="B203" t="s">
        <v>288</v>
      </c>
      <c r="C203" t="s">
        <v>137</v>
      </c>
      <c r="D203" s="3" t="str">
        <f>'[4]TS BYDem'!D133</f>
        <v>IFBA</v>
      </c>
      <c r="E203" t="s">
        <v>137</v>
      </c>
      <c r="F203" t="s">
        <v>137</v>
      </c>
      <c r="G203" t="s">
        <v>137</v>
      </c>
      <c r="H203" t="s">
        <v>137</v>
      </c>
      <c r="I203">
        <v>0</v>
      </c>
      <c r="J203">
        <f>INDEX('[4]TS BYDem'!$J$10:$J$203,MATCH(D203,'[4]TS BYDem'!$D$10:$D$203,0))</f>
        <v>3.1931633262906718E-2</v>
      </c>
      <c r="K203">
        <f t="shared" ca="1" si="150"/>
        <v>3.3106417009202811E-2</v>
      </c>
      <c r="L203">
        <f t="shared" ca="1" si="150"/>
        <v>3.3989968222560452E-2</v>
      </c>
      <c r="M203" s="171">
        <f t="shared" si="151"/>
        <v>2.9904000000000003E-2</v>
      </c>
      <c r="N203" s="171">
        <f t="shared" si="152"/>
        <v>2.9904000000000003E-2</v>
      </c>
      <c r="O203" s="171">
        <f>INDEX('[4]TS BYDem'!$O$10:$O$203,MATCH(D203,'[4]TS BYDem'!$D$10:$D$203,0))</f>
        <v>2.9904000000000003E-2</v>
      </c>
      <c r="P203">
        <f t="shared" ca="1" si="150"/>
        <v>3.0329173986535431E-2</v>
      </c>
      <c r="Q203">
        <f t="shared" ca="1" si="150"/>
        <v>3.0231256879581961E-2</v>
      </c>
      <c r="R203">
        <f t="shared" ca="1" si="150"/>
        <v>2.9773620615300728E-2</v>
      </c>
      <c r="S203">
        <f t="shared" ca="1" si="150"/>
        <v>3.1804805494299981E-2</v>
      </c>
      <c r="T203">
        <f t="shared" ca="1" si="150"/>
        <v>3.2806086324174998E-2</v>
      </c>
      <c r="U203">
        <f t="shared" ca="1" si="150"/>
        <v>3.3684875422663511E-2</v>
      </c>
      <c r="V203">
        <f t="shared" ca="1" si="150"/>
        <v>3.4567069477959178E-2</v>
      </c>
      <c r="W203">
        <f t="shared" ca="1" si="150"/>
        <v>3.5319441606229178E-2</v>
      </c>
      <c r="X203">
        <f t="shared" ca="1" si="150"/>
        <v>3.6113353436758193E-2</v>
      </c>
      <c r="Y203">
        <f t="shared" ca="1" si="150"/>
        <v>3.6905338296824769E-2</v>
      </c>
      <c r="Z203">
        <f t="shared" ca="1" si="150"/>
        <v>3.8315880675337498E-2</v>
      </c>
      <c r="AA203">
        <f t="shared" ca="1" si="153"/>
        <v>3.9537579948530216E-2</v>
      </c>
      <c r="AB203">
        <f t="shared" ca="1" si="153"/>
        <v>4.0418205449869439E-2</v>
      </c>
      <c r="AC203">
        <f t="shared" ca="1" si="153"/>
        <v>4.1410595238030722E-2</v>
      </c>
      <c r="AD203">
        <f t="shared" ca="1" si="153"/>
        <v>4.2291220739369945E-2</v>
      </c>
      <c r="AE203">
        <f t="shared" ca="1" si="153"/>
        <v>4.3370324198341428E-2</v>
      </c>
      <c r="AF203">
        <f t="shared" ca="1" si="153"/>
        <v>4.4414742188988839E-2</v>
      </c>
      <c r="AG203">
        <f t="shared" ca="1" si="153"/>
        <v>4.6455403908722416E-2</v>
      </c>
      <c r="AH203">
        <f t="shared" ca="1" si="153"/>
        <v>4.8544239890017216E-2</v>
      </c>
      <c r="AI203">
        <f t="shared" ca="1" si="153"/>
        <v>4.9224460463261746E-2</v>
      </c>
      <c r="AJ203">
        <f t="shared" ca="1" si="153"/>
        <v>4.9945147416217701E-2</v>
      </c>
      <c r="AK203">
        <f t="shared" ca="1" si="153"/>
        <v>5.0382569711193641E-2</v>
      </c>
      <c r="AL203">
        <f t="shared" ca="1" si="153"/>
        <v>5.1436622554153294E-2</v>
      </c>
      <c r="AM203">
        <f t="shared" ca="1" si="153"/>
        <v>5.5490968407146159E-2</v>
      </c>
      <c r="AN203">
        <f t="shared" ca="1" si="153"/>
        <v>5.6641369773228256E-2</v>
      </c>
      <c r="AO203">
        <f t="shared" ca="1" si="153"/>
        <v>6.2330107740121848E-2</v>
      </c>
      <c r="AP203">
        <f t="shared" ca="1" si="153"/>
        <v>6.7534854959196824E-2</v>
      </c>
    </row>
    <row r="204" spans="1:42">
      <c r="A204" s="48" t="str">
        <f>'[4]TS BYDem'!A134</f>
        <v/>
      </c>
      <c r="B204" t="s">
        <v>288</v>
      </c>
      <c r="C204" t="s">
        <v>137</v>
      </c>
      <c r="D204" s="3" t="str">
        <f>'[4]TS BYDem'!D134</f>
        <v>IFBL</v>
      </c>
      <c r="E204" t="s">
        <v>137</v>
      </c>
      <c r="F204" t="s">
        <v>137</v>
      </c>
      <c r="G204" t="s">
        <v>137</v>
      </c>
      <c r="H204" t="s">
        <v>137</v>
      </c>
      <c r="I204">
        <v>0</v>
      </c>
      <c r="J204">
        <f>INDEX('[4]TS BYDem'!$J$10:$J$203,MATCH(D204,'[4]TS BYDem'!$D$10:$D$203,0))</f>
        <v>0.23948724947180039</v>
      </c>
      <c r="K204">
        <f t="shared" ca="1" si="150"/>
        <v>0.24829812756902106</v>
      </c>
      <c r="L204">
        <f t="shared" ca="1" si="150"/>
        <v>0.25492476166920336</v>
      </c>
      <c r="M204" s="171">
        <f t="shared" si="151"/>
        <v>0.22428000000000001</v>
      </c>
      <c r="N204" s="171">
        <f t="shared" si="152"/>
        <v>0.22428000000000001</v>
      </c>
      <c r="O204" s="171">
        <f>INDEX('[4]TS BYDem'!$O$10:$O$203,MATCH(D204,'[4]TS BYDem'!$D$10:$D$203,0))</f>
        <v>0.22428000000000001</v>
      </c>
      <c r="P204">
        <f t="shared" ca="1" si="150"/>
        <v>0.22746880489901572</v>
      </c>
      <c r="Q204">
        <f t="shared" ca="1" si="150"/>
        <v>0.22673442659686469</v>
      </c>
      <c r="R204">
        <f t="shared" ca="1" si="150"/>
        <v>0.22330215461475544</v>
      </c>
      <c r="S204">
        <f t="shared" ca="1" si="150"/>
        <v>0.23853604120724983</v>
      </c>
      <c r="T204">
        <f t="shared" ca="1" si="150"/>
        <v>0.24604564743131246</v>
      </c>
      <c r="U204">
        <f t="shared" ca="1" si="150"/>
        <v>0.25263656566997633</v>
      </c>
      <c r="V204">
        <f t="shared" ca="1" si="150"/>
        <v>0.25925302108469384</v>
      </c>
      <c r="W204">
        <f t="shared" ca="1" si="150"/>
        <v>0.26489581204671886</v>
      </c>
      <c r="X204">
        <f t="shared" ca="1" si="150"/>
        <v>0.27085015077568647</v>
      </c>
      <c r="Y204">
        <f t="shared" ca="1" si="150"/>
        <v>0.27679003722618578</v>
      </c>
      <c r="Z204">
        <f t="shared" ca="1" si="150"/>
        <v>0.28736910506503122</v>
      </c>
      <c r="AA204">
        <f t="shared" ca="1" si="153"/>
        <v>0.29653184961397661</v>
      </c>
      <c r="AB204">
        <f t="shared" ca="1" si="153"/>
        <v>0.30313654087402081</v>
      </c>
      <c r="AC204">
        <f t="shared" ca="1" si="153"/>
        <v>0.31057946428523042</v>
      </c>
      <c r="AD204">
        <f t="shared" ca="1" si="153"/>
        <v>0.31718415554527457</v>
      </c>
      <c r="AE204">
        <f t="shared" ca="1" si="153"/>
        <v>0.32527743148756066</v>
      </c>
      <c r="AF204">
        <f t="shared" ca="1" si="153"/>
        <v>0.33311056641741621</v>
      </c>
      <c r="AG204">
        <f t="shared" ca="1" si="153"/>
        <v>0.34841552931541803</v>
      </c>
      <c r="AH204">
        <f t="shared" ca="1" si="153"/>
        <v>0.36408179917512906</v>
      </c>
      <c r="AI204">
        <f t="shared" ca="1" si="153"/>
        <v>0.36918345347446302</v>
      </c>
      <c r="AJ204">
        <f t="shared" ca="1" si="153"/>
        <v>0.37458860562163265</v>
      </c>
      <c r="AK204">
        <f t="shared" ca="1" si="153"/>
        <v>0.37786927283395216</v>
      </c>
      <c r="AL204">
        <f t="shared" ca="1" si="153"/>
        <v>0.38577466915614955</v>
      </c>
      <c r="AM204">
        <f t="shared" ca="1" si="153"/>
        <v>0.41618226305359601</v>
      </c>
      <c r="AN204">
        <f t="shared" ca="1" si="153"/>
        <v>0.42481027329921173</v>
      </c>
      <c r="AO204">
        <f t="shared" ca="1" si="153"/>
        <v>0.46747580805091365</v>
      </c>
      <c r="AP204">
        <f t="shared" ca="1" si="153"/>
        <v>0.506511412193976</v>
      </c>
    </row>
    <row r="205" spans="1:42">
      <c r="A205" s="48" t="str">
        <f>'[4]TS BYDem'!A135</f>
        <v/>
      </c>
      <c r="B205" t="s">
        <v>288</v>
      </c>
      <c r="C205" t="s">
        <v>137</v>
      </c>
      <c r="D205" s="3" t="str">
        <f>'[4]TS BYDem'!D135</f>
        <v>IFBC</v>
      </c>
      <c r="E205" t="s">
        <v>137</v>
      </c>
      <c r="F205" t="s">
        <v>137</v>
      </c>
      <c r="G205" t="s">
        <v>137</v>
      </c>
      <c r="H205" t="s">
        <v>137</v>
      </c>
      <c r="I205">
        <v>0</v>
      </c>
      <c r="J205">
        <f>INDEX('[4]TS BYDem'!$J$10:$J$203,MATCH(D205,'[4]TS BYDem'!$D$10:$D$203,0))</f>
        <v>7.3442756504685454</v>
      </c>
      <c r="K205">
        <f t="shared" ca="1" si="150"/>
        <v>7.6144759121166459</v>
      </c>
      <c r="L205">
        <f t="shared" ca="1" si="150"/>
        <v>7.8176926911889026</v>
      </c>
      <c r="M205" s="171">
        <f t="shared" si="151"/>
        <v>6.8779200000000005</v>
      </c>
      <c r="N205" s="171">
        <f t="shared" si="152"/>
        <v>6.8779200000000005</v>
      </c>
      <c r="O205" s="171">
        <f>INDEX('[4]TS BYDem'!$O$10:$O$203,MATCH(D205,'[4]TS BYDem'!$D$10:$D$203,0))</f>
        <v>6.8779200000000005</v>
      </c>
      <c r="P205">
        <f t="shared" ca="1" si="150"/>
        <v>6.9757100169031494</v>
      </c>
      <c r="Q205">
        <f t="shared" ca="1" si="150"/>
        <v>6.9531890823038509</v>
      </c>
      <c r="R205">
        <f t="shared" ca="1" si="150"/>
        <v>6.847932741519168</v>
      </c>
      <c r="S205">
        <f t="shared" ca="1" si="150"/>
        <v>7.3151052636889959</v>
      </c>
      <c r="T205">
        <f t="shared" ca="1" si="150"/>
        <v>7.5453998545602499</v>
      </c>
      <c r="U205">
        <f t="shared" ca="1" si="150"/>
        <v>7.7475213472126088</v>
      </c>
      <c r="V205">
        <f t="shared" ca="1" si="150"/>
        <v>7.9504259799306123</v>
      </c>
      <c r="W205">
        <f t="shared" ca="1" si="150"/>
        <v>8.1234715694327129</v>
      </c>
      <c r="X205">
        <f t="shared" ca="1" si="150"/>
        <v>8.306071290454387</v>
      </c>
      <c r="Y205">
        <f t="shared" ca="1" si="150"/>
        <v>8.4882278082696985</v>
      </c>
      <c r="Z205">
        <f t="shared" ca="1" si="150"/>
        <v>8.8126525553276256</v>
      </c>
      <c r="AA205">
        <f t="shared" ca="1" si="153"/>
        <v>9.0936433881619507</v>
      </c>
      <c r="AB205">
        <f t="shared" ca="1" si="153"/>
        <v>9.2961872534699719</v>
      </c>
      <c r="AC205">
        <f t="shared" ca="1" si="153"/>
        <v>9.5244369047470663</v>
      </c>
      <c r="AD205">
        <f t="shared" ca="1" si="153"/>
        <v>9.7269807700550874</v>
      </c>
      <c r="AE205">
        <f t="shared" ca="1" si="153"/>
        <v>9.9751745656185271</v>
      </c>
      <c r="AF205">
        <f t="shared" ca="1" si="153"/>
        <v>10.215390703467431</v>
      </c>
      <c r="AG205">
        <f t="shared" ca="1" si="153"/>
        <v>10.684742899006153</v>
      </c>
      <c r="AH205">
        <f t="shared" ca="1" si="153"/>
        <v>11.165175174703958</v>
      </c>
      <c r="AI205">
        <f t="shared" ca="1" si="153"/>
        <v>11.321625906550199</v>
      </c>
      <c r="AJ205">
        <f t="shared" ca="1" si="153"/>
        <v>11.487383905730068</v>
      </c>
      <c r="AK205">
        <f t="shared" ca="1" si="153"/>
        <v>11.587991033574534</v>
      </c>
      <c r="AL205">
        <f t="shared" ca="1" si="153"/>
        <v>11.830423187455255</v>
      </c>
      <c r="AM205">
        <f t="shared" ca="1" si="153"/>
        <v>12.762922733643613</v>
      </c>
      <c r="AN205">
        <f t="shared" ca="1" si="153"/>
        <v>13.027515047842495</v>
      </c>
      <c r="AO205">
        <f t="shared" ca="1" si="153"/>
        <v>14.335924780228021</v>
      </c>
      <c r="AP205">
        <f t="shared" ca="1" si="153"/>
        <v>15.533016640615266</v>
      </c>
    </row>
    <row r="206" spans="1:42">
      <c r="A206" s="48" t="str">
        <f>'[4]TS BYDem'!A136</f>
        <v/>
      </c>
      <c r="B206" t="s">
        <v>288</v>
      </c>
      <c r="C206" t="s">
        <v>137</v>
      </c>
      <c r="D206" s="3" t="str">
        <f>'[4]TS BYDem'!D136</f>
        <v>IFBH</v>
      </c>
      <c r="E206" t="s">
        <v>137</v>
      </c>
      <c r="F206" t="s">
        <v>137</v>
      </c>
      <c r="G206" t="s">
        <v>137</v>
      </c>
      <c r="H206" t="s">
        <v>137</v>
      </c>
      <c r="I206">
        <v>0</v>
      </c>
      <c r="J206">
        <f>INDEX('[4]TS BYDem'!$J$10:$J$203,MATCH(D206,'[4]TS BYDem'!$D$10:$D$203,0))</f>
        <v>0.86215409809848131</v>
      </c>
      <c r="K206">
        <f t="shared" ca="1" si="150"/>
        <v>0.89387325924847572</v>
      </c>
      <c r="L206">
        <f t="shared" ca="1" si="150"/>
        <v>0.91772914200913203</v>
      </c>
      <c r="M206" s="171">
        <f t="shared" si="151"/>
        <v>0.8074079999999999</v>
      </c>
      <c r="N206" s="171">
        <f t="shared" si="152"/>
        <v>0.8074079999999999</v>
      </c>
      <c r="O206" s="171">
        <f>INDEX('[4]TS BYDem'!$O$10:$O$203,MATCH(D206,'[4]TS BYDem'!$D$10:$D$203,0))</f>
        <v>0.8074079999999999</v>
      </c>
      <c r="P206">
        <f t="shared" ca="1" si="150"/>
        <v>0.81888769763645652</v>
      </c>
      <c r="Q206">
        <f t="shared" ca="1" si="150"/>
        <v>0.81624393574871279</v>
      </c>
      <c r="R206">
        <f t="shared" ca="1" si="150"/>
        <v>0.80388775661311951</v>
      </c>
      <c r="S206">
        <f t="shared" ca="1" si="150"/>
        <v>0.85872974834609928</v>
      </c>
      <c r="T206">
        <f t="shared" ca="1" si="150"/>
        <v>0.88576433075272476</v>
      </c>
      <c r="U206">
        <f t="shared" ca="1" si="150"/>
        <v>0.90949163641191466</v>
      </c>
      <c r="V206">
        <f t="shared" ca="1" si="150"/>
        <v>0.9333108759048977</v>
      </c>
      <c r="W206">
        <f t="shared" ca="1" si="150"/>
        <v>0.95362492336818772</v>
      </c>
      <c r="X206">
        <f t="shared" ca="1" si="150"/>
        <v>0.97506054279247112</v>
      </c>
      <c r="Y206">
        <f t="shared" ca="1" si="150"/>
        <v>0.99644413401426857</v>
      </c>
      <c r="Z206">
        <f t="shared" ca="1" si="150"/>
        <v>1.0345287782341122</v>
      </c>
      <c r="AA206">
        <f t="shared" ca="1" si="153"/>
        <v>1.0675146586103155</v>
      </c>
      <c r="AB206">
        <f t="shared" ca="1" si="153"/>
        <v>1.0912915471464746</v>
      </c>
      <c r="AC206">
        <f t="shared" ca="1" si="153"/>
        <v>1.118086071426829</v>
      </c>
      <c r="AD206">
        <f t="shared" ca="1" si="153"/>
        <v>1.1418629599629881</v>
      </c>
      <c r="AE206">
        <f t="shared" ca="1" si="153"/>
        <v>1.1709987533552182</v>
      </c>
      <c r="AF206">
        <f t="shared" ca="1" si="153"/>
        <v>1.1991980391026982</v>
      </c>
      <c r="AG206">
        <f t="shared" ca="1" si="153"/>
        <v>1.2542959055355047</v>
      </c>
      <c r="AH206">
        <f t="shared" ca="1" si="153"/>
        <v>1.3106944770304643</v>
      </c>
      <c r="AI206">
        <f t="shared" ca="1" si="153"/>
        <v>1.3290604325080666</v>
      </c>
      <c r="AJ206">
        <f t="shared" ca="1" si="153"/>
        <v>1.3485189802378774</v>
      </c>
      <c r="AK206">
        <f t="shared" ca="1" si="153"/>
        <v>1.3603293822022278</v>
      </c>
      <c r="AL206">
        <f t="shared" ca="1" si="153"/>
        <v>1.3887888089621385</v>
      </c>
      <c r="AM206">
        <f t="shared" ca="1" si="153"/>
        <v>1.4982561469929458</v>
      </c>
      <c r="AN206">
        <f t="shared" ca="1" si="153"/>
        <v>1.5293169838771625</v>
      </c>
      <c r="AO206">
        <f t="shared" ca="1" si="153"/>
        <v>1.6829129089832895</v>
      </c>
      <c r="AP206">
        <f t="shared" ca="1" si="153"/>
        <v>1.8234410838983139</v>
      </c>
    </row>
    <row r="207" spans="1:42">
      <c r="A207" s="48" t="str">
        <f>'[4]TS BYDem'!A137</f>
        <v/>
      </c>
      <c r="B207" t="s">
        <v>288</v>
      </c>
      <c r="C207" t="s">
        <v>137</v>
      </c>
      <c r="D207" s="3" t="str">
        <f>'[4]TS BYDem'!D137</f>
        <v>IFBP</v>
      </c>
      <c r="E207" t="s">
        <v>137</v>
      </c>
      <c r="F207" t="s">
        <v>137</v>
      </c>
      <c r="G207" t="s">
        <v>137</v>
      </c>
      <c r="H207" t="s">
        <v>137</v>
      </c>
      <c r="I207">
        <v>0</v>
      </c>
      <c r="J207">
        <f>INDEX('[4]TS BYDem'!$J$10:$J$203,MATCH(D207,'[4]TS BYDem'!$D$10:$D$203,0))</f>
        <v>3.576342925445553</v>
      </c>
      <c r="K207">
        <f t="shared" ca="1" si="150"/>
        <v>3.707918705030715</v>
      </c>
      <c r="L207">
        <f t="shared" ca="1" si="150"/>
        <v>3.8068764409267706</v>
      </c>
      <c r="M207" s="171">
        <f t="shared" si="151"/>
        <v>3.3492480000000002</v>
      </c>
      <c r="N207" s="171">
        <f t="shared" si="152"/>
        <v>3.3492480000000002</v>
      </c>
      <c r="O207" s="171">
        <f>INDEX('[4]TS BYDem'!$O$10:$O$203,MATCH(D207,'[4]TS BYDem'!$D$10:$D$203,0))</f>
        <v>3.3492480000000002</v>
      </c>
      <c r="P207">
        <f t="shared" ca="1" si="150"/>
        <v>3.3968674864919683</v>
      </c>
      <c r="Q207">
        <f t="shared" ca="1" si="150"/>
        <v>3.3859007705131798</v>
      </c>
      <c r="R207">
        <f t="shared" ca="1" si="150"/>
        <v>3.3346455089136819</v>
      </c>
      <c r="S207">
        <f t="shared" ca="1" si="150"/>
        <v>3.5621382153615979</v>
      </c>
      <c r="T207">
        <f t="shared" ca="1" si="150"/>
        <v>3.6742816683076001</v>
      </c>
      <c r="U207">
        <f t="shared" ca="1" si="150"/>
        <v>3.7727060473383136</v>
      </c>
      <c r="V207">
        <f t="shared" ca="1" si="150"/>
        <v>3.8715117815314284</v>
      </c>
      <c r="W207">
        <f t="shared" ca="1" si="150"/>
        <v>3.9557774598976687</v>
      </c>
      <c r="X207">
        <f t="shared" ca="1" si="150"/>
        <v>4.0446955849169184</v>
      </c>
      <c r="Y207">
        <f t="shared" ca="1" si="150"/>
        <v>4.1333978892443746</v>
      </c>
      <c r="Z207">
        <f t="shared" ca="1" si="150"/>
        <v>4.2913786356378001</v>
      </c>
      <c r="AA207">
        <f t="shared" ca="1" si="153"/>
        <v>4.4282089542353846</v>
      </c>
      <c r="AB207">
        <f t="shared" ca="1" si="153"/>
        <v>4.5268390103853777</v>
      </c>
      <c r="AC207">
        <f t="shared" ca="1" si="153"/>
        <v>4.6379866666594411</v>
      </c>
      <c r="AD207">
        <f t="shared" ca="1" si="153"/>
        <v>4.7366167228094342</v>
      </c>
      <c r="AE207">
        <f t="shared" ca="1" si="153"/>
        <v>4.8574763102142402</v>
      </c>
      <c r="AF207">
        <f t="shared" ca="1" si="153"/>
        <v>4.97445112516675</v>
      </c>
      <c r="AG207">
        <f t="shared" ca="1" si="153"/>
        <v>5.2030052377769103</v>
      </c>
      <c r="AH207">
        <f t="shared" ca="1" si="153"/>
        <v>5.4369548676819281</v>
      </c>
      <c r="AI207">
        <f t="shared" ca="1" si="153"/>
        <v>5.5131395718853158</v>
      </c>
      <c r="AJ207">
        <f t="shared" ca="1" si="153"/>
        <v>5.5938565106163827</v>
      </c>
      <c r="AK207">
        <f t="shared" ca="1" si="153"/>
        <v>5.6428478076536877</v>
      </c>
      <c r="AL207">
        <f t="shared" ca="1" si="153"/>
        <v>5.7609017260651694</v>
      </c>
      <c r="AM207">
        <f t="shared" ca="1" si="153"/>
        <v>6.2149884616003703</v>
      </c>
      <c r="AN207">
        <f t="shared" ca="1" si="153"/>
        <v>6.3438334146015656</v>
      </c>
      <c r="AO207">
        <f t="shared" ca="1" si="153"/>
        <v>6.9809720668936484</v>
      </c>
      <c r="AP207">
        <f t="shared" ca="1" si="153"/>
        <v>7.5639037554300463</v>
      </c>
    </row>
    <row r="208" spans="1:42">
      <c r="A208" s="48" t="str">
        <f>'[4]TS BYDem'!A138</f>
        <v/>
      </c>
      <c r="B208" t="s">
        <v>288</v>
      </c>
      <c r="C208" t="s">
        <v>137</v>
      </c>
      <c r="D208" s="3" t="str">
        <f>'[4]TS BYDem'!D138</f>
        <v>IFBF</v>
      </c>
      <c r="E208" t="s">
        <v>137</v>
      </c>
      <c r="F208" t="s">
        <v>137</v>
      </c>
      <c r="G208" t="s">
        <v>137</v>
      </c>
      <c r="H208" t="s">
        <v>137</v>
      </c>
      <c r="I208">
        <v>0</v>
      </c>
      <c r="J208">
        <f>INDEX('[4]TS BYDem'!$J$10:$J$203,MATCH(D208,'[4]TS BYDem'!$D$10:$D$203,0))</f>
        <v>0.51090613220650749</v>
      </c>
      <c r="K208">
        <f t="shared" ca="1" si="150"/>
        <v>0.52970267214724498</v>
      </c>
      <c r="L208">
        <f t="shared" ca="1" si="150"/>
        <v>0.54383949156096723</v>
      </c>
      <c r="M208" s="171">
        <f t="shared" si="151"/>
        <v>0.47846400000000006</v>
      </c>
      <c r="N208" s="171">
        <f t="shared" si="152"/>
        <v>0.47846400000000006</v>
      </c>
      <c r="O208" s="171">
        <f>INDEX('[4]TS BYDem'!$O$10:$O$203,MATCH(D208,'[4]TS BYDem'!$D$10:$D$203,0))</f>
        <v>0.47846400000000006</v>
      </c>
      <c r="P208">
        <f t="shared" ca="1" si="150"/>
        <v>0.48526678378456689</v>
      </c>
      <c r="Q208">
        <f t="shared" ca="1" si="150"/>
        <v>0.48370011007331137</v>
      </c>
      <c r="R208">
        <f t="shared" ca="1" si="150"/>
        <v>0.47637792984481164</v>
      </c>
      <c r="S208">
        <f t="shared" ca="1" si="150"/>
        <v>0.5088768879087997</v>
      </c>
      <c r="T208">
        <f t="shared" ca="1" si="150"/>
        <v>0.52489738118679996</v>
      </c>
      <c r="U208">
        <f t="shared" ca="1" si="150"/>
        <v>0.53895800676261618</v>
      </c>
      <c r="V208">
        <f t="shared" ca="1" si="150"/>
        <v>0.55307311164734685</v>
      </c>
      <c r="W208">
        <f t="shared" ca="1" si="150"/>
        <v>0.56511106569966685</v>
      </c>
      <c r="X208">
        <f t="shared" ca="1" si="150"/>
        <v>0.57781365498813109</v>
      </c>
      <c r="Y208">
        <f t="shared" ca="1" si="150"/>
        <v>0.5904854127491963</v>
      </c>
      <c r="Z208">
        <f t="shared" ca="1" si="150"/>
        <v>0.61305409080539996</v>
      </c>
      <c r="AA208">
        <f t="shared" ca="1" si="153"/>
        <v>0.63260127917648346</v>
      </c>
      <c r="AB208">
        <f t="shared" ca="1" si="153"/>
        <v>0.64669128719791102</v>
      </c>
      <c r="AC208">
        <f t="shared" ca="1" si="153"/>
        <v>0.66256952380849155</v>
      </c>
      <c r="AD208">
        <f t="shared" ca="1" si="153"/>
        <v>0.67665953182991911</v>
      </c>
      <c r="AE208">
        <f t="shared" ca="1" si="153"/>
        <v>0.69392518717346285</v>
      </c>
      <c r="AF208">
        <f t="shared" ca="1" si="153"/>
        <v>0.71063587502382142</v>
      </c>
      <c r="AG208">
        <f t="shared" ca="1" si="153"/>
        <v>0.74328646253955866</v>
      </c>
      <c r="AH208">
        <f t="shared" ca="1" si="153"/>
        <v>0.77670783824027545</v>
      </c>
      <c r="AI208">
        <f t="shared" ca="1" si="153"/>
        <v>0.78759136741218794</v>
      </c>
      <c r="AJ208">
        <f t="shared" ca="1" si="153"/>
        <v>0.79912235865948322</v>
      </c>
      <c r="AK208">
        <f t="shared" ca="1" si="153"/>
        <v>0.80612111537909825</v>
      </c>
      <c r="AL208">
        <f t="shared" ca="1" si="153"/>
        <v>0.8229859608664527</v>
      </c>
      <c r="AM208">
        <f t="shared" ca="1" si="153"/>
        <v>0.88785549451433854</v>
      </c>
      <c r="AN208">
        <f t="shared" ca="1" si="153"/>
        <v>0.9062619163716521</v>
      </c>
      <c r="AO208">
        <f t="shared" ca="1" si="153"/>
        <v>0.99728172384194957</v>
      </c>
      <c r="AP208">
        <f t="shared" ca="1" si="153"/>
        <v>1.0805576793471492</v>
      </c>
    </row>
    <row r="209" spans="1:42">
      <c r="A209" s="48" t="str">
        <f>'[4]TS BYDem'!A139</f>
        <v/>
      </c>
      <c r="B209" t="s">
        <v>288</v>
      </c>
      <c r="C209" t="s">
        <v>137</v>
      </c>
      <c r="D209" s="3" t="str">
        <f>'[4]TS BYDem'!D139</f>
        <v>IFBO</v>
      </c>
      <c r="E209" t="s">
        <v>137</v>
      </c>
      <c r="F209" t="s">
        <v>137</v>
      </c>
      <c r="G209" t="s">
        <v>137</v>
      </c>
      <c r="H209" t="s">
        <v>137</v>
      </c>
      <c r="I209">
        <v>0</v>
      </c>
      <c r="J209">
        <f>INDEX('[4]TS BYDem'!$J$10:$J$203,MATCH(D209,'[4]TS BYDem'!$D$10:$D$203,0))</f>
        <v>2.6822571940841642</v>
      </c>
      <c r="K209">
        <f t="shared" ca="1" si="150"/>
        <v>2.7809390287730356</v>
      </c>
      <c r="L209">
        <f t="shared" ca="1" si="150"/>
        <v>2.8551573306950773</v>
      </c>
      <c r="M209" s="171">
        <f t="shared" si="151"/>
        <v>2.5119360000000004</v>
      </c>
      <c r="N209" s="171">
        <f t="shared" si="152"/>
        <v>2.5119360000000004</v>
      </c>
      <c r="O209" s="171">
        <f>INDEX('[4]TS BYDem'!$O$10:$O$203,MATCH(D209,'[4]TS BYDem'!$D$10:$D$203,0))</f>
        <v>2.5119360000000004</v>
      </c>
      <c r="P209">
        <f t="shared" ca="1" si="150"/>
        <v>2.5476506148689766</v>
      </c>
      <c r="Q209">
        <f t="shared" ca="1" si="150"/>
        <v>2.5394255778848853</v>
      </c>
      <c r="R209">
        <f t="shared" ca="1" si="150"/>
        <v>2.5009841316852617</v>
      </c>
      <c r="S209">
        <f t="shared" ca="1" si="150"/>
        <v>2.6716036615211989</v>
      </c>
      <c r="T209">
        <f t="shared" ca="1" si="150"/>
        <v>2.7557112512307005</v>
      </c>
      <c r="U209">
        <f t="shared" ca="1" si="150"/>
        <v>2.829529535503736</v>
      </c>
      <c r="V209">
        <f t="shared" ca="1" si="150"/>
        <v>2.9036338361485723</v>
      </c>
      <c r="W209">
        <f t="shared" ca="1" si="150"/>
        <v>2.9668330949232522</v>
      </c>
      <c r="X209">
        <f t="shared" ca="1" si="150"/>
        <v>3.0335216886876895</v>
      </c>
      <c r="Y209">
        <f t="shared" ca="1" si="150"/>
        <v>3.1000484169332818</v>
      </c>
      <c r="Z209">
        <f t="shared" ca="1" si="150"/>
        <v>3.218533976728351</v>
      </c>
      <c r="AA209">
        <f t="shared" ca="1" si="153"/>
        <v>3.3211567156765396</v>
      </c>
      <c r="AB209">
        <f t="shared" ca="1" si="153"/>
        <v>3.3951292577890344</v>
      </c>
      <c r="AC209">
        <f t="shared" ca="1" si="153"/>
        <v>3.478489999994582</v>
      </c>
      <c r="AD209">
        <f t="shared" ca="1" si="153"/>
        <v>3.5524625421070768</v>
      </c>
      <c r="AE209">
        <f t="shared" ca="1" si="153"/>
        <v>3.643107232660681</v>
      </c>
      <c r="AF209">
        <f t="shared" ca="1" si="153"/>
        <v>3.7308383438750634</v>
      </c>
      <c r="AG209">
        <f t="shared" ca="1" si="153"/>
        <v>3.9022539283326836</v>
      </c>
      <c r="AH209">
        <f t="shared" ca="1" si="153"/>
        <v>4.0777161507614466</v>
      </c>
      <c r="AI209">
        <f t="shared" ca="1" si="153"/>
        <v>4.1348546789139871</v>
      </c>
      <c r="AJ209">
        <f t="shared" ca="1" si="153"/>
        <v>4.1953923829622868</v>
      </c>
      <c r="AK209">
        <f t="shared" ca="1" si="153"/>
        <v>4.2321358557402657</v>
      </c>
      <c r="AL209">
        <f t="shared" ca="1" si="153"/>
        <v>4.3206762945488766</v>
      </c>
      <c r="AM209">
        <f t="shared" ca="1" si="153"/>
        <v>4.6612413462002769</v>
      </c>
      <c r="AN209">
        <f t="shared" ca="1" si="153"/>
        <v>4.7578750609511733</v>
      </c>
      <c r="AO209">
        <f t="shared" ca="1" si="153"/>
        <v>5.2357290501702352</v>
      </c>
      <c r="AP209">
        <f t="shared" ca="1" si="153"/>
        <v>5.6729278165725336</v>
      </c>
    </row>
    <row r="210" spans="1:42">
      <c r="A210" s="48" t="str">
        <f>'[4]TS BYDem'!A140</f>
        <v/>
      </c>
      <c r="B210" t="s">
        <v>288</v>
      </c>
      <c r="C210" t="s">
        <v>137</v>
      </c>
      <c r="D210" s="3" t="str">
        <f>'[4]TS BYDem'!D140</f>
        <v>IFBE</v>
      </c>
      <c r="E210" t="s">
        <v>137</v>
      </c>
      <c r="F210" t="s">
        <v>137</v>
      </c>
      <c r="G210" t="s">
        <v>137</v>
      </c>
      <c r="H210" t="s">
        <v>137</v>
      </c>
      <c r="I210">
        <v>0</v>
      </c>
      <c r="J210">
        <f>INDEX('[4]TS BYDem'!$J$10:$J$203,MATCH(D210,'[4]TS BYDem'!$D$10:$D$203,0))</f>
        <v>0</v>
      </c>
      <c r="K210">
        <f t="shared" ca="1" si="150"/>
        <v>0</v>
      </c>
      <c r="L210">
        <f t="shared" ca="1" si="150"/>
        <v>0</v>
      </c>
      <c r="M210" s="171">
        <f t="shared" si="151"/>
        <v>0</v>
      </c>
      <c r="N210" s="171">
        <f t="shared" si="152"/>
        <v>0</v>
      </c>
      <c r="O210" s="171">
        <f>INDEX('[4]TS BYDem'!$O$10:$O$203,MATCH(D210,'[4]TS BYDem'!$D$10:$D$203,0))</f>
        <v>0</v>
      </c>
      <c r="P210">
        <f t="shared" ca="1" si="150"/>
        <v>0</v>
      </c>
      <c r="Q210">
        <f t="shared" ca="1" si="150"/>
        <v>0</v>
      </c>
      <c r="R210">
        <f t="shared" ca="1" si="150"/>
        <v>0</v>
      </c>
      <c r="S210">
        <f t="shared" ca="1" si="150"/>
        <v>0</v>
      </c>
      <c r="T210">
        <f t="shared" ca="1" si="150"/>
        <v>0</v>
      </c>
      <c r="U210">
        <f t="shared" ca="1" si="150"/>
        <v>0</v>
      </c>
      <c r="V210">
        <f t="shared" ca="1" si="150"/>
        <v>0</v>
      </c>
      <c r="W210">
        <f t="shared" ca="1" si="150"/>
        <v>0</v>
      </c>
      <c r="X210">
        <f t="shared" ca="1" si="150"/>
        <v>0</v>
      </c>
      <c r="Y210">
        <f t="shared" ca="1" si="150"/>
        <v>0</v>
      </c>
      <c r="Z210">
        <f t="shared" ca="1" si="150"/>
        <v>0</v>
      </c>
      <c r="AA210">
        <f t="shared" ca="1" si="153"/>
        <v>0</v>
      </c>
      <c r="AB210">
        <f t="shared" ca="1" si="153"/>
        <v>0</v>
      </c>
      <c r="AC210">
        <f t="shared" ca="1" si="153"/>
        <v>0</v>
      </c>
      <c r="AD210">
        <f t="shared" ca="1" si="153"/>
        <v>0</v>
      </c>
      <c r="AE210">
        <f t="shared" ca="1" si="153"/>
        <v>0</v>
      </c>
      <c r="AF210">
        <f t="shared" ca="1" si="153"/>
        <v>0</v>
      </c>
      <c r="AG210">
        <f t="shared" ca="1" si="153"/>
        <v>0</v>
      </c>
      <c r="AH210">
        <f t="shared" ca="1" si="153"/>
        <v>0</v>
      </c>
      <c r="AI210">
        <f t="shared" ca="1" si="153"/>
        <v>0</v>
      </c>
      <c r="AJ210">
        <f t="shared" ca="1" si="153"/>
        <v>0</v>
      </c>
      <c r="AK210">
        <f t="shared" ca="1" si="153"/>
        <v>0</v>
      </c>
      <c r="AL210">
        <f t="shared" ca="1" si="153"/>
        <v>0</v>
      </c>
      <c r="AM210">
        <f t="shared" ca="1" si="153"/>
        <v>0</v>
      </c>
      <c r="AN210">
        <f t="shared" ca="1" si="153"/>
        <v>0</v>
      </c>
      <c r="AO210">
        <f t="shared" ca="1" si="153"/>
        <v>0</v>
      </c>
      <c r="AP210">
        <f t="shared" ca="1" si="153"/>
        <v>0</v>
      </c>
    </row>
    <row r="211" spans="1:42">
      <c r="A211" s="48" t="str">
        <f>'[4]TS BYDem'!A141</f>
        <v>*</v>
      </c>
      <c r="B211" t="s">
        <v>288</v>
      </c>
      <c r="C211" t="s">
        <v>137</v>
      </c>
      <c r="D211" s="3" t="str">
        <f>'[4]TS BYDem'!D141</f>
        <v xml:space="preserve"> </v>
      </c>
      <c r="E211" t="s">
        <v>137</v>
      </c>
      <c r="F211" t="s">
        <v>137</v>
      </c>
      <c r="G211" t="s">
        <v>137</v>
      </c>
      <c r="H211" t="s">
        <v>137</v>
      </c>
      <c r="I211">
        <v>0</v>
      </c>
      <c r="J211" t="str">
        <f>INDEX('[4]TS BYDem'!$J$10:$J$203,MATCH(D211,'[4]TS BYDem'!$D$10:$D$203,0))</f>
        <v/>
      </c>
      <c r="K211" t="e">
        <f t="shared" ca="1" si="150"/>
        <v>#VALUE!</v>
      </c>
      <c r="L211" t="e">
        <f t="shared" ca="1" si="150"/>
        <v>#VALUE!</v>
      </c>
      <c r="M211" t="e">
        <f t="shared" ca="1" si="150"/>
        <v>#VALUE!</v>
      </c>
      <c r="N211" t="e">
        <f t="shared" ca="1" si="150"/>
        <v>#VALUE!</v>
      </c>
      <c r="O211" t="e">
        <f t="shared" ca="1" si="150"/>
        <v>#VALUE!</v>
      </c>
      <c r="P211" t="e">
        <f t="shared" ca="1" si="150"/>
        <v>#VALUE!</v>
      </c>
      <c r="Q211" t="e">
        <f t="shared" ca="1" si="150"/>
        <v>#VALUE!</v>
      </c>
      <c r="R211" t="e">
        <f t="shared" ca="1" si="150"/>
        <v>#VALUE!</v>
      </c>
      <c r="S211" t="e">
        <f t="shared" ca="1" si="150"/>
        <v>#VALUE!</v>
      </c>
      <c r="T211" t="e">
        <f t="shared" ca="1" si="150"/>
        <v>#VALUE!</v>
      </c>
      <c r="U211" t="e">
        <f t="shared" ca="1" si="150"/>
        <v>#VALUE!</v>
      </c>
      <c r="V211" t="e">
        <f t="shared" ca="1" si="150"/>
        <v>#VALUE!</v>
      </c>
      <c r="W211" t="e">
        <f t="shared" ca="1" si="150"/>
        <v>#VALUE!</v>
      </c>
      <c r="X211" t="e">
        <f t="shared" ca="1" si="150"/>
        <v>#VALUE!</v>
      </c>
      <c r="Y211" t="e">
        <f t="shared" ca="1" si="150"/>
        <v>#VALUE!</v>
      </c>
      <c r="Z211" t="e">
        <f t="shared" ca="1" si="150"/>
        <v>#VALUE!</v>
      </c>
      <c r="AA211" t="e">
        <f t="shared" ca="1" si="153"/>
        <v>#VALUE!</v>
      </c>
      <c r="AB211" t="e">
        <f t="shared" ca="1" si="153"/>
        <v>#VALUE!</v>
      </c>
      <c r="AC211" t="e">
        <f t="shared" ca="1" si="153"/>
        <v>#VALUE!</v>
      </c>
      <c r="AD211" t="e">
        <f t="shared" ca="1" si="153"/>
        <v>#VALUE!</v>
      </c>
      <c r="AE211" t="e">
        <f t="shared" ca="1" si="153"/>
        <v>#VALUE!</v>
      </c>
      <c r="AF211" t="e">
        <f t="shared" ca="1" si="153"/>
        <v>#VALUE!</v>
      </c>
      <c r="AG211" t="e">
        <f t="shared" ca="1" si="153"/>
        <v>#VALUE!</v>
      </c>
      <c r="AH211" t="e">
        <f t="shared" ca="1" si="153"/>
        <v>#VALUE!</v>
      </c>
      <c r="AI211" t="e">
        <f t="shared" ca="1" si="153"/>
        <v>#VALUE!</v>
      </c>
      <c r="AJ211" t="e">
        <f t="shared" ca="1" si="153"/>
        <v>#VALUE!</v>
      </c>
      <c r="AK211" t="e">
        <f t="shared" ca="1" si="153"/>
        <v>#VALUE!</v>
      </c>
      <c r="AL211" t="e">
        <f t="shared" ca="1" si="153"/>
        <v>#VALUE!</v>
      </c>
      <c r="AM211" t="e">
        <f t="shared" ca="1" si="153"/>
        <v>#VALUE!</v>
      </c>
      <c r="AN211" t="e">
        <f t="shared" ca="1" si="153"/>
        <v>#VALUE!</v>
      </c>
      <c r="AO211" t="e">
        <f t="shared" ca="1" si="153"/>
        <v>#VALUE!</v>
      </c>
      <c r="AP211" t="e">
        <f t="shared" ca="1" si="153"/>
        <v>#VALUE!</v>
      </c>
    </row>
    <row r="212" spans="1:42">
      <c r="A212" s="48" t="str">
        <f>'[4]TS BYDem'!A142</f>
        <v/>
      </c>
      <c r="B212" t="s">
        <v>288</v>
      </c>
      <c r="C212" t="s">
        <v>137</v>
      </c>
      <c r="D212" s="3" t="str">
        <f>'[4]TS BYDem'!D142</f>
        <v>IFBS</v>
      </c>
      <c r="E212" t="s">
        <v>137</v>
      </c>
      <c r="F212" t="s">
        <v>137</v>
      </c>
      <c r="G212" t="s">
        <v>137</v>
      </c>
      <c r="H212" t="s">
        <v>137</v>
      </c>
      <c r="I212">
        <v>0</v>
      </c>
      <c r="J212">
        <f>INDEX('[4]TS BYDem'!$J$10:$J$203,MATCH(D212,'[4]TS BYDem'!$D$10:$D$203,0))</f>
        <v>20.421862032418336</v>
      </c>
      <c r="K212">
        <f t="shared" ca="1" si="150"/>
        <v>21.173194461525735</v>
      </c>
      <c r="L212">
        <f t="shared" ca="1" si="150"/>
        <v>21.738269252069756</v>
      </c>
      <c r="M212" s="171">
        <f t="shared" ref="M212" si="154">O212</f>
        <v>40.544747177343751</v>
      </c>
      <c r="N212" s="171">
        <f t="shared" ref="N212" si="155">O212</f>
        <v>40.544747177343751</v>
      </c>
      <c r="O212" s="171">
        <f>INDEX('[4]TS BYDem'!$O$10:$O$203,MATCH(D212,'[4]TS BYDem'!$D$10:$D$203,0))</f>
        <v>40.544747177343751</v>
      </c>
      <c r="P212">
        <f t="shared" ca="1" si="150"/>
        <v>41.121210921005549</v>
      </c>
      <c r="Q212">
        <f t="shared" ca="1" si="150"/>
        <v>40.988451947431265</v>
      </c>
      <c r="R212">
        <f t="shared" ca="1" si="150"/>
        <v>40.367974866289394</v>
      </c>
      <c r="S212">
        <f t="shared" ca="1" si="150"/>
        <v>43.121916726557856</v>
      </c>
      <c r="T212">
        <f t="shared" ca="1" si="150"/>
        <v>44.479483543732933</v>
      </c>
      <c r="U212">
        <f t="shared" ca="1" si="150"/>
        <v>45.670972368653437</v>
      </c>
      <c r="V212">
        <f t="shared" ca="1" si="150"/>
        <v>46.867077736942576</v>
      </c>
      <c r="W212">
        <f t="shared" ca="1" si="150"/>
        <v>47.887166612142792</v>
      </c>
      <c r="X212">
        <f t="shared" ca="1" si="150"/>
        <v>48.963576271382401</v>
      </c>
      <c r="Y212">
        <f t="shared" ca="1" si="150"/>
        <v>50.037373285818035</v>
      </c>
      <c r="Z212">
        <f t="shared" ca="1" si="150"/>
        <v>51.94982928233113</v>
      </c>
      <c r="AA212">
        <f t="shared" ca="1" si="153"/>
        <v>53.606246088054228</v>
      </c>
      <c r="AB212">
        <f t="shared" ca="1" si="153"/>
        <v>54.800224763472919</v>
      </c>
      <c r="AC212">
        <f t="shared" ca="1" si="153"/>
        <v>56.145736837522435</v>
      </c>
      <c r="AD212">
        <f t="shared" ca="1" si="153"/>
        <v>57.339715512941119</v>
      </c>
      <c r="AE212">
        <f t="shared" ca="1" si="153"/>
        <v>58.80279660316971</v>
      </c>
      <c r="AF212">
        <f t="shared" ca="1" si="153"/>
        <v>60.218850086926686</v>
      </c>
      <c r="AG212">
        <f t="shared" ca="1" si="153"/>
        <v>62.98564093434112</v>
      </c>
      <c r="AH212">
        <f t="shared" ca="1" si="153"/>
        <v>65.817747901855043</v>
      </c>
      <c r="AI212">
        <f t="shared" ca="1" si="153"/>
        <v>66.740011517659866</v>
      </c>
      <c r="AJ212">
        <f t="shared" ca="1" si="153"/>
        <v>67.717140674348244</v>
      </c>
      <c r="AK212">
        <f t="shared" ca="1" si="153"/>
        <v>68.310211044851613</v>
      </c>
      <c r="AL212">
        <f t="shared" ca="1" si="153"/>
        <v>69.739327752628483</v>
      </c>
      <c r="AM212">
        <f t="shared" ca="1" si="153"/>
        <v>75.236332420201634</v>
      </c>
      <c r="AN212">
        <f t="shared" ca="1" si="153"/>
        <v>76.796081368177468</v>
      </c>
      <c r="AO212">
        <f t="shared" ca="1" si="153"/>
        <v>84.509044270326257</v>
      </c>
      <c r="AP212">
        <f t="shared" ca="1" si="153"/>
        <v>91.565797885875284</v>
      </c>
    </row>
    <row r="213" spans="1:42">
      <c r="A213" s="48" t="str">
        <f>'[4]TS BYDem'!A143</f>
        <v>*</v>
      </c>
      <c r="B213" t="s">
        <v>288</v>
      </c>
      <c r="C213" t="s">
        <v>137</v>
      </c>
      <c r="D213" s="3" t="str">
        <f>'[4]TS BYDem'!D143</f>
        <v>IFBS</v>
      </c>
      <c r="E213" t="s">
        <v>137</v>
      </c>
      <c r="F213" t="s">
        <v>137</v>
      </c>
      <c r="G213" t="s">
        <v>137</v>
      </c>
      <c r="H213" t="s">
        <v>137</v>
      </c>
      <c r="I213">
        <v>0</v>
      </c>
      <c r="J213">
        <f>INDEX('[4]TS BYDem'!$J$10:$J$203,MATCH(D213,'[4]TS BYDem'!$D$10:$D$203,0))</f>
        <v>20.421862032418336</v>
      </c>
      <c r="K213">
        <f t="shared" ca="1" si="150"/>
        <v>21.173194461525735</v>
      </c>
      <c r="L213">
        <f t="shared" ca="1" si="150"/>
        <v>21.738269252069756</v>
      </c>
      <c r="M213">
        <f t="shared" ca="1" si="150"/>
        <v>22.004135186130068</v>
      </c>
      <c r="N213">
        <f t="shared" ca="1" si="150"/>
        <v>22.459748672139355</v>
      </c>
      <c r="O213">
        <f t="shared" ca="1" si="150"/>
        <v>22.71069803564183</v>
      </c>
      <c r="P213">
        <f t="shared" ca="1" si="150"/>
        <v>23.033597915952697</v>
      </c>
      <c r="Q213">
        <f t="shared" ca="1" si="150"/>
        <v>22.959234424495236</v>
      </c>
      <c r="R213">
        <f t="shared" ca="1" si="150"/>
        <v>22.611680953111801</v>
      </c>
      <c r="S213">
        <f t="shared" ca="1" si="150"/>
        <v>24.154271457442782</v>
      </c>
      <c r="T213">
        <f t="shared" ca="1" si="150"/>
        <v>24.914697707314652</v>
      </c>
      <c r="U213">
        <f t="shared" ca="1" si="150"/>
        <v>25.582097180722442</v>
      </c>
      <c r="V213">
        <f t="shared" ca="1" si="150"/>
        <v>26.252082560559863</v>
      </c>
      <c r="W213">
        <f t="shared" ca="1" si="150"/>
        <v>26.823474221059232</v>
      </c>
      <c r="X213">
        <f t="shared" ca="1" si="150"/>
        <v>27.426413354622238</v>
      </c>
      <c r="Y213">
        <f t="shared" ca="1" si="150"/>
        <v>28.027889043686308</v>
      </c>
      <c r="Z213">
        <f t="shared" ca="1" si="150"/>
        <v>29.099130416909908</v>
      </c>
      <c r="AA213">
        <f t="shared" ca="1" si="153"/>
        <v>30.026954229237454</v>
      </c>
      <c r="AB213">
        <f t="shared" ca="1" si="153"/>
        <v>30.695748365252729</v>
      </c>
      <c r="AC213">
        <f t="shared" ca="1" si="153"/>
        <v>31.449422282206495</v>
      </c>
      <c r="AD213">
        <f t="shared" ca="1" si="153"/>
        <v>32.11821641822177</v>
      </c>
      <c r="AE213">
        <f t="shared" ca="1" si="153"/>
        <v>32.937745337627803</v>
      </c>
      <c r="AF213">
        <f t="shared" ca="1" si="153"/>
        <v>33.730932256052931</v>
      </c>
      <c r="AG213">
        <f t="shared" ca="1" si="153"/>
        <v>35.280719980429694</v>
      </c>
      <c r="AH213">
        <f t="shared" ca="1" si="153"/>
        <v>36.867093817279944</v>
      </c>
      <c r="AI213">
        <f t="shared" ca="1" si="153"/>
        <v>37.383689725405539</v>
      </c>
      <c r="AJ213">
        <f t="shared" ca="1" si="153"/>
        <v>37.931017968008852</v>
      </c>
      <c r="AK213">
        <f t="shared" ca="1" si="153"/>
        <v>38.263219869268077</v>
      </c>
      <c r="AL213">
        <f t="shared" ca="1" si="153"/>
        <v>39.063724010187904</v>
      </c>
      <c r="AM213">
        <f t="shared" ca="1" si="153"/>
        <v>42.14281123595628</v>
      </c>
      <c r="AN213">
        <f t="shared" ca="1" si="153"/>
        <v>43.016487601823066</v>
      </c>
      <c r="AO213">
        <f t="shared" ca="1" si="153"/>
        <v>47.336819670108625</v>
      </c>
      <c r="AP213">
        <f t="shared" ca="1" si="153"/>
        <v>51.2895832617438</v>
      </c>
    </row>
    <row r="214" spans="1:42">
      <c r="A214" s="48" t="str">
        <f>'[4]TS BYDem'!A144</f>
        <v>*</v>
      </c>
      <c r="B214" t="s">
        <v>288</v>
      </c>
      <c r="C214" t="s">
        <v>137</v>
      </c>
      <c r="D214" s="3" t="str">
        <f>'[4]TS BYDem'!D144</f>
        <v>IFBS</v>
      </c>
      <c r="E214" t="s">
        <v>137</v>
      </c>
      <c r="F214" t="s">
        <v>137</v>
      </c>
      <c r="G214" t="s">
        <v>137</v>
      </c>
      <c r="H214" t="s">
        <v>137</v>
      </c>
      <c r="I214">
        <v>0</v>
      </c>
      <c r="J214">
        <f>INDEX('[4]TS BYDem'!$J$10:$J$203,MATCH(D214,'[4]TS BYDem'!$D$10:$D$203,0))</f>
        <v>20.421862032418336</v>
      </c>
      <c r="K214">
        <f t="shared" ca="1" si="150"/>
        <v>21.173194461525735</v>
      </c>
      <c r="L214">
        <f t="shared" ca="1" si="150"/>
        <v>21.738269252069756</v>
      </c>
      <c r="M214">
        <f t="shared" ca="1" si="150"/>
        <v>22.004135186130068</v>
      </c>
      <c r="N214">
        <f t="shared" ca="1" si="150"/>
        <v>22.459748672139355</v>
      </c>
      <c r="O214">
        <f t="shared" ca="1" si="150"/>
        <v>22.71069803564183</v>
      </c>
      <c r="P214">
        <f t="shared" ca="1" si="150"/>
        <v>23.033597915952697</v>
      </c>
      <c r="Q214">
        <f t="shared" ca="1" si="150"/>
        <v>22.959234424495236</v>
      </c>
      <c r="R214">
        <f t="shared" ca="1" si="150"/>
        <v>22.611680953111801</v>
      </c>
      <c r="S214">
        <f t="shared" ca="1" si="150"/>
        <v>24.154271457442782</v>
      </c>
      <c r="T214">
        <f t="shared" ca="1" si="150"/>
        <v>24.914697707314652</v>
      </c>
      <c r="U214">
        <f t="shared" ca="1" si="150"/>
        <v>25.582097180722442</v>
      </c>
      <c r="V214">
        <f t="shared" ca="1" si="150"/>
        <v>26.252082560559863</v>
      </c>
      <c r="W214">
        <f t="shared" ca="1" si="150"/>
        <v>26.823474221059232</v>
      </c>
      <c r="X214">
        <f t="shared" ca="1" si="150"/>
        <v>27.426413354622238</v>
      </c>
      <c r="Y214">
        <f t="shared" ca="1" si="150"/>
        <v>28.027889043686308</v>
      </c>
      <c r="Z214">
        <f t="shared" ca="1" si="150"/>
        <v>29.099130416909908</v>
      </c>
      <c r="AA214">
        <f t="shared" ca="1" si="153"/>
        <v>30.026954229237454</v>
      </c>
      <c r="AB214">
        <f t="shared" ca="1" si="153"/>
        <v>30.695748365252729</v>
      </c>
      <c r="AC214">
        <f t="shared" ca="1" si="153"/>
        <v>31.449422282206495</v>
      </c>
      <c r="AD214">
        <f t="shared" ca="1" si="153"/>
        <v>32.11821641822177</v>
      </c>
      <c r="AE214">
        <f t="shared" ca="1" si="153"/>
        <v>32.937745337627803</v>
      </c>
      <c r="AF214">
        <f t="shared" ca="1" si="153"/>
        <v>33.730932256052931</v>
      </c>
      <c r="AG214">
        <f t="shared" ca="1" si="153"/>
        <v>35.280719980429694</v>
      </c>
      <c r="AH214">
        <f t="shared" ca="1" si="153"/>
        <v>36.867093817279944</v>
      </c>
      <c r="AI214">
        <f t="shared" ca="1" si="153"/>
        <v>37.383689725405539</v>
      </c>
      <c r="AJ214">
        <f t="shared" ca="1" si="153"/>
        <v>37.931017968008852</v>
      </c>
      <c r="AK214">
        <f t="shared" ca="1" si="153"/>
        <v>38.263219869268077</v>
      </c>
      <c r="AL214">
        <f t="shared" ca="1" si="153"/>
        <v>39.063724010187904</v>
      </c>
      <c r="AM214">
        <f t="shared" ca="1" si="153"/>
        <v>42.14281123595628</v>
      </c>
      <c r="AN214">
        <f t="shared" ca="1" si="153"/>
        <v>43.016487601823066</v>
      </c>
      <c r="AO214">
        <f t="shared" ca="1" si="153"/>
        <v>47.336819670108625</v>
      </c>
      <c r="AP214">
        <f t="shared" ca="1" si="153"/>
        <v>51.2895832617438</v>
      </c>
    </row>
    <row r="215" spans="1:42">
      <c r="A215" s="48" t="str">
        <f>'[4]TS BYDem'!A145</f>
        <v>*</v>
      </c>
      <c r="B215" t="s">
        <v>288</v>
      </c>
      <c r="C215" t="s">
        <v>137</v>
      </c>
      <c r="D215" s="3" t="str">
        <f>'[4]TS BYDem'!D145</f>
        <v>IFBS</v>
      </c>
      <c r="E215" t="s">
        <v>137</v>
      </c>
      <c r="F215" t="s">
        <v>137</v>
      </c>
      <c r="G215" t="s">
        <v>137</v>
      </c>
      <c r="H215" t="s">
        <v>137</v>
      </c>
      <c r="I215">
        <v>0</v>
      </c>
      <c r="J215">
        <f>INDEX('[4]TS BYDem'!$J$10:$J$203,MATCH(D215,'[4]TS BYDem'!$D$10:$D$203,0))</f>
        <v>20.421862032418336</v>
      </c>
      <c r="K215">
        <f t="shared" ca="1" si="150"/>
        <v>21.173194461525735</v>
      </c>
      <c r="L215">
        <f t="shared" ca="1" si="150"/>
        <v>21.738269252069756</v>
      </c>
      <c r="M215">
        <f t="shared" ca="1" si="150"/>
        <v>22.004135186130068</v>
      </c>
      <c r="N215">
        <f t="shared" ca="1" si="150"/>
        <v>22.459748672139355</v>
      </c>
      <c r="O215">
        <f t="shared" ca="1" si="150"/>
        <v>22.71069803564183</v>
      </c>
      <c r="P215">
        <f t="shared" ca="1" si="150"/>
        <v>23.033597915952697</v>
      </c>
      <c r="Q215">
        <f t="shared" ca="1" si="150"/>
        <v>22.959234424495236</v>
      </c>
      <c r="R215">
        <f t="shared" ca="1" si="150"/>
        <v>22.611680953111801</v>
      </c>
      <c r="S215">
        <f t="shared" ca="1" si="150"/>
        <v>24.154271457442782</v>
      </c>
      <c r="T215">
        <f t="shared" ca="1" si="150"/>
        <v>24.914697707314652</v>
      </c>
      <c r="U215">
        <f t="shared" ca="1" si="150"/>
        <v>25.582097180722442</v>
      </c>
      <c r="V215">
        <f t="shared" ca="1" si="150"/>
        <v>26.252082560559863</v>
      </c>
      <c r="W215">
        <f t="shared" ca="1" si="150"/>
        <v>26.823474221059232</v>
      </c>
      <c r="X215">
        <f t="shared" ca="1" si="150"/>
        <v>27.426413354622238</v>
      </c>
      <c r="Y215">
        <f t="shared" ca="1" si="150"/>
        <v>28.027889043686308</v>
      </c>
      <c r="Z215">
        <f t="shared" ca="1" si="150"/>
        <v>29.099130416909908</v>
      </c>
      <c r="AA215">
        <f t="shared" ca="1" si="153"/>
        <v>30.026954229237454</v>
      </c>
      <c r="AB215">
        <f t="shared" ca="1" si="153"/>
        <v>30.695748365252729</v>
      </c>
      <c r="AC215">
        <f t="shared" ca="1" si="153"/>
        <v>31.449422282206495</v>
      </c>
      <c r="AD215">
        <f t="shared" ca="1" si="153"/>
        <v>32.11821641822177</v>
      </c>
      <c r="AE215">
        <f t="shared" ca="1" si="153"/>
        <v>32.937745337627803</v>
      </c>
      <c r="AF215">
        <f t="shared" ca="1" si="153"/>
        <v>33.730932256052931</v>
      </c>
      <c r="AG215">
        <f t="shared" ca="1" si="153"/>
        <v>35.280719980429694</v>
      </c>
      <c r="AH215">
        <f t="shared" ca="1" si="153"/>
        <v>36.867093817279944</v>
      </c>
      <c r="AI215">
        <f t="shared" ca="1" si="153"/>
        <v>37.383689725405539</v>
      </c>
      <c r="AJ215">
        <f t="shared" ca="1" si="153"/>
        <v>37.931017968008852</v>
      </c>
      <c r="AK215">
        <f t="shared" ca="1" si="153"/>
        <v>38.263219869268077</v>
      </c>
      <c r="AL215">
        <f t="shared" ca="1" si="153"/>
        <v>39.063724010187904</v>
      </c>
      <c r="AM215">
        <f t="shared" ca="1" si="153"/>
        <v>42.14281123595628</v>
      </c>
      <c r="AN215">
        <f t="shared" ca="1" si="153"/>
        <v>43.016487601823066</v>
      </c>
      <c r="AO215">
        <f t="shared" ca="1" si="153"/>
        <v>47.336819670108625</v>
      </c>
      <c r="AP215">
        <f t="shared" ca="1" si="153"/>
        <v>51.2895832617438</v>
      </c>
    </row>
    <row r="216" spans="1:42">
      <c r="A216" s="48" t="str">
        <f>'[4]TS BYDem'!A146</f>
        <v>*</v>
      </c>
      <c r="B216" t="s">
        <v>288</v>
      </c>
      <c r="C216" t="s">
        <v>137</v>
      </c>
      <c r="D216" s="3" t="str">
        <f>'[4]TS BYDem'!D146</f>
        <v>IFBS</v>
      </c>
      <c r="E216" t="s">
        <v>137</v>
      </c>
      <c r="F216" t="s">
        <v>137</v>
      </c>
      <c r="G216" t="s">
        <v>137</v>
      </c>
      <c r="H216" t="s">
        <v>137</v>
      </c>
      <c r="I216">
        <v>0</v>
      </c>
      <c r="J216">
        <f>INDEX('[4]TS BYDem'!$J$10:$J$203,MATCH(D216,'[4]TS BYDem'!$D$10:$D$203,0))</f>
        <v>20.421862032418336</v>
      </c>
      <c r="K216">
        <f t="shared" ca="1" si="150"/>
        <v>21.173194461525735</v>
      </c>
      <c r="L216">
        <f t="shared" ca="1" si="150"/>
        <v>21.738269252069756</v>
      </c>
      <c r="M216">
        <f t="shared" ca="1" si="150"/>
        <v>22.004135186130068</v>
      </c>
      <c r="N216">
        <f t="shared" ca="1" si="150"/>
        <v>22.459748672139355</v>
      </c>
      <c r="O216">
        <f t="shared" ca="1" si="150"/>
        <v>22.71069803564183</v>
      </c>
      <c r="P216">
        <f t="shared" ca="1" si="150"/>
        <v>23.033597915952697</v>
      </c>
      <c r="Q216">
        <f t="shared" ca="1" si="150"/>
        <v>22.959234424495236</v>
      </c>
      <c r="R216">
        <f t="shared" ca="1" si="150"/>
        <v>22.611680953111801</v>
      </c>
      <c r="S216">
        <f t="shared" ca="1" si="150"/>
        <v>24.154271457442782</v>
      </c>
      <c r="T216">
        <f t="shared" ca="1" si="150"/>
        <v>24.914697707314652</v>
      </c>
      <c r="U216">
        <f t="shared" ca="1" si="150"/>
        <v>25.582097180722442</v>
      </c>
      <c r="V216">
        <f t="shared" ca="1" si="150"/>
        <v>26.252082560559863</v>
      </c>
      <c r="W216">
        <f t="shared" ca="1" si="150"/>
        <v>26.823474221059232</v>
      </c>
      <c r="X216">
        <f t="shared" ca="1" si="150"/>
        <v>27.426413354622238</v>
      </c>
      <c r="Y216">
        <f t="shared" ca="1" si="150"/>
        <v>28.027889043686308</v>
      </c>
      <c r="Z216">
        <f t="shared" ca="1" si="150"/>
        <v>29.099130416909908</v>
      </c>
      <c r="AA216">
        <f t="shared" ca="1" si="153"/>
        <v>30.026954229237454</v>
      </c>
      <c r="AB216">
        <f t="shared" ca="1" si="153"/>
        <v>30.695748365252729</v>
      </c>
      <c r="AC216">
        <f t="shared" ca="1" si="153"/>
        <v>31.449422282206495</v>
      </c>
      <c r="AD216">
        <f t="shared" ca="1" si="153"/>
        <v>32.11821641822177</v>
      </c>
      <c r="AE216">
        <f t="shared" ca="1" si="153"/>
        <v>32.937745337627803</v>
      </c>
      <c r="AF216">
        <f t="shared" ca="1" si="153"/>
        <v>33.730932256052931</v>
      </c>
      <c r="AG216">
        <f t="shared" ca="1" si="153"/>
        <v>35.280719980429694</v>
      </c>
      <c r="AH216">
        <f t="shared" ca="1" si="153"/>
        <v>36.867093817279944</v>
      </c>
      <c r="AI216">
        <f t="shared" ca="1" si="153"/>
        <v>37.383689725405539</v>
      </c>
      <c r="AJ216">
        <f t="shared" ca="1" si="153"/>
        <v>37.931017968008852</v>
      </c>
      <c r="AK216">
        <f t="shared" ca="1" si="153"/>
        <v>38.263219869268077</v>
      </c>
      <c r="AL216">
        <f t="shared" ca="1" si="153"/>
        <v>39.063724010187904</v>
      </c>
      <c r="AM216">
        <f t="shared" ca="1" si="153"/>
        <v>42.14281123595628</v>
      </c>
      <c r="AN216">
        <f t="shared" ca="1" si="153"/>
        <v>43.016487601823066</v>
      </c>
      <c r="AO216">
        <f t="shared" ca="1" si="153"/>
        <v>47.336819670108625</v>
      </c>
      <c r="AP216">
        <f t="shared" ca="1" si="153"/>
        <v>51.2895832617438</v>
      </c>
    </row>
    <row r="217" spans="1:42">
      <c r="A217" s="48" t="str">
        <f>'[4]TS BYDem'!A147</f>
        <v>*</v>
      </c>
      <c r="B217" t="s">
        <v>288</v>
      </c>
      <c r="C217" t="s">
        <v>137</v>
      </c>
      <c r="D217" s="3" t="str">
        <f>'[4]TS BYDem'!D147</f>
        <v>IFBS</v>
      </c>
      <c r="E217" t="s">
        <v>137</v>
      </c>
      <c r="F217" t="s">
        <v>137</v>
      </c>
      <c r="G217" t="s">
        <v>137</v>
      </c>
      <c r="H217" t="s">
        <v>137</v>
      </c>
      <c r="I217">
        <v>0</v>
      </c>
      <c r="J217">
        <f>INDEX('[4]TS BYDem'!$J$10:$J$203,MATCH(D217,'[4]TS BYDem'!$D$10:$D$203,0))</f>
        <v>20.421862032418336</v>
      </c>
      <c r="K217">
        <f t="shared" ca="1" si="150"/>
        <v>21.173194461525735</v>
      </c>
      <c r="L217">
        <f t="shared" ca="1" si="150"/>
        <v>21.738269252069756</v>
      </c>
      <c r="M217">
        <f t="shared" ca="1" si="150"/>
        <v>22.004135186130068</v>
      </c>
      <c r="N217">
        <f t="shared" ca="1" si="150"/>
        <v>22.459748672139355</v>
      </c>
      <c r="O217">
        <f t="shared" ca="1" si="150"/>
        <v>22.71069803564183</v>
      </c>
      <c r="P217">
        <f t="shared" ca="1" si="150"/>
        <v>23.033597915952697</v>
      </c>
      <c r="Q217">
        <f t="shared" ca="1" si="150"/>
        <v>22.959234424495236</v>
      </c>
      <c r="R217">
        <f t="shared" ca="1" si="150"/>
        <v>22.611680953111801</v>
      </c>
      <c r="S217">
        <f t="shared" ca="1" si="150"/>
        <v>24.154271457442782</v>
      </c>
      <c r="T217">
        <f t="shared" ca="1" si="150"/>
        <v>24.914697707314652</v>
      </c>
      <c r="U217">
        <f t="shared" ca="1" si="150"/>
        <v>25.582097180722442</v>
      </c>
      <c r="V217">
        <f t="shared" ca="1" si="150"/>
        <v>26.252082560559863</v>
      </c>
      <c r="W217">
        <f t="shared" ca="1" si="150"/>
        <v>26.823474221059232</v>
      </c>
      <c r="X217">
        <f t="shared" ca="1" si="150"/>
        <v>27.426413354622238</v>
      </c>
      <c r="Y217">
        <f t="shared" ca="1" si="150"/>
        <v>28.027889043686308</v>
      </c>
      <c r="Z217">
        <f t="shared" ca="1" si="150"/>
        <v>29.099130416909908</v>
      </c>
      <c r="AA217">
        <f t="shared" ca="1" si="153"/>
        <v>30.026954229237454</v>
      </c>
      <c r="AB217">
        <f t="shared" ca="1" si="153"/>
        <v>30.695748365252729</v>
      </c>
      <c r="AC217">
        <f t="shared" ca="1" si="153"/>
        <v>31.449422282206495</v>
      </c>
      <c r="AD217">
        <f t="shared" ca="1" si="153"/>
        <v>32.11821641822177</v>
      </c>
      <c r="AE217">
        <f t="shared" ca="1" si="153"/>
        <v>32.937745337627803</v>
      </c>
      <c r="AF217">
        <f t="shared" ca="1" si="153"/>
        <v>33.730932256052931</v>
      </c>
      <c r="AG217">
        <f t="shared" ca="1" si="153"/>
        <v>35.280719980429694</v>
      </c>
      <c r="AH217">
        <f t="shared" ca="1" si="153"/>
        <v>36.867093817279944</v>
      </c>
      <c r="AI217">
        <f t="shared" ca="1" si="153"/>
        <v>37.383689725405539</v>
      </c>
      <c r="AJ217">
        <f t="shared" ca="1" si="153"/>
        <v>37.931017968008852</v>
      </c>
      <c r="AK217">
        <f t="shared" ca="1" si="153"/>
        <v>38.263219869268077</v>
      </c>
      <c r="AL217">
        <f t="shared" ca="1" si="153"/>
        <v>39.063724010187904</v>
      </c>
      <c r="AM217">
        <f t="shared" ca="1" si="153"/>
        <v>42.14281123595628</v>
      </c>
      <c r="AN217">
        <f t="shared" ca="1" si="153"/>
        <v>43.016487601823066</v>
      </c>
      <c r="AO217">
        <f t="shared" ca="1" si="153"/>
        <v>47.336819670108625</v>
      </c>
      <c r="AP217">
        <f t="shared" ref="AP217" ca="1" si="156">AP$201/AO$201*AO217</f>
        <v>51.2895832617438</v>
      </c>
    </row>
    <row r="218" spans="1:42">
      <c r="A218" s="48" t="str">
        <f>'[4]TS BYDem'!A148</f>
        <v>*</v>
      </c>
      <c r="B218" t="s">
        <v>288</v>
      </c>
      <c r="C218" t="s">
        <v>137</v>
      </c>
      <c r="D218" s="3" t="str">
        <f>'[4]TS BYDem'!D148</f>
        <v>IFBS</v>
      </c>
      <c r="E218" t="s">
        <v>137</v>
      </c>
      <c r="F218" t="s">
        <v>137</v>
      </c>
      <c r="G218" t="s">
        <v>137</v>
      </c>
      <c r="H218" t="s">
        <v>137</v>
      </c>
      <c r="I218">
        <v>0</v>
      </c>
      <c r="J218">
        <f>INDEX('[4]TS BYDem'!$J$10:$J$203,MATCH(D218,'[4]TS BYDem'!$D$10:$D$203,0))</f>
        <v>20.421862032418336</v>
      </c>
    </row>
    <row r="219" spans="1:42">
      <c r="A219" s="48" t="str">
        <f>'[4]TS BYDem'!A149</f>
        <v>*</v>
      </c>
      <c r="B219" t="s">
        <v>288</v>
      </c>
      <c r="C219" t="s">
        <v>137</v>
      </c>
      <c r="D219" s="3" t="str">
        <f>'[4]TS BYDem'!D149</f>
        <v>Useful Energy Service</v>
      </c>
      <c r="E219" t="s">
        <v>137</v>
      </c>
      <c r="F219" t="s">
        <v>137</v>
      </c>
      <c r="G219" t="s">
        <v>137</v>
      </c>
      <c r="H219" t="s">
        <v>137</v>
      </c>
      <c r="I219">
        <v>0</v>
      </c>
      <c r="J219" t="str">
        <f>INDEX('[4]TS BYDem'!$J$10:$J$203,MATCH(D219,'[4]TS BYDem'!$D$10:$D$203,0))</f>
        <v/>
      </c>
    </row>
    <row r="220" spans="1:42" s="2" customFormat="1">
      <c r="A220" s="48" t="str">
        <f>'[4]TS BYDem'!A146</f>
        <v>*</v>
      </c>
      <c r="B220" s="2">
        <f>B201+1</f>
        <v>14</v>
      </c>
      <c r="C220" s="1" t="str">
        <f ca="1">OFFSET($C$9,$B220,0)</f>
        <v>Pulp &amp; Paper Products</v>
      </c>
      <c r="D220" s="1" t="str">
        <f ca="1">OFFSET($B$9,$B220,0)</f>
        <v>PP</v>
      </c>
      <c r="J220" s="2">
        <f t="shared" ref="J220:AA220" ca="1" si="157">SUMIF($B$10:$B$25,$D220,J$10:J$25)*SUMIF($B$10:$B$25,$D220,J$47:J$62)</f>
        <v>87.086408503626529</v>
      </c>
      <c r="K220" s="2">
        <f t="shared" ca="1" si="157"/>
        <v>89.287869153164166</v>
      </c>
      <c r="L220" s="2">
        <f t="shared" ca="1" si="157"/>
        <v>91.197927239376327</v>
      </c>
      <c r="M220" s="2">
        <f t="shared" ca="1" si="157"/>
        <v>92.246010394374807</v>
      </c>
      <c r="N220" s="2">
        <f t="shared" ca="1" si="157"/>
        <v>93.969960256802196</v>
      </c>
      <c r="O220" s="2">
        <f t="shared" ca="1" si="157"/>
        <v>94.596851115866698</v>
      </c>
      <c r="P220" s="2">
        <f t="shared" ca="1" si="157"/>
        <v>96.183668602873723</v>
      </c>
      <c r="Q220" s="2">
        <f t="shared" ca="1" si="157"/>
        <v>96.12</v>
      </c>
      <c r="R220" s="2">
        <f t="shared" ca="1" si="157"/>
        <v>91.8</v>
      </c>
      <c r="S220" s="2">
        <f t="shared" ca="1" si="157"/>
        <v>95.057030223390285</v>
      </c>
      <c r="T220" s="2">
        <f t="shared" ca="1" si="157"/>
        <v>96.745860709592648</v>
      </c>
      <c r="U220" s="2">
        <f t="shared" ca="1" si="157"/>
        <v>98.796583442838383</v>
      </c>
      <c r="V220" s="2">
        <f t="shared" ca="1" si="157"/>
        <v>101.69172141918528</v>
      </c>
      <c r="W220" s="2">
        <f t="shared" ca="1" si="157"/>
        <v>103.74244415243102</v>
      </c>
      <c r="X220" s="2">
        <f t="shared" ca="1" si="157"/>
        <v>105.14980289093299</v>
      </c>
      <c r="Y220" s="2">
        <f t="shared" ca="1" si="157"/>
        <v>106.91905387647832</v>
      </c>
      <c r="Z220" s="2">
        <f t="shared" ca="1" si="157"/>
        <v>108.80893561103811</v>
      </c>
      <c r="AA220" s="2">
        <f t="shared" ca="1" si="157"/>
        <v>110.65860709592643</v>
      </c>
      <c r="AB220" s="2">
        <f ca="1">SUMIF($B$10:$B$25,$D220,AB$10:AB$25)*SUMIF($B$10:$B$25,$D220,AB$46:AB$62)</f>
        <v>112.3474375821288</v>
      </c>
      <c r="AC220" s="2">
        <f t="shared" ref="AC220:AP220" ca="1" si="158">SUMIF($B$10:$B$25,$D220,AC$10:AC$25)*SUMIF($B$10:$B$25,$D220,AC$47:AC$62)</f>
        <v>116.24783180026284</v>
      </c>
      <c r="AD220" s="2">
        <f t="shared" ca="1" si="158"/>
        <v>118.74086727989491</v>
      </c>
      <c r="AE220" s="2">
        <f t="shared" ca="1" si="158"/>
        <v>121.87726675427072</v>
      </c>
      <c r="AF220" s="2">
        <f t="shared" ca="1" si="158"/>
        <v>125.17450722733248</v>
      </c>
      <c r="AG220" s="2">
        <f t="shared" ca="1" si="158"/>
        <v>128.35111695137979</v>
      </c>
      <c r="AH220" s="2">
        <f t="shared" ca="1" si="158"/>
        <v>130.84415243101185</v>
      </c>
      <c r="AI220" s="2">
        <f t="shared" ca="1" si="158"/>
        <v>132.21130091984236</v>
      </c>
      <c r="AJ220" s="2">
        <f t="shared" ca="1" si="158"/>
        <v>134.58370565045996</v>
      </c>
      <c r="AK220" s="2">
        <f t="shared" ca="1" si="158"/>
        <v>136.27253613666232</v>
      </c>
      <c r="AL220" s="2">
        <f t="shared" ca="1" si="158"/>
        <v>139.00683311432331</v>
      </c>
      <c r="AM220" s="2">
        <f t="shared" ca="1" si="158"/>
        <v>153.20105124835749</v>
      </c>
      <c r="AN220" s="2">
        <f t="shared" ca="1" si="158"/>
        <v>161.88646517739821</v>
      </c>
      <c r="AO220" s="2">
        <f t="shared" ca="1" si="158"/>
        <v>185.68423127463848</v>
      </c>
      <c r="AP220" s="2">
        <f t="shared" ca="1" si="158"/>
        <v>208.56386333771297</v>
      </c>
    </row>
    <row r="221" spans="1:42">
      <c r="A221" s="48" t="str">
        <f>'[4]TS BYDem'!A151</f>
        <v>*</v>
      </c>
      <c r="B221" t="s">
        <v>288</v>
      </c>
      <c r="C221" t="s">
        <v>137</v>
      </c>
      <c r="D221" s="3">
        <f>'[4]TS BYDem'!D151</f>
        <v>2</v>
      </c>
      <c r="E221" t="s">
        <v>137</v>
      </c>
      <c r="F221" t="s">
        <v>137</v>
      </c>
      <c r="G221" t="s">
        <v>137</v>
      </c>
      <c r="H221" t="s">
        <v>137</v>
      </c>
      <c r="I221">
        <v>0</v>
      </c>
      <c r="J221" t="str">
        <f>INDEX('[4]TS BYDem'!$J$10:$J$203,MATCH(D221,'[4]TS BYDem'!$D$10:$D$203,0))</f>
        <v/>
      </c>
      <c r="K221" t="e">
        <f t="shared" ref="K221:Z236" ca="1" si="159">K$220/J$220*J221</f>
        <v>#VALUE!</v>
      </c>
      <c r="L221" t="e">
        <f t="shared" ca="1" si="159"/>
        <v>#VALUE!</v>
      </c>
      <c r="M221" t="e">
        <f t="shared" ca="1" si="159"/>
        <v>#VALUE!</v>
      </c>
      <c r="N221" t="e">
        <f t="shared" ca="1" si="159"/>
        <v>#VALUE!</v>
      </c>
      <c r="O221" t="e">
        <f t="shared" ca="1" si="159"/>
        <v>#VALUE!</v>
      </c>
      <c r="P221" t="e">
        <f t="shared" ca="1" si="159"/>
        <v>#VALUE!</v>
      </c>
      <c r="Q221" t="e">
        <f t="shared" ca="1" si="159"/>
        <v>#VALUE!</v>
      </c>
      <c r="R221" t="e">
        <f t="shared" ca="1" si="159"/>
        <v>#VALUE!</v>
      </c>
      <c r="S221" t="e">
        <f t="shared" ca="1" si="159"/>
        <v>#VALUE!</v>
      </c>
      <c r="T221" t="e">
        <f t="shared" ca="1" si="159"/>
        <v>#VALUE!</v>
      </c>
      <c r="U221" t="e">
        <f t="shared" ca="1" si="159"/>
        <v>#VALUE!</v>
      </c>
      <c r="V221" t="e">
        <f t="shared" ca="1" si="159"/>
        <v>#VALUE!</v>
      </c>
      <c r="W221" t="e">
        <f t="shared" ca="1" si="159"/>
        <v>#VALUE!</v>
      </c>
      <c r="X221" t="e">
        <f t="shared" ca="1" si="159"/>
        <v>#VALUE!</v>
      </c>
      <c r="Y221" t="e">
        <f t="shared" ca="1" si="159"/>
        <v>#VALUE!</v>
      </c>
      <c r="Z221" t="e">
        <f t="shared" ca="1" si="159"/>
        <v>#VALUE!</v>
      </c>
      <c r="AA221" t="e">
        <f t="shared" ref="AA221:AP236" ca="1" si="160">AA$220/Z$220*Z221</f>
        <v>#VALUE!</v>
      </c>
      <c r="AB221" t="e">
        <f t="shared" ca="1" si="160"/>
        <v>#VALUE!</v>
      </c>
      <c r="AC221" t="e">
        <f t="shared" ca="1" si="160"/>
        <v>#VALUE!</v>
      </c>
      <c r="AD221" t="e">
        <f t="shared" ca="1" si="160"/>
        <v>#VALUE!</v>
      </c>
      <c r="AE221" t="e">
        <f t="shared" ca="1" si="160"/>
        <v>#VALUE!</v>
      </c>
      <c r="AF221" t="e">
        <f t="shared" ca="1" si="160"/>
        <v>#VALUE!</v>
      </c>
      <c r="AG221" t="e">
        <f t="shared" ca="1" si="160"/>
        <v>#VALUE!</v>
      </c>
      <c r="AH221" t="e">
        <f t="shared" ca="1" si="160"/>
        <v>#VALUE!</v>
      </c>
      <c r="AI221" t="e">
        <f t="shared" ca="1" si="160"/>
        <v>#VALUE!</v>
      </c>
      <c r="AJ221" t="e">
        <f t="shared" ca="1" si="160"/>
        <v>#VALUE!</v>
      </c>
      <c r="AK221" t="e">
        <f t="shared" ca="1" si="160"/>
        <v>#VALUE!</v>
      </c>
      <c r="AL221" t="e">
        <f t="shared" ca="1" si="160"/>
        <v>#VALUE!</v>
      </c>
      <c r="AM221" t="e">
        <f t="shared" ca="1" si="160"/>
        <v>#VALUE!</v>
      </c>
      <c r="AN221" t="e">
        <f t="shared" ca="1" si="160"/>
        <v>#VALUE!</v>
      </c>
      <c r="AO221" t="e">
        <f t="shared" ca="1" si="160"/>
        <v>#VALUE!</v>
      </c>
      <c r="AP221" t="e">
        <f t="shared" ca="1" si="160"/>
        <v>#VALUE!</v>
      </c>
    </row>
    <row r="222" spans="1:42">
      <c r="A222" s="48" t="str">
        <f>'[4]TS BYDem'!A152</f>
        <v>*</v>
      </c>
      <c r="B222" t="s">
        <v>288</v>
      </c>
      <c r="C222" t="s">
        <v>137</v>
      </c>
      <c r="D222" s="3" t="str">
        <f>'[4]TS BYDem'!D152</f>
        <v>IPPK</v>
      </c>
      <c r="E222" t="s">
        <v>137</v>
      </c>
      <c r="F222" t="s">
        <v>137</v>
      </c>
      <c r="G222" t="s">
        <v>137</v>
      </c>
      <c r="H222" t="s">
        <v>137</v>
      </c>
      <c r="I222">
        <v>0</v>
      </c>
      <c r="J222" t="str">
        <f>INDEX('[4]TS BYDem'!$J$10:$J$203,MATCH(D222,'[4]TS BYDem'!$D$10:$D$203,0))</f>
        <v/>
      </c>
      <c r="K222" t="e">
        <f t="shared" ca="1" si="159"/>
        <v>#VALUE!</v>
      </c>
      <c r="L222" t="e">
        <f t="shared" ca="1" si="159"/>
        <v>#VALUE!</v>
      </c>
      <c r="M222" t="e">
        <f t="shared" ca="1" si="159"/>
        <v>#VALUE!</v>
      </c>
      <c r="N222" t="e">
        <f t="shared" ca="1" si="159"/>
        <v>#VALUE!</v>
      </c>
      <c r="O222" t="e">
        <f t="shared" ca="1" si="159"/>
        <v>#VALUE!</v>
      </c>
      <c r="P222" t="e">
        <f t="shared" ca="1" si="159"/>
        <v>#VALUE!</v>
      </c>
      <c r="Q222" t="e">
        <f t="shared" ca="1" si="159"/>
        <v>#VALUE!</v>
      </c>
      <c r="R222" t="e">
        <f t="shared" ca="1" si="159"/>
        <v>#VALUE!</v>
      </c>
      <c r="S222" t="e">
        <f t="shared" ca="1" si="159"/>
        <v>#VALUE!</v>
      </c>
      <c r="T222" t="e">
        <f t="shared" ca="1" si="159"/>
        <v>#VALUE!</v>
      </c>
      <c r="U222" t="e">
        <f t="shared" ca="1" si="159"/>
        <v>#VALUE!</v>
      </c>
      <c r="V222" t="e">
        <f t="shared" ca="1" si="159"/>
        <v>#VALUE!</v>
      </c>
      <c r="W222" t="e">
        <f t="shared" ca="1" si="159"/>
        <v>#VALUE!</v>
      </c>
      <c r="X222" t="e">
        <f t="shared" ca="1" si="159"/>
        <v>#VALUE!</v>
      </c>
      <c r="Y222" t="e">
        <f t="shared" ca="1" si="159"/>
        <v>#VALUE!</v>
      </c>
      <c r="Z222" t="e">
        <f t="shared" ca="1" si="159"/>
        <v>#VALUE!</v>
      </c>
      <c r="AA222" t="e">
        <f t="shared" ca="1" si="160"/>
        <v>#VALUE!</v>
      </c>
      <c r="AB222" t="e">
        <f t="shared" ca="1" si="160"/>
        <v>#VALUE!</v>
      </c>
      <c r="AC222" t="e">
        <f t="shared" ca="1" si="160"/>
        <v>#VALUE!</v>
      </c>
      <c r="AD222" t="e">
        <f t="shared" ca="1" si="160"/>
        <v>#VALUE!</v>
      </c>
      <c r="AE222" t="e">
        <f t="shared" ca="1" si="160"/>
        <v>#VALUE!</v>
      </c>
      <c r="AF222" t="e">
        <f t="shared" ca="1" si="160"/>
        <v>#VALUE!</v>
      </c>
      <c r="AG222" t="e">
        <f t="shared" ca="1" si="160"/>
        <v>#VALUE!</v>
      </c>
      <c r="AH222" t="e">
        <f t="shared" ca="1" si="160"/>
        <v>#VALUE!</v>
      </c>
      <c r="AI222" t="e">
        <f t="shared" ca="1" si="160"/>
        <v>#VALUE!</v>
      </c>
      <c r="AJ222" t="e">
        <f t="shared" ca="1" si="160"/>
        <v>#VALUE!</v>
      </c>
      <c r="AK222" t="e">
        <f t="shared" ca="1" si="160"/>
        <v>#VALUE!</v>
      </c>
      <c r="AL222" t="e">
        <f t="shared" ca="1" si="160"/>
        <v>#VALUE!</v>
      </c>
      <c r="AM222" t="e">
        <f t="shared" ca="1" si="160"/>
        <v>#VALUE!</v>
      </c>
      <c r="AN222" t="e">
        <f t="shared" ca="1" si="160"/>
        <v>#VALUE!</v>
      </c>
      <c r="AO222" t="e">
        <f t="shared" ca="1" si="160"/>
        <v>#VALUE!</v>
      </c>
      <c r="AP222" t="e">
        <f t="shared" ca="1" si="160"/>
        <v>#VALUE!</v>
      </c>
    </row>
    <row r="223" spans="1:42">
      <c r="A223" s="48" t="str">
        <f>'[4]TS BYDem'!A153</f>
        <v>*</v>
      </c>
      <c r="B223" t="s">
        <v>288</v>
      </c>
      <c r="C223" t="s">
        <v>137</v>
      </c>
      <c r="D223" s="3" t="str">
        <f>'[4]TS BYDem'!D153</f>
        <v>IPPA</v>
      </c>
      <c r="E223" t="s">
        <v>137</v>
      </c>
      <c r="F223" t="s">
        <v>137</v>
      </c>
      <c r="G223" t="s">
        <v>137</v>
      </c>
      <c r="H223" t="s">
        <v>137</v>
      </c>
      <c r="I223">
        <v>0</v>
      </c>
      <c r="J223" t="str">
        <f>INDEX('[4]TS BYDem'!$J$10:$J$203,MATCH(D223,'[4]TS BYDem'!$D$10:$D$203,0))</f>
        <v/>
      </c>
      <c r="K223" t="e">
        <f t="shared" ca="1" si="159"/>
        <v>#VALUE!</v>
      </c>
      <c r="L223" t="e">
        <f t="shared" ca="1" si="159"/>
        <v>#VALUE!</v>
      </c>
      <c r="M223" t="e">
        <f t="shared" ca="1" si="159"/>
        <v>#VALUE!</v>
      </c>
      <c r="N223" t="e">
        <f t="shared" ca="1" si="159"/>
        <v>#VALUE!</v>
      </c>
      <c r="O223" t="e">
        <f t="shared" ca="1" si="159"/>
        <v>#VALUE!</v>
      </c>
      <c r="P223" t="e">
        <f t="shared" ca="1" si="159"/>
        <v>#VALUE!</v>
      </c>
      <c r="Q223" t="e">
        <f t="shared" ca="1" si="159"/>
        <v>#VALUE!</v>
      </c>
      <c r="R223" t="e">
        <f t="shared" ca="1" si="159"/>
        <v>#VALUE!</v>
      </c>
      <c r="S223" t="e">
        <f t="shared" ca="1" si="159"/>
        <v>#VALUE!</v>
      </c>
      <c r="T223" t="e">
        <f t="shared" ca="1" si="159"/>
        <v>#VALUE!</v>
      </c>
      <c r="U223" t="e">
        <f t="shared" ca="1" si="159"/>
        <v>#VALUE!</v>
      </c>
      <c r="V223" t="e">
        <f t="shared" ca="1" si="159"/>
        <v>#VALUE!</v>
      </c>
      <c r="W223" t="e">
        <f t="shared" ca="1" si="159"/>
        <v>#VALUE!</v>
      </c>
      <c r="X223" t="e">
        <f t="shared" ca="1" si="159"/>
        <v>#VALUE!</v>
      </c>
      <c r="Y223" t="e">
        <f t="shared" ca="1" si="159"/>
        <v>#VALUE!</v>
      </c>
      <c r="Z223" t="e">
        <f t="shared" ca="1" si="159"/>
        <v>#VALUE!</v>
      </c>
      <c r="AA223" t="e">
        <f t="shared" ca="1" si="160"/>
        <v>#VALUE!</v>
      </c>
      <c r="AB223" t="e">
        <f t="shared" ca="1" si="160"/>
        <v>#VALUE!</v>
      </c>
      <c r="AC223" t="e">
        <f t="shared" ca="1" si="160"/>
        <v>#VALUE!</v>
      </c>
      <c r="AD223" t="e">
        <f t="shared" ca="1" si="160"/>
        <v>#VALUE!</v>
      </c>
      <c r="AE223" t="e">
        <f t="shared" ca="1" si="160"/>
        <v>#VALUE!</v>
      </c>
      <c r="AF223" t="e">
        <f t="shared" ca="1" si="160"/>
        <v>#VALUE!</v>
      </c>
      <c r="AG223" t="e">
        <f t="shared" ca="1" si="160"/>
        <v>#VALUE!</v>
      </c>
      <c r="AH223" t="e">
        <f t="shared" ca="1" si="160"/>
        <v>#VALUE!</v>
      </c>
      <c r="AI223" t="e">
        <f t="shared" ca="1" si="160"/>
        <v>#VALUE!</v>
      </c>
      <c r="AJ223" t="e">
        <f t="shared" ca="1" si="160"/>
        <v>#VALUE!</v>
      </c>
      <c r="AK223" t="e">
        <f t="shared" ca="1" si="160"/>
        <v>#VALUE!</v>
      </c>
      <c r="AL223" t="e">
        <f t="shared" ca="1" si="160"/>
        <v>#VALUE!</v>
      </c>
      <c r="AM223" t="e">
        <f t="shared" ca="1" si="160"/>
        <v>#VALUE!</v>
      </c>
      <c r="AN223" t="e">
        <f t="shared" ca="1" si="160"/>
        <v>#VALUE!</v>
      </c>
      <c r="AO223" t="e">
        <f t="shared" ca="1" si="160"/>
        <v>#VALUE!</v>
      </c>
      <c r="AP223" t="e">
        <f t="shared" ca="1" si="160"/>
        <v>#VALUE!</v>
      </c>
    </row>
    <row r="224" spans="1:42">
      <c r="A224" s="48" t="str">
        <f>'[4]TS BYDem'!A154</f>
        <v>*</v>
      </c>
      <c r="B224" t="s">
        <v>288</v>
      </c>
      <c r="C224" t="s">
        <v>137</v>
      </c>
      <c r="D224" s="3" t="str">
        <f>'[4]TS BYDem'!D154</f>
        <v>IPPL</v>
      </c>
      <c r="E224" t="s">
        <v>137</v>
      </c>
      <c r="F224" t="s">
        <v>137</v>
      </c>
      <c r="G224" t="s">
        <v>137</v>
      </c>
      <c r="H224" t="s">
        <v>137</v>
      </c>
      <c r="I224">
        <v>0</v>
      </c>
      <c r="J224" t="str">
        <f>INDEX('[4]TS BYDem'!$J$10:$J$203,MATCH(D224,'[4]TS BYDem'!$D$10:$D$203,0))</f>
        <v/>
      </c>
      <c r="K224" t="e">
        <f t="shared" ca="1" si="159"/>
        <v>#VALUE!</v>
      </c>
      <c r="L224" t="e">
        <f t="shared" ca="1" si="159"/>
        <v>#VALUE!</v>
      </c>
      <c r="M224" t="e">
        <f t="shared" ca="1" si="159"/>
        <v>#VALUE!</v>
      </c>
      <c r="N224" t="e">
        <f t="shared" ca="1" si="159"/>
        <v>#VALUE!</v>
      </c>
      <c r="O224" t="e">
        <f t="shared" ca="1" si="159"/>
        <v>#VALUE!</v>
      </c>
      <c r="P224" t="e">
        <f t="shared" ca="1" si="159"/>
        <v>#VALUE!</v>
      </c>
      <c r="Q224" t="e">
        <f t="shared" ca="1" si="159"/>
        <v>#VALUE!</v>
      </c>
      <c r="R224" t="e">
        <f t="shared" ca="1" si="159"/>
        <v>#VALUE!</v>
      </c>
      <c r="S224" t="e">
        <f t="shared" ca="1" si="159"/>
        <v>#VALUE!</v>
      </c>
      <c r="T224" t="e">
        <f t="shared" ca="1" si="159"/>
        <v>#VALUE!</v>
      </c>
      <c r="U224" t="e">
        <f t="shared" ca="1" si="159"/>
        <v>#VALUE!</v>
      </c>
      <c r="V224" t="e">
        <f t="shared" ca="1" si="159"/>
        <v>#VALUE!</v>
      </c>
      <c r="W224" t="e">
        <f t="shared" ca="1" si="159"/>
        <v>#VALUE!</v>
      </c>
      <c r="X224" t="e">
        <f t="shared" ca="1" si="159"/>
        <v>#VALUE!</v>
      </c>
      <c r="Y224" t="e">
        <f t="shared" ca="1" si="159"/>
        <v>#VALUE!</v>
      </c>
      <c r="Z224" t="e">
        <f t="shared" ca="1" si="159"/>
        <v>#VALUE!</v>
      </c>
      <c r="AA224" t="e">
        <f t="shared" ca="1" si="160"/>
        <v>#VALUE!</v>
      </c>
      <c r="AB224" t="e">
        <f t="shared" ca="1" si="160"/>
        <v>#VALUE!</v>
      </c>
      <c r="AC224" t="e">
        <f t="shared" ca="1" si="160"/>
        <v>#VALUE!</v>
      </c>
      <c r="AD224" t="e">
        <f t="shared" ca="1" si="160"/>
        <v>#VALUE!</v>
      </c>
      <c r="AE224" t="e">
        <f t="shared" ca="1" si="160"/>
        <v>#VALUE!</v>
      </c>
      <c r="AF224" t="e">
        <f t="shared" ca="1" si="160"/>
        <v>#VALUE!</v>
      </c>
      <c r="AG224" t="e">
        <f t="shared" ca="1" si="160"/>
        <v>#VALUE!</v>
      </c>
      <c r="AH224" t="e">
        <f t="shared" ca="1" si="160"/>
        <v>#VALUE!</v>
      </c>
      <c r="AI224" t="e">
        <f t="shared" ca="1" si="160"/>
        <v>#VALUE!</v>
      </c>
      <c r="AJ224" t="e">
        <f t="shared" ca="1" si="160"/>
        <v>#VALUE!</v>
      </c>
      <c r="AK224" t="e">
        <f t="shared" ca="1" si="160"/>
        <v>#VALUE!</v>
      </c>
      <c r="AL224" t="e">
        <f t="shared" ca="1" si="160"/>
        <v>#VALUE!</v>
      </c>
      <c r="AM224" t="e">
        <f t="shared" ca="1" si="160"/>
        <v>#VALUE!</v>
      </c>
      <c r="AN224" t="e">
        <f t="shared" ca="1" si="160"/>
        <v>#VALUE!</v>
      </c>
      <c r="AO224" t="e">
        <f t="shared" ca="1" si="160"/>
        <v>#VALUE!</v>
      </c>
      <c r="AP224" t="e">
        <f t="shared" ca="1" si="160"/>
        <v>#VALUE!</v>
      </c>
    </row>
    <row r="225" spans="1:42">
      <c r="A225" s="48" t="str">
        <f>'[4]TS BYDem'!A155</f>
        <v>*</v>
      </c>
      <c r="B225" t="s">
        <v>288</v>
      </c>
      <c r="C225" t="s">
        <v>137</v>
      </c>
      <c r="D225" s="3" t="str">
        <f>'[4]TS BYDem'!D155</f>
        <v>IPPC</v>
      </c>
      <c r="E225" t="s">
        <v>137</v>
      </c>
      <c r="F225" t="s">
        <v>137</v>
      </c>
      <c r="G225" t="s">
        <v>137</v>
      </c>
      <c r="H225" t="s">
        <v>137</v>
      </c>
      <c r="I225">
        <v>0</v>
      </c>
      <c r="J225" t="str">
        <f>INDEX('[4]TS BYDem'!$J$10:$J$203,MATCH(D225,'[4]TS BYDem'!$D$10:$D$203,0))</f>
        <v/>
      </c>
      <c r="K225" t="e">
        <f t="shared" ca="1" si="159"/>
        <v>#VALUE!</v>
      </c>
      <c r="L225" t="e">
        <f t="shared" ca="1" si="159"/>
        <v>#VALUE!</v>
      </c>
      <c r="M225" t="e">
        <f t="shared" ca="1" si="159"/>
        <v>#VALUE!</v>
      </c>
      <c r="N225" t="e">
        <f t="shared" ca="1" si="159"/>
        <v>#VALUE!</v>
      </c>
      <c r="O225" t="e">
        <f t="shared" ca="1" si="159"/>
        <v>#VALUE!</v>
      </c>
      <c r="P225" t="e">
        <f t="shared" ca="1" si="159"/>
        <v>#VALUE!</v>
      </c>
      <c r="Q225" t="e">
        <f t="shared" ca="1" si="159"/>
        <v>#VALUE!</v>
      </c>
      <c r="R225" t="e">
        <f t="shared" ca="1" si="159"/>
        <v>#VALUE!</v>
      </c>
      <c r="S225" t="e">
        <f t="shared" ca="1" si="159"/>
        <v>#VALUE!</v>
      </c>
      <c r="T225" t="e">
        <f t="shared" ca="1" si="159"/>
        <v>#VALUE!</v>
      </c>
      <c r="U225" t="e">
        <f t="shared" ca="1" si="159"/>
        <v>#VALUE!</v>
      </c>
      <c r="V225" t="e">
        <f t="shared" ca="1" si="159"/>
        <v>#VALUE!</v>
      </c>
      <c r="W225" t="e">
        <f t="shared" ca="1" si="159"/>
        <v>#VALUE!</v>
      </c>
      <c r="X225" t="e">
        <f t="shared" ca="1" si="159"/>
        <v>#VALUE!</v>
      </c>
      <c r="Y225" t="e">
        <f t="shared" ca="1" si="159"/>
        <v>#VALUE!</v>
      </c>
      <c r="Z225" t="e">
        <f t="shared" ca="1" si="159"/>
        <v>#VALUE!</v>
      </c>
      <c r="AA225" t="e">
        <f t="shared" ca="1" si="160"/>
        <v>#VALUE!</v>
      </c>
      <c r="AB225" t="e">
        <f t="shared" ca="1" si="160"/>
        <v>#VALUE!</v>
      </c>
      <c r="AC225" t="e">
        <f t="shared" ca="1" si="160"/>
        <v>#VALUE!</v>
      </c>
      <c r="AD225" t="e">
        <f t="shared" ca="1" si="160"/>
        <v>#VALUE!</v>
      </c>
      <c r="AE225" t="e">
        <f t="shared" ca="1" si="160"/>
        <v>#VALUE!</v>
      </c>
      <c r="AF225" t="e">
        <f t="shared" ca="1" si="160"/>
        <v>#VALUE!</v>
      </c>
      <c r="AG225" t="e">
        <f t="shared" ca="1" si="160"/>
        <v>#VALUE!</v>
      </c>
      <c r="AH225" t="e">
        <f t="shared" ca="1" si="160"/>
        <v>#VALUE!</v>
      </c>
      <c r="AI225" t="e">
        <f t="shared" ca="1" si="160"/>
        <v>#VALUE!</v>
      </c>
      <c r="AJ225" t="e">
        <f t="shared" ca="1" si="160"/>
        <v>#VALUE!</v>
      </c>
      <c r="AK225" t="e">
        <f t="shared" ca="1" si="160"/>
        <v>#VALUE!</v>
      </c>
      <c r="AL225" t="e">
        <f t="shared" ca="1" si="160"/>
        <v>#VALUE!</v>
      </c>
      <c r="AM225" t="e">
        <f t="shared" ca="1" si="160"/>
        <v>#VALUE!</v>
      </c>
      <c r="AN225" t="e">
        <f t="shared" ca="1" si="160"/>
        <v>#VALUE!</v>
      </c>
      <c r="AO225" t="e">
        <f t="shared" ca="1" si="160"/>
        <v>#VALUE!</v>
      </c>
      <c r="AP225" t="e">
        <f t="shared" ca="1" si="160"/>
        <v>#VALUE!</v>
      </c>
    </row>
    <row r="226" spans="1:42">
      <c r="A226" s="48" t="str">
        <f>'[4]TS BYDem'!A156</f>
        <v>*</v>
      </c>
      <c r="B226" t="s">
        <v>288</v>
      </c>
      <c r="C226" t="s">
        <v>137</v>
      </c>
      <c r="D226" s="3" t="str">
        <f>'[4]TS BYDem'!D156</f>
        <v>IPPH</v>
      </c>
      <c r="E226" t="s">
        <v>137</v>
      </c>
      <c r="F226" t="s">
        <v>137</v>
      </c>
      <c r="G226" t="s">
        <v>137</v>
      </c>
      <c r="H226" t="s">
        <v>137</v>
      </c>
      <c r="I226">
        <v>0</v>
      </c>
      <c r="J226" t="str">
        <f>INDEX('[4]TS BYDem'!$J$10:$J$203,MATCH(D226,'[4]TS BYDem'!$D$10:$D$203,0))</f>
        <v/>
      </c>
      <c r="K226" t="e">
        <f t="shared" ca="1" si="159"/>
        <v>#VALUE!</v>
      </c>
      <c r="L226" t="e">
        <f t="shared" ca="1" si="159"/>
        <v>#VALUE!</v>
      </c>
      <c r="M226" t="e">
        <f t="shared" ca="1" si="159"/>
        <v>#VALUE!</v>
      </c>
      <c r="N226" t="e">
        <f t="shared" ca="1" si="159"/>
        <v>#VALUE!</v>
      </c>
      <c r="O226" t="e">
        <f t="shared" ca="1" si="159"/>
        <v>#VALUE!</v>
      </c>
      <c r="P226" t="e">
        <f t="shared" ca="1" si="159"/>
        <v>#VALUE!</v>
      </c>
      <c r="Q226" t="e">
        <f t="shared" ca="1" si="159"/>
        <v>#VALUE!</v>
      </c>
      <c r="R226" t="e">
        <f t="shared" ca="1" si="159"/>
        <v>#VALUE!</v>
      </c>
      <c r="S226" t="e">
        <f t="shared" ca="1" si="159"/>
        <v>#VALUE!</v>
      </c>
      <c r="T226" t="e">
        <f t="shared" ca="1" si="159"/>
        <v>#VALUE!</v>
      </c>
      <c r="U226" t="e">
        <f t="shared" ca="1" si="159"/>
        <v>#VALUE!</v>
      </c>
      <c r="V226" t="e">
        <f t="shared" ca="1" si="159"/>
        <v>#VALUE!</v>
      </c>
      <c r="W226" t="e">
        <f t="shared" ca="1" si="159"/>
        <v>#VALUE!</v>
      </c>
      <c r="X226" t="e">
        <f t="shared" ca="1" si="159"/>
        <v>#VALUE!</v>
      </c>
      <c r="Y226" t="e">
        <f t="shared" ca="1" si="159"/>
        <v>#VALUE!</v>
      </c>
      <c r="Z226" t="e">
        <f t="shared" ca="1" si="159"/>
        <v>#VALUE!</v>
      </c>
      <c r="AA226" t="e">
        <f t="shared" ca="1" si="160"/>
        <v>#VALUE!</v>
      </c>
      <c r="AB226" t="e">
        <f t="shared" ca="1" si="160"/>
        <v>#VALUE!</v>
      </c>
      <c r="AC226" t="e">
        <f t="shared" ca="1" si="160"/>
        <v>#VALUE!</v>
      </c>
      <c r="AD226" t="e">
        <f t="shared" ca="1" si="160"/>
        <v>#VALUE!</v>
      </c>
      <c r="AE226" t="e">
        <f t="shared" ca="1" si="160"/>
        <v>#VALUE!</v>
      </c>
      <c r="AF226" t="e">
        <f t="shared" ca="1" si="160"/>
        <v>#VALUE!</v>
      </c>
      <c r="AG226" t="e">
        <f t="shared" ca="1" si="160"/>
        <v>#VALUE!</v>
      </c>
      <c r="AH226" t="e">
        <f t="shared" ca="1" si="160"/>
        <v>#VALUE!</v>
      </c>
      <c r="AI226" t="e">
        <f t="shared" ca="1" si="160"/>
        <v>#VALUE!</v>
      </c>
      <c r="AJ226" t="e">
        <f t="shared" ca="1" si="160"/>
        <v>#VALUE!</v>
      </c>
      <c r="AK226" t="e">
        <f t="shared" ca="1" si="160"/>
        <v>#VALUE!</v>
      </c>
      <c r="AL226" t="e">
        <f t="shared" ca="1" si="160"/>
        <v>#VALUE!</v>
      </c>
      <c r="AM226" t="e">
        <f t="shared" ca="1" si="160"/>
        <v>#VALUE!</v>
      </c>
      <c r="AN226" t="e">
        <f t="shared" ca="1" si="160"/>
        <v>#VALUE!</v>
      </c>
      <c r="AO226" t="e">
        <f t="shared" ca="1" si="160"/>
        <v>#VALUE!</v>
      </c>
      <c r="AP226" t="e">
        <f t="shared" ca="1" si="160"/>
        <v>#VALUE!</v>
      </c>
    </row>
    <row r="227" spans="1:42">
      <c r="A227" s="48" t="str">
        <f>'[4]TS BYDem'!A157</f>
        <v>*</v>
      </c>
      <c r="B227" t="s">
        <v>288</v>
      </c>
      <c r="C227" t="s">
        <v>137</v>
      </c>
      <c r="D227" s="3" t="str">
        <f>'[4]TS BYDem'!D157</f>
        <v>IPPP</v>
      </c>
      <c r="E227" t="s">
        <v>137</v>
      </c>
      <c r="F227" t="s">
        <v>137</v>
      </c>
      <c r="G227" t="s">
        <v>137</v>
      </c>
      <c r="H227" t="s">
        <v>137</v>
      </c>
      <c r="I227">
        <v>0</v>
      </c>
      <c r="J227" t="str">
        <f>INDEX('[4]TS BYDem'!$J$10:$J$203,MATCH(D227,'[4]TS BYDem'!$D$10:$D$203,0))</f>
        <v/>
      </c>
      <c r="K227" t="e">
        <f t="shared" ca="1" si="159"/>
        <v>#VALUE!</v>
      </c>
      <c r="L227" t="e">
        <f t="shared" ca="1" si="159"/>
        <v>#VALUE!</v>
      </c>
      <c r="M227" t="e">
        <f t="shared" ca="1" si="159"/>
        <v>#VALUE!</v>
      </c>
      <c r="N227" t="e">
        <f t="shared" ca="1" si="159"/>
        <v>#VALUE!</v>
      </c>
      <c r="O227" t="e">
        <f t="shared" ca="1" si="159"/>
        <v>#VALUE!</v>
      </c>
      <c r="P227" t="e">
        <f t="shared" ca="1" si="159"/>
        <v>#VALUE!</v>
      </c>
      <c r="Q227" t="e">
        <f t="shared" ca="1" si="159"/>
        <v>#VALUE!</v>
      </c>
      <c r="R227" t="e">
        <f t="shared" ca="1" si="159"/>
        <v>#VALUE!</v>
      </c>
      <c r="S227" t="e">
        <f t="shared" ca="1" si="159"/>
        <v>#VALUE!</v>
      </c>
      <c r="T227" t="e">
        <f t="shared" ca="1" si="159"/>
        <v>#VALUE!</v>
      </c>
      <c r="U227" t="e">
        <f t="shared" ca="1" si="159"/>
        <v>#VALUE!</v>
      </c>
      <c r="V227" t="e">
        <f t="shared" ca="1" si="159"/>
        <v>#VALUE!</v>
      </c>
      <c r="W227" t="e">
        <f t="shared" ca="1" si="159"/>
        <v>#VALUE!</v>
      </c>
      <c r="X227" t="e">
        <f t="shared" ca="1" si="159"/>
        <v>#VALUE!</v>
      </c>
      <c r="Y227" t="e">
        <f t="shared" ca="1" si="159"/>
        <v>#VALUE!</v>
      </c>
      <c r="Z227" t="e">
        <f t="shared" ca="1" si="159"/>
        <v>#VALUE!</v>
      </c>
      <c r="AA227" t="e">
        <f t="shared" ca="1" si="160"/>
        <v>#VALUE!</v>
      </c>
      <c r="AB227" t="e">
        <f t="shared" ca="1" si="160"/>
        <v>#VALUE!</v>
      </c>
      <c r="AC227" t="e">
        <f t="shared" ca="1" si="160"/>
        <v>#VALUE!</v>
      </c>
      <c r="AD227" t="e">
        <f t="shared" ca="1" si="160"/>
        <v>#VALUE!</v>
      </c>
      <c r="AE227" t="e">
        <f t="shared" ca="1" si="160"/>
        <v>#VALUE!</v>
      </c>
      <c r="AF227" t="e">
        <f t="shared" ca="1" si="160"/>
        <v>#VALUE!</v>
      </c>
      <c r="AG227" t="e">
        <f t="shared" ca="1" si="160"/>
        <v>#VALUE!</v>
      </c>
      <c r="AH227" t="e">
        <f t="shared" ca="1" si="160"/>
        <v>#VALUE!</v>
      </c>
      <c r="AI227" t="e">
        <f t="shared" ca="1" si="160"/>
        <v>#VALUE!</v>
      </c>
      <c r="AJ227" t="e">
        <f t="shared" ca="1" si="160"/>
        <v>#VALUE!</v>
      </c>
      <c r="AK227" t="e">
        <f t="shared" ca="1" si="160"/>
        <v>#VALUE!</v>
      </c>
      <c r="AL227" t="e">
        <f t="shared" ca="1" si="160"/>
        <v>#VALUE!</v>
      </c>
      <c r="AM227" t="e">
        <f t="shared" ca="1" si="160"/>
        <v>#VALUE!</v>
      </c>
      <c r="AN227" t="e">
        <f t="shared" ca="1" si="160"/>
        <v>#VALUE!</v>
      </c>
      <c r="AO227" t="e">
        <f t="shared" ca="1" si="160"/>
        <v>#VALUE!</v>
      </c>
      <c r="AP227" t="e">
        <f t="shared" ca="1" si="160"/>
        <v>#VALUE!</v>
      </c>
    </row>
    <row r="228" spans="1:42">
      <c r="A228" s="48" t="str">
        <f>'[4]TS BYDem'!A158</f>
        <v>*</v>
      </c>
      <c r="B228" t="s">
        <v>288</v>
      </c>
      <c r="C228" t="s">
        <v>137</v>
      </c>
      <c r="D228" s="3" t="str">
        <f>'[4]TS BYDem'!D158</f>
        <v>IPPF</v>
      </c>
      <c r="E228" t="s">
        <v>137</v>
      </c>
      <c r="F228" t="s">
        <v>137</v>
      </c>
      <c r="G228" t="s">
        <v>137</v>
      </c>
      <c r="H228" t="s">
        <v>137</v>
      </c>
      <c r="I228">
        <v>0</v>
      </c>
      <c r="J228" t="str">
        <f>INDEX('[4]TS BYDem'!$J$10:$J$203,MATCH(D228,'[4]TS BYDem'!$D$10:$D$203,0))</f>
        <v/>
      </c>
      <c r="K228" t="e">
        <f t="shared" ca="1" si="159"/>
        <v>#VALUE!</v>
      </c>
      <c r="L228" t="e">
        <f t="shared" ca="1" si="159"/>
        <v>#VALUE!</v>
      </c>
      <c r="M228" t="e">
        <f t="shared" ca="1" si="159"/>
        <v>#VALUE!</v>
      </c>
      <c r="N228" t="e">
        <f t="shared" ca="1" si="159"/>
        <v>#VALUE!</v>
      </c>
      <c r="O228" t="e">
        <f t="shared" ca="1" si="159"/>
        <v>#VALUE!</v>
      </c>
      <c r="P228" t="e">
        <f t="shared" ca="1" si="159"/>
        <v>#VALUE!</v>
      </c>
      <c r="Q228" t="e">
        <f t="shared" ca="1" si="159"/>
        <v>#VALUE!</v>
      </c>
      <c r="R228" t="e">
        <f t="shared" ca="1" si="159"/>
        <v>#VALUE!</v>
      </c>
      <c r="S228" t="e">
        <f t="shared" ca="1" si="159"/>
        <v>#VALUE!</v>
      </c>
      <c r="T228" t="e">
        <f t="shared" ca="1" si="159"/>
        <v>#VALUE!</v>
      </c>
      <c r="U228" t="e">
        <f t="shared" ca="1" si="159"/>
        <v>#VALUE!</v>
      </c>
      <c r="V228" t="e">
        <f t="shared" ca="1" si="159"/>
        <v>#VALUE!</v>
      </c>
      <c r="W228" t="e">
        <f t="shared" ca="1" si="159"/>
        <v>#VALUE!</v>
      </c>
      <c r="X228" t="e">
        <f t="shared" ca="1" si="159"/>
        <v>#VALUE!</v>
      </c>
      <c r="Y228" t="e">
        <f t="shared" ca="1" si="159"/>
        <v>#VALUE!</v>
      </c>
      <c r="Z228" t="e">
        <f t="shared" ca="1" si="159"/>
        <v>#VALUE!</v>
      </c>
      <c r="AA228" t="e">
        <f t="shared" ca="1" si="160"/>
        <v>#VALUE!</v>
      </c>
      <c r="AB228" t="e">
        <f t="shared" ca="1" si="160"/>
        <v>#VALUE!</v>
      </c>
      <c r="AC228" t="e">
        <f t="shared" ca="1" si="160"/>
        <v>#VALUE!</v>
      </c>
      <c r="AD228" t="e">
        <f t="shared" ca="1" si="160"/>
        <v>#VALUE!</v>
      </c>
      <c r="AE228" t="e">
        <f t="shared" ca="1" si="160"/>
        <v>#VALUE!</v>
      </c>
      <c r="AF228" t="e">
        <f t="shared" ca="1" si="160"/>
        <v>#VALUE!</v>
      </c>
      <c r="AG228" t="e">
        <f t="shared" ca="1" si="160"/>
        <v>#VALUE!</v>
      </c>
      <c r="AH228" t="e">
        <f t="shared" ca="1" si="160"/>
        <v>#VALUE!</v>
      </c>
      <c r="AI228" t="e">
        <f t="shared" ca="1" si="160"/>
        <v>#VALUE!</v>
      </c>
      <c r="AJ228" t="e">
        <f t="shared" ca="1" si="160"/>
        <v>#VALUE!</v>
      </c>
      <c r="AK228" t="e">
        <f t="shared" ca="1" si="160"/>
        <v>#VALUE!</v>
      </c>
      <c r="AL228" t="e">
        <f t="shared" ca="1" si="160"/>
        <v>#VALUE!</v>
      </c>
      <c r="AM228" t="e">
        <f t="shared" ca="1" si="160"/>
        <v>#VALUE!</v>
      </c>
      <c r="AN228" t="e">
        <f t="shared" ca="1" si="160"/>
        <v>#VALUE!</v>
      </c>
      <c r="AO228" t="e">
        <f t="shared" ca="1" si="160"/>
        <v>#VALUE!</v>
      </c>
      <c r="AP228" t="e">
        <f t="shared" ca="1" si="160"/>
        <v>#VALUE!</v>
      </c>
    </row>
    <row r="229" spans="1:42">
      <c r="A229" s="48" t="str">
        <f>'[4]TS BYDem'!A159</f>
        <v>*</v>
      </c>
      <c r="B229" t="s">
        <v>288</v>
      </c>
      <c r="C229" t="s">
        <v>137</v>
      </c>
      <c r="D229" s="3" t="str">
        <f>'[4]TS BYDem'!D159</f>
        <v>IPPO</v>
      </c>
      <c r="E229" t="s">
        <v>137</v>
      </c>
      <c r="F229" t="s">
        <v>137</v>
      </c>
      <c r="G229" t="s">
        <v>137</v>
      </c>
      <c r="H229" t="s">
        <v>137</v>
      </c>
      <c r="I229">
        <v>0</v>
      </c>
      <c r="J229" t="str">
        <f>INDEX('[4]TS BYDem'!$J$10:$J$203,MATCH(D229,'[4]TS BYDem'!$D$10:$D$203,0))</f>
        <v/>
      </c>
      <c r="K229" t="e">
        <f t="shared" ca="1" si="159"/>
        <v>#VALUE!</v>
      </c>
      <c r="L229" t="e">
        <f t="shared" ca="1" si="159"/>
        <v>#VALUE!</v>
      </c>
      <c r="M229" t="e">
        <f t="shared" ca="1" si="159"/>
        <v>#VALUE!</v>
      </c>
      <c r="N229" t="e">
        <f t="shared" ca="1" si="159"/>
        <v>#VALUE!</v>
      </c>
      <c r="O229" t="e">
        <f t="shared" ca="1" si="159"/>
        <v>#VALUE!</v>
      </c>
      <c r="P229" t="e">
        <f t="shared" ca="1" si="159"/>
        <v>#VALUE!</v>
      </c>
      <c r="Q229" t="e">
        <f t="shared" ca="1" si="159"/>
        <v>#VALUE!</v>
      </c>
      <c r="R229" t="e">
        <f t="shared" ca="1" si="159"/>
        <v>#VALUE!</v>
      </c>
      <c r="S229" t="e">
        <f t="shared" ca="1" si="159"/>
        <v>#VALUE!</v>
      </c>
      <c r="T229" t="e">
        <f t="shared" ca="1" si="159"/>
        <v>#VALUE!</v>
      </c>
      <c r="U229" t="e">
        <f t="shared" ca="1" si="159"/>
        <v>#VALUE!</v>
      </c>
      <c r="V229" t="e">
        <f t="shared" ca="1" si="159"/>
        <v>#VALUE!</v>
      </c>
      <c r="W229" t="e">
        <f t="shared" ca="1" si="159"/>
        <v>#VALUE!</v>
      </c>
      <c r="X229" t="e">
        <f t="shared" ca="1" si="159"/>
        <v>#VALUE!</v>
      </c>
      <c r="Y229" t="e">
        <f t="shared" ca="1" si="159"/>
        <v>#VALUE!</v>
      </c>
      <c r="Z229" t="e">
        <f t="shared" ca="1" si="159"/>
        <v>#VALUE!</v>
      </c>
      <c r="AA229" t="e">
        <f t="shared" ca="1" si="160"/>
        <v>#VALUE!</v>
      </c>
      <c r="AB229" t="e">
        <f t="shared" ca="1" si="160"/>
        <v>#VALUE!</v>
      </c>
      <c r="AC229" t="e">
        <f t="shared" ca="1" si="160"/>
        <v>#VALUE!</v>
      </c>
      <c r="AD229" t="e">
        <f t="shared" ca="1" si="160"/>
        <v>#VALUE!</v>
      </c>
      <c r="AE229" t="e">
        <f t="shared" ca="1" si="160"/>
        <v>#VALUE!</v>
      </c>
      <c r="AF229" t="e">
        <f t="shared" ca="1" si="160"/>
        <v>#VALUE!</v>
      </c>
      <c r="AG229" t="e">
        <f t="shared" ca="1" si="160"/>
        <v>#VALUE!</v>
      </c>
      <c r="AH229" t="e">
        <f t="shared" ca="1" si="160"/>
        <v>#VALUE!</v>
      </c>
      <c r="AI229" t="e">
        <f t="shared" ca="1" si="160"/>
        <v>#VALUE!</v>
      </c>
      <c r="AJ229" t="e">
        <f t="shared" ca="1" si="160"/>
        <v>#VALUE!</v>
      </c>
      <c r="AK229" t="e">
        <f t="shared" ca="1" si="160"/>
        <v>#VALUE!</v>
      </c>
      <c r="AL229" t="e">
        <f t="shared" ca="1" si="160"/>
        <v>#VALUE!</v>
      </c>
      <c r="AM229" t="e">
        <f t="shared" ca="1" si="160"/>
        <v>#VALUE!</v>
      </c>
      <c r="AN229" t="e">
        <f t="shared" ca="1" si="160"/>
        <v>#VALUE!</v>
      </c>
      <c r="AO229" t="e">
        <f t="shared" ca="1" si="160"/>
        <v>#VALUE!</v>
      </c>
      <c r="AP229" t="e">
        <f t="shared" ca="1" si="160"/>
        <v>#VALUE!</v>
      </c>
    </row>
    <row r="230" spans="1:42">
      <c r="A230" s="48" t="str">
        <f>'[4]TS BYDem'!A160</f>
        <v>*</v>
      </c>
      <c r="B230" t="s">
        <v>288</v>
      </c>
      <c r="C230" t="s">
        <v>137</v>
      </c>
      <c r="D230" s="3" t="str">
        <f>'[4]TS BYDem'!D160</f>
        <v>IPPE</v>
      </c>
      <c r="E230" t="s">
        <v>137</v>
      </c>
      <c r="F230" t="s">
        <v>137</v>
      </c>
      <c r="G230" t="s">
        <v>137</v>
      </c>
      <c r="H230" t="s">
        <v>137</v>
      </c>
      <c r="I230">
        <v>0</v>
      </c>
      <c r="J230" t="str">
        <f>INDEX('[4]TS BYDem'!$J$10:$J$203,MATCH(D230,'[4]TS BYDem'!$D$10:$D$203,0))</f>
        <v/>
      </c>
      <c r="K230" t="e">
        <f t="shared" ca="1" si="159"/>
        <v>#VALUE!</v>
      </c>
      <c r="L230" t="e">
        <f t="shared" ca="1" si="159"/>
        <v>#VALUE!</v>
      </c>
      <c r="M230" t="e">
        <f t="shared" ca="1" si="159"/>
        <v>#VALUE!</v>
      </c>
      <c r="N230" t="e">
        <f t="shared" ca="1" si="159"/>
        <v>#VALUE!</v>
      </c>
      <c r="O230" t="e">
        <f t="shared" ca="1" si="159"/>
        <v>#VALUE!</v>
      </c>
      <c r="P230" t="e">
        <f t="shared" ca="1" si="159"/>
        <v>#VALUE!</v>
      </c>
      <c r="Q230" t="e">
        <f t="shared" ca="1" si="159"/>
        <v>#VALUE!</v>
      </c>
      <c r="R230" t="e">
        <f t="shared" ca="1" si="159"/>
        <v>#VALUE!</v>
      </c>
      <c r="S230" t="e">
        <f t="shared" ca="1" si="159"/>
        <v>#VALUE!</v>
      </c>
      <c r="T230" t="e">
        <f t="shared" ca="1" si="159"/>
        <v>#VALUE!</v>
      </c>
      <c r="U230" t="e">
        <f t="shared" ca="1" si="159"/>
        <v>#VALUE!</v>
      </c>
      <c r="V230" t="e">
        <f t="shared" ca="1" si="159"/>
        <v>#VALUE!</v>
      </c>
      <c r="W230" t="e">
        <f t="shared" ca="1" si="159"/>
        <v>#VALUE!</v>
      </c>
      <c r="X230" t="e">
        <f t="shared" ca="1" si="159"/>
        <v>#VALUE!</v>
      </c>
      <c r="Y230" t="e">
        <f t="shared" ca="1" si="159"/>
        <v>#VALUE!</v>
      </c>
      <c r="Z230" t="e">
        <f t="shared" ca="1" si="159"/>
        <v>#VALUE!</v>
      </c>
      <c r="AA230" t="e">
        <f t="shared" ca="1" si="160"/>
        <v>#VALUE!</v>
      </c>
      <c r="AB230" t="e">
        <f t="shared" ca="1" si="160"/>
        <v>#VALUE!</v>
      </c>
      <c r="AC230" t="e">
        <f t="shared" ca="1" si="160"/>
        <v>#VALUE!</v>
      </c>
      <c r="AD230" t="e">
        <f t="shared" ca="1" si="160"/>
        <v>#VALUE!</v>
      </c>
      <c r="AE230" t="e">
        <f t="shared" ca="1" si="160"/>
        <v>#VALUE!</v>
      </c>
      <c r="AF230" t="e">
        <f t="shared" ca="1" si="160"/>
        <v>#VALUE!</v>
      </c>
      <c r="AG230" t="e">
        <f t="shared" ca="1" si="160"/>
        <v>#VALUE!</v>
      </c>
      <c r="AH230" t="e">
        <f t="shared" ca="1" si="160"/>
        <v>#VALUE!</v>
      </c>
      <c r="AI230" t="e">
        <f t="shared" ca="1" si="160"/>
        <v>#VALUE!</v>
      </c>
      <c r="AJ230" t="e">
        <f t="shared" ca="1" si="160"/>
        <v>#VALUE!</v>
      </c>
      <c r="AK230" t="e">
        <f t="shared" ca="1" si="160"/>
        <v>#VALUE!</v>
      </c>
      <c r="AL230" t="e">
        <f t="shared" ca="1" si="160"/>
        <v>#VALUE!</v>
      </c>
      <c r="AM230" t="e">
        <f t="shared" ca="1" si="160"/>
        <v>#VALUE!</v>
      </c>
      <c r="AN230" t="e">
        <f t="shared" ca="1" si="160"/>
        <v>#VALUE!</v>
      </c>
      <c r="AO230" t="e">
        <f t="shared" ca="1" si="160"/>
        <v>#VALUE!</v>
      </c>
      <c r="AP230" t="e">
        <f t="shared" ca="1" si="160"/>
        <v>#VALUE!</v>
      </c>
    </row>
    <row r="231" spans="1:42">
      <c r="A231" s="48" t="str">
        <f>'[4]TS BYDem'!A161</f>
        <v>*</v>
      </c>
      <c r="B231" t="s">
        <v>288</v>
      </c>
      <c r="C231" t="s">
        <v>137</v>
      </c>
      <c r="D231" s="3" t="str">
        <f>'[4]TS BYDem'!D161</f>
        <v xml:space="preserve"> </v>
      </c>
      <c r="E231" t="s">
        <v>137</v>
      </c>
      <c r="F231" t="s">
        <v>137</v>
      </c>
      <c r="G231" t="s">
        <v>137</v>
      </c>
      <c r="H231" t="s">
        <v>137</v>
      </c>
      <c r="I231">
        <v>0</v>
      </c>
      <c r="J231" t="str">
        <f>INDEX('[4]TS BYDem'!$J$10:$J$203,MATCH(D231,'[4]TS BYDem'!$D$10:$D$203,0))</f>
        <v/>
      </c>
      <c r="K231" t="e">
        <f t="shared" ca="1" si="159"/>
        <v>#VALUE!</v>
      </c>
      <c r="L231" t="e">
        <f t="shared" ca="1" si="159"/>
        <v>#VALUE!</v>
      </c>
      <c r="M231" t="e">
        <f t="shared" ca="1" si="159"/>
        <v>#VALUE!</v>
      </c>
      <c r="N231" t="e">
        <f t="shared" ca="1" si="159"/>
        <v>#VALUE!</v>
      </c>
      <c r="O231" t="e">
        <f t="shared" ca="1" si="159"/>
        <v>#VALUE!</v>
      </c>
      <c r="P231" t="e">
        <f t="shared" ca="1" si="159"/>
        <v>#VALUE!</v>
      </c>
      <c r="Q231" t="e">
        <f t="shared" ca="1" si="159"/>
        <v>#VALUE!</v>
      </c>
      <c r="R231" t="e">
        <f t="shared" ca="1" si="159"/>
        <v>#VALUE!</v>
      </c>
      <c r="S231" t="e">
        <f t="shared" ca="1" si="159"/>
        <v>#VALUE!</v>
      </c>
      <c r="T231" t="e">
        <f t="shared" ca="1" si="159"/>
        <v>#VALUE!</v>
      </c>
      <c r="U231" t="e">
        <f t="shared" ca="1" si="159"/>
        <v>#VALUE!</v>
      </c>
      <c r="V231" t="e">
        <f t="shared" ca="1" si="159"/>
        <v>#VALUE!</v>
      </c>
      <c r="W231" t="e">
        <f t="shared" ca="1" si="159"/>
        <v>#VALUE!</v>
      </c>
      <c r="X231" t="e">
        <f t="shared" ca="1" si="159"/>
        <v>#VALUE!</v>
      </c>
      <c r="Y231" t="e">
        <f t="shared" ca="1" si="159"/>
        <v>#VALUE!</v>
      </c>
      <c r="Z231" t="e">
        <f t="shared" ca="1" si="159"/>
        <v>#VALUE!</v>
      </c>
      <c r="AA231" t="e">
        <f t="shared" ca="1" si="160"/>
        <v>#VALUE!</v>
      </c>
      <c r="AB231" t="e">
        <f t="shared" ca="1" si="160"/>
        <v>#VALUE!</v>
      </c>
      <c r="AC231" t="e">
        <f t="shared" ca="1" si="160"/>
        <v>#VALUE!</v>
      </c>
      <c r="AD231" t="e">
        <f t="shared" ca="1" si="160"/>
        <v>#VALUE!</v>
      </c>
      <c r="AE231" t="e">
        <f t="shared" ca="1" si="160"/>
        <v>#VALUE!</v>
      </c>
      <c r="AF231" t="e">
        <f t="shared" ca="1" si="160"/>
        <v>#VALUE!</v>
      </c>
      <c r="AG231" t="e">
        <f t="shared" ca="1" si="160"/>
        <v>#VALUE!</v>
      </c>
      <c r="AH231" t="e">
        <f t="shared" ca="1" si="160"/>
        <v>#VALUE!</v>
      </c>
      <c r="AI231" t="e">
        <f t="shared" ca="1" si="160"/>
        <v>#VALUE!</v>
      </c>
      <c r="AJ231" t="e">
        <f t="shared" ca="1" si="160"/>
        <v>#VALUE!</v>
      </c>
      <c r="AK231" t="e">
        <f t="shared" ca="1" si="160"/>
        <v>#VALUE!</v>
      </c>
      <c r="AL231" t="e">
        <f t="shared" ca="1" si="160"/>
        <v>#VALUE!</v>
      </c>
      <c r="AM231" t="e">
        <f t="shared" ca="1" si="160"/>
        <v>#VALUE!</v>
      </c>
      <c r="AN231" t="e">
        <f t="shared" ca="1" si="160"/>
        <v>#VALUE!</v>
      </c>
      <c r="AO231" t="e">
        <f t="shared" ca="1" si="160"/>
        <v>#VALUE!</v>
      </c>
      <c r="AP231" t="e">
        <f t="shared" ca="1" si="160"/>
        <v>#VALUE!</v>
      </c>
    </row>
    <row r="232" spans="1:42">
      <c r="A232" s="48" t="str">
        <f>'[4]TS BYDem'!A162</f>
        <v>*</v>
      </c>
      <c r="B232" t="s">
        <v>288</v>
      </c>
      <c r="C232" t="s">
        <v>137</v>
      </c>
      <c r="D232" s="3" t="str">
        <f>'[4]TS BYDem'!D162</f>
        <v>IPPS</v>
      </c>
      <c r="E232" t="s">
        <v>137</v>
      </c>
      <c r="F232" t="s">
        <v>137</v>
      </c>
      <c r="G232" t="s">
        <v>137</v>
      </c>
      <c r="H232" t="s">
        <v>137</v>
      </c>
      <c r="I232">
        <v>0</v>
      </c>
      <c r="J232" t="str">
        <f>INDEX('[4]TS BYDem'!$J$10:$J$203,MATCH(D232,'[4]TS BYDem'!$D$10:$D$203,0))</f>
        <v/>
      </c>
      <c r="K232" t="e">
        <f t="shared" ca="1" si="159"/>
        <v>#VALUE!</v>
      </c>
      <c r="L232" t="e">
        <f t="shared" ca="1" si="159"/>
        <v>#VALUE!</v>
      </c>
      <c r="M232" t="e">
        <f t="shared" ca="1" si="159"/>
        <v>#VALUE!</v>
      </c>
      <c r="N232" t="e">
        <f t="shared" ca="1" si="159"/>
        <v>#VALUE!</v>
      </c>
      <c r="O232" t="e">
        <f t="shared" ca="1" si="159"/>
        <v>#VALUE!</v>
      </c>
      <c r="P232" t="e">
        <f t="shared" ca="1" si="159"/>
        <v>#VALUE!</v>
      </c>
      <c r="Q232" t="e">
        <f t="shared" ca="1" si="159"/>
        <v>#VALUE!</v>
      </c>
      <c r="R232" t="e">
        <f t="shared" ca="1" si="159"/>
        <v>#VALUE!</v>
      </c>
      <c r="S232" t="e">
        <f t="shared" ca="1" si="159"/>
        <v>#VALUE!</v>
      </c>
      <c r="T232" t="e">
        <f t="shared" ca="1" si="159"/>
        <v>#VALUE!</v>
      </c>
      <c r="U232" t="e">
        <f t="shared" ca="1" si="159"/>
        <v>#VALUE!</v>
      </c>
      <c r="V232" t="e">
        <f t="shared" ca="1" si="159"/>
        <v>#VALUE!</v>
      </c>
      <c r="W232" t="e">
        <f t="shared" ca="1" si="159"/>
        <v>#VALUE!</v>
      </c>
      <c r="X232" t="e">
        <f t="shared" ca="1" si="159"/>
        <v>#VALUE!</v>
      </c>
      <c r="Y232" t="e">
        <f t="shared" ca="1" si="159"/>
        <v>#VALUE!</v>
      </c>
      <c r="Z232" t="e">
        <f t="shared" ca="1" si="159"/>
        <v>#VALUE!</v>
      </c>
      <c r="AA232" t="e">
        <f t="shared" ca="1" si="160"/>
        <v>#VALUE!</v>
      </c>
      <c r="AB232" t="e">
        <f t="shared" ca="1" si="160"/>
        <v>#VALUE!</v>
      </c>
      <c r="AC232" t="e">
        <f t="shared" ca="1" si="160"/>
        <v>#VALUE!</v>
      </c>
      <c r="AD232" t="e">
        <f t="shared" ca="1" si="160"/>
        <v>#VALUE!</v>
      </c>
      <c r="AE232" t="e">
        <f t="shared" ca="1" si="160"/>
        <v>#VALUE!</v>
      </c>
      <c r="AF232" t="e">
        <f t="shared" ca="1" si="160"/>
        <v>#VALUE!</v>
      </c>
      <c r="AG232" t="e">
        <f t="shared" ca="1" si="160"/>
        <v>#VALUE!</v>
      </c>
      <c r="AH232" t="e">
        <f t="shared" ca="1" si="160"/>
        <v>#VALUE!</v>
      </c>
      <c r="AI232" t="e">
        <f t="shared" ca="1" si="160"/>
        <v>#VALUE!</v>
      </c>
      <c r="AJ232" t="e">
        <f t="shared" ca="1" si="160"/>
        <v>#VALUE!</v>
      </c>
      <c r="AK232" t="e">
        <f t="shared" ca="1" si="160"/>
        <v>#VALUE!</v>
      </c>
      <c r="AL232" t="e">
        <f t="shared" ca="1" si="160"/>
        <v>#VALUE!</v>
      </c>
      <c r="AM232" t="e">
        <f t="shared" ca="1" si="160"/>
        <v>#VALUE!</v>
      </c>
      <c r="AN232" t="e">
        <f t="shared" ca="1" si="160"/>
        <v>#VALUE!</v>
      </c>
      <c r="AO232" t="e">
        <f t="shared" ca="1" si="160"/>
        <v>#VALUE!</v>
      </c>
      <c r="AP232" t="e">
        <f t="shared" ca="1" si="160"/>
        <v>#VALUE!</v>
      </c>
    </row>
    <row r="233" spans="1:42">
      <c r="A233" s="48" t="str">
        <f>'[4]TS BYDem'!A163</f>
        <v>*</v>
      </c>
      <c r="B233" t="s">
        <v>288</v>
      </c>
      <c r="C233" t="s">
        <v>137</v>
      </c>
      <c r="D233" s="3" t="str">
        <f>'[4]TS BYDem'!D163</f>
        <v>IPPS</v>
      </c>
      <c r="E233" t="s">
        <v>137</v>
      </c>
      <c r="F233" t="s">
        <v>137</v>
      </c>
      <c r="G233" t="s">
        <v>137</v>
      </c>
      <c r="H233" t="s">
        <v>137</v>
      </c>
      <c r="I233">
        <v>0</v>
      </c>
      <c r="J233" t="str">
        <f>INDEX('[4]TS BYDem'!$J$10:$J$203,MATCH(D233,'[4]TS BYDem'!$D$10:$D$203,0))</f>
        <v/>
      </c>
      <c r="K233" t="e">
        <f t="shared" ca="1" si="159"/>
        <v>#VALUE!</v>
      </c>
      <c r="L233" t="e">
        <f t="shared" ca="1" si="159"/>
        <v>#VALUE!</v>
      </c>
      <c r="M233" t="e">
        <f t="shared" ca="1" si="159"/>
        <v>#VALUE!</v>
      </c>
      <c r="N233" t="e">
        <f t="shared" ca="1" si="159"/>
        <v>#VALUE!</v>
      </c>
      <c r="O233" t="e">
        <f t="shared" ca="1" si="159"/>
        <v>#VALUE!</v>
      </c>
      <c r="P233" t="e">
        <f t="shared" ca="1" si="159"/>
        <v>#VALUE!</v>
      </c>
      <c r="Q233" t="e">
        <f t="shared" ca="1" si="159"/>
        <v>#VALUE!</v>
      </c>
      <c r="R233" t="e">
        <f t="shared" ca="1" si="159"/>
        <v>#VALUE!</v>
      </c>
      <c r="S233" t="e">
        <f t="shared" ca="1" si="159"/>
        <v>#VALUE!</v>
      </c>
      <c r="T233" t="e">
        <f t="shared" ca="1" si="159"/>
        <v>#VALUE!</v>
      </c>
      <c r="U233" t="e">
        <f t="shared" ca="1" si="159"/>
        <v>#VALUE!</v>
      </c>
      <c r="V233" t="e">
        <f t="shared" ca="1" si="159"/>
        <v>#VALUE!</v>
      </c>
      <c r="W233" t="e">
        <f t="shared" ca="1" si="159"/>
        <v>#VALUE!</v>
      </c>
      <c r="X233" t="e">
        <f t="shared" ca="1" si="159"/>
        <v>#VALUE!</v>
      </c>
      <c r="Y233" t="e">
        <f t="shared" ca="1" si="159"/>
        <v>#VALUE!</v>
      </c>
      <c r="Z233" t="e">
        <f t="shared" ca="1" si="159"/>
        <v>#VALUE!</v>
      </c>
      <c r="AA233" t="e">
        <f t="shared" ca="1" si="160"/>
        <v>#VALUE!</v>
      </c>
      <c r="AB233" t="e">
        <f t="shared" ca="1" si="160"/>
        <v>#VALUE!</v>
      </c>
      <c r="AC233" t="e">
        <f t="shared" ca="1" si="160"/>
        <v>#VALUE!</v>
      </c>
      <c r="AD233" t="e">
        <f t="shared" ca="1" si="160"/>
        <v>#VALUE!</v>
      </c>
      <c r="AE233" t="e">
        <f t="shared" ca="1" si="160"/>
        <v>#VALUE!</v>
      </c>
      <c r="AF233" t="e">
        <f t="shared" ca="1" si="160"/>
        <v>#VALUE!</v>
      </c>
      <c r="AG233" t="e">
        <f t="shared" ca="1" si="160"/>
        <v>#VALUE!</v>
      </c>
      <c r="AH233" t="e">
        <f t="shared" ca="1" si="160"/>
        <v>#VALUE!</v>
      </c>
      <c r="AI233" t="e">
        <f t="shared" ca="1" si="160"/>
        <v>#VALUE!</v>
      </c>
      <c r="AJ233" t="e">
        <f t="shared" ca="1" si="160"/>
        <v>#VALUE!</v>
      </c>
      <c r="AK233" t="e">
        <f t="shared" ca="1" si="160"/>
        <v>#VALUE!</v>
      </c>
      <c r="AL233" t="e">
        <f t="shared" ca="1" si="160"/>
        <v>#VALUE!</v>
      </c>
      <c r="AM233" t="e">
        <f t="shared" ca="1" si="160"/>
        <v>#VALUE!</v>
      </c>
      <c r="AN233" t="e">
        <f t="shared" ca="1" si="160"/>
        <v>#VALUE!</v>
      </c>
      <c r="AO233" t="e">
        <f t="shared" ca="1" si="160"/>
        <v>#VALUE!</v>
      </c>
      <c r="AP233" t="e">
        <f t="shared" ca="1" si="160"/>
        <v>#VALUE!</v>
      </c>
    </row>
    <row r="234" spans="1:42">
      <c r="A234" s="48" t="str">
        <f>'[4]TS BYDem'!A164</f>
        <v>*</v>
      </c>
      <c r="B234" t="s">
        <v>288</v>
      </c>
      <c r="C234" t="s">
        <v>137</v>
      </c>
      <c r="D234" s="3" t="str">
        <f>'[4]TS BYDem'!D164</f>
        <v>IPPS</v>
      </c>
      <c r="E234" t="s">
        <v>137</v>
      </c>
      <c r="F234" t="s">
        <v>137</v>
      </c>
      <c r="G234" t="s">
        <v>137</v>
      </c>
      <c r="H234" t="s">
        <v>137</v>
      </c>
      <c r="I234">
        <v>0</v>
      </c>
      <c r="J234" t="str">
        <f>INDEX('[4]TS BYDem'!$J$10:$J$203,MATCH(D234,'[4]TS BYDem'!$D$10:$D$203,0))</f>
        <v/>
      </c>
      <c r="K234" t="e">
        <f t="shared" ca="1" si="159"/>
        <v>#VALUE!</v>
      </c>
      <c r="L234" t="e">
        <f t="shared" ca="1" si="159"/>
        <v>#VALUE!</v>
      </c>
      <c r="M234" t="e">
        <f t="shared" ca="1" si="159"/>
        <v>#VALUE!</v>
      </c>
      <c r="N234" t="e">
        <f t="shared" ca="1" si="159"/>
        <v>#VALUE!</v>
      </c>
      <c r="O234" t="e">
        <f t="shared" ca="1" si="159"/>
        <v>#VALUE!</v>
      </c>
      <c r="P234" t="e">
        <f t="shared" ca="1" si="159"/>
        <v>#VALUE!</v>
      </c>
      <c r="Q234" t="e">
        <f t="shared" ca="1" si="159"/>
        <v>#VALUE!</v>
      </c>
      <c r="R234" t="e">
        <f t="shared" ca="1" si="159"/>
        <v>#VALUE!</v>
      </c>
      <c r="S234" t="e">
        <f t="shared" ca="1" si="159"/>
        <v>#VALUE!</v>
      </c>
      <c r="T234" t="e">
        <f t="shared" ca="1" si="159"/>
        <v>#VALUE!</v>
      </c>
      <c r="U234" t="e">
        <f t="shared" ca="1" si="159"/>
        <v>#VALUE!</v>
      </c>
      <c r="V234" t="e">
        <f t="shared" ca="1" si="159"/>
        <v>#VALUE!</v>
      </c>
      <c r="W234" t="e">
        <f t="shared" ca="1" si="159"/>
        <v>#VALUE!</v>
      </c>
      <c r="X234" t="e">
        <f t="shared" ca="1" si="159"/>
        <v>#VALUE!</v>
      </c>
      <c r="Y234" t="e">
        <f t="shared" ca="1" si="159"/>
        <v>#VALUE!</v>
      </c>
      <c r="Z234" t="e">
        <f t="shared" ca="1" si="159"/>
        <v>#VALUE!</v>
      </c>
      <c r="AA234" t="e">
        <f t="shared" ca="1" si="160"/>
        <v>#VALUE!</v>
      </c>
      <c r="AB234" t="e">
        <f t="shared" ca="1" si="160"/>
        <v>#VALUE!</v>
      </c>
      <c r="AC234" t="e">
        <f t="shared" ca="1" si="160"/>
        <v>#VALUE!</v>
      </c>
      <c r="AD234" t="e">
        <f t="shared" ca="1" si="160"/>
        <v>#VALUE!</v>
      </c>
      <c r="AE234" t="e">
        <f t="shared" ca="1" si="160"/>
        <v>#VALUE!</v>
      </c>
      <c r="AF234" t="e">
        <f t="shared" ca="1" si="160"/>
        <v>#VALUE!</v>
      </c>
      <c r="AG234" t="e">
        <f t="shared" ca="1" si="160"/>
        <v>#VALUE!</v>
      </c>
      <c r="AH234" t="e">
        <f t="shared" ca="1" si="160"/>
        <v>#VALUE!</v>
      </c>
      <c r="AI234" t="e">
        <f t="shared" ca="1" si="160"/>
        <v>#VALUE!</v>
      </c>
      <c r="AJ234" t="e">
        <f t="shared" ca="1" si="160"/>
        <v>#VALUE!</v>
      </c>
      <c r="AK234" t="e">
        <f t="shared" ca="1" si="160"/>
        <v>#VALUE!</v>
      </c>
      <c r="AL234" t="e">
        <f t="shared" ca="1" si="160"/>
        <v>#VALUE!</v>
      </c>
      <c r="AM234" t="e">
        <f t="shared" ca="1" si="160"/>
        <v>#VALUE!</v>
      </c>
      <c r="AN234" t="e">
        <f t="shared" ca="1" si="160"/>
        <v>#VALUE!</v>
      </c>
      <c r="AO234" t="e">
        <f t="shared" ca="1" si="160"/>
        <v>#VALUE!</v>
      </c>
      <c r="AP234" t="e">
        <f t="shared" ca="1" si="160"/>
        <v>#VALUE!</v>
      </c>
    </row>
    <row r="235" spans="1:42">
      <c r="A235" s="48" t="str">
        <f>'[4]TS BYDem'!A165</f>
        <v>*</v>
      </c>
      <c r="B235" t="s">
        <v>288</v>
      </c>
      <c r="C235" t="s">
        <v>137</v>
      </c>
      <c r="D235" s="3" t="str">
        <f>'[4]TS BYDem'!D165</f>
        <v>IPPS</v>
      </c>
      <c r="E235" t="s">
        <v>137</v>
      </c>
      <c r="F235" t="s">
        <v>137</v>
      </c>
      <c r="G235" t="s">
        <v>137</v>
      </c>
      <c r="H235" t="s">
        <v>137</v>
      </c>
      <c r="I235">
        <v>0</v>
      </c>
      <c r="J235" t="str">
        <f>INDEX('[4]TS BYDem'!$J$10:$J$203,MATCH(D235,'[4]TS BYDem'!$D$10:$D$203,0))</f>
        <v/>
      </c>
      <c r="K235" t="e">
        <f t="shared" ca="1" si="159"/>
        <v>#VALUE!</v>
      </c>
      <c r="L235" t="e">
        <f t="shared" ca="1" si="159"/>
        <v>#VALUE!</v>
      </c>
      <c r="M235" t="e">
        <f t="shared" ca="1" si="159"/>
        <v>#VALUE!</v>
      </c>
      <c r="N235" t="e">
        <f t="shared" ca="1" si="159"/>
        <v>#VALUE!</v>
      </c>
      <c r="O235" t="e">
        <f t="shared" ca="1" si="159"/>
        <v>#VALUE!</v>
      </c>
      <c r="P235" t="e">
        <f t="shared" ca="1" si="159"/>
        <v>#VALUE!</v>
      </c>
      <c r="Q235" t="e">
        <f t="shared" ca="1" si="159"/>
        <v>#VALUE!</v>
      </c>
      <c r="R235" t="e">
        <f t="shared" ca="1" si="159"/>
        <v>#VALUE!</v>
      </c>
      <c r="S235" t="e">
        <f t="shared" ca="1" si="159"/>
        <v>#VALUE!</v>
      </c>
      <c r="T235" t="e">
        <f t="shared" ca="1" si="159"/>
        <v>#VALUE!</v>
      </c>
      <c r="U235" t="e">
        <f t="shared" ca="1" si="159"/>
        <v>#VALUE!</v>
      </c>
      <c r="V235" t="e">
        <f t="shared" ca="1" si="159"/>
        <v>#VALUE!</v>
      </c>
      <c r="W235" t="e">
        <f t="shared" ca="1" si="159"/>
        <v>#VALUE!</v>
      </c>
      <c r="X235" t="e">
        <f t="shared" ca="1" si="159"/>
        <v>#VALUE!</v>
      </c>
      <c r="Y235" t="e">
        <f t="shared" ca="1" si="159"/>
        <v>#VALUE!</v>
      </c>
      <c r="Z235" t="e">
        <f t="shared" ca="1" si="159"/>
        <v>#VALUE!</v>
      </c>
      <c r="AA235" t="e">
        <f t="shared" ca="1" si="160"/>
        <v>#VALUE!</v>
      </c>
      <c r="AB235" t="e">
        <f t="shared" ca="1" si="160"/>
        <v>#VALUE!</v>
      </c>
      <c r="AC235" t="e">
        <f t="shared" ca="1" si="160"/>
        <v>#VALUE!</v>
      </c>
      <c r="AD235" t="e">
        <f t="shared" ca="1" si="160"/>
        <v>#VALUE!</v>
      </c>
      <c r="AE235" t="e">
        <f t="shared" ca="1" si="160"/>
        <v>#VALUE!</v>
      </c>
      <c r="AF235" t="e">
        <f t="shared" ca="1" si="160"/>
        <v>#VALUE!</v>
      </c>
      <c r="AG235" t="e">
        <f t="shared" ca="1" si="160"/>
        <v>#VALUE!</v>
      </c>
      <c r="AH235" t="e">
        <f t="shared" ca="1" si="160"/>
        <v>#VALUE!</v>
      </c>
      <c r="AI235" t="e">
        <f t="shared" ca="1" si="160"/>
        <v>#VALUE!</v>
      </c>
      <c r="AJ235" t="e">
        <f t="shared" ca="1" si="160"/>
        <v>#VALUE!</v>
      </c>
      <c r="AK235" t="e">
        <f t="shared" ca="1" si="160"/>
        <v>#VALUE!</v>
      </c>
      <c r="AL235" t="e">
        <f t="shared" ca="1" si="160"/>
        <v>#VALUE!</v>
      </c>
      <c r="AM235" t="e">
        <f t="shared" ca="1" si="160"/>
        <v>#VALUE!</v>
      </c>
      <c r="AN235" t="e">
        <f t="shared" ca="1" si="160"/>
        <v>#VALUE!</v>
      </c>
      <c r="AO235" t="e">
        <f t="shared" ca="1" si="160"/>
        <v>#VALUE!</v>
      </c>
      <c r="AP235" t="e">
        <f t="shared" ca="1" si="160"/>
        <v>#VALUE!</v>
      </c>
    </row>
    <row r="236" spans="1:42">
      <c r="A236" s="48" t="str">
        <f>'[4]TS BYDem'!A166</f>
        <v>*</v>
      </c>
      <c r="B236" t="s">
        <v>288</v>
      </c>
      <c r="C236" t="s">
        <v>137</v>
      </c>
      <c r="D236" s="3" t="str">
        <f>'[4]TS BYDem'!D166</f>
        <v>IPPS</v>
      </c>
      <c r="E236" t="s">
        <v>137</v>
      </c>
      <c r="F236" t="s">
        <v>137</v>
      </c>
      <c r="G236" t="s">
        <v>137</v>
      </c>
      <c r="H236" t="s">
        <v>137</v>
      </c>
      <c r="I236">
        <v>0</v>
      </c>
      <c r="J236" t="str">
        <f>INDEX('[4]TS BYDem'!$J$10:$J$203,MATCH(D236,'[4]TS BYDem'!$D$10:$D$203,0))</f>
        <v/>
      </c>
      <c r="K236" t="e">
        <f t="shared" ca="1" si="159"/>
        <v>#VALUE!</v>
      </c>
      <c r="L236" t="e">
        <f t="shared" ca="1" si="159"/>
        <v>#VALUE!</v>
      </c>
      <c r="M236" t="e">
        <f t="shared" ca="1" si="159"/>
        <v>#VALUE!</v>
      </c>
      <c r="N236" t="e">
        <f t="shared" ca="1" si="159"/>
        <v>#VALUE!</v>
      </c>
      <c r="O236" t="e">
        <f t="shared" ca="1" si="159"/>
        <v>#VALUE!</v>
      </c>
      <c r="P236" t="e">
        <f t="shared" ca="1" si="159"/>
        <v>#VALUE!</v>
      </c>
      <c r="Q236" t="e">
        <f t="shared" ca="1" si="159"/>
        <v>#VALUE!</v>
      </c>
      <c r="R236" t="e">
        <f t="shared" ca="1" si="159"/>
        <v>#VALUE!</v>
      </c>
      <c r="S236" t="e">
        <f t="shared" ca="1" si="159"/>
        <v>#VALUE!</v>
      </c>
      <c r="T236" t="e">
        <f t="shared" ca="1" si="159"/>
        <v>#VALUE!</v>
      </c>
      <c r="U236" t="e">
        <f t="shared" ca="1" si="159"/>
        <v>#VALUE!</v>
      </c>
      <c r="V236" t="e">
        <f t="shared" ca="1" si="159"/>
        <v>#VALUE!</v>
      </c>
      <c r="W236" t="e">
        <f t="shared" ca="1" si="159"/>
        <v>#VALUE!</v>
      </c>
      <c r="X236" t="e">
        <f t="shared" ca="1" si="159"/>
        <v>#VALUE!</v>
      </c>
      <c r="Y236" t="e">
        <f t="shared" ca="1" si="159"/>
        <v>#VALUE!</v>
      </c>
      <c r="Z236" t="e">
        <f t="shared" ref="Z236:AO237" ca="1" si="161">Z$220/Y$220*Y236</f>
        <v>#VALUE!</v>
      </c>
      <c r="AA236" t="e">
        <f t="shared" ca="1" si="161"/>
        <v>#VALUE!</v>
      </c>
      <c r="AB236" t="e">
        <f t="shared" ca="1" si="161"/>
        <v>#VALUE!</v>
      </c>
      <c r="AC236" t="e">
        <f t="shared" ca="1" si="161"/>
        <v>#VALUE!</v>
      </c>
      <c r="AD236" t="e">
        <f t="shared" ca="1" si="161"/>
        <v>#VALUE!</v>
      </c>
      <c r="AE236" t="e">
        <f t="shared" ca="1" si="161"/>
        <v>#VALUE!</v>
      </c>
      <c r="AF236" t="e">
        <f t="shared" ca="1" si="161"/>
        <v>#VALUE!</v>
      </c>
      <c r="AG236" t="e">
        <f t="shared" ca="1" si="161"/>
        <v>#VALUE!</v>
      </c>
      <c r="AH236" t="e">
        <f t="shared" ca="1" si="161"/>
        <v>#VALUE!</v>
      </c>
      <c r="AI236" t="e">
        <f t="shared" ca="1" si="161"/>
        <v>#VALUE!</v>
      </c>
      <c r="AJ236" t="e">
        <f t="shared" ca="1" si="161"/>
        <v>#VALUE!</v>
      </c>
      <c r="AK236" t="e">
        <f t="shared" ca="1" si="161"/>
        <v>#VALUE!</v>
      </c>
      <c r="AL236" t="e">
        <f t="shared" ca="1" si="161"/>
        <v>#VALUE!</v>
      </c>
      <c r="AM236" t="e">
        <f t="shared" ca="1" si="161"/>
        <v>#VALUE!</v>
      </c>
      <c r="AN236" t="e">
        <f t="shared" ca="1" si="161"/>
        <v>#VALUE!</v>
      </c>
      <c r="AO236" t="e">
        <f t="shared" ca="1" si="161"/>
        <v>#VALUE!</v>
      </c>
      <c r="AP236" t="e">
        <f t="shared" ca="1" si="160"/>
        <v>#VALUE!</v>
      </c>
    </row>
    <row r="237" spans="1:42">
      <c r="A237" s="48" t="str">
        <f>'[4]TS BYDem'!A167</f>
        <v>*</v>
      </c>
      <c r="B237" t="s">
        <v>288</v>
      </c>
      <c r="C237" t="s">
        <v>137</v>
      </c>
      <c r="D237" s="3" t="str">
        <f>'[4]TS BYDem'!D167</f>
        <v>IPPS</v>
      </c>
      <c r="E237" t="s">
        <v>137</v>
      </c>
      <c r="F237" t="s">
        <v>137</v>
      </c>
      <c r="G237" t="s">
        <v>137</v>
      </c>
      <c r="H237" t="s">
        <v>137</v>
      </c>
      <c r="I237">
        <v>0</v>
      </c>
      <c r="J237" t="str">
        <f>INDEX('[4]TS BYDem'!$J$10:$J$203,MATCH(D237,'[4]TS BYDem'!$D$10:$D$203,0))</f>
        <v/>
      </c>
      <c r="K237" t="e">
        <f t="shared" ref="K237:Z238" ca="1" si="162">K$220/J$220*J237</f>
        <v>#VALUE!</v>
      </c>
      <c r="L237" t="e">
        <f t="shared" ca="1" si="162"/>
        <v>#VALUE!</v>
      </c>
      <c r="M237" t="e">
        <f t="shared" ca="1" si="162"/>
        <v>#VALUE!</v>
      </c>
      <c r="N237" t="e">
        <f t="shared" ca="1" si="162"/>
        <v>#VALUE!</v>
      </c>
      <c r="O237" t="e">
        <f t="shared" ca="1" si="162"/>
        <v>#VALUE!</v>
      </c>
      <c r="P237" t="e">
        <f t="shared" ca="1" si="162"/>
        <v>#VALUE!</v>
      </c>
      <c r="Q237" t="e">
        <f t="shared" ca="1" si="162"/>
        <v>#VALUE!</v>
      </c>
      <c r="R237" t="e">
        <f t="shared" ca="1" si="162"/>
        <v>#VALUE!</v>
      </c>
      <c r="S237" t="e">
        <f t="shared" ca="1" si="162"/>
        <v>#VALUE!</v>
      </c>
      <c r="T237" t="e">
        <f t="shared" ca="1" si="162"/>
        <v>#VALUE!</v>
      </c>
      <c r="U237" t="e">
        <f t="shared" ca="1" si="162"/>
        <v>#VALUE!</v>
      </c>
      <c r="V237" t="e">
        <f t="shared" ca="1" si="162"/>
        <v>#VALUE!</v>
      </c>
      <c r="W237" t="e">
        <f t="shared" ca="1" si="162"/>
        <v>#VALUE!</v>
      </c>
      <c r="X237" t="e">
        <f t="shared" ca="1" si="162"/>
        <v>#VALUE!</v>
      </c>
      <c r="Y237" t="e">
        <f t="shared" ca="1" si="162"/>
        <v>#VALUE!</v>
      </c>
      <c r="Z237" t="e">
        <f t="shared" ca="1" si="162"/>
        <v>#VALUE!</v>
      </c>
      <c r="AA237" t="e">
        <f t="shared" ca="1" si="161"/>
        <v>#VALUE!</v>
      </c>
      <c r="AB237" t="e">
        <f t="shared" ca="1" si="161"/>
        <v>#VALUE!</v>
      </c>
      <c r="AC237" t="e">
        <f t="shared" ca="1" si="161"/>
        <v>#VALUE!</v>
      </c>
      <c r="AD237" t="e">
        <f t="shared" ca="1" si="161"/>
        <v>#VALUE!</v>
      </c>
      <c r="AE237" t="e">
        <f t="shared" ca="1" si="161"/>
        <v>#VALUE!</v>
      </c>
      <c r="AF237" t="e">
        <f t="shared" ca="1" si="161"/>
        <v>#VALUE!</v>
      </c>
      <c r="AG237" t="e">
        <f t="shared" ca="1" si="161"/>
        <v>#VALUE!</v>
      </c>
      <c r="AH237" t="e">
        <f t="shared" ca="1" si="161"/>
        <v>#VALUE!</v>
      </c>
      <c r="AI237" t="e">
        <f t="shared" ca="1" si="161"/>
        <v>#VALUE!</v>
      </c>
      <c r="AJ237" t="e">
        <f t="shared" ca="1" si="161"/>
        <v>#VALUE!</v>
      </c>
      <c r="AK237" t="e">
        <f t="shared" ca="1" si="161"/>
        <v>#VALUE!</v>
      </c>
      <c r="AL237" t="e">
        <f t="shared" ca="1" si="161"/>
        <v>#VALUE!</v>
      </c>
      <c r="AM237" t="e">
        <f t="shared" ca="1" si="161"/>
        <v>#VALUE!</v>
      </c>
      <c r="AN237" t="e">
        <f t="shared" ca="1" si="161"/>
        <v>#VALUE!</v>
      </c>
      <c r="AO237" t="e">
        <f t="shared" ca="1" si="161"/>
        <v>#VALUE!</v>
      </c>
      <c r="AP237" t="e">
        <f t="shared" ref="L237:AP238" ca="1" si="163">AP$220/AO$220*AO237</f>
        <v>#VALUE!</v>
      </c>
    </row>
    <row r="238" spans="1:42">
      <c r="A238" s="48" t="str">
        <f>'[4]TS BYDem'!A168</f>
        <v>*</v>
      </c>
      <c r="B238" t="s">
        <v>288</v>
      </c>
      <c r="C238" t="s">
        <v>137</v>
      </c>
      <c r="D238" s="3" t="str">
        <f>'[4]TS BYDem'!D168</f>
        <v>IPPS</v>
      </c>
      <c r="E238" t="s">
        <v>137</v>
      </c>
      <c r="F238" t="s">
        <v>137</v>
      </c>
      <c r="G238" t="s">
        <v>137</v>
      </c>
      <c r="H238" t="s">
        <v>137</v>
      </c>
      <c r="I238">
        <v>0</v>
      </c>
      <c r="J238" t="str">
        <f>INDEX('[4]TS BYDem'!$J$10:$J$203,MATCH(D238,'[4]TS BYDem'!$D$10:$D$203,0))</f>
        <v/>
      </c>
      <c r="K238" t="e">
        <f t="shared" ca="1" si="162"/>
        <v>#VALUE!</v>
      </c>
      <c r="L238" t="e">
        <f t="shared" ca="1" si="163"/>
        <v>#VALUE!</v>
      </c>
      <c r="M238" t="e">
        <f t="shared" ca="1" si="163"/>
        <v>#VALUE!</v>
      </c>
      <c r="N238" t="e">
        <f t="shared" ca="1" si="163"/>
        <v>#VALUE!</v>
      </c>
      <c r="O238" t="e">
        <f t="shared" ca="1" si="163"/>
        <v>#VALUE!</v>
      </c>
      <c r="P238" t="e">
        <f t="shared" ca="1" si="163"/>
        <v>#VALUE!</v>
      </c>
      <c r="Q238" t="e">
        <f t="shared" ca="1" si="163"/>
        <v>#VALUE!</v>
      </c>
      <c r="R238" t="e">
        <f t="shared" ca="1" si="163"/>
        <v>#VALUE!</v>
      </c>
      <c r="S238" t="e">
        <f t="shared" ca="1" si="163"/>
        <v>#VALUE!</v>
      </c>
      <c r="T238" t="e">
        <f t="shared" ca="1" si="163"/>
        <v>#VALUE!</v>
      </c>
      <c r="U238" t="e">
        <f t="shared" ca="1" si="163"/>
        <v>#VALUE!</v>
      </c>
      <c r="V238" t="e">
        <f t="shared" ca="1" si="163"/>
        <v>#VALUE!</v>
      </c>
      <c r="W238" t="e">
        <f t="shared" ca="1" si="163"/>
        <v>#VALUE!</v>
      </c>
      <c r="X238" t="e">
        <f t="shared" ca="1" si="163"/>
        <v>#VALUE!</v>
      </c>
      <c r="Y238" t="e">
        <f t="shared" ca="1" si="163"/>
        <v>#VALUE!</v>
      </c>
      <c r="Z238" t="e">
        <f t="shared" ca="1" si="163"/>
        <v>#VALUE!</v>
      </c>
      <c r="AA238" t="e">
        <f t="shared" ca="1" si="163"/>
        <v>#VALUE!</v>
      </c>
      <c r="AB238" t="e">
        <f t="shared" ca="1" si="163"/>
        <v>#VALUE!</v>
      </c>
      <c r="AC238" t="e">
        <f t="shared" ca="1" si="163"/>
        <v>#VALUE!</v>
      </c>
      <c r="AD238" t="e">
        <f t="shared" ca="1" si="163"/>
        <v>#VALUE!</v>
      </c>
      <c r="AE238" t="e">
        <f t="shared" ca="1" si="163"/>
        <v>#VALUE!</v>
      </c>
      <c r="AF238" t="e">
        <f t="shared" ca="1" si="163"/>
        <v>#VALUE!</v>
      </c>
      <c r="AG238" t="e">
        <f t="shared" ca="1" si="163"/>
        <v>#VALUE!</v>
      </c>
      <c r="AH238" t="e">
        <f t="shared" ca="1" si="163"/>
        <v>#VALUE!</v>
      </c>
      <c r="AI238" t="e">
        <f t="shared" ca="1" si="163"/>
        <v>#VALUE!</v>
      </c>
      <c r="AJ238" t="e">
        <f t="shared" ca="1" si="163"/>
        <v>#VALUE!</v>
      </c>
      <c r="AK238" t="e">
        <f t="shared" ca="1" si="163"/>
        <v>#VALUE!</v>
      </c>
      <c r="AL238" t="e">
        <f t="shared" ca="1" si="163"/>
        <v>#VALUE!</v>
      </c>
      <c r="AM238" t="e">
        <f t="shared" ca="1" si="163"/>
        <v>#VALUE!</v>
      </c>
      <c r="AN238" t="e">
        <f t="shared" ca="1" si="163"/>
        <v>#VALUE!</v>
      </c>
      <c r="AO238" t="e">
        <f t="shared" ca="1" si="163"/>
        <v>#VALUE!</v>
      </c>
      <c r="AP238" t="e">
        <f t="shared" ca="1" si="163"/>
        <v>#VALUE!</v>
      </c>
    </row>
    <row r="239" spans="1:42" s="2" customFormat="1">
      <c r="A239" s="48" t="str">
        <f>'[4]TS BYDem'!A165</f>
        <v>*</v>
      </c>
      <c r="B239" s="2">
        <f>B220+2</f>
        <v>16</v>
      </c>
      <c r="C239" s="1" t="str">
        <f ca="1">OFFSET($C$9,$B239,0)</f>
        <v>Other</v>
      </c>
      <c r="D239" s="1" t="str">
        <f ca="1">OFFSET($B$9,$B239,0)</f>
        <v>OT</v>
      </c>
      <c r="J239" s="2">
        <f t="shared" ref="J239:AA239" ca="1" si="164">SUMIF($B$10:$B$25,$D239,J$10:J$25)*SUMIF($B$10:$B$25,$D239,J$47:J$62)</f>
        <v>335.77331305186084</v>
      </c>
      <c r="K239" s="2">
        <f t="shared" ca="1" si="164"/>
        <v>345.12368336779264</v>
      </c>
      <c r="L239" s="2">
        <f t="shared" ca="1" si="164"/>
        <v>351.73654833895557</v>
      </c>
      <c r="M239" s="2">
        <f t="shared" ca="1" si="164"/>
        <v>356.62847152051233</v>
      </c>
      <c r="N239" s="2">
        <f t="shared" ca="1" si="164"/>
        <v>360.31274126727499</v>
      </c>
      <c r="O239" s="2">
        <f t="shared" ca="1" si="164"/>
        <v>363.08022098030375</v>
      </c>
      <c r="P239" s="2">
        <f t="shared" ca="1" si="164"/>
        <v>367.26352107202263</v>
      </c>
      <c r="Q239" s="2">
        <f t="shared" ca="1" si="164"/>
        <v>366.87</v>
      </c>
      <c r="R239" s="2">
        <f t="shared" ca="1" si="164"/>
        <v>340.31</v>
      </c>
      <c r="S239" s="2">
        <f t="shared" ca="1" si="164"/>
        <v>350.9399823024512</v>
      </c>
      <c r="T239" s="2">
        <f t="shared" ca="1" si="164"/>
        <v>358.31773205910991</v>
      </c>
      <c r="U239" s="2">
        <f t="shared" ca="1" si="164"/>
        <v>366.37804914019421</v>
      </c>
      <c r="V239" s="2">
        <f t="shared" ca="1" si="164"/>
        <v>375.47225496268777</v>
      </c>
      <c r="W239" s="2">
        <f t="shared" ca="1" si="164"/>
        <v>384.25529038728149</v>
      </c>
      <c r="X239" s="2">
        <f t="shared" ca="1" si="164"/>
        <v>393.17885437866869</v>
      </c>
      <c r="Y239" s="2">
        <f t="shared" ca="1" si="164"/>
        <v>401.72098368875925</v>
      </c>
      <c r="Z239" s="2">
        <f t="shared" ca="1" si="164"/>
        <v>415.51285874406415</v>
      </c>
      <c r="AA239" s="2">
        <f t="shared" ca="1" si="164"/>
        <v>428.31099607704357</v>
      </c>
      <c r="AB239" s="2">
        <f ca="1">SUMIF($B$10:$B$25,$D239,AB$10:AB$25)*SUMIF($B$10:$B$25,$D239,AB$46:AB$62)</f>
        <v>438.16807126213047</v>
      </c>
      <c r="AC239" s="2">
        <f t="shared" ref="AC239:AP239" ca="1" si="165">SUMIF($B$10:$B$25,$D239,AC$10:AC$25)*SUMIF($B$10:$B$25,$D239,AC$47:AC$62)</f>
        <v>448.67760050733006</v>
      </c>
      <c r="AD239" s="2">
        <f t="shared" ca="1" si="165"/>
        <v>459.57860218859724</v>
      </c>
      <c r="AE239" s="2">
        <f t="shared" ca="1" si="165"/>
        <v>473.17975990325374</v>
      </c>
      <c r="AF239" s="2">
        <f t="shared" ca="1" si="165"/>
        <v>487.34303188508432</v>
      </c>
      <c r="AG239" s="2">
        <f t="shared" ca="1" si="165"/>
        <v>507.33823938884512</v>
      </c>
      <c r="AH239" s="2">
        <f t="shared" ca="1" si="165"/>
        <v>524.90431023803251</v>
      </c>
      <c r="AI239" s="2">
        <f t="shared" ca="1" si="165"/>
        <v>532.27202223992026</v>
      </c>
      <c r="AJ239" s="2">
        <f t="shared" ca="1" si="165"/>
        <v>541.8179270271072</v>
      </c>
      <c r="AK239" s="2">
        <f t="shared" ca="1" si="165"/>
        <v>552.98994808719033</v>
      </c>
      <c r="AL239" s="2">
        <f t="shared" ca="1" si="165"/>
        <v>566.02899153467285</v>
      </c>
      <c r="AM239" s="2">
        <f t="shared" ca="1" si="165"/>
        <v>629.00586496770245</v>
      </c>
      <c r="AN239" s="2">
        <f t="shared" ca="1" si="165"/>
        <v>673.35266554582256</v>
      </c>
      <c r="AO239" s="2">
        <f t="shared" ca="1" si="165"/>
        <v>783.78135169945745</v>
      </c>
      <c r="AP239" s="2">
        <f t="shared" ca="1" si="165"/>
        <v>891.10502571060715</v>
      </c>
    </row>
    <row r="240" spans="1:42">
      <c r="A240" s="48" t="str">
        <f>'[4]TS BYDem'!A170</f>
        <v>*</v>
      </c>
      <c r="B240" t="s">
        <v>288</v>
      </c>
      <c r="C240" t="s">
        <v>137</v>
      </c>
      <c r="D240" s="3">
        <f>'[4]TS BYDem'!D170</f>
        <v>0</v>
      </c>
      <c r="E240" t="s">
        <v>137</v>
      </c>
      <c r="F240" t="s">
        <v>137</v>
      </c>
      <c r="G240" t="s">
        <v>137</v>
      </c>
      <c r="H240" t="s">
        <v>137</v>
      </c>
      <c r="I240">
        <v>0</v>
      </c>
      <c r="J240" t="str">
        <f>INDEX('[4]TS BYDem'!$J$10:$J$203,MATCH(D240,'[4]TS BYDem'!$D$10:$D$203,0))</f>
        <v/>
      </c>
      <c r="K240" t="e">
        <f t="shared" ref="K240:Z262" ca="1" si="166">K$239/J$239*J240</f>
        <v>#VALUE!</v>
      </c>
      <c r="L240" t="e">
        <f t="shared" ca="1" si="166"/>
        <v>#VALUE!</v>
      </c>
      <c r="M240" t="e">
        <f t="shared" ca="1" si="166"/>
        <v>#VALUE!</v>
      </c>
      <c r="N240" t="e">
        <f t="shared" ca="1" si="166"/>
        <v>#VALUE!</v>
      </c>
      <c r="O240" t="e">
        <f t="shared" ca="1" si="166"/>
        <v>#VALUE!</v>
      </c>
      <c r="P240" t="e">
        <f t="shared" ca="1" si="166"/>
        <v>#VALUE!</v>
      </c>
      <c r="Q240" t="e">
        <f t="shared" ca="1" si="166"/>
        <v>#VALUE!</v>
      </c>
      <c r="R240" t="e">
        <f t="shared" ca="1" si="166"/>
        <v>#VALUE!</v>
      </c>
      <c r="S240" t="e">
        <f t="shared" ca="1" si="166"/>
        <v>#VALUE!</v>
      </c>
      <c r="T240" t="e">
        <f t="shared" ca="1" si="166"/>
        <v>#VALUE!</v>
      </c>
      <c r="U240" t="e">
        <f t="shared" ca="1" si="166"/>
        <v>#VALUE!</v>
      </c>
      <c r="V240" t="e">
        <f t="shared" ca="1" si="166"/>
        <v>#VALUE!</v>
      </c>
      <c r="W240" t="e">
        <f t="shared" ca="1" si="166"/>
        <v>#VALUE!</v>
      </c>
      <c r="X240" t="e">
        <f t="shared" ca="1" si="166"/>
        <v>#VALUE!</v>
      </c>
      <c r="Y240" t="e">
        <f t="shared" ca="1" si="166"/>
        <v>#VALUE!</v>
      </c>
      <c r="Z240" t="e">
        <f t="shared" ca="1" si="166"/>
        <v>#VALUE!</v>
      </c>
      <c r="AA240" t="e">
        <f t="shared" ref="AA240:AP255" ca="1" si="167">AA$239/Z$239*Z240</f>
        <v>#VALUE!</v>
      </c>
      <c r="AB240" t="e">
        <f t="shared" ca="1" si="167"/>
        <v>#VALUE!</v>
      </c>
      <c r="AC240" t="e">
        <f t="shared" ca="1" si="167"/>
        <v>#VALUE!</v>
      </c>
      <c r="AD240" t="e">
        <f t="shared" ca="1" si="167"/>
        <v>#VALUE!</v>
      </c>
      <c r="AE240" t="e">
        <f t="shared" ca="1" si="167"/>
        <v>#VALUE!</v>
      </c>
      <c r="AF240" t="e">
        <f t="shared" ca="1" si="167"/>
        <v>#VALUE!</v>
      </c>
      <c r="AG240" t="e">
        <f t="shared" ca="1" si="167"/>
        <v>#VALUE!</v>
      </c>
      <c r="AH240" t="e">
        <f t="shared" ca="1" si="167"/>
        <v>#VALUE!</v>
      </c>
      <c r="AI240" t="e">
        <f t="shared" ca="1" si="167"/>
        <v>#VALUE!</v>
      </c>
      <c r="AJ240" t="e">
        <f t="shared" ca="1" si="167"/>
        <v>#VALUE!</v>
      </c>
      <c r="AK240" t="e">
        <f t="shared" ca="1" si="167"/>
        <v>#VALUE!</v>
      </c>
      <c r="AL240" t="e">
        <f t="shared" ca="1" si="167"/>
        <v>#VALUE!</v>
      </c>
      <c r="AM240" t="e">
        <f t="shared" ca="1" si="167"/>
        <v>#VALUE!</v>
      </c>
      <c r="AN240" t="e">
        <f t="shared" ca="1" si="167"/>
        <v>#VALUE!</v>
      </c>
      <c r="AO240" t="e">
        <f t="shared" ca="1" si="167"/>
        <v>#VALUE!</v>
      </c>
      <c r="AP240" t="e">
        <f t="shared" ca="1" si="167"/>
        <v>#VALUE!</v>
      </c>
    </row>
    <row r="241" spans="1:42">
      <c r="A241" s="48" t="str">
        <f>'[4]TS BYDem'!A171</f>
        <v>*</v>
      </c>
      <c r="B241" t="s">
        <v>288</v>
      </c>
      <c r="C241" t="s">
        <v>137</v>
      </c>
      <c r="D241" s="3">
        <f>'[4]TS BYDem'!D171</f>
        <v>2</v>
      </c>
      <c r="E241" t="s">
        <v>137</v>
      </c>
      <c r="F241" t="s">
        <v>137</v>
      </c>
      <c r="G241" t="s">
        <v>137</v>
      </c>
      <c r="H241" t="s">
        <v>137</v>
      </c>
      <c r="I241">
        <v>0</v>
      </c>
      <c r="J241" t="str">
        <f>INDEX('[4]TS BYDem'!$J$10:$J$203,MATCH(D241,'[4]TS BYDem'!$D$10:$D$203,0))</f>
        <v/>
      </c>
      <c r="K241" t="e">
        <f t="shared" ca="1" si="166"/>
        <v>#VALUE!</v>
      </c>
      <c r="L241" t="e">
        <f t="shared" ca="1" si="166"/>
        <v>#VALUE!</v>
      </c>
      <c r="M241" t="e">
        <f t="shared" ca="1" si="166"/>
        <v>#VALUE!</v>
      </c>
      <c r="N241" t="e">
        <f t="shared" ca="1" si="166"/>
        <v>#VALUE!</v>
      </c>
      <c r="O241" t="e">
        <f t="shared" ca="1" si="166"/>
        <v>#VALUE!</v>
      </c>
      <c r="P241" t="e">
        <f t="shared" ca="1" si="166"/>
        <v>#VALUE!</v>
      </c>
      <c r="Q241" t="e">
        <f t="shared" ca="1" si="166"/>
        <v>#VALUE!</v>
      </c>
      <c r="R241" t="e">
        <f t="shared" ca="1" si="166"/>
        <v>#VALUE!</v>
      </c>
      <c r="S241" t="e">
        <f t="shared" ca="1" si="166"/>
        <v>#VALUE!</v>
      </c>
      <c r="T241" t="e">
        <f t="shared" ca="1" si="166"/>
        <v>#VALUE!</v>
      </c>
      <c r="U241" t="e">
        <f t="shared" ca="1" si="166"/>
        <v>#VALUE!</v>
      </c>
      <c r="V241" t="e">
        <f t="shared" ca="1" si="166"/>
        <v>#VALUE!</v>
      </c>
      <c r="W241" t="e">
        <f t="shared" ca="1" si="166"/>
        <v>#VALUE!</v>
      </c>
      <c r="X241" t="e">
        <f t="shared" ca="1" si="166"/>
        <v>#VALUE!</v>
      </c>
      <c r="Y241" t="e">
        <f t="shared" ca="1" si="166"/>
        <v>#VALUE!</v>
      </c>
      <c r="Z241" t="e">
        <f t="shared" ca="1" si="166"/>
        <v>#VALUE!</v>
      </c>
      <c r="AA241" t="e">
        <f t="shared" ca="1" si="167"/>
        <v>#VALUE!</v>
      </c>
      <c r="AB241" t="e">
        <f t="shared" ca="1" si="167"/>
        <v>#VALUE!</v>
      </c>
      <c r="AC241" t="e">
        <f t="shared" ca="1" si="167"/>
        <v>#VALUE!</v>
      </c>
      <c r="AD241" t="e">
        <f t="shared" ca="1" si="167"/>
        <v>#VALUE!</v>
      </c>
      <c r="AE241" t="e">
        <f t="shared" ca="1" si="167"/>
        <v>#VALUE!</v>
      </c>
      <c r="AF241" t="e">
        <f t="shared" ca="1" si="167"/>
        <v>#VALUE!</v>
      </c>
      <c r="AG241" t="e">
        <f t="shared" ca="1" si="167"/>
        <v>#VALUE!</v>
      </c>
      <c r="AH241" t="e">
        <f t="shared" ca="1" si="167"/>
        <v>#VALUE!</v>
      </c>
      <c r="AI241" t="e">
        <f t="shared" ca="1" si="167"/>
        <v>#VALUE!</v>
      </c>
      <c r="AJ241" t="e">
        <f t="shared" ca="1" si="167"/>
        <v>#VALUE!</v>
      </c>
      <c r="AK241" t="e">
        <f t="shared" ca="1" si="167"/>
        <v>#VALUE!</v>
      </c>
      <c r="AL241" t="e">
        <f t="shared" ca="1" si="167"/>
        <v>#VALUE!</v>
      </c>
      <c r="AM241" t="e">
        <f t="shared" ca="1" si="167"/>
        <v>#VALUE!</v>
      </c>
      <c r="AN241" t="e">
        <f t="shared" ca="1" si="167"/>
        <v>#VALUE!</v>
      </c>
      <c r="AO241" t="e">
        <f t="shared" ca="1" si="167"/>
        <v>#VALUE!</v>
      </c>
      <c r="AP241" t="e">
        <f t="shared" ca="1" si="167"/>
        <v>#VALUE!</v>
      </c>
    </row>
    <row r="242" spans="1:42">
      <c r="A242" s="48" t="str">
        <f>'[4]TS BYDem'!A172</f>
        <v/>
      </c>
      <c r="B242" t="s">
        <v>288</v>
      </c>
      <c r="C242" t="s">
        <v>137</v>
      </c>
      <c r="D242" s="3" t="str">
        <f>'[4]TS BYDem'!D172</f>
        <v>IOTK</v>
      </c>
      <c r="E242" t="s">
        <v>137</v>
      </c>
      <c r="F242" t="s">
        <v>137</v>
      </c>
      <c r="G242" t="s">
        <v>137</v>
      </c>
      <c r="H242" t="s">
        <v>137</v>
      </c>
      <c r="I242">
        <v>0</v>
      </c>
      <c r="J242">
        <f>INDEX('[4]TS BYDem'!$J$10:$J$203,MATCH(D242,'[4]TS BYDem'!$D$10:$D$203,0))</f>
        <v>4.0241553496851505</v>
      </c>
      <c r="K242">
        <f t="shared" ca="1" si="166"/>
        <v>4.1362170927295789</v>
      </c>
      <c r="L242">
        <f t="shared" ca="1" si="166"/>
        <v>4.2154705500951453</v>
      </c>
      <c r="M242" s="171">
        <f t="shared" ref="M242:M250" si="168">O242</f>
        <v>2.1816720000000003</v>
      </c>
      <c r="N242" s="171">
        <f t="shared" ref="N242:N250" si="169">O242</f>
        <v>2.1816720000000003</v>
      </c>
      <c r="O242" s="171">
        <f>INDEX('[4]TS BYDem'!$O$10:$O$203,MATCH(D242,'[4]TS BYDem'!$D$10:$D$203,0))</f>
        <v>2.1816720000000003</v>
      </c>
      <c r="P242">
        <f t="shared" ca="1" si="166"/>
        <v>2.2068085625289617</v>
      </c>
      <c r="Q242">
        <f t="shared" ca="1" si="166"/>
        <v>2.2044439779147855</v>
      </c>
      <c r="R242">
        <f t="shared" ca="1" si="166"/>
        <v>2.0448505741112126</v>
      </c>
      <c r="S242">
        <f t="shared" ca="1" si="166"/>
        <v>2.1087238820185892</v>
      </c>
      <c r="T242">
        <f t="shared" ca="1" si="166"/>
        <v>2.1530552147021789</v>
      </c>
      <c r="U242">
        <f t="shared" ca="1" si="166"/>
        <v>2.20148794959323</v>
      </c>
      <c r="V242">
        <f t="shared" ca="1" si="166"/>
        <v>2.256133102533818</v>
      </c>
      <c r="W242">
        <f t="shared" ca="1" si="166"/>
        <v>2.3089084985857107</v>
      </c>
      <c r="X242">
        <f t="shared" ca="1" si="166"/>
        <v>2.3625283009744331</v>
      </c>
      <c r="Y242">
        <f t="shared" ca="1" si="166"/>
        <v>2.4138561433060453</v>
      </c>
      <c r="Z242">
        <f t="shared" ca="1" si="166"/>
        <v>2.4967285937921031</v>
      </c>
      <c r="AA242">
        <f t="shared" ca="1" si="167"/>
        <v>2.5736298851820036</v>
      </c>
      <c r="AB242">
        <f t="shared" ca="1" si="167"/>
        <v>2.6328589582368136</v>
      </c>
      <c r="AC242">
        <f t="shared" ca="1" si="167"/>
        <v>2.6960084892840497</v>
      </c>
      <c r="AD242">
        <f t="shared" ca="1" si="167"/>
        <v>2.7615102951267416</v>
      </c>
      <c r="AE242">
        <f t="shared" ca="1" si="167"/>
        <v>2.8432367655842437</v>
      </c>
      <c r="AF242">
        <f t="shared" ca="1" si="167"/>
        <v>2.9283408613890671</v>
      </c>
      <c r="AG242">
        <f t="shared" ca="1" si="167"/>
        <v>3.0484878201723471</v>
      </c>
      <c r="AH242">
        <f t="shared" ca="1" si="167"/>
        <v>3.1540386122761319</v>
      </c>
      <c r="AI242">
        <f t="shared" ca="1" si="167"/>
        <v>3.1983096302213765</v>
      </c>
      <c r="AJ242">
        <f t="shared" ca="1" si="167"/>
        <v>3.2556689463874902</v>
      </c>
      <c r="AK242">
        <f t="shared" ca="1" si="167"/>
        <v>3.322799250165497</v>
      </c>
      <c r="AL242">
        <f t="shared" ca="1" si="167"/>
        <v>3.4011480952756781</v>
      </c>
      <c r="AM242">
        <f t="shared" ca="1" si="167"/>
        <v>3.7795627636523337</v>
      </c>
      <c r="AN242">
        <f t="shared" ca="1" si="167"/>
        <v>4.0460332776606327</v>
      </c>
      <c r="AO242">
        <f t="shared" ca="1" si="167"/>
        <v>4.7095758191069814</v>
      </c>
      <c r="AP242">
        <f t="shared" ca="1" si="167"/>
        <v>5.354461001491936</v>
      </c>
    </row>
    <row r="243" spans="1:42">
      <c r="A243" s="48" t="str">
        <f>'[4]TS BYDem'!A173</f>
        <v/>
      </c>
      <c r="B243" t="s">
        <v>288</v>
      </c>
      <c r="C243" t="s">
        <v>137</v>
      </c>
      <c r="D243" s="3" t="str">
        <f>'[4]TS BYDem'!D173</f>
        <v>IOTA</v>
      </c>
      <c r="E243" t="s">
        <v>137</v>
      </c>
      <c r="F243" t="s">
        <v>137</v>
      </c>
      <c r="G243" t="s">
        <v>137</v>
      </c>
      <c r="H243" t="s">
        <v>137</v>
      </c>
      <c r="I243">
        <v>0</v>
      </c>
      <c r="J243">
        <f>INDEX('[4]TS BYDem'!$J$10:$J$203,MATCH(D243,'[4]TS BYDem'!$D$10:$D$203,0))</f>
        <v>0.22789646617646991</v>
      </c>
      <c r="K243">
        <f t="shared" ca="1" si="166"/>
        <v>0.23424276074370104</v>
      </c>
      <c r="L243">
        <f t="shared" ca="1" si="166"/>
        <v>0.23873105239658002</v>
      </c>
      <c r="M243" s="171">
        <f t="shared" si="168"/>
        <v>0.12355272</v>
      </c>
      <c r="N243" s="171">
        <f t="shared" si="169"/>
        <v>0.12355272</v>
      </c>
      <c r="O243" s="171">
        <f>INDEX('[4]TS BYDem'!$O$10:$O$203,MATCH(D243,'[4]TS BYDem'!$D$10:$D$203,0))</f>
        <v>0.12355272</v>
      </c>
      <c r="P243">
        <f t="shared" ca="1" si="166"/>
        <v>0.12497625693493029</v>
      </c>
      <c r="Q243">
        <f t="shared" ca="1" si="166"/>
        <v>0.12484234548501866</v>
      </c>
      <c r="R243">
        <f t="shared" ca="1" si="166"/>
        <v>0.11580423199500285</v>
      </c>
      <c r="S243">
        <f t="shared" ca="1" si="166"/>
        <v>0.11942151311120816</v>
      </c>
      <c r="T243">
        <f t="shared" ca="1" si="166"/>
        <v>0.12193209065644979</v>
      </c>
      <c r="U243">
        <f t="shared" ca="1" si="166"/>
        <v>0.12467493932152331</v>
      </c>
      <c r="V243">
        <f t="shared" ca="1" si="166"/>
        <v>0.12776961041810686</v>
      </c>
      <c r="W243">
        <f t="shared" ca="1" si="166"/>
        <v>0.13075839321006119</v>
      </c>
      <c r="X243">
        <f t="shared" ca="1" si="166"/>
        <v>0.13379499652668678</v>
      </c>
      <c r="Y243">
        <f t="shared" ca="1" si="166"/>
        <v>0.13670180127634748</v>
      </c>
      <c r="Z243">
        <f t="shared" ca="1" si="166"/>
        <v>0.14139504419765636</v>
      </c>
      <c r="AA243">
        <f t="shared" ca="1" si="167"/>
        <v>0.1457501276945041</v>
      </c>
      <c r="AB243">
        <f t="shared" ca="1" si="167"/>
        <v>0.14910439592501742</v>
      </c>
      <c r="AC243">
        <f t="shared" ca="1" si="167"/>
        <v>0.15268068802007592</v>
      </c>
      <c r="AD243">
        <f t="shared" ca="1" si="167"/>
        <v>0.15639019443386154</v>
      </c>
      <c r="AE243">
        <f t="shared" ca="1" si="167"/>
        <v>0.16101853807168795</v>
      </c>
      <c r="AF243">
        <f t="shared" ca="1" si="167"/>
        <v>0.16583816380819946</v>
      </c>
      <c r="AG243">
        <f t="shared" ca="1" si="167"/>
        <v>0.17264234131856865</v>
      </c>
      <c r="AH243">
        <f t="shared" ca="1" si="167"/>
        <v>0.17861990690247731</v>
      </c>
      <c r="AI243">
        <f t="shared" ca="1" si="167"/>
        <v>0.18112706869595671</v>
      </c>
      <c r="AJ243">
        <f t="shared" ca="1" si="167"/>
        <v>0.18437544862184077</v>
      </c>
      <c r="AK243">
        <f t="shared" ca="1" si="167"/>
        <v>0.18817718033320666</v>
      </c>
      <c r="AL243">
        <f t="shared" ca="1" si="167"/>
        <v>0.19261424187234802</v>
      </c>
      <c r="AM243">
        <f t="shared" ca="1" si="167"/>
        <v>0.21404466842860112</v>
      </c>
      <c r="AN243">
        <f t="shared" ca="1" si="167"/>
        <v>0.22913545971414884</v>
      </c>
      <c r="AO243">
        <f t="shared" ca="1" si="167"/>
        <v>0.26671328343440065</v>
      </c>
      <c r="AP243">
        <f t="shared" ca="1" si="167"/>
        <v>0.3032345012762015</v>
      </c>
    </row>
    <row r="244" spans="1:42">
      <c r="A244" s="48" t="str">
        <f>'[4]TS BYDem'!A174</f>
        <v/>
      </c>
      <c r="B244" t="s">
        <v>288</v>
      </c>
      <c r="C244" t="s">
        <v>137</v>
      </c>
      <c r="D244" s="3" t="str">
        <f>'[4]TS BYDem'!D174</f>
        <v>IOTL</v>
      </c>
      <c r="E244" t="s">
        <v>137</v>
      </c>
      <c r="F244" t="s">
        <v>137</v>
      </c>
      <c r="G244" t="s">
        <v>137</v>
      </c>
      <c r="H244" t="s">
        <v>137</v>
      </c>
      <c r="I244">
        <v>0</v>
      </c>
      <c r="J244">
        <f>INDEX('[4]TS BYDem'!$J$10:$J$203,MATCH(D244,'[4]TS BYDem'!$D$10:$D$203,0))</f>
        <v>1.0095834302163471</v>
      </c>
      <c r="K244">
        <f t="shared" ca="1" si="166"/>
        <v>1.0376975732122602</v>
      </c>
      <c r="L244">
        <f t="shared" ca="1" si="166"/>
        <v>1.0575807462984816</v>
      </c>
      <c r="M244" s="171">
        <f t="shared" si="168"/>
        <v>0.54733968</v>
      </c>
      <c r="N244" s="171">
        <f t="shared" si="169"/>
        <v>0.54733968</v>
      </c>
      <c r="O244" s="171">
        <f>INDEX('[4]TS BYDem'!$O$10:$O$203,MATCH(D244,'[4]TS BYDem'!$D$10:$D$203,0))</f>
        <v>0.54733968</v>
      </c>
      <c r="P244">
        <f t="shared" ca="1" si="166"/>
        <v>0.55364596164586688</v>
      </c>
      <c r="Q244">
        <f t="shared" ca="1" si="166"/>
        <v>0.55305273269758493</v>
      </c>
      <c r="R244">
        <f t="shared" ca="1" si="166"/>
        <v>0.51301380724593215</v>
      </c>
      <c r="S244">
        <f t="shared" ca="1" si="166"/>
        <v>0.52903839568569988</v>
      </c>
      <c r="T244">
        <f t="shared" ca="1" si="166"/>
        <v>0.54016027718072279</v>
      </c>
      <c r="U244">
        <f t="shared" ca="1" si="166"/>
        <v>0.55231112186167974</v>
      </c>
      <c r="V244">
        <f t="shared" ca="1" si="166"/>
        <v>0.56602054313309569</v>
      </c>
      <c r="W244">
        <f t="shared" ca="1" si="166"/>
        <v>0.57926087824621819</v>
      </c>
      <c r="X244">
        <f t="shared" ca="1" si="166"/>
        <v>0.59271305872115054</v>
      </c>
      <c r="Y244">
        <f t="shared" ca="1" si="166"/>
        <v>0.60559023035688453</v>
      </c>
      <c r="Z244">
        <f t="shared" ca="1" si="166"/>
        <v>0.62638133943737628</v>
      </c>
      <c r="AA244">
        <f t="shared" ca="1" si="167"/>
        <v>0.64567439917364045</v>
      </c>
      <c r="AB244">
        <f t="shared" ca="1" si="167"/>
        <v>0.66053383812345334</v>
      </c>
      <c r="AC244">
        <f t="shared" ca="1" si="167"/>
        <v>0.67637684482452676</v>
      </c>
      <c r="AD244">
        <f t="shared" ca="1" si="167"/>
        <v>0.69280999217635653</v>
      </c>
      <c r="AE244">
        <f t="shared" ca="1" si="167"/>
        <v>0.71331359683724904</v>
      </c>
      <c r="AF244">
        <f t="shared" ca="1" si="167"/>
        <v>0.73466458294538139</v>
      </c>
      <c r="AG244">
        <f t="shared" ca="1" si="167"/>
        <v>0.76480715156862711</v>
      </c>
      <c r="AH244">
        <f t="shared" ca="1" si="167"/>
        <v>0.791287821794872</v>
      </c>
      <c r="AI244">
        <f t="shared" ca="1" si="167"/>
        <v>0.80239457147833704</v>
      </c>
      <c r="AJ244">
        <f t="shared" ca="1" si="167"/>
        <v>0.81678492426985638</v>
      </c>
      <c r="AK244">
        <f t="shared" ca="1" si="167"/>
        <v>0.83362663053374808</v>
      </c>
      <c r="AL244">
        <f t="shared" ca="1" si="167"/>
        <v>0.85328285374740076</v>
      </c>
      <c r="AM244">
        <f t="shared" ca="1" si="167"/>
        <v>0.94821983946137833</v>
      </c>
      <c r="AN244">
        <f t="shared" ca="1" si="167"/>
        <v>1.0150721829239786</v>
      </c>
      <c r="AO244">
        <f t="shared" ca="1" si="167"/>
        <v>1.1815422858091196</v>
      </c>
      <c r="AP244">
        <f t="shared" ca="1" si="167"/>
        <v>1.3433316149856975</v>
      </c>
    </row>
    <row r="245" spans="1:42">
      <c r="A245" s="48" t="str">
        <f>'[4]TS BYDem'!A175</f>
        <v/>
      </c>
      <c r="B245" t="s">
        <v>288</v>
      </c>
      <c r="C245" t="s">
        <v>137</v>
      </c>
      <c r="D245" s="3" t="str">
        <f>'[4]TS BYDem'!D175</f>
        <v>IOTC</v>
      </c>
      <c r="E245" t="s">
        <v>137</v>
      </c>
      <c r="F245" t="s">
        <v>137</v>
      </c>
      <c r="G245" t="s">
        <v>137</v>
      </c>
      <c r="H245" t="s">
        <v>137</v>
      </c>
      <c r="I245">
        <v>0</v>
      </c>
      <c r="J245">
        <f>INDEX('[4]TS BYDem'!$J$10:$J$203,MATCH(D245,'[4]TS BYDem'!$D$10:$D$203,0))</f>
        <v>4.2868722274366169</v>
      </c>
      <c r="K245">
        <f t="shared" ca="1" si="166"/>
        <v>4.4062499184725477</v>
      </c>
      <c r="L245">
        <f t="shared" ca="1" si="166"/>
        <v>4.4906774357490269</v>
      </c>
      <c r="M245" s="171">
        <f t="shared" si="168"/>
        <v>2.3241024000000006</v>
      </c>
      <c r="N245" s="171">
        <f t="shared" si="169"/>
        <v>2.3241024000000006</v>
      </c>
      <c r="O245" s="171">
        <f>INDEX('[4]TS BYDem'!$O$10:$O$203,MATCH(D245,'[4]TS BYDem'!$D$10:$D$203,0))</f>
        <v>2.3241024000000006</v>
      </c>
      <c r="P245">
        <f t="shared" ca="1" si="166"/>
        <v>2.3508800023624588</v>
      </c>
      <c r="Q245">
        <f t="shared" ca="1" si="166"/>
        <v>2.3483610459030047</v>
      </c>
      <c r="R245">
        <f t="shared" ca="1" si="166"/>
        <v>2.1783485908666598</v>
      </c>
      <c r="S245">
        <f t="shared" ca="1" si="166"/>
        <v>2.2463918660260203</v>
      </c>
      <c r="T245">
        <f t="shared" ca="1" si="166"/>
        <v>2.293617368615378</v>
      </c>
      <c r="U245">
        <f t="shared" ca="1" si="166"/>
        <v>2.3452120333490574</v>
      </c>
      <c r="V245">
        <f t="shared" ca="1" si="166"/>
        <v>2.4034246936836943</v>
      </c>
      <c r="W245">
        <f t="shared" ca="1" si="166"/>
        <v>2.4596455300995963</v>
      </c>
      <c r="X245">
        <f t="shared" ca="1" si="166"/>
        <v>2.5167658998981528</v>
      </c>
      <c r="Y245">
        <f t="shared" ca="1" si="166"/>
        <v>2.571444679086647</v>
      </c>
      <c r="Z245">
        <f t="shared" ca="1" si="166"/>
        <v>2.6597274553557324</v>
      </c>
      <c r="AA245">
        <f t="shared" ca="1" si="167"/>
        <v>2.7416492455617614</v>
      </c>
      <c r="AB245">
        <f t="shared" ca="1" si="167"/>
        <v>2.8047450871165225</v>
      </c>
      <c r="AC245">
        <f t="shared" ca="1" si="167"/>
        <v>2.8720173336621793</v>
      </c>
      <c r="AD245">
        <f t="shared" ca="1" si="167"/>
        <v>2.9417954232023735</v>
      </c>
      <c r="AE245">
        <f t="shared" ca="1" si="167"/>
        <v>3.0288574041664273</v>
      </c>
      <c r="AF245">
        <f t="shared" ca="1" si="167"/>
        <v>3.1195175186610995</v>
      </c>
      <c r="AG245">
        <f t="shared" ca="1" si="167"/>
        <v>3.2475082685359307</v>
      </c>
      <c r="AH245">
        <f t="shared" ca="1" si="167"/>
        <v>3.3599499413677347</v>
      </c>
      <c r="AI245">
        <f t="shared" ca="1" si="167"/>
        <v>3.4071111915726173</v>
      </c>
      <c r="AJ245">
        <f t="shared" ca="1" si="167"/>
        <v>3.4682152092086431</v>
      </c>
      <c r="AK245">
        <f t="shared" ca="1" si="167"/>
        <v>3.5397281131296703</v>
      </c>
      <c r="AL245">
        <f t="shared" ca="1" si="167"/>
        <v>3.6231919605631067</v>
      </c>
      <c r="AM245">
        <f t="shared" ca="1" si="167"/>
        <v>4.0263114207612434</v>
      </c>
      <c r="AN245">
        <f t="shared" ca="1" si="167"/>
        <v>4.310178455373193</v>
      </c>
      <c r="AO245">
        <f t="shared" ca="1" si="167"/>
        <v>5.0170403544476461</v>
      </c>
      <c r="AP245">
        <f t="shared" ca="1" si="167"/>
        <v>5.7040268492577333</v>
      </c>
    </row>
    <row r="246" spans="1:42">
      <c r="A246" s="48" t="str">
        <f>'[4]TS BYDem'!A176</f>
        <v/>
      </c>
      <c r="B246" t="s">
        <v>288</v>
      </c>
      <c r="C246" t="s">
        <v>137</v>
      </c>
      <c r="D246" s="3" t="str">
        <f>'[4]TS BYDem'!D176</f>
        <v>IOTH</v>
      </c>
      <c r="E246" t="s">
        <v>137</v>
      </c>
      <c r="F246" t="s">
        <v>137</v>
      </c>
      <c r="G246" t="s">
        <v>137</v>
      </c>
      <c r="H246" t="s">
        <v>137</v>
      </c>
      <c r="I246">
        <v>0</v>
      </c>
      <c r="J246">
        <f>INDEX('[4]TS BYDem'!$J$10:$J$203,MATCH(D246,'[4]TS BYDem'!$D$10:$D$203,0))</f>
        <v>3.1863804172999206</v>
      </c>
      <c r="K246">
        <f t="shared" ca="1" si="166"/>
        <v>3.2751124150825612</v>
      </c>
      <c r="L246">
        <f t="shared" ca="1" si="166"/>
        <v>3.3378663702877733</v>
      </c>
      <c r="M246" s="171">
        <f t="shared" si="168"/>
        <v>1.7274772800000002</v>
      </c>
      <c r="N246" s="171">
        <f t="shared" si="169"/>
        <v>1.7274772800000002</v>
      </c>
      <c r="O246" s="171">
        <f>INDEX('[4]TS BYDem'!$O$10:$O$203,MATCH(D246,'[4]TS BYDem'!$D$10:$D$203,0))</f>
        <v>1.7274772800000002</v>
      </c>
      <c r="P246">
        <f t="shared" ca="1" si="166"/>
        <v>1.7473807488376989</v>
      </c>
      <c r="Q246">
        <f t="shared" ca="1" si="166"/>
        <v>1.7455084388856865</v>
      </c>
      <c r="R246">
        <f t="shared" ca="1" si="166"/>
        <v>1.6191402317910648</v>
      </c>
      <c r="S246">
        <f t="shared" ca="1" si="166"/>
        <v>1.6697159774615584</v>
      </c>
      <c r="T246">
        <f t="shared" ca="1" si="166"/>
        <v>1.7048181238900879</v>
      </c>
      <c r="U246">
        <f t="shared" ca="1" si="166"/>
        <v>1.7431678158385358</v>
      </c>
      <c r="V246">
        <f t="shared" ca="1" si="166"/>
        <v>1.7864365840892129</v>
      </c>
      <c r="W246">
        <f t="shared" ca="1" si="166"/>
        <v>1.8282248536469861</v>
      </c>
      <c r="X246">
        <f t="shared" ca="1" si="166"/>
        <v>1.8706817355176835</v>
      </c>
      <c r="Y246">
        <f t="shared" ca="1" si="166"/>
        <v>1.9113238125390148</v>
      </c>
      <c r="Z246">
        <f t="shared" ca="1" si="166"/>
        <v>1.9769433352503067</v>
      </c>
      <c r="AA246">
        <f t="shared" ca="1" si="167"/>
        <v>2.0378348137487761</v>
      </c>
      <c r="AB246">
        <f t="shared" ca="1" si="167"/>
        <v>2.0847331916981857</v>
      </c>
      <c r="AC246">
        <f t="shared" ca="1" si="167"/>
        <v>2.1347358411004582</v>
      </c>
      <c r="AD246">
        <f t="shared" ca="1" si="167"/>
        <v>2.1866010533744489</v>
      </c>
      <c r="AE246">
        <f t="shared" ca="1" si="167"/>
        <v>2.2513131736610577</v>
      </c>
      <c r="AF246">
        <f t="shared" ca="1" si="167"/>
        <v>2.3186997431993639</v>
      </c>
      <c r="AG246">
        <f t="shared" ca="1" si="167"/>
        <v>2.4138337237240317</v>
      </c>
      <c r="AH246">
        <f t="shared" ca="1" si="167"/>
        <v>2.497410262839578</v>
      </c>
      <c r="AI246">
        <f t="shared" ca="1" si="167"/>
        <v>2.5324646512457556</v>
      </c>
      <c r="AJ246">
        <f t="shared" ca="1" si="167"/>
        <v>2.5778825305022606</v>
      </c>
      <c r="AK246">
        <f t="shared" ca="1" si="167"/>
        <v>2.6310372093797478</v>
      </c>
      <c r="AL246">
        <f t="shared" ca="1" si="167"/>
        <v>2.6930748804146591</v>
      </c>
      <c r="AM246">
        <f t="shared" ca="1" si="167"/>
        <v>2.9927087126494807</v>
      </c>
      <c r="AN246">
        <f t="shared" ca="1" si="167"/>
        <v>3.2037036553994716</v>
      </c>
      <c r="AO246">
        <f t="shared" ca="1" si="167"/>
        <v>3.7291055786317568</v>
      </c>
      <c r="AP246">
        <f t="shared" ca="1" si="167"/>
        <v>4.2397343536165693</v>
      </c>
    </row>
    <row r="247" spans="1:42">
      <c r="A247" s="48" t="str">
        <f>'[4]TS BYDem'!A177</f>
        <v/>
      </c>
      <c r="B247" t="s">
        <v>288</v>
      </c>
      <c r="C247" t="s">
        <v>137</v>
      </c>
      <c r="D247" s="3" t="str">
        <f>'[4]TS BYDem'!D177</f>
        <v>IOTP</v>
      </c>
      <c r="E247" t="s">
        <v>137</v>
      </c>
      <c r="F247" t="s">
        <v>137</v>
      </c>
      <c r="G247" t="s">
        <v>137</v>
      </c>
      <c r="H247" t="s">
        <v>137</v>
      </c>
      <c r="I247">
        <v>0</v>
      </c>
      <c r="J247">
        <f>INDEX('[4]TS BYDem'!$J$10:$J$203,MATCH(D247,'[4]TS BYDem'!$D$10:$D$203,0))</f>
        <v>4.3369135374845138</v>
      </c>
      <c r="K247">
        <f t="shared" ca="1" si="166"/>
        <v>4.457684742423587</v>
      </c>
      <c r="L247">
        <f t="shared" ca="1" si="166"/>
        <v>4.5430977949211924</v>
      </c>
      <c r="M247" s="171">
        <f t="shared" si="168"/>
        <v>2.3512320000000004</v>
      </c>
      <c r="N247" s="171">
        <f t="shared" si="169"/>
        <v>2.3512320000000004</v>
      </c>
      <c r="O247" s="171">
        <f>INDEX('[4]TS BYDem'!$O$10:$O$203,MATCH(D247,'[4]TS BYDem'!$D$10:$D$203,0))</f>
        <v>2.3512320000000004</v>
      </c>
      <c r="P247">
        <f t="shared" ca="1" si="166"/>
        <v>2.3783221813783628</v>
      </c>
      <c r="Q247">
        <f t="shared" ca="1" si="166"/>
        <v>2.3757738207579036</v>
      </c>
      <c r="R247">
        <f t="shared" ca="1" si="166"/>
        <v>2.2037767845343641</v>
      </c>
      <c r="S247">
        <f t="shared" ca="1" si="166"/>
        <v>2.2726143391702931</v>
      </c>
      <c r="T247">
        <f t="shared" ca="1" si="166"/>
        <v>2.3203911122178922</v>
      </c>
      <c r="U247">
        <f t="shared" ca="1" si="166"/>
        <v>2.3725880493025482</v>
      </c>
      <c r="V247">
        <f t="shared" ca="1" si="166"/>
        <v>2.431480234855099</v>
      </c>
      <c r="W247">
        <f t="shared" ca="1" si="166"/>
        <v>2.4883573456260506</v>
      </c>
      <c r="X247">
        <f t="shared" ca="1" si="166"/>
        <v>2.5461444901693371</v>
      </c>
      <c r="Y247">
        <f t="shared" ca="1" si="166"/>
        <v>2.6014615430448567</v>
      </c>
      <c r="Z247">
        <f t="shared" ca="1" si="166"/>
        <v>2.6907748575583281</v>
      </c>
      <c r="AA247">
        <f t="shared" ca="1" si="167"/>
        <v>2.7736529332531434</v>
      </c>
      <c r="AB247">
        <f t="shared" ca="1" si="167"/>
        <v>2.8374853021412285</v>
      </c>
      <c r="AC247">
        <f t="shared" ca="1" si="167"/>
        <v>2.9055428278294415</v>
      </c>
      <c r="AD247">
        <f t="shared" ca="1" si="167"/>
        <v>2.9761354475977311</v>
      </c>
      <c r="AE247">
        <f t="shared" ca="1" si="167"/>
        <v>3.0642137162773189</v>
      </c>
      <c r="AF247">
        <f t="shared" ca="1" si="167"/>
        <v>3.155932120046248</v>
      </c>
      <c r="AG247">
        <f t="shared" ca="1" si="167"/>
        <v>3.2854169253670888</v>
      </c>
      <c r="AH247">
        <f t="shared" ca="1" si="167"/>
        <v>3.399171146908992</v>
      </c>
      <c r="AI247">
        <f t="shared" ca="1" si="167"/>
        <v>3.4468829175442814</v>
      </c>
      <c r="AJ247">
        <f t="shared" ca="1" si="167"/>
        <v>3.5087002116507668</v>
      </c>
      <c r="AK247">
        <f t="shared" ca="1" si="167"/>
        <v>3.581047896551417</v>
      </c>
      <c r="AL247">
        <f t="shared" ca="1" si="167"/>
        <v>3.6654860301416643</v>
      </c>
      <c r="AM247">
        <f t="shared" ca="1" si="167"/>
        <v>4.0733111649724645</v>
      </c>
      <c r="AN247">
        <f t="shared" ca="1" si="167"/>
        <v>4.3604918225565381</v>
      </c>
      <c r="AO247">
        <f t="shared" ca="1" si="167"/>
        <v>5.0756050278458673</v>
      </c>
      <c r="AP247">
        <f t="shared" ca="1" si="167"/>
        <v>5.7706108202607416</v>
      </c>
    </row>
    <row r="248" spans="1:42">
      <c r="A248" s="48" t="str">
        <f>'[4]TS BYDem'!A178</f>
        <v/>
      </c>
      <c r="B248" t="s">
        <v>288</v>
      </c>
      <c r="C248" t="s">
        <v>137</v>
      </c>
      <c r="D248" s="3" t="str">
        <f>'[4]TS BYDem'!D178</f>
        <v>IOTF</v>
      </c>
      <c r="E248" t="s">
        <v>137</v>
      </c>
      <c r="F248" t="s">
        <v>137</v>
      </c>
      <c r="G248" t="s">
        <v>137</v>
      </c>
      <c r="H248" t="s">
        <v>137</v>
      </c>
      <c r="I248">
        <v>0</v>
      </c>
      <c r="J248">
        <f>INDEX('[4]TS BYDem'!$J$10:$J$203,MATCH(D248,'[4]TS BYDem'!$D$10:$D$203,0))</f>
        <v>1.8465243407674456</v>
      </c>
      <c r="K248">
        <f t="shared" ca="1" si="166"/>
        <v>1.8979450037934282</v>
      </c>
      <c r="L248">
        <f t="shared" ca="1" si="166"/>
        <v>1.9343112534529856</v>
      </c>
      <c r="M248" s="171">
        <f t="shared" si="168"/>
        <v>1.0010822400000001</v>
      </c>
      <c r="N248" s="171">
        <f t="shared" si="169"/>
        <v>1.0010822400000001</v>
      </c>
      <c r="O248" s="171">
        <f>INDEX('[4]TS BYDem'!$O$10:$O$203,MATCH(D248,'[4]TS BYDem'!$D$10:$D$203,0))</f>
        <v>1.0010822400000001</v>
      </c>
      <c r="P248">
        <f t="shared" ca="1" si="166"/>
        <v>1.0126164056868645</v>
      </c>
      <c r="Q248">
        <f t="shared" ca="1" si="166"/>
        <v>1.0115313921457689</v>
      </c>
      <c r="R248">
        <f t="shared" ca="1" si="166"/>
        <v>0.93830034633828496</v>
      </c>
      <c r="S248">
        <f t="shared" ca="1" si="166"/>
        <v>0.96760925902365935</v>
      </c>
      <c r="T248">
        <f t="shared" ca="1" si="166"/>
        <v>0.98795113893277176</v>
      </c>
      <c r="U248">
        <f t="shared" ca="1" si="166"/>
        <v>1.0101749886838156</v>
      </c>
      <c r="V248">
        <f t="shared" ca="1" si="166"/>
        <v>1.035249469224844</v>
      </c>
      <c r="W248">
        <f t="shared" ca="1" si="166"/>
        <v>1.0594659929261683</v>
      </c>
      <c r="X248">
        <f t="shared" ca="1" si="166"/>
        <v>1.0840699810067138</v>
      </c>
      <c r="Y248">
        <f t="shared" ca="1" si="166"/>
        <v>1.1076222800579447</v>
      </c>
      <c r="Z248">
        <f t="shared" ca="1" si="166"/>
        <v>1.1456491412757959</v>
      </c>
      <c r="AA248">
        <f t="shared" ca="1" si="167"/>
        <v>1.1809360758120113</v>
      </c>
      <c r="AB248">
        <f t="shared" ca="1" si="167"/>
        <v>1.2081139344116691</v>
      </c>
      <c r="AC248">
        <f t="shared" ca="1" si="167"/>
        <v>1.2370907347719968</v>
      </c>
      <c r="AD248">
        <f t="shared" ca="1" si="167"/>
        <v>1.2671469001887263</v>
      </c>
      <c r="AE248">
        <f t="shared" ca="1" si="167"/>
        <v>1.3046479168919201</v>
      </c>
      <c r="AF248">
        <f t="shared" ca="1" si="167"/>
        <v>1.3436987911119986</v>
      </c>
      <c r="AG248">
        <f t="shared" ca="1" si="167"/>
        <v>1.3988294370697567</v>
      </c>
      <c r="AH248">
        <f t="shared" ca="1" si="167"/>
        <v>1.4472624844724054</v>
      </c>
      <c r="AI248">
        <f t="shared" ca="1" si="167"/>
        <v>1.4675766883544306</v>
      </c>
      <c r="AJ248">
        <f t="shared" ca="1" si="167"/>
        <v>1.4938965901143841</v>
      </c>
      <c r="AK248">
        <f t="shared" ca="1" si="167"/>
        <v>1.5247000082624687</v>
      </c>
      <c r="AL248">
        <f t="shared" ca="1" si="167"/>
        <v>1.5606511674487777</v>
      </c>
      <c r="AM248">
        <f t="shared" ca="1" si="167"/>
        <v>1.7342905613940454</v>
      </c>
      <c r="AN248">
        <f t="shared" ca="1" si="167"/>
        <v>1.8565632490654183</v>
      </c>
      <c r="AO248">
        <f t="shared" ca="1" si="167"/>
        <v>2.1610364483943751</v>
      </c>
      <c r="AP248">
        <f t="shared" ca="1" si="167"/>
        <v>2.4569485300110157</v>
      </c>
    </row>
    <row r="249" spans="1:42">
      <c r="A249" s="48" t="str">
        <f>'[4]TS BYDem'!A179</f>
        <v/>
      </c>
      <c r="B249" t="s">
        <v>288</v>
      </c>
      <c r="C249" t="s">
        <v>137</v>
      </c>
      <c r="D249" s="3" t="str">
        <f>'[4]TS BYDem'!D179</f>
        <v>IOTO</v>
      </c>
      <c r="E249" t="s">
        <v>137</v>
      </c>
      <c r="F249" t="s">
        <v>137</v>
      </c>
      <c r="G249" t="s">
        <v>137</v>
      </c>
      <c r="H249" t="s">
        <v>137</v>
      </c>
      <c r="I249">
        <v>0</v>
      </c>
      <c r="J249">
        <f>INDEX('[4]TS BYDem'!$J$10:$J$203,MATCH(D249,'[4]TS BYDem'!$D$10:$D$203,0))</f>
        <v>12.304490923310874</v>
      </c>
      <c r="K249">
        <f t="shared" ca="1" si="166"/>
        <v>12.647137411908401</v>
      </c>
      <c r="L249">
        <f t="shared" ca="1" si="166"/>
        <v>12.889467382313724</v>
      </c>
      <c r="M249" s="171">
        <f t="shared" si="168"/>
        <v>6.6708069120000006</v>
      </c>
      <c r="N249" s="171">
        <f t="shared" si="169"/>
        <v>6.6708069120000006</v>
      </c>
      <c r="O249" s="171">
        <f>INDEX('[4]TS BYDem'!$O$10:$O$203,MATCH(D249,'[4]TS BYDem'!$D$10:$D$203,0))</f>
        <v>6.6708069120000006</v>
      </c>
      <c r="P249">
        <f t="shared" ca="1" si="166"/>
        <v>6.7476659242906267</v>
      </c>
      <c r="Q249">
        <f t="shared" ca="1" si="166"/>
        <v>6.7404358331549039</v>
      </c>
      <c r="R249">
        <f t="shared" ca="1" si="166"/>
        <v>6.2524537803062268</v>
      </c>
      <c r="S249">
        <f t="shared" ca="1" si="166"/>
        <v>6.4477565132013783</v>
      </c>
      <c r="T249">
        <f t="shared" ca="1" si="166"/>
        <v>6.5833065686101939</v>
      </c>
      <c r="U249">
        <f t="shared" ca="1" si="166"/>
        <v>6.7313973094173765</v>
      </c>
      <c r="V249">
        <f t="shared" ca="1" si="166"/>
        <v>6.8984835001662024</v>
      </c>
      <c r="W249">
        <f t="shared" ca="1" si="166"/>
        <v>7.0598526137481263</v>
      </c>
      <c r="X249">
        <f t="shared" ca="1" si="166"/>
        <v>7.2238036331473596</v>
      </c>
      <c r="Y249">
        <f t="shared" ca="1" si="166"/>
        <v>7.3807466224710359</v>
      </c>
      <c r="Z249">
        <f t="shared" ca="1" si="166"/>
        <v>7.6341422362556797</v>
      </c>
      <c r="AA249">
        <f t="shared" ca="1" si="167"/>
        <v>7.8692800874750546</v>
      </c>
      <c r="AB249">
        <f t="shared" ca="1" si="167"/>
        <v>8.0503823383749964</v>
      </c>
      <c r="AC249">
        <f t="shared" ca="1" si="167"/>
        <v>8.2434720091410245</v>
      </c>
      <c r="AD249">
        <f t="shared" ca="1" si="167"/>
        <v>8.4437541318267044</v>
      </c>
      <c r="AE249">
        <f t="shared" ca="1" si="167"/>
        <v>8.6936457305735679</v>
      </c>
      <c r="AF249">
        <f t="shared" ca="1" si="167"/>
        <v>8.9538649525896759</v>
      </c>
      <c r="AG249">
        <f t="shared" ca="1" si="167"/>
        <v>9.3212332660241817</v>
      </c>
      <c r="AH249">
        <f t="shared" ca="1" si="167"/>
        <v>9.6439714931880278</v>
      </c>
      <c r="AI249">
        <f t="shared" ca="1" si="167"/>
        <v>9.7793371267527505</v>
      </c>
      <c r="AJ249">
        <f t="shared" ca="1" si="167"/>
        <v>9.9547223004857894</v>
      </c>
      <c r="AK249">
        <f t="shared" ca="1" si="167"/>
        <v>10.159983812961995</v>
      </c>
      <c r="AL249">
        <f t="shared" ca="1" si="167"/>
        <v>10.399547788439618</v>
      </c>
      <c r="AM249">
        <f t="shared" ca="1" si="167"/>
        <v>11.556610438283034</v>
      </c>
      <c r="AN249">
        <f t="shared" ca="1" si="167"/>
        <v>12.37138614548868</v>
      </c>
      <c r="AO249">
        <f t="shared" ca="1" si="167"/>
        <v>14.400272326310708</v>
      </c>
      <c r="AP249">
        <f t="shared" ca="1" si="167"/>
        <v>16.372110683359768</v>
      </c>
    </row>
    <row r="250" spans="1:42">
      <c r="A250" s="48" t="str">
        <f>'[4]TS BYDem'!A180</f>
        <v/>
      </c>
      <c r="B250" t="s">
        <v>288</v>
      </c>
      <c r="C250" t="s">
        <v>137</v>
      </c>
      <c r="D250" s="3" t="str">
        <f>'[4]TS BYDem'!D180</f>
        <v>IOTE</v>
      </c>
      <c r="E250" t="s">
        <v>137</v>
      </c>
      <c r="F250" t="s">
        <v>137</v>
      </c>
      <c r="G250" t="s">
        <v>137</v>
      </c>
      <c r="H250" t="s">
        <v>137</v>
      </c>
      <c r="I250">
        <v>0</v>
      </c>
      <c r="J250">
        <f>INDEX('[4]TS BYDem'!$J$10:$J$203,MATCH(D250,'[4]TS BYDem'!$D$10:$D$203,0))</f>
        <v>0.41264064265496897</v>
      </c>
      <c r="K250">
        <f t="shared" ca="1" si="166"/>
        <v>0.42413155830028743</v>
      </c>
      <c r="L250">
        <f t="shared" ca="1" si="166"/>
        <v>0.43225828173369424</v>
      </c>
      <c r="M250" s="171">
        <f t="shared" si="168"/>
        <v>0.22371068160000002</v>
      </c>
      <c r="N250" s="171">
        <f t="shared" si="169"/>
        <v>0.22371068160000002</v>
      </c>
      <c r="O250" s="171">
        <f>INDEX('[4]TS BYDem'!$O$10:$O$203,MATCH(D250,'[4]TS BYDem'!$D$10:$D$203,0))</f>
        <v>0.22371068160000002</v>
      </c>
      <c r="P250">
        <f t="shared" ca="1" si="166"/>
        <v>0.22628820816514589</v>
      </c>
      <c r="Q250">
        <f t="shared" ca="1" si="166"/>
        <v>0.22604574145349618</v>
      </c>
      <c r="R250">
        <f t="shared" ca="1" si="166"/>
        <v>0.20968088498388879</v>
      </c>
      <c r="S250">
        <f t="shared" ca="1" si="166"/>
        <v>0.21623051354767192</v>
      </c>
      <c r="T250">
        <f t="shared" ca="1" si="166"/>
        <v>0.22077628974633157</v>
      </c>
      <c r="U250">
        <f t="shared" ca="1" si="166"/>
        <v>0.22574262755248628</v>
      </c>
      <c r="V250">
        <f t="shared" ca="1" si="166"/>
        <v>0.23134599249940552</v>
      </c>
      <c r="W250">
        <f t="shared" ca="1" si="166"/>
        <v>0.23675763083114321</v>
      </c>
      <c r="X250">
        <f t="shared" ca="1" si="166"/>
        <v>0.24225585537618868</v>
      </c>
      <c r="Y250">
        <f t="shared" ca="1" si="166"/>
        <v>0.2475190601993987</v>
      </c>
      <c r="Z250">
        <f t="shared" ca="1" si="166"/>
        <v>0.25601687856260741</v>
      </c>
      <c r="AA250">
        <f t="shared" ca="1" si="167"/>
        <v>0.26390240870313947</v>
      </c>
      <c r="AB250">
        <f t="shared" ca="1" si="167"/>
        <v>0.26997581309372964</v>
      </c>
      <c r="AC250">
        <f t="shared" ca="1" si="167"/>
        <v>0.27645122490324892</v>
      </c>
      <c r="AD250">
        <f t="shared" ca="1" si="167"/>
        <v>0.28316784116412563</v>
      </c>
      <c r="AE250">
        <f t="shared" ca="1" si="167"/>
        <v>0.29154814966641657</v>
      </c>
      <c r="AF250">
        <f t="shared" ca="1" si="167"/>
        <v>0.30027480302193871</v>
      </c>
      <c r="AG250">
        <f t="shared" ca="1" si="167"/>
        <v>0.31259478422973469</v>
      </c>
      <c r="AH250">
        <f t="shared" ca="1" si="167"/>
        <v>0.32341806089321007</v>
      </c>
      <c r="AI250">
        <f t="shared" ca="1" si="167"/>
        <v>0.32795765236234775</v>
      </c>
      <c r="AJ250">
        <f t="shared" ca="1" si="167"/>
        <v>0.33383933013775635</v>
      </c>
      <c r="AK250">
        <f t="shared" ca="1" si="167"/>
        <v>0.34072293409572668</v>
      </c>
      <c r="AL250">
        <f t="shared" ca="1" si="167"/>
        <v>0.34875689774478641</v>
      </c>
      <c r="AM250">
        <f t="shared" ca="1" si="167"/>
        <v>0.38755989076572611</v>
      </c>
      <c r="AN250">
        <f t="shared" ca="1" si="167"/>
        <v>0.41488402579386002</v>
      </c>
      <c r="AO250">
        <f t="shared" ca="1" si="167"/>
        <v>0.48292429684173477</v>
      </c>
      <c r="AP250">
        <f t="shared" ca="1" si="167"/>
        <v>0.54905142489080838</v>
      </c>
    </row>
    <row r="251" spans="1:42">
      <c r="A251" s="48" t="str">
        <f>'[4]TS BYDem'!A181</f>
        <v>*</v>
      </c>
      <c r="B251" t="s">
        <v>288</v>
      </c>
      <c r="C251" t="s">
        <v>137</v>
      </c>
      <c r="D251" s="3" t="str">
        <f>'[4]TS BYDem'!D181</f>
        <v xml:space="preserve"> </v>
      </c>
      <c r="E251" t="s">
        <v>137</v>
      </c>
      <c r="F251" t="s">
        <v>137</v>
      </c>
      <c r="G251" t="s">
        <v>137</v>
      </c>
      <c r="H251" t="s">
        <v>137</v>
      </c>
      <c r="I251">
        <v>0</v>
      </c>
      <c r="J251" t="str">
        <f>INDEX('[4]TS BYDem'!$J$10:$J$203,MATCH(D251,'[4]TS BYDem'!$D$10:$D$203,0))</f>
        <v/>
      </c>
      <c r="K251" t="e">
        <f t="shared" ca="1" si="166"/>
        <v>#VALUE!</v>
      </c>
      <c r="L251" t="e">
        <f t="shared" ca="1" si="166"/>
        <v>#VALUE!</v>
      </c>
      <c r="M251" t="e">
        <f t="shared" ca="1" si="166"/>
        <v>#VALUE!</v>
      </c>
      <c r="N251" t="e">
        <f t="shared" ca="1" si="166"/>
        <v>#VALUE!</v>
      </c>
      <c r="O251" t="e">
        <f t="shared" ca="1" si="166"/>
        <v>#VALUE!</v>
      </c>
      <c r="P251" t="e">
        <f t="shared" ca="1" si="166"/>
        <v>#VALUE!</v>
      </c>
      <c r="Q251" t="e">
        <f t="shared" ca="1" si="166"/>
        <v>#VALUE!</v>
      </c>
      <c r="R251" t="e">
        <f t="shared" ca="1" si="166"/>
        <v>#VALUE!</v>
      </c>
      <c r="S251" t="e">
        <f t="shared" ca="1" si="166"/>
        <v>#VALUE!</v>
      </c>
      <c r="T251" t="e">
        <f t="shared" ca="1" si="166"/>
        <v>#VALUE!</v>
      </c>
      <c r="U251" t="e">
        <f t="shared" ca="1" si="166"/>
        <v>#VALUE!</v>
      </c>
      <c r="V251" t="e">
        <f t="shared" ca="1" si="166"/>
        <v>#VALUE!</v>
      </c>
      <c r="W251" t="e">
        <f t="shared" ca="1" si="166"/>
        <v>#VALUE!</v>
      </c>
      <c r="X251" t="e">
        <f t="shared" ca="1" si="166"/>
        <v>#VALUE!</v>
      </c>
      <c r="Y251" t="e">
        <f t="shared" ca="1" si="166"/>
        <v>#VALUE!</v>
      </c>
      <c r="Z251" t="e">
        <f t="shared" ca="1" si="166"/>
        <v>#VALUE!</v>
      </c>
      <c r="AA251" t="e">
        <f t="shared" ca="1" si="167"/>
        <v>#VALUE!</v>
      </c>
      <c r="AB251" t="e">
        <f t="shared" ca="1" si="167"/>
        <v>#VALUE!</v>
      </c>
      <c r="AC251" t="e">
        <f t="shared" ca="1" si="167"/>
        <v>#VALUE!</v>
      </c>
      <c r="AD251" t="e">
        <f t="shared" ca="1" si="167"/>
        <v>#VALUE!</v>
      </c>
      <c r="AE251" t="e">
        <f t="shared" ca="1" si="167"/>
        <v>#VALUE!</v>
      </c>
      <c r="AF251" t="e">
        <f t="shared" ca="1" si="167"/>
        <v>#VALUE!</v>
      </c>
      <c r="AG251" t="e">
        <f t="shared" ca="1" si="167"/>
        <v>#VALUE!</v>
      </c>
      <c r="AH251" t="e">
        <f t="shared" ca="1" si="167"/>
        <v>#VALUE!</v>
      </c>
      <c r="AI251" t="e">
        <f t="shared" ca="1" si="167"/>
        <v>#VALUE!</v>
      </c>
      <c r="AJ251" t="e">
        <f t="shared" ca="1" si="167"/>
        <v>#VALUE!</v>
      </c>
      <c r="AK251" t="e">
        <f t="shared" ca="1" si="167"/>
        <v>#VALUE!</v>
      </c>
      <c r="AL251" t="e">
        <f t="shared" ca="1" si="167"/>
        <v>#VALUE!</v>
      </c>
      <c r="AM251" t="e">
        <f t="shared" ca="1" si="167"/>
        <v>#VALUE!</v>
      </c>
      <c r="AN251" t="e">
        <f t="shared" ca="1" si="167"/>
        <v>#VALUE!</v>
      </c>
      <c r="AO251" t="e">
        <f t="shared" ca="1" si="167"/>
        <v>#VALUE!</v>
      </c>
      <c r="AP251" t="e">
        <f t="shared" ca="1" si="167"/>
        <v>#VALUE!</v>
      </c>
    </row>
    <row r="252" spans="1:42">
      <c r="A252" s="48" t="str">
        <f>'[4]TS BYDem'!A182</f>
        <v/>
      </c>
      <c r="B252" t="s">
        <v>288</v>
      </c>
      <c r="C252" t="s">
        <v>137</v>
      </c>
      <c r="D252" s="3" t="str">
        <f>'[4]TS BYDem'!D182</f>
        <v>IOTS</v>
      </c>
      <c r="E252" t="s">
        <v>137</v>
      </c>
      <c r="F252" t="s">
        <v>137</v>
      </c>
      <c r="G252" t="s">
        <v>137</v>
      </c>
      <c r="H252" t="s">
        <v>137</v>
      </c>
      <c r="I252">
        <v>0</v>
      </c>
      <c r="J252">
        <f>INDEX('[4]TS BYDem'!$J$10:$J$203,MATCH(D252,'[4]TS BYDem'!$D$10:$D$203,0))</f>
        <v>73.690487252999532</v>
      </c>
      <c r="K252">
        <f t="shared" ca="1" si="166"/>
        <v>75.742566193741837</v>
      </c>
      <c r="L252">
        <f t="shared" ca="1" si="166"/>
        <v>77.193858547604464</v>
      </c>
      <c r="M252" s="171">
        <f t="shared" ref="M252" si="170">O252</f>
        <v>68.533420800000002</v>
      </c>
      <c r="N252" s="171">
        <f t="shared" ref="N252" si="171">O252</f>
        <v>68.533420800000002</v>
      </c>
      <c r="O252" s="171">
        <f>INDEX('[4]TS BYDem'!$O$10:$O$203,MATCH(D252,'[4]TS BYDem'!$D$10:$D$203,0))</f>
        <v>68.533420800000002</v>
      </c>
      <c r="P252">
        <f t="shared" ca="1" si="166"/>
        <v>69.323042070870599</v>
      </c>
      <c r="Q252">
        <f t="shared" ca="1" si="166"/>
        <v>69.248762769316315</v>
      </c>
      <c r="R252">
        <f t="shared" ca="1" si="166"/>
        <v>64.23541433757471</v>
      </c>
      <c r="S252">
        <f t="shared" ca="1" si="166"/>
        <v>66.241882903291369</v>
      </c>
      <c r="T252">
        <f t="shared" ca="1" si="166"/>
        <v>67.634474400743429</v>
      </c>
      <c r="U252">
        <f t="shared" ca="1" si="166"/>
        <v>69.155904295238685</v>
      </c>
      <c r="V252">
        <f t="shared" ca="1" si="166"/>
        <v>70.872486467608169</v>
      </c>
      <c r="W252">
        <f t="shared" ca="1" si="166"/>
        <v>72.530333488384443</v>
      </c>
      <c r="X252">
        <f t="shared" ca="1" si="166"/>
        <v>74.214706061493132</v>
      </c>
      <c r="Y252">
        <f t="shared" ca="1" si="166"/>
        <v>75.827080706842395</v>
      </c>
      <c r="Z252">
        <f t="shared" ca="1" si="166"/>
        <v>78.430374200038514</v>
      </c>
      <c r="AA252">
        <f t="shared" ca="1" si="167"/>
        <v>80.846094144598226</v>
      </c>
      <c r="AB252">
        <f t="shared" ca="1" si="167"/>
        <v>82.706672172486563</v>
      </c>
      <c r="AC252">
        <f t="shared" ca="1" si="167"/>
        <v>84.690404550489717</v>
      </c>
      <c r="AD252">
        <f t="shared" ca="1" si="167"/>
        <v>86.748029538561752</v>
      </c>
      <c r="AE252">
        <f t="shared" ca="1" si="167"/>
        <v>89.315324067878151</v>
      </c>
      <c r="AF252">
        <f t="shared" ca="1" si="167"/>
        <v>91.988720806524242</v>
      </c>
      <c r="AG252">
        <f t="shared" ca="1" si="167"/>
        <v>95.762927966965776</v>
      </c>
      <c r="AH252">
        <f t="shared" ca="1" si="167"/>
        <v>99.078622008518309</v>
      </c>
      <c r="AI252">
        <f t="shared" ca="1" si="167"/>
        <v>100.46931882366091</v>
      </c>
      <c r="AJ252">
        <f t="shared" ca="1" si="167"/>
        <v>102.27116169995602</v>
      </c>
      <c r="AK252">
        <f t="shared" ca="1" si="167"/>
        <v>104.37994311038344</v>
      </c>
      <c r="AL252">
        <f t="shared" ca="1" si="167"/>
        <v>106.84113543037016</v>
      </c>
      <c r="AM252">
        <f t="shared" ca="1" si="167"/>
        <v>118.72837223991338</v>
      </c>
      <c r="AN252">
        <f t="shared" ca="1" si="167"/>
        <v>127.09907868310148</v>
      </c>
      <c r="AO252">
        <f t="shared" ca="1" si="167"/>
        <v>147.94311033022538</v>
      </c>
      <c r="AP252">
        <f t="shared" ca="1" si="167"/>
        <v>168.20105358295672</v>
      </c>
    </row>
    <row r="253" spans="1:42">
      <c r="A253" s="48" t="str">
        <f>'[4]TS BYDem'!A183</f>
        <v>*</v>
      </c>
      <c r="B253" t="s">
        <v>288</v>
      </c>
      <c r="C253" t="s">
        <v>137</v>
      </c>
      <c r="D253" s="3" t="str">
        <f>'[4]TS BYDem'!D183</f>
        <v>IOTS</v>
      </c>
      <c r="E253" t="s">
        <v>137</v>
      </c>
      <c r="F253" t="s">
        <v>137</v>
      </c>
      <c r="G253" t="s">
        <v>137</v>
      </c>
      <c r="H253" t="s">
        <v>137</v>
      </c>
      <c r="I253">
        <v>0</v>
      </c>
      <c r="J253">
        <f>INDEX('[4]TS BYDem'!$J$10:$J$203,MATCH(D253,'[4]TS BYDem'!$D$10:$D$203,0))</f>
        <v>73.690487252999532</v>
      </c>
      <c r="K253">
        <f t="shared" ca="1" si="166"/>
        <v>75.742566193741837</v>
      </c>
      <c r="L253">
        <f t="shared" ca="1" si="166"/>
        <v>77.193858547604464</v>
      </c>
      <c r="M253">
        <f t="shared" ca="1" si="166"/>
        <v>78.267464426453699</v>
      </c>
      <c r="N253">
        <f t="shared" ca="1" si="166"/>
        <v>79.076032654651428</v>
      </c>
      <c r="O253">
        <f t="shared" ca="1" si="166"/>
        <v>79.683397566002753</v>
      </c>
      <c r="P253">
        <f t="shared" ca="1" si="166"/>
        <v>80.601485484552342</v>
      </c>
      <c r="Q253">
        <f t="shared" ca="1" si="166"/>
        <v>80.515121385874878</v>
      </c>
      <c r="R253">
        <f t="shared" ca="1" si="166"/>
        <v>74.686131214945561</v>
      </c>
      <c r="S253">
        <f t="shared" ca="1" si="166"/>
        <v>77.019040189273142</v>
      </c>
      <c r="T253">
        <f t="shared" ca="1" si="166"/>
        <v>78.638197975987737</v>
      </c>
      <c r="U253">
        <f t="shared" ca="1" si="166"/>
        <v>80.407155394670482</v>
      </c>
      <c r="V253">
        <f t="shared" ca="1" si="166"/>
        <v>82.403015197069706</v>
      </c>
      <c r="W253">
        <f t="shared" ca="1" si="166"/>
        <v>84.330583990777569</v>
      </c>
      <c r="X253">
        <f t="shared" ca="1" si="166"/>
        <v>86.288993885184738</v>
      </c>
      <c r="Y253">
        <f t="shared" ca="1" si="166"/>
        <v>88.163692220550885</v>
      </c>
      <c r="Z253">
        <f t="shared" ca="1" si="166"/>
        <v>91.190525960613286</v>
      </c>
      <c r="AA253">
        <f t="shared" ca="1" si="167"/>
        <v>93.999269060016161</v>
      </c>
      <c r="AB253">
        <f t="shared" ca="1" si="167"/>
        <v>96.16255198049744</v>
      </c>
      <c r="AC253">
        <f t="shared" ca="1" si="167"/>
        <v>98.469025725654163</v>
      </c>
      <c r="AD253">
        <f t="shared" ca="1" si="167"/>
        <v>100.86141396561615</v>
      </c>
      <c r="AE253">
        <f t="shared" ca="1" si="167"/>
        <v>103.84639192615802</v>
      </c>
      <c r="AF253">
        <f t="shared" ca="1" si="167"/>
        <v>106.95473428949721</v>
      </c>
      <c r="AG253">
        <f t="shared" ca="1" si="167"/>
        <v>111.34298233185842</v>
      </c>
      <c r="AH253">
        <f t="shared" ca="1" si="167"/>
        <v>115.19811991927413</v>
      </c>
      <c r="AI253">
        <f t="shared" ca="1" si="167"/>
        <v>116.8150747702245</v>
      </c>
      <c r="AJ253">
        <f t="shared" ca="1" si="167"/>
        <v>118.9100666820144</v>
      </c>
      <c r="AK253">
        <f t="shared" ca="1" si="167"/>
        <v>121.36193418761079</v>
      </c>
      <c r="AL253">
        <f t="shared" ca="1" si="167"/>
        <v>124.22354774535538</v>
      </c>
      <c r="AM253">
        <f t="shared" ca="1" si="167"/>
        <v>138.04476673018178</v>
      </c>
      <c r="AN253">
        <f t="shared" ca="1" si="167"/>
        <v>147.77733693658328</v>
      </c>
      <c r="AO253">
        <f t="shared" ca="1" si="167"/>
        <v>172.01256759088204</v>
      </c>
      <c r="AP253">
        <f t="shared" ca="1" si="167"/>
        <v>195.56635678210995</v>
      </c>
    </row>
    <row r="254" spans="1:42">
      <c r="A254" s="48" t="str">
        <f>'[4]TS BYDem'!A184</f>
        <v>*</v>
      </c>
      <c r="B254" t="s">
        <v>288</v>
      </c>
      <c r="C254" t="s">
        <v>137</v>
      </c>
      <c r="D254" s="3" t="str">
        <f>'[4]TS BYDem'!D184</f>
        <v>IOTS</v>
      </c>
      <c r="E254" t="s">
        <v>137</v>
      </c>
      <c r="F254" t="s">
        <v>137</v>
      </c>
      <c r="G254" t="s">
        <v>137</v>
      </c>
      <c r="H254" t="s">
        <v>137</v>
      </c>
      <c r="I254">
        <v>0</v>
      </c>
      <c r="J254">
        <f>INDEX('[4]TS BYDem'!$J$10:$J$203,MATCH(D254,'[4]TS BYDem'!$D$10:$D$203,0))</f>
        <v>73.690487252999532</v>
      </c>
      <c r="K254">
        <f t="shared" ca="1" si="166"/>
        <v>75.742566193741837</v>
      </c>
      <c r="L254">
        <f t="shared" ca="1" si="166"/>
        <v>77.193858547604464</v>
      </c>
      <c r="M254">
        <f t="shared" ca="1" si="166"/>
        <v>78.267464426453699</v>
      </c>
      <c r="N254">
        <f t="shared" ca="1" si="166"/>
        <v>79.076032654651428</v>
      </c>
      <c r="O254">
        <f t="shared" ca="1" si="166"/>
        <v>79.683397566002753</v>
      </c>
      <c r="P254">
        <f t="shared" ca="1" si="166"/>
        <v>80.601485484552342</v>
      </c>
      <c r="Q254">
        <f t="shared" ca="1" si="166"/>
        <v>80.515121385874878</v>
      </c>
      <c r="R254">
        <f t="shared" ca="1" si="166"/>
        <v>74.686131214945561</v>
      </c>
      <c r="S254">
        <f t="shared" ca="1" si="166"/>
        <v>77.019040189273142</v>
      </c>
      <c r="T254">
        <f t="shared" ca="1" si="166"/>
        <v>78.638197975987737</v>
      </c>
      <c r="U254">
        <f t="shared" ca="1" si="166"/>
        <v>80.407155394670482</v>
      </c>
      <c r="V254">
        <f t="shared" ca="1" si="166"/>
        <v>82.403015197069706</v>
      </c>
      <c r="W254">
        <f t="shared" ca="1" si="166"/>
        <v>84.330583990777569</v>
      </c>
      <c r="X254">
        <f t="shared" ca="1" si="166"/>
        <v>86.288993885184738</v>
      </c>
      <c r="Y254">
        <f t="shared" ca="1" si="166"/>
        <v>88.163692220550885</v>
      </c>
      <c r="Z254">
        <f t="shared" ca="1" si="166"/>
        <v>91.190525960613286</v>
      </c>
      <c r="AA254">
        <f t="shared" ca="1" si="167"/>
        <v>93.999269060016161</v>
      </c>
      <c r="AB254">
        <f t="shared" ca="1" si="167"/>
        <v>96.16255198049744</v>
      </c>
      <c r="AC254">
        <f t="shared" ca="1" si="167"/>
        <v>98.469025725654163</v>
      </c>
      <c r="AD254">
        <f t="shared" ca="1" si="167"/>
        <v>100.86141396561615</v>
      </c>
      <c r="AE254">
        <f t="shared" ca="1" si="167"/>
        <v>103.84639192615802</v>
      </c>
      <c r="AF254">
        <f t="shared" ca="1" si="167"/>
        <v>106.95473428949721</v>
      </c>
      <c r="AG254">
        <f t="shared" ca="1" si="167"/>
        <v>111.34298233185842</v>
      </c>
      <c r="AH254">
        <f t="shared" ca="1" si="167"/>
        <v>115.19811991927413</v>
      </c>
      <c r="AI254">
        <f t="shared" ca="1" si="167"/>
        <v>116.8150747702245</v>
      </c>
      <c r="AJ254">
        <f t="shared" ca="1" si="167"/>
        <v>118.9100666820144</v>
      </c>
      <c r="AK254">
        <f t="shared" ca="1" si="167"/>
        <v>121.36193418761079</v>
      </c>
      <c r="AL254">
        <f t="shared" ca="1" si="167"/>
        <v>124.22354774535538</v>
      </c>
      <c r="AM254">
        <f t="shared" ca="1" si="167"/>
        <v>138.04476673018178</v>
      </c>
      <c r="AN254">
        <f t="shared" ca="1" si="167"/>
        <v>147.77733693658328</v>
      </c>
      <c r="AO254">
        <f t="shared" ca="1" si="167"/>
        <v>172.01256759088204</v>
      </c>
      <c r="AP254">
        <f t="shared" ca="1" si="167"/>
        <v>195.56635678210995</v>
      </c>
    </row>
    <row r="255" spans="1:42">
      <c r="A255" s="48" t="str">
        <f>'[4]TS BYDem'!A185</f>
        <v>*</v>
      </c>
      <c r="B255" t="s">
        <v>288</v>
      </c>
      <c r="C255" t="s">
        <v>137</v>
      </c>
      <c r="D255" s="3" t="str">
        <f>'[4]TS BYDem'!D185</f>
        <v>IOTS</v>
      </c>
      <c r="E255" t="s">
        <v>137</v>
      </c>
      <c r="F255" t="s">
        <v>137</v>
      </c>
      <c r="G255" t="s">
        <v>137</v>
      </c>
      <c r="H255" t="s">
        <v>137</v>
      </c>
      <c r="I255">
        <v>0</v>
      </c>
      <c r="J255">
        <f>INDEX('[4]TS BYDem'!$J$10:$J$203,MATCH(D255,'[4]TS BYDem'!$D$10:$D$203,0))</f>
        <v>73.690487252999532</v>
      </c>
      <c r="K255">
        <f t="shared" ca="1" si="166"/>
        <v>75.742566193741837</v>
      </c>
      <c r="L255">
        <f t="shared" ca="1" si="166"/>
        <v>77.193858547604464</v>
      </c>
      <c r="M255">
        <f t="shared" ca="1" si="166"/>
        <v>78.267464426453699</v>
      </c>
      <c r="N255">
        <f t="shared" ca="1" si="166"/>
        <v>79.076032654651428</v>
      </c>
      <c r="O255">
        <f t="shared" ca="1" si="166"/>
        <v>79.683397566002753</v>
      </c>
      <c r="P255">
        <f t="shared" ca="1" si="166"/>
        <v>80.601485484552342</v>
      </c>
      <c r="Q255">
        <f t="shared" ca="1" si="166"/>
        <v>80.515121385874878</v>
      </c>
      <c r="R255">
        <f t="shared" ca="1" si="166"/>
        <v>74.686131214945561</v>
      </c>
      <c r="S255">
        <f t="shared" ca="1" si="166"/>
        <v>77.019040189273142</v>
      </c>
      <c r="T255">
        <f t="shared" ca="1" si="166"/>
        <v>78.638197975987737</v>
      </c>
      <c r="U255">
        <f t="shared" ca="1" si="166"/>
        <v>80.407155394670482</v>
      </c>
      <c r="V255">
        <f t="shared" ca="1" si="166"/>
        <v>82.403015197069706</v>
      </c>
      <c r="W255">
        <f t="shared" ca="1" si="166"/>
        <v>84.330583990777569</v>
      </c>
      <c r="X255">
        <f t="shared" ca="1" si="166"/>
        <v>86.288993885184738</v>
      </c>
      <c r="Y255">
        <f t="shared" ca="1" si="166"/>
        <v>88.163692220550885</v>
      </c>
      <c r="Z255">
        <f t="shared" ca="1" si="166"/>
        <v>91.190525960613286</v>
      </c>
      <c r="AA255">
        <f t="shared" ca="1" si="167"/>
        <v>93.999269060016161</v>
      </c>
      <c r="AB255">
        <f t="shared" ca="1" si="167"/>
        <v>96.16255198049744</v>
      </c>
      <c r="AC255">
        <f t="shared" ca="1" si="167"/>
        <v>98.469025725654163</v>
      </c>
      <c r="AD255">
        <f t="shared" ca="1" si="167"/>
        <v>100.86141396561615</v>
      </c>
      <c r="AE255">
        <f t="shared" ca="1" si="167"/>
        <v>103.84639192615802</v>
      </c>
      <c r="AF255">
        <f t="shared" ca="1" si="167"/>
        <v>106.95473428949721</v>
      </c>
      <c r="AG255">
        <f t="shared" ca="1" si="167"/>
        <v>111.34298233185842</v>
      </c>
      <c r="AH255">
        <f t="shared" ca="1" si="167"/>
        <v>115.19811991927413</v>
      </c>
      <c r="AI255">
        <f t="shared" ca="1" si="167"/>
        <v>116.8150747702245</v>
      </c>
      <c r="AJ255">
        <f t="shared" ca="1" si="167"/>
        <v>118.9100666820144</v>
      </c>
      <c r="AK255">
        <f t="shared" ca="1" si="167"/>
        <v>121.36193418761079</v>
      </c>
      <c r="AL255">
        <f t="shared" ca="1" si="167"/>
        <v>124.22354774535538</v>
      </c>
      <c r="AM255">
        <f t="shared" ca="1" si="167"/>
        <v>138.04476673018178</v>
      </c>
      <c r="AN255">
        <f t="shared" ca="1" si="167"/>
        <v>147.77733693658328</v>
      </c>
      <c r="AO255">
        <f t="shared" ca="1" si="167"/>
        <v>172.01256759088204</v>
      </c>
      <c r="AP255">
        <f t="shared" ref="L255:AP262" ca="1" si="172">AP$239/AO$239*AO255</f>
        <v>195.56635678210995</v>
      </c>
    </row>
    <row r="256" spans="1:42">
      <c r="A256" s="48" t="str">
        <f>'[4]TS BYDem'!A186</f>
        <v>*</v>
      </c>
      <c r="B256" t="s">
        <v>288</v>
      </c>
      <c r="C256" t="s">
        <v>137</v>
      </c>
      <c r="D256" s="3" t="str">
        <f>'[4]TS BYDem'!D186</f>
        <v>IOTS</v>
      </c>
      <c r="E256" t="s">
        <v>137</v>
      </c>
      <c r="F256" t="s">
        <v>137</v>
      </c>
      <c r="G256" t="s">
        <v>137</v>
      </c>
      <c r="H256" t="s">
        <v>137</v>
      </c>
      <c r="I256">
        <v>0</v>
      </c>
      <c r="J256">
        <f>INDEX('[4]TS BYDem'!$J$10:$J$203,MATCH(D256,'[4]TS BYDem'!$D$10:$D$203,0))</f>
        <v>73.690487252999532</v>
      </c>
      <c r="K256">
        <f t="shared" ca="1" si="166"/>
        <v>75.742566193741837</v>
      </c>
      <c r="L256">
        <f t="shared" ca="1" si="172"/>
        <v>77.193858547604464</v>
      </c>
      <c r="M256">
        <f t="shared" ca="1" si="172"/>
        <v>78.267464426453699</v>
      </c>
      <c r="N256">
        <f t="shared" ca="1" si="172"/>
        <v>79.076032654651428</v>
      </c>
      <c r="O256">
        <f t="shared" ca="1" si="172"/>
        <v>79.683397566002753</v>
      </c>
      <c r="P256">
        <f t="shared" ca="1" si="172"/>
        <v>80.601485484552342</v>
      </c>
      <c r="Q256">
        <f t="shared" ca="1" si="172"/>
        <v>80.515121385874878</v>
      </c>
      <c r="R256">
        <f t="shared" ca="1" si="172"/>
        <v>74.686131214945561</v>
      </c>
      <c r="S256">
        <f t="shared" ca="1" si="172"/>
        <v>77.019040189273142</v>
      </c>
      <c r="T256">
        <f t="shared" ca="1" si="172"/>
        <v>78.638197975987737</v>
      </c>
      <c r="U256">
        <f t="shared" ca="1" si="172"/>
        <v>80.407155394670482</v>
      </c>
      <c r="V256">
        <f t="shared" ca="1" si="172"/>
        <v>82.403015197069706</v>
      </c>
      <c r="W256">
        <f t="shared" ca="1" si="172"/>
        <v>84.330583990777569</v>
      </c>
      <c r="X256">
        <f t="shared" ca="1" si="172"/>
        <v>86.288993885184738</v>
      </c>
      <c r="Y256">
        <f t="shared" ca="1" si="172"/>
        <v>88.163692220550885</v>
      </c>
      <c r="Z256">
        <f t="shared" ca="1" si="172"/>
        <v>91.190525960613286</v>
      </c>
      <c r="AA256">
        <f t="shared" ca="1" si="172"/>
        <v>93.999269060016161</v>
      </c>
      <c r="AB256">
        <f t="shared" ca="1" si="172"/>
        <v>96.16255198049744</v>
      </c>
      <c r="AC256">
        <f t="shared" ca="1" si="172"/>
        <v>98.469025725654163</v>
      </c>
      <c r="AD256">
        <f t="shared" ca="1" si="172"/>
        <v>100.86141396561615</v>
      </c>
      <c r="AE256">
        <f t="shared" ca="1" si="172"/>
        <v>103.84639192615802</v>
      </c>
      <c r="AF256">
        <f t="shared" ca="1" si="172"/>
        <v>106.95473428949721</v>
      </c>
      <c r="AG256">
        <f t="shared" ca="1" si="172"/>
        <v>111.34298233185842</v>
      </c>
      <c r="AH256">
        <f t="shared" ca="1" si="172"/>
        <v>115.19811991927413</v>
      </c>
      <c r="AI256">
        <f t="shared" ca="1" si="172"/>
        <v>116.8150747702245</v>
      </c>
      <c r="AJ256">
        <f t="shared" ca="1" si="172"/>
        <v>118.9100666820144</v>
      </c>
      <c r="AK256">
        <f t="shared" ca="1" si="172"/>
        <v>121.36193418761079</v>
      </c>
      <c r="AL256">
        <f t="shared" ca="1" si="172"/>
        <v>124.22354774535538</v>
      </c>
      <c r="AM256">
        <f t="shared" ca="1" si="172"/>
        <v>138.04476673018178</v>
      </c>
      <c r="AN256">
        <f t="shared" ca="1" si="172"/>
        <v>147.77733693658328</v>
      </c>
      <c r="AO256">
        <f t="shared" ca="1" si="172"/>
        <v>172.01256759088204</v>
      </c>
      <c r="AP256">
        <f t="shared" ca="1" si="172"/>
        <v>195.56635678210995</v>
      </c>
    </row>
    <row r="257" spans="1:42">
      <c r="A257" s="48" t="str">
        <f>'[4]TS BYDem'!A187</f>
        <v>*</v>
      </c>
      <c r="B257" t="s">
        <v>288</v>
      </c>
      <c r="C257" t="s">
        <v>137</v>
      </c>
      <c r="D257" s="3" t="str">
        <f>'[4]TS BYDem'!D187</f>
        <v>IOTS</v>
      </c>
      <c r="E257" t="s">
        <v>137</v>
      </c>
      <c r="F257" t="s">
        <v>137</v>
      </c>
      <c r="G257" t="s">
        <v>137</v>
      </c>
      <c r="H257" t="s">
        <v>137</v>
      </c>
      <c r="I257">
        <v>0</v>
      </c>
      <c r="J257">
        <f>INDEX('[4]TS BYDem'!$J$10:$J$203,MATCH(D257,'[4]TS BYDem'!$D$10:$D$203,0))</f>
        <v>73.690487252999532</v>
      </c>
      <c r="K257">
        <f t="shared" ca="1" si="166"/>
        <v>75.742566193741837</v>
      </c>
      <c r="L257">
        <f t="shared" ca="1" si="172"/>
        <v>77.193858547604464</v>
      </c>
      <c r="M257">
        <f t="shared" ca="1" si="172"/>
        <v>78.267464426453699</v>
      </c>
      <c r="N257">
        <f t="shared" ca="1" si="172"/>
        <v>79.076032654651428</v>
      </c>
      <c r="O257">
        <f t="shared" ca="1" si="172"/>
        <v>79.683397566002753</v>
      </c>
      <c r="P257">
        <f t="shared" ca="1" si="172"/>
        <v>80.601485484552342</v>
      </c>
      <c r="Q257">
        <f t="shared" ca="1" si="172"/>
        <v>80.515121385874878</v>
      </c>
      <c r="R257">
        <f t="shared" ca="1" si="172"/>
        <v>74.686131214945561</v>
      </c>
      <c r="S257">
        <f t="shared" ca="1" si="172"/>
        <v>77.019040189273142</v>
      </c>
      <c r="T257">
        <f t="shared" ca="1" si="172"/>
        <v>78.638197975987737</v>
      </c>
      <c r="U257">
        <f t="shared" ca="1" si="172"/>
        <v>80.407155394670482</v>
      </c>
      <c r="V257">
        <f t="shared" ca="1" si="172"/>
        <v>82.403015197069706</v>
      </c>
      <c r="W257">
        <f t="shared" ca="1" si="172"/>
        <v>84.330583990777569</v>
      </c>
      <c r="X257">
        <f t="shared" ca="1" si="172"/>
        <v>86.288993885184738</v>
      </c>
      <c r="Y257">
        <f t="shared" ca="1" si="172"/>
        <v>88.163692220550885</v>
      </c>
      <c r="Z257">
        <f t="shared" ca="1" si="172"/>
        <v>91.190525960613286</v>
      </c>
      <c r="AA257">
        <f t="shared" ca="1" si="172"/>
        <v>93.999269060016161</v>
      </c>
      <c r="AB257">
        <f t="shared" ca="1" si="172"/>
        <v>96.16255198049744</v>
      </c>
      <c r="AC257">
        <f t="shared" ca="1" si="172"/>
        <v>98.469025725654163</v>
      </c>
      <c r="AD257">
        <f t="shared" ca="1" si="172"/>
        <v>100.86141396561615</v>
      </c>
      <c r="AE257">
        <f t="shared" ca="1" si="172"/>
        <v>103.84639192615802</v>
      </c>
      <c r="AF257">
        <f t="shared" ca="1" si="172"/>
        <v>106.95473428949721</v>
      </c>
      <c r="AG257">
        <f t="shared" ca="1" si="172"/>
        <v>111.34298233185842</v>
      </c>
      <c r="AH257">
        <f t="shared" ca="1" si="172"/>
        <v>115.19811991927413</v>
      </c>
      <c r="AI257">
        <f t="shared" ca="1" si="172"/>
        <v>116.8150747702245</v>
      </c>
      <c r="AJ257">
        <f t="shared" ca="1" si="172"/>
        <v>118.9100666820144</v>
      </c>
      <c r="AK257">
        <f t="shared" ca="1" si="172"/>
        <v>121.36193418761079</v>
      </c>
      <c r="AL257">
        <f t="shared" ca="1" si="172"/>
        <v>124.22354774535538</v>
      </c>
      <c r="AM257">
        <f t="shared" ca="1" si="172"/>
        <v>138.04476673018178</v>
      </c>
      <c r="AN257">
        <f t="shared" ca="1" si="172"/>
        <v>147.77733693658328</v>
      </c>
      <c r="AO257">
        <f t="shared" ca="1" si="172"/>
        <v>172.01256759088204</v>
      </c>
      <c r="AP257">
        <f t="shared" ca="1" si="172"/>
        <v>195.56635678210995</v>
      </c>
    </row>
    <row r="258" spans="1:42">
      <c r="A258" s="48" t="str">
        <f>'[4]TS BYDem'!A184</f>
        <v>*</v>
      </c>
      <c r="B258" t="s">
        <v>288</v>
      </c>
      <c r="C258" t="s">
        <v>137</v>
      </c>
      <c r="D258" s="3" t="str">
        <f>'[4]TS BYDem'!D184</f>
        <v>IOTS</v>
      </c>
      <c r="E258" t="s">
        <v>137</v>
      </c>
      <c r="F258" t="s">
        <v>137</v>
      </c>
      <c r="G258" t="s">
        <v>137</v>
      </c>
      <c r="H258" t="s">
        <v>137</v>
      </c>
      <c r="I258">
        <v>0</v>
      </c>
      <c r="J258">
        <f>INDEX('[4]TS BYDem'!$J$10:$J$203,MATCH(D258,'[4]TS BYDem'!$D$10:$D$203,0))</f>
        <v>73.690487252999532</v>
      </c>
      <c r="K258">
        <f t="shared" ca="1" si="166"/>
        <v>75.742566193741837</v>
      </c>
      <c r="L258">
        <f t="shared" ca="1" si="172"/>
        <v>77.193858547604464</v>
      </c>
      <c r="M258">
        <f t="shared" ca="1" si="172"/>
        <v>78.267464426453699</v>
      </c>
      <c r="N258">
        <f t="shared" ca="1" si="172"/>
        <v>79.076032654651428</v>
      </c>
      <c r="O258">
        <f t="shared" ca="1" si="172"/>
        <v>79.683397566002753</v>
      </c>
      <c r="P258">
        <f t="shared" ca="1" si="172"/>
        <v>80.601485484552342</v>
      </c>
      <c r="Q258">
        <f t="shared" ca="1" si="172"/>
        <v>80.515121385874878</v>
      </c>
      <c r="R258">
        <f t="shared" ca="1" si="172"/>
        <v>74.686131214945561</v>
      </c>
      <c r="S258">
        <f t="shared" ca="1" si="172"/>
        <v>77.019040189273142</v>
      </c>
      <c r="T258">
        <f t="shared" ca="1" si="172"/>
        <v>78.638197975987737</v>
      </c>
      <c r="U258">
        <f t="shared" ca="1" si="172"/>
        <v>80.407155394670482</v>
      </c>
      <c r="V258">
        <f t="shared" ca="1" si="172"/>
        <v>82.403015197069706</v>
      </c>
      <c r="W258">
        <f t="shared" ca="1" si="172"/>
        <v>84.330583990777569</v>
      </c>
      <c r="X258">
        <f t="shared" ca="1" si="172"/>
        <v>86.288993885184738</v>
      </c>
      <c r="Y258">
        <f t="shared" ca="1" si="172"/>
        <v>88.163692220550885</v>
      </c>
      <c r="Z258">
        <f t="shared" ca="1" si="172"/>
        <v>91.190525960613286</v>
      </c>
      <c r="AA258">
        <f t="shared" ca="1" si="172"/>
        <v>93.999269060016161</v>
      </c>
      <c r="AB258">
        <f t="shared" ca="1" si="172"/>
        <v>96.16255198049744</v>
      </c>
      <c r="AC258">
        <f t="shared" ca="1" si="172"/>
        <v>98.469025725654163</v>
      </c>
      <c r="AD258">
        <f t="shared" ca="1" si="172"/>
        <v>100.86141396561615</v>
      </c>
      <c r="AE258">
        <f t="shared" ca="1" si="172"/>
        <v>103.84639192615802</v>
      </c>
      <c r="AF258">
        <f t="shared" ca="1" si="172"/>
        <v>106.95473428949721</v>
      </c>
      <c r="AG258">
        <f t="shared" ca="1" si="172"/>
        <v>111.34298233185842</v>
      </c>
      <c r="AH258">
        <f t="shared" ca="1" si="172"/>
        <v>115.19811991927413</v>
      </c>
      <c r="AI258">
        <f t="shared" ca="1" si="172"/>
        <v>116.8150747702245</v>
      </c>
      <c r="AJ258">
        <f t="shared" ca="1" si="172"/>
        <v>118.9100666820144</v>
      </c>
      <c r="AK258">
        <f t="shared" ca="1" si="172"/>
        <v>121.36193418761079</v>
      </c>
      <c r="AL258">
        <f t="shared" ca="1" si="172"/>
        <v>124.22354774535538</v>
      </c>
      <c r="AM258">
        <f t="shared" ca="1" si="172"/>
        <v>138.04476673018178</v>
      </c>
      <c r="AN258">
        <f t="shared" ca="1" si="172"/>
        <v>147.77733693658328</v>
      </c>
      <c r="AO258">
        <f t="shared" ca="1" si="172"/>
        <v>172.01256759088204</v>
      </c>
      <c r="AP258">
        <f t="shared" ca="1" si="172"/>
        <v>195.56635678210995</v>
      </c>
    </row>
    <row r="259" spans="1:42">
      <c r="A259" s="48" t="str">
        <f>'[4]TS BYDem'!A185</f>
        <v>*</v>
      </c>
      <c r="B259" t="s">
        <v>288</v>
      </c>
      <c r="C259" t="s">
        <v>137</v>
      </c>
      <c r="D259" s="3" t="str">
        <f>'[4]TS BYDem'!D185</f>
        <v>IOTS</v>
      </c>
      <c r="E259" t="s">
        <v>137</v>
      </c>
      <c r="F259" t="s">
        <v>137</v>
      </c>
      <c r="G259" t="s">
        <v>137</v>
      </c>
      <c r="H259" t="s">
        <v>137</v>
      </c>
      <c r="I259">
        <v>0</v>
      </c>
      <c r="J259">
        <f>INDEX('[4]TS BYDem'!$J$10:$J$203,MATCH(D259,'[4]TS BYDem'!$D$10:$D$203,0))</f>
        <v>73.690487252999532</v>
      </c>
      <c r="K259">
        <f t="shared" ca="1" si="166"/>
        <v>75.742566193741837</v>
      </c>
      <c r="L259">
        <f t="shared" ca="1" si="172"/>
        <v>77.193858547604464</v>
      </c>
      <c r="M259">
        <f t="shared" ca="1" si="172"/>
        <v>78.267464426453699</v>
      </c>
      <c r="N259">
        <f t="shared" ca="1" si="172"/>
        <v>79.076032654651428</v>
      </c>
      <c r="O259">
        <f t="shared" ca="1" si="172"/>
        <v>79.683397566002753</v>
      </c>
      <c r="P259">
        <f t="shared" ca="1" si="172"/>
        <v>80.601485484552342</v>
      </c>
      <c r="Q259">
        <f t="shared" ca="1" si="172"/>
        <v>80.515121385874878</v>
      </c>
      <c r="R259">
        <f t="shared" ca="1" si="172"/>
        <v>74.686131214945561</v>
      </c>
      <c r="S259">
        <f t="shared" ca="1" si="172"/>
        <v>77.019040189273142</v>
      </c>
      <c r="T259">
        <f t="shared" ca="1" si="172"/>
        <v>78.638197975987737</v>
      </c>
      <c r="U259">
        <f t="shared" ca="1" si="172"/>
        <v>80.407155394670482</v>
      </c>
      <c r="V259">
        <f t="shared" ca="1" si="172"/>
        <v>82.403015197069706</v>
      </c>
      <c r="W259">
        <f t="shared" ca="1" si="172"/>
        <v>84.330583990777569</v>
      </c>
      <c r="X259">
        <f t="shared" ca="1" si="172"/>
        <v>86.288993885184738</v>
      </c>
      <c r="Y259">
        <f t="shared" ca="1" si="172"/>
        <v>88.163692220550885</v>
      </c>
      <c r="Z259">
        <f t="shared" ca="1" si="172"/>
        <v>91.190525960613286</v>
      </c>
      <c r="AA259">
        <f t="shared" ca="1" si="172"/>
        <v>93.999269060016161</v>
      </c>
      <c r="AB259">
        <f t="shared" ca="1" si="172"/>
        <v>96.16255198049744</v>
      </c>
      <c r="AC259">
        <f t="shared" ca="1" si="172"/>
        <v>98.469025725654163</v>
      </c>
      <c r="AD259">
        <f t="shared" ca="1" si="172"/>
        <v>100.86141396561615</v>
      </c>
      <c r="AE259">
        <f t="shared" ca="1" si="172"/>
        <v>103.84639192615802</v>
      </c>
      <c r="AF259">
        <f t="shared" ca="1" si="172"/>
        <v>106.95473428949721</v>
      </c>
      <c r="AG259">
        <f t="shared" ca="1" si="172"/>
        <v>111.34298233185842</v>
      </c>
      <c r="AH259">
        <f t="shared" ca="1" si="172"/>
        <v>115.19811991927413</v>
      </c>
      <c r="AI259">
        <f t="shared" ca="1" si="172"/>
        <v>116.8150747702245</v>
      </c>
      <c r="AJ259">
        <f t="shared" ca="1" si="172"/>
        <v>118.9100666820144</v>
      </c>
      <c r="AK259">
        <f t="shared" ca="1" si="172"/>
        <v>121.36193418761079</v>
      </c>
      <c r="AL259">
        <f t="shared" ca="1" si="172"/>
        <v>124.22354774535538</v>
      </c>
      <c r="AM259">
        <f t="shared" ca="1" si="172"/>
        <v>138.04476673018178</v>
      </c>
      <c r="AN259">
        <f t="shared" ca="1" si="172"/>
        <v>147.77733693658328</v>
      </c>
      <c r="AO259">
        <f t="shared" ca="1" si="172"/>
        <v>172.01256759088204</v>
      </c>
      <c r="AP259">
        <f t="shared" ca="1" si="172"/>
        <v>195.56635678210995</v>
      </c>
    </row>
    <row r="260" spans="1:42">
      <c r="A260" s="48" t="str">
        <f>'[4]TS BYDem'!A186</f>
        <v>*</v>
      </c>
      <c r="B260" t="s">
        <v>288</v>
      </c>
      <c r="C260" t="s">
        <v>137</v>
      </c>
      <c r="D260" s="3" t="str">
        <f>'[4]TS BYDem'!D186</f>
        <v>IOTS</v>
      </c>
      <c r="E260" t="s">
        <v>137</v>
      </c>
      <c r="F260" t="s">
        <v>137</v>
      </c>
      <c r="G260" t="s">
        <v>137</v>
      </c>
      <c r="H260" t="s">
        <v>137</v>
      </c>
      <c r="I260">
        <v>0</v>
      </c>
      <c r="J260">
        <f>INDEX('[4]TS BYDem'!$J$10:$J$203,MATCH(D260,'[4]TS BYDem'!$D$10:$D$203,0))</f>
        <v>73.690487252999532</v>
      </c>
      <c r="K260">
        <f t="shared" ca="1" si="166"/>
        <v>75.742566193741837</v>
      </c>
      <c r="L260">
        <f t="shared" ca="1" si="172"/>
        <v>77.193858547604464</v>
      </c>
      <c r="M260">
        <f t="shared" ca="1" si="172"/>
        <v>78.267464426453699</v>
      </c>
      <c r="N260">
        <f t="shared" ca="1" si="172"/>
        <v>79.076032654651428</v>
      </c>
      <c r="O260">
        <f t="shared" ca="1" si="172"/>
        <v>79.683397566002753</v>
      </c>
      <c r="P260">
        <f t="shared" ca="1" si="172"/>
        <v>80.601485484552342</v>
      </c>
      <c r="Q260">
        <f t="shared" ca="1" si="172"/>
        <v>80.515121385874878</v>
      </c>
      <c r="R260">
        <f t="shared" ca="1" si="172"/>
        <v>74.686131214945561</v>
      </c>
      <c r="S260">
        <f t="shared" ca="1" si="172"/>
        <v>77.019040189273142</v>
      </c>
      <c r="T260">
        <f t="shared" ca="1" si="172"/>
        <v>78.638197975987737</v>
      </c>
      <c r="U260">
        <f t="shared" ca="1" si="172"/>
        <v>80.407155394670482</v>
      </c>
      <c r="V260">
        <f t="shared" ca="1" si="172"/>
        <v>82.403015197069706</v>
      </c>
      <c r="W260">
        <f t="shared" ca="1" si="172"/>
        <v>84.330583990777569</v>
      </c>
      <c r="X260">
        <f t="shared" ca="1" si="172"/>
        <v>86.288993885184738</v>
      </c>
      <c r="Y260">
        <f t="shared" ca="1" si="172"/>
        <v>88.163692220550885</v>
      </c>
      <c r="Z260">
        <f t="shared" ca="1" si="172"/>
        <v>91.190525960613286</v>
      </c>
      <c r="AA260">
        <f t="shared" ca="1" si="172"/>
        <v>93.999269060016161</v>
      </c>
      <c r="AB260">
        <f t="shared" ca="1" si="172"/>
        <v>96.16255198049744</v>
      </c>
      <c r="AC260">
        <f t="shared" ca="1" si="172"/>
        <v>98.469025725654163</v>
      </c>
      <c r="AD260">
        <f t="shared" ca="1" si="172"/>
        <v>100.86141396561615</v>
      </c>
      <c r="AE260">
        <f t="shared" ca="1" si="172"/>
        <v>103.84639192615802</v>
      </c>
      <c r="AF260">
        <f t="shared" ca="1" si="172"/>
        <v>106.95473428949721</v>
      </c>
      <c r="AG260">
        <f t="shared" ca="1" si="172"/>
        <v>111.34298233185842</v>
      </c>
      <c r="AH260">
        <f t="shared" ca="1" si="172"/>
        <v>115.19811991927413</v>
      </c>
      <c r="AI260">
        <f t="shared" ca="1" si="172"/>
        <v>116.8150747702245</v>
      </c>
      <c r="AJ260">
        <f t="shared" ca="1" si="172"/>
        <v>118.9100666820144</v>
      </c>
      <c r="AK260">
        <f t="shared" ca="1" si="172"/>
        <v>121.36193418761079</v>
      </c>
      <c r="AL260">
        <f t="shared" ca="1" si="172"/>
        <v>124.22354774535538</v>
      </c>
      <c r="AM260">
        <f t="shared" ca="1" si="172"/>
        <v>138.04476673018178</v>
      </c>
      <c r="AN260">
        <f t="shared" ca="1" si="172"/>
        <v>147.77733693658328</v>
      </c>
      <c r="AO260">
        <f t="shared" ca="1" si="172"/>
        <v>172.01256759088204</v>
      </c>
      <c r="AP260">
        <f t="shared" ca="1" si="172"/>
        <v>195.56635678210995</v>
      </c>
    </row>
    <row r="261" spans="1:42">
      <c r="A261" s="48" t="str">
        <f>'[4]TS BYDem'!A187</f>
        <v>*</v>
      </c>
      <c r="B261" t="s">
        <v>288</v>
      </c>
      <c r="C261" t="s">
        <v>137</v>
      </c>
      <c r="D261" s="3" t="str">
        <f>'[4]TS BYDem'!D187</f>
        <v>IOTS</v>
      </c>
      <c r="E261" t="s">
        <v>137</v>
      </c>
      <c r="F261" t="s">
        <v>137</v>
      </c>
      <c r="G261" t="s">
        <v>137</v>
      </c>
      <c r="H261" t="s">
        <v>137</v>
      </c>
      <c r="I261">
        <v>0</v>
      </c>
      <c r="J261">
        <f>INDEX('[4]TS BYDem'!$J$10:$J$203,MATCH(D261,'[4]TS BYDem'!$D$10:$D$203,0))</f>
        <v>73.690487252999532</v>
      </c>
      <c r="K261">
        <f t="shared" ca="1" si="166"/>
        <v>75.742566193741837</v>
      </c>
      <c r="L261">
        <f t="shared" ca="1" si="172"/>
        <v>77.193858547604464</v>
      </c>
      <c r="M261">
        <f t="shared" ca="1" si="172"/>
        <v>78.267464426453699</v>
      </c>
      <c r="N261">
        <f t="shared" ca="1" si="172"/>
        <v>79.076032654651428</v>
      </c>
      <c r="O261">
        <f t="shared" ca="1" si="172"/>
        <v>79.683397566002753</v>
      </c>
      <c r="P261">
        <f t="shared" ca="1" si="172"/>
        <v>80.601485484552342</v>
      </c>
      <c r="Q261">
        <f t="shared" ca="1" si="172"/>
        <v>80.515121385874878</v>
      </c>
      <c r="R261">
        <f t="shared" ca="1" si="172"/>
        <v>74.686131214945561</v>
      </c>
      <c r="S261">
        <f t="shared" ca="1" si="172"/>
        <v>77.019040189273142</v>
      </c>
      <c r="T261">
        <f t="shared" ca="1" si="172"/>
        <v>78.638197975987737</v>
      </c>
      <c r="U261">
        <f t="shared" ca="1" si="172"/>
        <v>80.407155394670482</v>
      </c>
      <c r="V261">
        <f t="shared" ca="1" si="172"/>
        <v>82.403015197069706</v>
      </c>
      <c r="W261">
        <f t="shared" ca="1" si="172"/>
        <v>84.330583990777569</v>
      </c>
      <c r="X261">
        <f t="shared" ca="1" si="172"/>
        <v>86.288993885184738</v>
      </c>
      <c r="Y261">
        <f t="shared" ca="1" si="172"/>
        <v>88.163692220550885</v>
      </c>
      <c r="Z261">
        <f t="shared" ca="1" si="172"/>
        <v>91.190525960613286</v>
      </c>
      <c r="AA261">
        <f t="shared" ca="1" si="172"/>
        <v>93.999269060016161</v>
      </c>
      <c r="AB261">
        <f t="shared" ca="1" si="172"/>
        <v>96.16255198049744</v>
      </c>
      <c r="AC261">
        <f t="shared" ca="1" si="172"/>
        <v>98.469025725654163</v>
      </c>
      <c r="AD261">
        <f t="shared" ca="1" si="172"/>
        <v>100.86141396561615</v>
      </c>
      <c r="AE261">
        <f t="shared" ca="1" si="172"/>
        <v>103.84639192615802</v>
      </c>
      <c r="AF261">
        <f t="shared" ca="1" si="172"/>
        <v>106.95473428949721</v>
      </c>
      <c r="AG261">
        <f t="shared" ca="1" si="172"/>
        <v>111.34298233185842</v>
      </c>
      <c r="AH261">
        <f t="shared" ca="1" si="172"/>
        <v>115.19811991927413</v>
      </c>
      <c r="AI261">
        <f t="shared" ca="1" si="172"/>
        <v>116.8150747702245</v>
      </c>
      <c r="AJ261">
        <f t="shared" ca="1" si="172"/>
        <v>118.9100666820144</v>
      </c>
      <c r="AK261">
        <f t="shared" ca="1" si="172"/>
        <v>121.36193418761079</v>
      </c>
      <c r="AL261">
        <f t="shared" ca="1" si="172"/>
        <v>124.22354774535538</v>
      </c>
      <c r="AM261">
        <f t="shared" ca="1" si="172"/>
        <v>138.04476673018178</v>
      </c>
      <c r="AN261">
        <f t="shared" ca="1" si="172"/>
        <v>147.77733693658328</v>
      </c>
      <c r="AO261">
        <f t="shared" ca="1" si="172"/>
        <v>172.01256759088204</v>
      </c>
      <c r="AP261">
        <f t="shared" ca="1" si="172"/>
        <v>195.56635678210995</v>
      </c>
    </row>
    <row r="262" spans="1:42">
      <c r="A262" s="48" t="str">
        <f>'[4]TS BYDem'!A188</f>
        <v/>
      </c>
      <c r="B262" t="s">
        <v>288</v>
      </c>
      <c r="C262" t="s">
        <v>137</v>
      </c>
      <c r="D262" s="3" t="str">
        <f>'[4]TS BYDem'!D188</f>
        <v>IOTR</v>
      </c>
      <c r="E262" t="s">
        <v>137</v>
      </c>
      <c r="F262" t="s">
        <v>137</v>
      </c>
      <c r="G262" t="s">
        <v>137</v>
      </c>
      <c r="H262" t="s">
        <v>137</v>
      </c>
      <c r="I262">
        <v>0</v>
      </c>
      <c r="J262">
        <f>INDEX('[4]TS BYDem'!$J$10:$J$203,MATCH(D262,'[4]TS BYDem'!$D$10:$D$203,0))</f>
        <v>9.4685659246785185</v>
      </c>
      <c r="K262">
        <f t="shared" ca="1" si="166"/>
        <v>9.7322396423777064</v>
      </c>
      <c r="L262">
        <f t="shared" ca="1" si="172"/>
        <v>9.9187176782923192</v>
      </c>
      <c r="M262" s="171">
        <f t="shared" ref="M262" si="173">O262</f>
        <v>4.2</v>
      </c>
      <c r="N262" s="171">
        <f t="shared" ref="N262" si="174">O262</f>
        <v>4.2</v>
      </c>
      <c r="O262" s="171">
        <f>INDEX('[4]TS BYDem'!$O$10:$O$203,MATCH(D262,'[4]TS BYDem'!$D$10:$D$203,0))</f>
        <v>4.2</v>
      </c>
      <c r="P262">
        <f t="shared" ca="1" si="172"/>
        <v>4.2483911250736304</v>
      </c>
      <c r="Q262">
        <f t="shared" ca="1" si="172"/>
        <v>4.2438389946986064</v>
      </c>
      <c r="R262">
        <f t="shared" ca="1" si="172"/>
        <v>3.9366011074382827</v>
      </c>
      <c r="S262">
        <f t="shared" ca="1" si="172"/>
        <v>4.0595654637718566</v>
      </c>
      <c r="T262">
        <f t="shared" ca="1" si="172"/>
        <v>4.1449089972045066</v>
      </c>
      <c r="U262">
        <f t="shared" ca="1" si="172"/>
        <v>4.2381482589003134</v>
      </c>
      <c r="V262">
        <f t="shared" ca="1" si="172"/>
        <v>4.3433472266417841</v>
      </c>
      <c r="W262">
        <f t="shared" ca="1" si="172"/>
        <v>4.4449466712044634</v>
      </c>
      <c r="X262">
        <f t="shared" ca="1" si="172"/>
        <v>4.5481717068801446</v>
      </c>
      <c r="Y262">
        <f t="shared" ca="1" si="172"/>
        <v>4.6469844238205322</v>
      </c>
      <c r="Z262">
        <f t="shared" ca="1" si="172"/>
        <v>4.8065245801966707</v>
      </c>
      <c r="AA262">
        <f t="shared" ca="1" si="172"/>
        <v>4.9545694851308602</v>
      </c>
      <c r="AB262">
        <f t="shared" ca="1" si="172"/>
        <v>5.0685930903429179</v>
      </c>
      <c r="AC262">
        <f t="shared" ca="1" si="172"/>
        <v>5.1901640828653468</v>
      </c>
      <c r="AD262">
        <f t="shared" ca="1" si="172"/>
        <v>5.3162635077739981</v>
      </c>
      <c r="AE262">
        <f t="shared" ca="1" si="172"/>
        <v>5.4735975047824894</v>
      </c>
      <c r="AF262">
        <f t="shared" ca="1" si="172"/>
        <v>5.6374338662429926</v>
      </c>
      <c r="AG262">
        <f t="shared" ca="1" si="172"/>
        <v>5.8687322588931146</v>
      </c>
      <c r="AH262">
        <f t="shared" ca="1" si="172"/>
        <v>6.0719311480184723</v>
      </c>
      <c r="AI262">
        <f t="shared" ca="1" si="172"/>
        <v>6.1571585678001934</v>
      </c>
      <c r="AJ262">
        <f t="shared" ca="1" si="172"/>
        <v>6.267582649833459</v>
      </c>
      <c r="AK262">
        <f t="shared" ca="1" si="172"/>
        <v>6.3968171433171861</v>
      </c>
      <c r="AL262">
        <f t="shared" ca="1" si="172"/>
        <v>6.5476487758736663</v>
      </c>
      <c r="AM262">
        <f t="shared" ca="1" si="172"/>
        <v>7.2761458218008057</v>
      </c>
      <c r="AN262">
        <f t="shared" ca="1" si="172"/>
        <v>7.7891359316041386</v>
      </c>
      <c r="AO262">
        <f t="shared" ca="1" si="172"/>
        <v>9.0665409100219154</v>
      </c>
      <c r="AP262">
        <f t="shared" ca="1" si="172"/>
        <v>10.308028065752389</v>
      </c>
    </row>
    <row r="263" spans="1:42">
      <c r="A263" s="48" t="str">
        <f>'[4]TS BYDem'!A189</f>
        <v>*</v>
      </c>
      <c r="B263" t="s">
        <v>288</v>
      </c>
      <c r="C263" t="s">
        <v>137</v>
      </c>
      <c r="D263" s="3">
        <f>'[4]TS BYDem'!D189</f>
        <v>0</v>
      </c>
      <c r="E263" t="s">
        <v>137</v>
      </c>
      <c r="F263" t="s">
        <v>137</v>
      </c>
      <c r="G263" t="s">
        <v>137</v>
      </c>
      <c r="H263" t="s">
        <v>137</v>
      </c>
      <c r="I263">
        <v>0</v>
      </c>
      <c r="J263"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2" customWidth="1"/>
    <col min="2" max="2" width="9.140625" style="12"/>
    <col min="3" max="3" width="11" style="12" customWidth="1"/>
    <col min="4" max="4" width="27.42578125" style="12" customWidth="1"/>
    <col min="5" max="5" width="10.140625" style="12" customWidth="1"/>
    <col min="6" max="6" width="28.85546875" style="12" customWidth="1"/>
    <col min="7" max="16384" width="9.14062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A9" s="46" t="str">
        <f>[12]ITEMS_Comm!A27</f>
        <v/>
      </c>
      <c r="B9" s="269" t="str">
        <f>[12]ITEMS_Comm!B27</f>
        <v>E</v>
      </c>
      <c r="C9" s="46" t="str">
        <f>[12]ITEMS_Comm!C27</f>
        <v>RLEL</v>
      </c>
      <c r="D9" s="46" t="str">
        <f>[12]ITEMS_Comm!D27</f>
        <v>Residential - Lighting - Low Income Electrified</v>
      </c>
      <c r="E9" s="269" t="str">
        <f>[12]ITEMS_Comm!E27</f>
        <v>PJ</v>
      </c>
      <c r="F9" s="269" t="str">
        <f>[12]ITEMS_Comm!F27</f>
        <v>COM,DEM,DAYNITE,RES</v>
      </c>
    </row>
    <row r="10" spans="1:8">
      <c r="A10" s="46" t="str">
        <f>[12]ITEMS_Comm!A28</f>
        <v/>
      </c>
      <c r="B10" s="269" t="str">
        <f>[12]ITEMS_Comm!B28</f>
        <v>E</v>
      </c>
      <c r="C10" s="46" t="str">
        <f>[12]ITEMS_Comm!C28</f>
        <v>RLNL</v>
      </c>
      <c r="D10" s="46" t="str">
        <f>[12]ITEMS_Comm!D28</f>
        <v>Residential - Lighting - Low Income Electrified paraffin</v>
      </c>
      <c r="E10" s="269" t="str">
        <f>[12]ITEMS_Comm!E28</f>
        <v>PJ</v>
      </c>
      <c r="F10" s="269" t="str">
        <f>[12]ITEMS_Comm!F28</f>
        <v>COM,DEM,DAYNITE,RES</v>
      </c>
    </row>
    <row r="11" spans="1:8">
      <c r="A11" s="46" t="str">
        <f>[12]ITEMS_Comm!A29</f>
        <v/>
      </c>
      <c r="B11" s="269" t="str">
        <f>[12]ITEMS_Comm!B29</f>
        <v>E</v>
      </c>
      <c r="C11" s="46" t="str">
        <f>[12]ITEMS_Comm!C29</f>
        <v>RLEK</v>
      </c>
      <c r="D11" s="46" t="str">
        <f>[12]ITEMS_Comm!D29</f>
        <v>Residential - Cooking - Low Income Electrified</v>
      </c>
      <c r="E11" s="269" t="str">
        <f>[12]ITEMS_Comm!E29</f>
        <v>PJ</v>
      </c>
      <c r="F11" s="269" t="str">
        <f>[12]ITEMS_Comm!F29</f>
        <v>COM,DEM,DAYNITE,RES</v>
      </c>
    </row>
    <row r="12" spans="1:8">
      <c r="A12" s="46" t="str">
        <f>[12]ITEMS_Comm!A30</f>
        <v/>
      </c>
      <c r="B12" s="269" t="str">
        <f>[12]ITEMS_Comm!B30</f>
        <v>E</v>
      </c>
      <c r="C12" s="46" t="str">
        <f>[12]ITEMS_Comm!C30</f>
        <v>RLEH</v>
      </c>
      <c r="D12" s="46" t="str">
        <f>[12]ITEMS_Comm!D30</f>
        <v>Residential - Space Heating - Low Income Electrified</v>
      </c>
      <c r="E12" s="269" t="str">
        <f>[12]ITEMS_Comm!E30</f>
        <v>PJ</v>
      </c>
      <c r="F12" s="269" t="str">
        <f>[12]ITEMS_Comm!F30</f>
        <v>COM,DEM,DAYNITE,RES</v>
      </c>
    </row>
    <row r="13" spans="1:8">
      <c r="A13" s="46" t="str">
        <f>[12]ITEMS_Comm!A31</f>
        <v/>
      </c>
      <c r="B13" s="269" t="str">
        <f>[12]ITEMS_Comm!B31</f>
        <v>E</v>
      </c>
      <c r="C13" s="46" t="str">
        <f>[12]ITEMS_Comm!C31</f>
        <v>RLEWG</v>
      </c>
      <c r="D13" s="46" t="str">
        <f>[12]ITEMS_Comm!D31</f>
        <v>Residential - Water Heating Geyser - Low Income Electrified</v>
      </c>
      <c r="E13" s="269" t="str">
        <f>[12]ITEMS_Comm!E31</f>
        <v>PJ</v>
      </c>
      <c r="F13" s="269" t="str">
        <f>[12]ITEMS_Comm!F31</f>
        <v>COM,DEM,DAYNITE,RES</v>
      </c>
    </row>
    <row r="14" spans="1:8">
      <c r="A14" s="46" t="str">
        <f>[12]ITEMS_Comm!A32</f>
        <v/>
      </c>
      <c r="B14" s="269" t="str">
        <f>[12]ITEMS_Comm!B32</f>
        <v>E</v>
      </c>
      <c r="C14" s="46" t="str">
        <f>[12]ITEMS_Comm!C32</f>
        <v>RLEW</v>
      </c>
      <c r="D14" s="46" t="str">
        <f>[12]ITEMS_Comm!D32</f>
        <v>Residential - Water Heating - Low Income Electrified</v>
      </c>
      <c r="E14" s="269" t="str">
        <f>[12]ITEMS_Comm!E32</f>
        <v>PJ</v>
      </c>
      <c r="F14" s="269" t="str">
        <f>[12]ITEMS_Comm!F32</f>
        <v>COM,DEM,DAYNITE,RES</v>
      </c>
    </row>
    <row r="15" spans="1:8">
      <c r="A15" s="46" t="str">
        <f>[12]ITEMS_Comm!A33</f>
        <v/>
      </c>
      <c r="B15" s="269" t="str">
        <f>[12]ITEMS_Comm!B33</f>
        <v>E</v>
      </c>
      <c r="C15" s="46" t="str">
        <f>[12]ITEMS_Comm!C33</f>
        <v>RLER</v>
      </c>
      <c r="D15" s="46" t="str">
        <f>[12]ITEMS_Comm!D33</f>
        <v>Residential - Refrigeration - Low Income Electrified</v>
      </c>
      <c r="E15" s="269" t="str">
        <f>[12]ITEMS_Comm!E33</f>
        <v>PJ</v>
      </c>
      <c r="F15" s="269" t="str">
        <f>[12]ITEMS_Comm!F33</f>
        <v>COM,DEM,DAYNITE,RES</v>
      </c>
    </row>
    <row r="16" spans="1:8">
      <c r="A16" s="46" t="str">
        <f>[12]ITEMS_Comm!A34</f>
        <v/>
      </c>
      <c r="B16" s="269" t="str">
        <f>[12]ITEMS_Comm!B34</f>
        <v>E</v>
      </c>
      <c r="C16" s="46" t="str">
        <f>[12]ITEMS_Comm!C34</f>
        <v>RLEO</v>
      </c>
      <c r="D16" s="46" t="str">
        <f>[12]ITEMS_Comm!D34</f>
        <v>Residential - Other - Low Income Electrified</v>
      </c>
      <c r="E16" s="269" t="str">
        <f>[12]ITEMS_Comm!E34</f>
        <v>PJ</v>
      </c>
      <c r="F16" s="269" t="str">
        <f>[12]ITEMS_Comm!F34</f>
        <v>COM,DEM,DAYNITE,RES</v>
      </c>
    </row>
    <row r="17" spans="1:6">
      <c r="A17" s="46" t="str">
        <f>[12]ITEMS_Comm!A35</f>
        <v>*</v>
      </c>
      <c r="B17" s="269" t="str">
        <f>[12]ITEMS_Comm!B35</f>
        <v>E</v>
      </c>
      <c r="C17" s="46">
        <f>[12]ITEMS_Comm!C35</f>
        <v>0</v>
      </c>
      <c r="D17" s="46" t="str">
        <f>[12]ITEMS_Comm!D35</f>
        <v/>
      </c>
      <c r="E17" s="269" t="str">
        <f>[12]ITEMS_Comm!E35</f>
        <v/>
      </c>
      <c r="F17" s="269" t="str">
        <f>[12]ITEMS_Comm!F35</f>
        <v/>
      </c>
    </row>
    <row r="18" spans="1:6">
      <c r="A18" s="46" t="str">
        <f>[12]ITEMS_Comm!A36</f>
        <v>*</v>
      </c>
      <c r="B18" s="269" t="str">
        <f>[12]ITEMS_Comm!B36</f>
        <v>E</v>
      </c>
      <c r="C18" s="46">
        <f>[12]ITEMS_Comm!C36</f>
        <v>0</v>
      </c>
      <c r="D18" s="46" t="str">
        <f>[12]ITEMS_Comm!D36</f>
        <v/>
      </c>
      <c r="E18" s="269" t="str">
        <f>[12]ITEMS_Comm!E36</f>
        <v/>
      </c>
      <c r="F18" s="269" t="str">
        <f>[12]ITEMS_Comm!F36</f>
        <v/>
      </c>
    </row>
    <row r="19" spans="1:6">
      <c r="A19" s="46" t="str">
        <f>[12]ITEMS_Comm!A37</f>
        <v>*</v>
      </c>
      <c r="B19" s="269" t="str">
        <f>[12]ITEMS_Comm!B37</f>
        <v>E</v>
      </c>
      <c r="C19" s="46">
        <f>[12]ITEMS_Comm!C37</f>
        <v>0</v>
      </c>
      <c r="D19" s="46" t="str">
        <f>[12]ITEMS_Comm!D37</f>
        <v/>
      </c>
      <c r="E19" s="269" t="str">
        <f>[12]ITEMS_Comm!E37</f>
        <v/>
      </c>
      <c r="F19" s="269" t="str">
        <f>[12]ITEMS_Comm!F37</f>
        <v/>
      </c>
    </row>
    <row r="20" spans="1:6">
      <c r="A20" s="46" t="str">
        <f>[12]ITEMS_Comm!A38</f>
        <v/>
      </c>
      <c r="B20" s="269" t="str">
        <f>[12]ITEMS_Comm!B38</f>
        <v>E</v>
      </c>
      <c r="C20" s="46" t="str">
        <f>[12]ITEMS_Comm!C38</f>
        <v>RMEL</v>
      </c>
      <c r="D20" s="46" t="str">
        <f>[12]ITEMS_Comm!D38</f>
        <v>Residential - Lighting - Middle Income Electrified</v>
      </c>
      <c r="E20" s="269" t="str">
        <f>[12]ITEMS_Comm!E38</f>
        <v>PJ</v>
      </c>
      <c r="F20" s="269" t="str">
        <f>[12]ITEMS_Comm!F38</f>
        <v>COM,DEM,DAYNITE,RES</v>
      </c>
    </row>
    <row r="21" spans="1:6">
      <c r="A21" s="46" t="str">
        <f>[12]ITEMS_Comm!A39</f>
        <v/>
      </c>
      <c r="B21" s="269" t="str">
        <f>[12]ITEMS_Comm!B39</f>
        <v>E</v>
      </c>
      <c r="C21" s="46" t="str">
        <f>[12]ITEMS_Comm!C39</f>
        <v>RMNL</v>
      </c>
      <c r="D21" s="46" t="str">
        <f>[12]ITEMS_Comm!D39</f>
        <v>Residential - Lighting - Middle Income Electrified paraffin</v>
      </c>
      <c r="E21" s="269" t="str">
        <f>[12]ITEMS_Comm!E39</f>
        <v>PJ</v>
      </c>
      <c r="F21" s="269" t="str">
        <f>[12]ITEMS_Comm!F39</f>
        <v>COM,DEM,DAYNITE,RES</v>
      </c>
    </row>
    <row r="22" spans="1:6">
      <c r="A22" s="46" t="str">
        <f>[12]ITEMS_Comm!A40</f>
        <v/>
      </c>
      <c r="B22" s="269" t="str">
        <f>[12]ITEMS_Comm!B40</f>
        <v>E</v>
      </c>
      <c r="C22" s="46" t="str">
        <f>[12]ITEMS_Comm!C40</f>
        <v>RMEK</v>
      </c>
      <c r="D22" s="46" t="str">
        <f>[12]ITEMS_Comm!D40</f>
        <v>Residential - Cooking - Middle Income Electrified</v>
      </c>
      <c r="E22" s="269" t="str">
        <f>[12]ITEMS_Comm!E40</f>
        <v>PJ</v>
      </c>
      <c r="F22" s="269" t="str">
        <f>[12]ITEMS_Comm!F40</f>
        <v>COM,DEM,DAYNITE,RES</v>
      </c>
    </row>
    <row r="23" spans="1:6">
      <c r="A23" s="46" t="str">
        <f>[12]ITEMS_Comm!A41</f>
        <v/>
      </c>
      <c r="B23" s="269" t="str">
        <f>[12]ITEMS_Comm!B41</f>
        <v>E</v>
      </c>
      <c r="C23" s="46" t="str">
        <f>[12]ITEMS_Comm!C41</f>
        <v>RMEH</v>
      </c>
      <c r="D23" s="46" t="str">
        <f>[12]ITEMS_Comm!D41</f>
        <v>Residential - Space Heating - Middle Income Electrified</v>
      </c>
      <c r="E23" s="269" t="str">
        <f>[12]ITEMS_Comm!E41</f>
        <v>PJ</v>
      </c>
      <c r="F23" s="269" t="str">
        <f>[12]ITEMS_Comm!F41</f>
        <v>COM,DEM,DAYNITE,RES</v>
      </c>
    </row>
    <row r="24" spans="1:6">
      <c r="A24" s="46" t="str">
        <f>[12]ITEMS_Comm!A42</f>
        <v/>
      </c>
      <c r="B24" s="269" t="str">
        <f>[12]ITEMS_Comm!B42</f>
        <v>E</v>
      </c>
      <c r="C24" s="46" t="str">
        <f>[12]ITEMS_Comm!C42</f>
        <v>RMEWG</v>
      </c>
      <c r="D24" s="46" t="str">
        <f>[12]ITEMS_Comm!D42</f>
        <v>Residential - Water Heating Geyser - Middle Income Electrified</v>
      </c>
      <c r="E24" s="269" t="str">
        <f>[12]ITEMS_Comm!E42</f>
        <v>PJ</v>
      </c>
      <c r="F24" s="269" t="str">
        <f>[12]ITEMS_Comm!F42</f>
        <v>COM,DEM,DAYNITE,RES</v>
      </c>
    </row>
    <row r="25" spans="1:6">
      <c r="A25" s="46" t="str">
        <f>[12]ITEMS_Comm!A43</f>
        <v/>
      </c>
      <c r="B25" s="269" t="str">
        <f>[12]ITEMS_Comm!B43</f>
        <v>E</v>
      </c>
      <c r="C25" s="46" t="str">
        <f>[12]ITEMS_Comm!C43</f>
        <v>RMEW</v>
      </c>
      <c r="D25" s="46">
        <f>[12]ITEMS_Comm!D43</f>
        <v>0</v>
      </c>
      <c r="E25" s="269" t="str">
        <f>[12]ITEMS_Comm!E43</f>
        <v>PJ</v>
      </c>
      <c r="F25" s="269" t="str">
        <f>[12]ITEMS_Comm!F43</f>
        <v>COM,DEM,DAYNITE,RES</v>
      </c>
    </row>
    <row r="26" spans="1:6">
      <c r="A26" s="46" t="str">
        <f>[12]ITEMS_Comm!A44</f>
        <v/>
      </c>
      <c r="B26" s="269" t="str">
        <f>[12]ITEMS_Comm!B44</f>
        <v>E</v>
      </c>
      <c r="C26" s="46" t="str">
        <f>[12]ITEMS_Comm!C44</f>
        <v>RMER</v>
      </c>
      <c r="D26" s="46" t="str">
        <f>[12]ITEMS_Comm!D44</f>
        <v>Residential - Refrigeration - Middle Income Electrified</v>
      </c>
      <c r="E26" s="269" t="str">
        <f>[12]ITEMS_Comm!E44</f>
        <v>PJ</v>
      </c>
      <c r="F26" s="269" t="str">
        <f>[12]ITEMS_Comm!F44</f>
        <v>COM,DEM,DAYNITE,RES</v>
      </c>
    </row>
    <row r="27" spans="1:6">
      <c r="A27" s="46" t="str">
        <f>[12]ITEMS_Comm!A45</f>
        <v/>
      </c>
      <c r="B27" s="269" t="str">
        <f>[12]ITEMS_Comm!B45</f>
        <v>E</v>
      </c>
      <c r="C27" s="46" t="str">
        <f>[12]ITEMS_Comm!C45</f>
        <v>RMEO</v>
      </c>
      <c r="D27" s="46" t="str">
        <f>[12]ITEMS_Comm!D45</f>
        <v>Residential - Other - Middle Income Electrified</v>
      </c>
      <c r="E27" s="269" t="str">
        <f>[12]ITEMS_Comm!E45</f>
        <v>PJ</v>
      </c>
      <c r="F27" s="269" t="str">
        <f>[12]ITEMS_Comm!F45</f>
        <v>COM,DEM,DAYNITE,RES</v>
      </c>
    </row>
    <row r="28" spans="1:6">
      <c r="A28" s="46" t="str">
        <f>[12]ITEMS_Comm!A46</f>
        <v>*</v>
      </c>
      <c r="B28" s="269" t="str">
        <f>[12]ITEMS_Comm!B46</f>
        <v>E</v>
      </c>
      <c r="C28" s="46">
        <f>[12]ITEMS_Comm!C46</f>
        <v>0</v>
      </c>
      <c r="D28" s="46" t="str">
        <f>[12]ITEMS_Comm!D46</f>
        <v/>
      </c>
      <c r="E28" s="269" t="str">
        <f>[12]ITEMS_Comm!E46</f>
        <v/>
      </c>
      <c r="F28" s="269" t="str">
        <f>[12]ITEMS_Comm!F46</f>
        <v/>
      </c>
    </row>
    <row r="29" spans="1:6">
      <c r="A29" s="46" t="str">
        <f>[12]ITEMS_Comm!A47</f>
        <v>*</v>
      </c>
      <c r="B29" s="269" t="str">
        <f>[12]ITEMS_Comm!B47</f>
        <v>E</v>
      </c>
      <c r="C29" s="46">
        <f>[12]ITEMS_Comm!C47</f>
        <v>0</v>
      </c>
      <c r="D29" s="46" t="str">
        <f>[12]ITEMS_Comm!D47</f>
        <v/>
      </c>
      <c r="E29" s="269" t="str">
        <f>[12]ITEMS_Comm!E47</f>
        <v/>
      </c>
      <c r="F29" s="269" t="str">
        <f>[12]ITEMS_Comm!F47</f>
        <v/>
      </c>
    </row>
    <row r="30" spans="1:6">
      <c r="A30" s="46" t="str">
        <f>[12]ITEMS_Comm!A48</f>
        <v>*</v>
      </c>
      <c r="B30" s="269" t="str">
        <f>[12]ITEMS_Comm!B48</f>
        <v>E</v>
      </c>
      <c r="C30" s="46">
        <f>[12]ITEMS_Comm!C48</f>
        <v>0</v>
      </c>
      <c r="D30" s="46" t="str">
        <f>[12]ITEMS_Comm!D48</f>
        <v/>
      </c>
      <c r="E30" s="269" t="str">
        <f>[12]ITEMS_Comm!E48</f>
        <v/>
      </c>
      <c r="F30" s="269" t="str">
        <f>[12]ITEMS_Comm!F48</f>
        <v/>
      </c>
    </row>
    <row r="31" spans="1:6">
      <c r="A31" s="46" t="str">
        <f>[12]ITEMS_Comm!A49</f>
        <v/>
      </c>
      <c r="B31" s="269" t="str">
        <f>[12]ITEMS_Comm!B49</f>
        <v>E</v>
      </c>
      <c r="C31" s="46" t="str">
        <f>[12]ITEMS_Comm!C49</f>
        <v>RHEL</v>
      </c>
      <c r="D31" s="46" t="str">
        <f>[12]ITEMS_Comm!D49</f>
        <v>Residential - Lighting - High Income Electrified</v>
      </c>
      <c r="E31" s="269" t="str">
        <f>[12]ITEMS_Comm!E49</f>
        <v>PJ</v>
      </c>
      <c r="F31" s="269" t="str">
        <f>[12]ITEMS_Comm!F49</f>
        <v>COM,DEM,DAYNITE,RES</v>
      </c>
    </row>
    <row r="32" spans="1:6">
      <c r="A32" s="46" t="str">
        <f>[12]ITEMS_Comm!A50</f>
        <v/>
      </c>
      <c r="B32" s="269" t="str">
        <f>[12]ITEMS_Comm!B50</f>
        <v>E</v>
      </c>
      <c r="C32" s="46" t="str">
        <f>[12]ITEMS_Comm!C50</f>
        <v>RHEK</v>
      </c>
      <c r="D32" s="46" t="str">
        <f>[12]ITEMS_Comm!D50</f>
        <v>Residential - Cooking - High Income Electrified</v>
      </c>
      <c r="E32" s="269" t="str">
        <f>[12]ITEMS_Comm!E50</f>
        <v>PJ</v>
      </c>
      <c r="F32" s="269" t="str">
        <f>[12]ITEMS_Comm!F50</f>
        <v>COM,DEM,DAYNITE,RES</v>
      </c>
    </row>
    <row r="33" spans="1:6">
      <c r="A33" s="46" t="str">
        <f>[12]ITEMS_Comm!A51</f>
        <v/>
      </c>
      <c r="B33" s="269" t="str">
        <f>[12]ITEMS_Comm!B51</f>
        <v>E</v>
      </c>
      <c r="C33" s="46" t="str">
        <f>[12]ITEMS_Comm!C51</f>
        <v>RHEH</v>
      </c>
      <c r="D33" s="46" t="str">
        <f>[12]ITEMS_Comm!D51</f>
        <v>Residential - Space Heating - High Income Electrified</v>
      </c>
      <c r="E33" s="269" t="str">
        <f>[12]ITEMS_Comm!E51</f>
        <v>PJ</v>
      </c>
      <c r="F33" s="269" t="str">
        <f>[12]ITEMS_Comm!F51</f>
        <v>COM,DEM,DAYNITE,RES</v>
      </c>
    </row>
    <row r="34" spans="1:6">
      <c r="A34" s="46" t="str">
        <f>[12]ITEMS_Comm!A52</f>
        <v/>
      </c>
      <c r="B34" s="269" t="str">
        <f>[12]ITEMS_Comm!B52</f>
        <v>E</v>
      </c>
      <c r="C34" s="46" t="str">
        <f>[12]ITEMS_Comm!C52</f>
        <v>RHEWG</v>
      </c>
      <c r="D34" s="46" t="str">
        <f>[12]ITEMS_Comm!D52</f>
        <v>Residential - Water Heating Geyser - High Income Electrified</v>
      </c>
      <c r="E34" s="269" t="str">
        <f>[12]ITEMS_Comm!E52</f>
        <v>PJ</v>
      </c>
      <c r="F34" s="269" t="str">
        <f>[12]ITEMS_Comm!F52</f>
        <v>COM,DEM,DAYNITE,RES</v>
      </c>
    </row>
    <row r="35" spans="1:6">
      <c r="A35" s="46" t="str">
        <f>[12]ITEMS_Comm!A53</f>
        <v/>
      </c>
      <c r="B35" s="269" t="str">
        <f>[12]ITEMS_Comm!B53</f>
        <v>E</v>
      </c>
      <c r="C35" s="46" t="str">
        <f>[12]ITEMS_Comm!C53</f>
        <v>RHEW</v>
      </c>
      <c r="D35" s="46" t="str">
        <f>[12]ITEMS_Comm!D53</f>
        <v xml:space="preserve">Residential -water heating non geyser high income </v>
      </c>
      <c r="E35" s="269" t="str">
        <f>[12]ITEMS_Comm!E53</f>
        <v>PJ</v>
      </c>
      <c r="F35" s="269" t="str">
        <f>[12]ITEMS_Comm!F53</f>
        <v>COM,DEM,DAYNITE,RES</v>
      </c>
    </row>
    <row r="36" spans="1:6">
      <c r="A36" s="46" t="str">
        <f>[12]ITEMS_Comm!A54</f>
        <v/>
      </c>
      <c r="B36" s="269" t="str">
        <f>[12]ITEMS_Comm!B54</f>
        <v>E</v>
      </c>
      <c r="C36" s="46" t="str">
        <f>[12]ITEMS_Comm!C54</f>
        <v>RHER</v>
      </c>
      <c r="D36" s="46" t="str">
        <f>[12]ITEMS_Comm!D54</f>
        <v>Residential - Refrigeration - High Income Electrified</v>
      </c>
      <c r="E36" s="269" t="str">
        <f>[12]ITEMS_Comm!E54</f>
        <v>PJ</v>
      </c>
      <c r="F36" s="269" t="str">
        <f>[12]ITEMS_Comm!F54</f>
        <v>COM,DEM,DAYNITE,RES</v>
      </c>
    </row>
    <row r="37" spans="1:6">
      <c r="A37" s="46" t="str">
        <f>[12]ITEMS_Comm!A55</f>
        <v/>
      </c>
      <c r="B37" s="269" t="str">
        <f>[12]ITEMS_Comm!B55</f>
        <v>E</v>
      </c>
      <c r="C37" s="46" t="str">
        <f>[12]ITEMS_Comm!C55</f>
        <v>RHEO</v>
      </c>
      <c r="D37" s="46" t="str">
        <f>[12]ITEMS_Comm!D55</f>
        <v>Residential - Other - High Income Electrified</v>
      </c>
      <c r="E37" s="269" t="str">
        <f>[12]ITEMS_Comm!E55</f>
        <v>PJ</v>
      </c>
      <c r="F37" s="269" t="str">
        <f>[12]ITEMS_Comm!F55</f>
        <v>COM,DEM,DAYNITE,RES</v>
      </c>
    </row>
    <row r="38" spans="1:6">
      <c r="A38" s="46" t="str">
        <f>[12]ITEMS_Comm!A56</f>
        <v>*</v>
      </c>
      <c r="B38" s="269" t="str">
        <f>[12]ITEMS_Comm!B56</f>
        <v>E</v>
      </c>
      <c r="C38" s="46">
        <f>[12]ITEMS_Comm!C56</f>
        <v>0</v>
      </c>
      <c r="D38" s="46" t="str">
        <f>[12]ITEMS_Comm!D56</f>
        <v/>
      </c>
      <c r="E38" s="269" t="str">
        <f>[12]ITEMS_Comm!E56</f>
        <v/>
      </c>
      <c r="F38" s="269" t="str">
        <f>[12]ITEMS_Comm!F56</f>
        <v/>
      </c>
    </row>
    <row r="39" spans="1:6">
      <c r="A39" s="46" t="str">
        <f>[12]ITEMS_Comm!A57</f>
        <v>*</v>
      </c>
      <c r="B39" s="269" t="str">
        <f>[12]ITEMS_Comm!B57</f>
        <v>E</v>
      </c>
      <c r="C39" s="46">
        <f>[12]ITEMS_Comm!C57</f>
        <v>0</v>
      </c>
      <c r="D39" s="46">
        <f>[12]ITEMS_Comm!D57</f>
        <v>0</v>
      </c>
      <c r="E39" s="269">
        <f>[12]ITEMS_Comm!E57</f>
        <v>0</v>
      </c>
      <c r="F39" s="269">
        <f>[12]ITEMS_Comm!F57</f>
        <v>0</v>
      </c>
    </row>
    <row r="40" spans="1:6">
      <c r="A40" s="46" t="str">
        <f>[12]ITEMS_Comm!A58</f>
        <v>*</v>
      </c>
      <c r="B40" s="269" t="str">
        <f>[12]ITEMS_Comm!B58</f>
        <v>E</v>
      </c>
      <c r="C40" s="46">
        <f>[12]ITEMS_Comm!C58</f>
        <v>0</v>
      </c>
      <c r="D40" s="46">
        <f>[12]ITEMS_Comm!D58</f>
        <v>0</v>
      </c>
      <c r="E40" s="269">
        <f>[12]ITEMS_Comm!E58</f>
        <v>0</v>
      </c>
      <c r="F40" s="269">
        <f>[12]ITEMS_Comm!F58</f>
        <v>0</v>
      </c>
    </row>
    <row r="41" spans="1:6">
      <c r="A41" s="46" t="str">
        <f>[12]ITEMS_Comm!A59</f>
        <v>*</v>
      </c>
      <c r="B41" s="269" t="str">
        <f>[12]ITEMS_Comm!B59</f>
        <v>E</v>
      </c>
      <c r="C41" s="46">
        <f>[12]ITEMS_Comm!C59</f>
        <v>0</v>
      </c>
      <c r="D41" s="46">
        <f>[12]ITEMS_Comm!D59</f>
        <v>0</v>
      </c>
      <c r="E41" s="269">
        <f>[12]ITEMS_Comm!E59</f>
        <v>0</v>
      </c>
      <c r="F41" s="269">
        <f>[12]ITEMS_Comm!F59</f>
        <v>0</v>
      </c>
    </row>
    <row r="42" spans="1:6">
      <c r="A42" s="46" t="str">
        <f>[12]ITEMS_Comm!A60</f>
        <v>*</v>
      </c>
      <c r="B42" s="269" t="str">
        <f>[12]ITEMS_Comm!B60</f>
        <v>E</v>
      </c>
      <c r="C42" s="46">
        <f>[12]ITEMS_Comm!C60</f>
        <v>0</v>
      </c>
      <c r="D42" s="46">
        <f>[12]ITEMS_Comm!D60</f>
        <v>0</v>
      </c>
      <c r="E42" s="269">
        <f>[12]ITEMS_Comm!E60</f>
        <v>0</v>
      </c>
      <c r="F42" s="269">
        <f>[12]ITEMS_Comm!F60</f>
        <v>0</v>
      </c>
    </row>
    <row r="43" spans="1:6">
      <c r="A43" s="46" t="str">
        <f>[12]ITEMS_Comm!A61</f>
        <v>*</v>
      </c>
      <c r="B43" s="269" t="str">
        <f>[12]ITEMS_Comm!B61</f>
        <v>E</v>
      </c>
      <c r="C43" s="46">
        <f>[12]ITEMS_Comm!C61</f>
        <v>0</v>
      </c>
      <c r="D43" s="46">
        <f>[12]ITEMS_Comm!D61</f>
        <v>0</v>
      </c>
      <c r="E43" s="269">
        <f>[12]ITEMS_Comm!E61</f>
        <v>0</v>
      </c>
      <c r="F43" s="269">
        <f>[12]ITEMS_Comm!F61</f>
        <v>0</v>
      </c>
    </row>
    <row r="44" spans="1:6">
      <c r="A44" s="46" t="str">
        <f>[12]ITEMS_Comm!A62</f>
        <v>*</v>
      </c>
      <c r="B44" s="269" t="str">
        <f>[12]ITEMS_Comm!B62</f>
        <v>E</v>
      </c>
      <c r="C44" s="46">
        <f>[12]ITEMS_Comm!C62</f>
        <v>0</v>
      </c>
      <c r="D44" s="46">
        <f>[12]ITEMS_Comm!D62</f>
        <v>0</v>
      </c>
      <c r="E44" s="269">
        <f>[12]ITEMS_Comm!E62</f>
        <v>0</v>
      </c>
      <c r="F44" s="269">
        <f>[12]ITEMS_Comm!F62</f>
        <v>0</v>
      </c>
    </row>
    <row r="45" spans="1:6">
      <c r="A45" s="46" t="str">
        <f>[12]ITEMS_Comm!A63</f>
        <v>*</v>
      </c>
      <c r="B45" s="269" t="str">
        <f>[12]ITEMS_Comm!B63</f>
        <v>E</v>
      </c>
      <c r="C45" s="46">
        <f>[12]ITEMS_Comm!C63</f>
        <v>0</v>
      </c>
      <c r="D45" s="46">
        <f>[12]ITEMS_Comm!D63</f>
        <v>0</v>
      </c>
      <c r="E45" s="269">
        <f>[12]ITEMS_Comm!E63</f>
        <v>0</v>
      </c>
      <c r="F45" s="269">
        <f>[12]ITEMS_Comm!F63</f>
        <v>0</v>
      </c>
    </row>
    <row r="46" spans="1:6">
      <c r="A46" s="46" t="str">
        <f>[12]ITEMS_Comm!A64</f>
        <v>*</v>
      </c>
      <c r="B46" s="269" t="str">
        <f>[12]ITEMS_Comm!B64</f>
        <v>E</v>
      </c>
      <c r="C46" s="46">
        <f>[12]ITEMS_Comm!C64</f>
        <v>0</v>
      </c>
      <c r="D46" s="46">
        <f>[12]ITEMS_Comm!D64</f>
        <v>0</v>
      </c>
      <c r="E46" s="269">
        <f>[12]ITEMS_Comm!E64</f>
        <v>0</v>
      </c>
      <c r="F46" s="269">
        <f>[12]ITEMS_Comm!F64</f>
        <v>0</v>
      </c>
    </row>
    <row r="47" spans="1:6">
      <c r="A47" s="46" t="str">
        <f>[12]ITEMS_Comm!A65</f>
        <v>*</v>
      </c>
      <c r="B47" s="269" t="str">
        <f>[12]ITEMS_Comm!B65</f>
        <v>E</v>
      </c>
      <c r="C47" s="46">
        <f>[12]ITEMS_Comm!C65</f>
        <v>0</v>
      </c>
      <c r="D47" s="46">
        <f>[12]ITEMS_Comm!D65</f>
        <v>0</v>
      </c>
      <c r="E47" s="269">
        <f>[12]ITEMS_Comm!E65</f>
        <v>0</v>
      </c>
      <c r="F47" s="269">
        <f>[12]ITEMS_Comm!F65</f>
        <v>0</v>
      </c>
    </row>
    <row r="48" spans="1:6">
      <c r="A48" s="46" t="str">
        <f>[12]ITEMS_Comm!A66</f>
        <v>*</v>
      </c>
      <c r="B48" s="269" t="str">
        <f>[12]ITEMS_Comm!B66</f>
        <v>E</v>
      </c>
      <c r="C48" s="46">
        <f>[12]ITEMS_Comm!C66</f>
        <v>0</v>
      </c>
      <c r="D48" s="46">
        <f>[12]ITEMS_Comm!D66</f>
        <v>0</v>
      </c>
      <c r="E48" s="269">
        <f>[12]ITEMS_Comm!E66</f>
        <v>0</v>
      </c>
      <c r="F48" s="269">
        <f>[12]ITEMS_Comm!F66</f>
        <v>0</v>
      </c>
    </row>
    <row r="49" spans="1:6">
      <c r="A49" s="46" t="str">
        <f>[12]ITEMS_Comm!A67</f>
        <v>*</v>
      </c>
      <c r="B49" s="269" t="str">
        <f>[12]ITEMS_Comm!B67</f>
        <v>E</v>
      </c>
      <c r="C49" s="46">
        <f>[12]ITEMS_Comm!C67</f>
        <v>0</v>
      </c>
      <c r="D49" s="46">
        <f>[12]ITEMS_Comm!D67</f>
        <v>0</v>
      </c>
      <c r="E49" s="269">
        <f>[12]ITEMS_Comm!E67</f>
        <v>0</v>
      </c>
      <c r="F49" s="269">
        <f>[12]ITEMS_Comm!F67</f>
        <v>0</v>
      </c>
    </row>
    <row r="50" spans="1:6">
      <c r="A50" s="12" t="str">
        <f>[12]ITEMS_Comm!A68</f>
        <v>*</v>
      </c>
      <c r="B50" s="12" t="str">
        <f>[12]ITEMS_Comm!B68</f>
        <v>E</v>
      </c>
      <c r="C50" s="12">
        <f>[12]ITEMS_Comm!C68</f>
        <v>0</v>
      </c>
      <c r="D50" s="12">
        <f>[12]ITEMS_Comm!D68</f>
        <v>0</v>
      </c>
      <c r="E50" s="12">
        <f>[12]ITEMS_Comm!E68</f>
        <v>0</v>
      </c>
      <c r="F50" s="12">
        <f>[12]ITEMS_Comm!F68</f>
        <v>0</v>
      </c>
    </row>
    <row r="51" spans="1:6">
      <c r="A51" s="12" t="str">
        <f>[12]ITEMS_Comm!A69</f>
        <v>*</v>
      </c>
      <c r="B51" s="12" t="str">
        <f>[12]ITEMS_Comm!B69</f>
        <v>E</v>
      </c>
      <c r="C51" s="12">
        <f>[12]ITEMS_Comm!C69</f>
        <v>0</v>
      </c>
      <c r="D51" s="12">
        <f>[12]ITEMS_Comm!D69</f>
        <v>0</v>
      </c>
      <c r="E51" s="12">
        <f>[12]ITEMS_Comm!E69</f>
        <v>0</v>
      </c>
      <c r="F51" s="12">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41" zoomScale="90" zoomScaleNormal="90" workbookViewId="0">
      <selection activeCell="O127" sqref="O127"/>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0" width="8.7109375" style="34" bestFit="1" customWidth="1"/>
    <col min="11" max="12" width="13.140625" hidden="1" customWidth="1"/>
    <col min="13" max="13" width="13.28515625" customWidth="1"/>
    <col min="14" max="15" width="13.140625" customWidth="1"/>
    <col min="16" max="16" width="12.140625" customWidth="1"/>
    <col min="17" max="17" width="13.140625" customWidth="1"/>
    <col min="18" max="18" width="13.140625" bestFit="1" customWidth="1"/>
    <col min="19" max="20" width="13.140625" customWidth="1"/>
    <col min="21" max="22" width="13" customWidth="1"/>
    <col min="23" max="23" width="13" bestFit="1" customWidth="1"/>
    <col min="24" max="27" width="13" customWidth="1"/>
    <col min="28" max="28" width="8.42578125" bestFit="1" customWidth="1"/>
    <col min="29" max="32" width="8.42578125" hidden="1" customWidth="1"/>
    <col min="33" max="33" width="8.42578125" bestFit="1" customWidth="1"/>
    <col min="34" max="37" width="8.42578125" hidden="1" customWidth="1"/>
    <col min="38" max="40" width="8.42578125" bestFit="1" customWidth="1"/>
    <col min="41" max="42" width="8.42578125" hidden="1" customWidth="1"/>
    <col min="43" max="48" width="6.42578125" customWidth="1"/>
    <col min="54" max="54" width="10.42578125" bestFit="1" customWidth="1"/>
  </cols>
  <sheetData>
    <row r="1" spans="1:54">
      <c r="A1" t="str">
        <f>IF(RES,"TS DATA","")</f>
        <v>TS DATA</v>
      </c>
      <c r="B1" t="s">
        <v>17</v>
      </c>
      <c r="J1" s="33"/>
    </row>
    <row r="2" spans="1:54" ht="15.75" thickBot="1">
      <c r="A2" t="s">
        <v>16</v>
      </c>
      <c r="B2" s="311" t="s">
        <v>197</v>
      </c>
      <c r="C2" s="311"/>
      <c r="I2" s="109"/>
      <c r="J2"/>
      <c r="BB2" t="s">
        <v>295</v>
      </c>
    </row>
    <row r="3" spans="1:54" ht="15.75" thickBot="1">
      <c r="A3" t="s">
        <v>16</v>
      </c>
      <c r="C3" s="14"/>
      <c r="D3" s="14"/>
      <c r="E3" s="9"/>
      <c r="F3" s="9"/>
      <c r="G3" s="9"/>
      <c r="H3" s="9"/>
      <c r="I3" s="133"/>
      <c r="J3">
        <v>2012</v>
      </c>
      <c r="K3">
        <v>2013</v>
      </c>
      <c r="L3">
        <v>2014</v>
      </c>
      <c r="M3">
        <v>2015</v>
      </c>
      <c r="N3">
        <v>2016</v>
      </c>
      <c r="O3">
        <v>2017</v>
      </c>
      <c r="P3">
        <v>2018</v>
      </c>
      <c r="Q3">
        <v>2019</v>
      </c>
      <c r="R3">
        <v>2020</v>
      </c>
      <c r="S3">
        <v>2021</v>
      </c>
      <c r="T3">
        <v>2022</v>
      </c>
      <c r="U3">
        <v>2023</v>
      </c>
      <c r="V3">
        <v>2024</v>
      </c>
      <c r="W3">
        <v>2025</v>
      </c>
      <c r="X3">
        <v>2026</v>
      </c>
      <c r="Y3">
        <v>2027</v>
      </c>
      <c r="Z3">
        <v>2028</v>
      </c>
      <c r="AA3">
        <v>2029</v>
      </c>
      <c r="AB3">
        <v>2030</v>
      </c>
      <c r="AC3">
        <v>2031</v>
      </c>
      <c r="AD3">
        <v>2032</v>
      </c>
      <c r="AE3">
        <v>2033</v>
      </c>
      <c r="AF3">
        <v>2034</v>
      </c>
      <c r="AG3">
        <v>2035</v>
      </c>
      <c r="AH3">
        <v>2036</v>
      </c>
      <c r="AI3">
        <v>2037</v>
      </c>
      <c r="AJ3">
        <v>2038</v>
      </c>
      <c r="AK3">
        <v>2039</v>
      </c>
      <c r="AL3">
        <v>2040</v>
      </c>
      <c r="AM3">
        <v>2045</v>
      </c>
      <c r="AN3">
        <v>2050</v>
      </c>
      <c r="AO3">
        <v>2060</v>
      </c>
      <c r="AP3">
        <v>2070</v>
      </c>
    </row>
    <row r="4" spans="1:54">
      <c r="A4" t="s">
        <v>16</v>
      </c>
      <c r="C4" t="s">
        <v>392</v>
      </c>
      <c r="D4">
        <v>1</v>
      </c>
      <c r="E4">
        <v>2012</v>
      </c>
      <c r="F4">
        <v>2020</v>
      </c>
      <c r="G4">
        <v>2030</v>
      </c>
      <c r="H4">
        <v>2040</v>
      </c>
      <c r="I4" s="109">
        <v>2050</v>
      </c>
      <c r="J4">
        <f t="shared" ref="J4:S5" si="0">MATCH(J$3,$E$4:$I$4,$D4)</f>
        <v>1</v>
      </c>
      <c r="K4">
        <f t="shared" si="0"/>
        <v>1</v>
      </c>
      <c r="L4">
        <f t="shared" si="0"/>
        <v>1</v>
      </c>
      <c r="M4">
        <f t="shared" si="0"/>
        <v>1</v>
      </c>
      <c r="N4">
        <f t="shared" si="0"/>
        <v>1</v>
      </c>
      <c r="O4">
        <f t="shared" si="0"/>
        <v>1</v>
      </c>
      <c r="P4">
        <f t="shared" si="0"/>
        <v>1</v>
      </c>
      <c r="Q4">
        <f t="shared" si="0"/>
        <v>1</v>
      </c>
      <c r="R4">
        <f t="shared" si="0"/>
        <v>2</v>
      </c>
      <c r="S4">
        <f t="shared" si="0"/>
        <v>2</v>
      </c>
      <c r="T4">
        <f t="shared" ref="T4:AC5" si="1">MATCH(T$3,$E$4:$I$4,$D4)</f>
        <v>2</v>
      </c>
      <c r="U4">
        <f t="shared" si="1"/>
        <v>2</v>
      </c>
      <c r="V4">
        <f t="shared" si="1"/>
        <v>2</v>
      </c>
      <c r="W4">
        <f t="shared" si="1"/>
        <v>2</v>
      </c>
      <c r="X4">
        <f t="shared" si="1"/>
        <v>2</v>
      </c>
      <c r="Y4">
        <f t="shared" si="1"/>
        <v>2</v>
      </c>
      <c r="Z4">
        <f t="shared" si="1"/>
        <v>2</v>
      </c>
      <c r="AA4">
        <f t="shared" si="1"/>
        <v>2</v>
      </c>
      <c r="AB4">
        <f t="shared" si="1"/>
        <v>3</v>
      </c>
      <c r="AC4">
        <f t="shared" si="1"/>
        <v>3</v>
      </c>
      <c r="AD4">
        <f t="shared" ref="AD4:AP5" si="2">MATCH(AD$3,$E$4:$I$4,$D4)</f>
        <v>3</v>
      </c>
      <c r="AE4">
        <f t="shared" si="2"/>
        <v>3</v>
      </c>
      <c r="AF4">
        <f t="shared" si="2"/>
        <v>3</v>
      </c>
      <c r="AG4">
        <f t="shared" si="2"/>
        <v>3</v>
      </c>
      <c r="AH4">
        <f t="shared" si="2"/>
        <v>3</v>
      </c>
      <c r="AI4">
        <f t="shared" si="2"/>
        <v>3</v>
      </c>
      <c r="AJ4">
        <f t="shared" si="2"/>
        <v>3</v>
      </c>
      <c r="AK4">
        <f t="shared" si="2"/>
        <v>3</v>
      </c>
      <c r="AL4">
        <f t="shared" si="2"/>
        <v>4</v>
      </c>
      <c r="AM4">
        <f t="shared" si="2"/>
        <v>4</v>
      </c>
      <c r="AN4">
        <f t="shared" si="2"/>
        <v>5</v>
      </c>
      <c r="AO4">
        <f t="shared" si="2"/>
        <v>5</v>
      </c>
      <c r="AP4">
        <f t="shared" si="2"/>
        <v>5</v>
      </c>
    </row>
    <row r="5" spans="1:54">
      <c r="A5" t="s">
        <v>16</v>
      </c>
      <c r="C5" t="s">
        <v>393</v>
      </c>
      <c r="D5">
        <v>0</v>
      </c>
      <c r="E5" cm="1">
        <f t="array" ref="E5">INDEX($E4:$I4,0,COUNT($E4:$I4)-E6)</f>
        <v>2050</v>
      </c>
      <c r="F5" cm="1">
        <f t="array" ref="F5">INDEX($E4:$I4,0,COUNT($E4:$I4)-F6)</f>
        <v>2040</v>
      </c>
      <c r="G5" cm="1">
        <f t="array" ref="G5">INDEX($E4:$I4,0,COUNT($E4:$I4)-G6)</f>
        <v>2030</v>
      </c>
      <c r="H5" cm="1">
        <f t="array" ref="H5">INDEX($E4:$I4,0,COUNT($E4:$I4)-H6)</f>
        <v>2020</v>
      </c>
      <c r="I5" s="109" cm="1">
        <f t="array" ref="I5">INDEX($E4:$I4,0,COUNT($E4:$I4)-I6)</f>
        <v>2012</v>
      </c>
      <c r="J5">
        <f t="shared" si="0"/>
        <v>1</v>
      </c>
      <c r="K5" t="e">
        <f t="shared" si="0"/>
        <v>#N/A</v>
      </c>
      <c r="L5" t="e">
        <f t="shared" si="0"/>
        <v>#N/A</v>
      </c>
      <c r="M5" t="e">
        <f t="shared" si="0"/>
        <v>#N/A</v>
      </c>
      <c r="N5" t="e">
        <f t="shared" si="0"/>
        <v>#N/A</v>
      </c>
      <c r="O5" t="e">
        <f t="shared" si="0"/>
        <v>#N/A</v>
      </c>
      <c r="P5" t="e">
        <f t="shared" si="0"/>
        <v>#N/A</v>
      </c>
      <c r="Q5" t="e">
        <f t="shared" si="0"/>
        <v>#N/A</v>
      </c>
      <c r="R5">
        <f t="shared" si="0"/>
        <v>2</v>
      </c>
      <c r="S5" t="e">
        <f t="shared" si="0"/>
        <v>#N/A</v>
      </c>
      <c r="T5" t="e">
        <f t="shared" si="1"/>
        <v>#N/A</v>
      </c>
      <c r="U5" t="e">
        <f t="shared" si="1"/>
        <v>#N/A</v>
      </c>
      <c r="V5" t="e">
        <f t="shared" si="1"/>
        <v>#N/A</v>
      </c>
      <c r="W5" t="e">
        <f t="shared" si="1"/>
        <v>#N/A</v>
      </c>
      <c r="X5" t="e">
        <f t="shared" si="1"/>
        <v>#N/A</v>
      </c>
      <c r="Y5" t="e">
        <f t="shared" si="1"/>
        <v>#N/A</v>
      </c>
      <c r="Z5" t="e">
        <f t="shared" si="1"/>
        <v>#N/A</v>
      </c>
      <c r="AA5" t="e">
        <f t="shared" si="1"/>
        <v>#N/A</v>
      </c>
      <c r="AB5">
        <f t="shared" si="1"/>
        <v>3</v>
      </c>
      <c r="AC5" t="e">
        <f t="shared" si="1"/>
        <v>#N/A</v>
      </c>
      <c r="AD5" t="e">
        <f t="shared" si="2"/>
        <v>#N/A</v>
      </c>
      <c r="AE5" t="e">
        <f t="shared" si="2"/>
        <v>#N/A</v>
      </c>
      <c r="AF5" t="e">
        <f t="shared" si="2"/>
        <v>#N/A</v>
      </c>
      <c r="AG5" t="e">
        <f t="shared" si="2"/>
        <v>#N/A</v>
      </c>
      <c r="AH5" t="e">
        <f t="shared" si="2"/>
        <v>#N/A</v>
      </c>
      <c r="AI5" t="e">
        <f t="shared" si="2"/>
        <v>#N/A</v>
      </c>
      <c r="AJ5" t="e">
        <f t="shared" si="2"/>
        <v>#N/A</v>
      </c>
      <c r="AK5" t="e">
        <f t="shared" si="2"/>
        <v>#N/A</v>
      </c>
      <c r="AL5">
        <f t="shared" si="2"/>
        <v>4</v>
      </c>
      <c r="AM5" t="e">
        <f t="shared" si="2"/>
        <v>#N/A</v>
      </c>
      <c r="AN5">
        <f t="shared" si="2"/>
        <v>5</v>
      </c>
      <c r="AO5" t="e">
        <f t="shared" si="2"/>
        <v>#N/A</v>
      </c>
      <c r="AP5" t="e">
        <f t="shared" si="2"/>
        <v>#N/A</v>
      </c>
    </row>
    <row r="6" spans="1:54">
      <c r="A6" t="s">
        <v>16</v>
      </c>
      <c r="C6" t="s">
        <v>391</v>
      </c>
      <c r="D6">
        <v>-1</v>
      </c>
      <c r="E6">
        <v>0</v>
      </c>
      <c r="F6">
        <v>1</v>
      </c>
      <c r="G6">
        <v>2</v>
      </c>
      <c r="H6">
        <v>3</v>
      </c>
      <c r="I6" s="109">
        <v>4</v>
      </c>
      <c r="J6">
        <f t="shared" ref="J6:AP6" si="3">MATCH(J$3,$E$5:$I$5,$D6)</f>
        <v>5</v>
      </c>
      <c r="K6">
        <f t="shared" si="3"/>
        <v>4</v>
      </c>
      <c r="L6">
        <f t="shared" si="3"/>
        <v>4</v>
      </c>
      <c r="M6">
        <f t="shared" si="3"/>
        <v>4</v>
      </c>
      <c r="N6">
        <f t="shared" si="3"/>
        <v>4</v>
      </c>
      <c r="O6">
        <f t="shared" si="3"/>
        <v>4</v>
      </c>
      <c r="P6">
        <f t="shared" si="3"/>
        <v>4</v>
      </c>
      <c r="Q6">
        <f t="shared" si="3"/>
        <v>4</v>
      </c>
      <c r="R6">
        <f t="shared" si="3"/>
        <v>4</v>
      </c>
      <c r="S6">
        <f t="shared" si="3"/>
        <v>3</v>
      </c>
      <c r="T6">
        <f t="shared" si="3"/>
        <v>3</v>
      </c>
      <c r="U6">
        <f t="shared" si="3"/>
        <v>3</v>
      </c>
      <c r="V6">
        <f t="shared" si="3"/>
        <v>3</v>
      </c>
      <c r="W6">
        <f t="shared" si="3"/>
        <v>3</v>
      </c>
      <c r="X6">
        <f t="shared" si="3"/>
        <v>3</v>
      </c>
      <c r="Y6">
        <f t="shared" si="3"/>
        <v>3</v>
      </c>
      <c r="Z6">
        <f t="shared" si="3"/>
        <v>3</v>
      </c>
      <c r="AA6">
        <f t="shared" si="3"/>
        <v>3</v>
      </c>
      <c r="AB6">
        <f t="shared" si="3"/>
        <v>3</v>
      </c>
      <c r="AC6">
        <f t="shared" si="3"/>
        <v>2</v>
      </c>
      <c r="AD6">
        <f t="shared" si="3"/>
        <v>2</v>
      </c>
      <c r="AE6">
        <f t="shared" si="3"/>
        <v>2</v>
      </c>
      <c r="AF6">
        <f t="shared" si="3"/>
        <v>2</v>
      </c>
      <c r="AG6">
        <f t="shared" si="3"/>
        <v>2</v>
      </c>
      <c r="AH6">
        <f t="shared" si="3"/>
        <v>2</v>
      </c>
      <c r="AI6">
        <f t="shared" si="3"/>
        <v>2</v>
      </c>
      <c r="AJ6">
        <f t="shared" si="3"/>
        <v>2</v>
      </c>
      <c r="AK6">
        <f t="shared" si="3"/>
        <v>2</v>
      </c>
      <c r="AL6">
        <f t="shared" si="3"/>
        <v>2</v>
      </c>
      <c r="AM6">
        <f t="shared" si="3"/>
        <v>1</v>
      </c>
      <c r="AN6">
        <f t="shared" si="3"/>
        <v>1</v>
      </c>
      <c r="AO6" t="e">
        <f t="shared" si="3"/>
        <v>#N/A</v>
      </c>
      <c r="AP6" t="e">
        <f t="shared" si="3"/>
        <v>#N/A</v>
      </c>
    </row>
    <row r="7" spans="1:54">
      <c r="A7" t="s">
        <v>16</v>
      </c>
      <c r="C7" t="s">
        <v>394</v>
      </c>
      <c r="I7" s="109"/>
      <c r="J7" s="2">
        <f t="shared" ref="J7:AP7" si="4">IF(ISNA(J4),-1,IF(ISNA(J6),99,IF(ISNA(J5),J4,0)))</f>
        <v>0</v>
      </c>
      <c r="K7" s="2">
        <f t="shared" si="4"/>
        <v>1</v>
      </c>
      <c r="L7" s="2">
        <f t="shared" si="4"/>
        <v>1</v>
      </c>
      <c r="M7" s="2">
        <f t="shared" si="4"/>
        <v>1</v>
      </c>
      <c r="N7" s="2">
        <f t="shared" si="4"/>
        <v>1</v>
      </c>
      <c r="O7" s="2">
        <f t="shared" si="4"/>
        <v>1</v>
      </c>
      <c r="P7" s="2">
        <f t="shared" si="4"/>
        <v>1</v>
      </c>
      <c r="Q7" s="2">
        <f t="shared" si="4"/>
        <v>1</v>
      </c>
      <c r="R7" s="2">
        <f t="shared" si="4"/>
        <v>0</v>
      </c>
      <c r="S7" s="2">
        <f t="shared" si="4"/>
        <v>2</v>
      </c>
      <c r="T7" s="2">
        <f t="shared" si="4"/>
        <v>2</v>
      </c>
      <c r="U7" s="2">
        <f t="shared" si="4"/>
        <v>2</v>
      </c>
      <c r="V7" s="2">
        <f t="shared" si="4"/>
        <v>2</v>
      </c>
      <c r="W7" s="2">
        <f t="shared" si="4"/>
        <v>2</v>
      </c>
      <c r="X7" s="2">
        <f t="shared" si="4"/>
        <v>2</v>
      </c>
      <c r="Y7" s="2">
        <f t="shared" si="4"/>
        <v>2</v>
      </c>
      <c r="Z7" s="2">
        <f t="shared" si="4"/>
        <v>2</v>
      </c>
      <c r="AA7" s="2">
        <f t="shared" si="4"/>
        <v>2</v>
      </c>
      <c r="AB7" s="2">
        <f t="shared" si="4"/>
        <v>0</v>
      </c>
      <c r="AC7" s="2">
        <f t="shared" si="4"/>
        <v>3</v>
      </c>
      <c r="AD7" s="2">
        <f t="shared" si="4"/>
        <v>3</v>
      </c>
      <c r="AE7" s="2">
        <f t="shared" si="4"/>
        <v>3</v>
      </c>
      <c r="AF7" s="2">
        <f t="shared" si="4"/>
        <v>3</v>
      </c>
      <c r="AG7" s="2">
        <f t="shared" si="4"/>
        <v>3</v>
      </c>
      <c r="AH7" s="2">
        <f t="shared" si="4"/>
        <v>3</v>
      </c>
      <c r="AI7" s="2">
        <f t="shared" si="4"/>
        <v>3</v>
      </c>
      <c r="AJ7" s="2">
        <f t="shared" si="4"/>
        <v>3</v>
      </c>
      <c r="AK7" s="2">
        <f t="shared" si="4"/>
        <v>3</v>
      </c>
      <c r="AL7" s="2">
        <f t="shared" si="4"/>
        <v>0</v>
      </c>
      <c r="AM7" s="2">
        <f t="shared" si="4"/>
        <v>4</v>
      </c>
      <c r="AN7" s="2">
        <f t="shared" si="4"/>
        <v>0</v>
      </c>
      <c r="AO7" s="2">
        <f t="shared" si="4"/>
        <v>99</v>
      </c>
      <c r="AP7" s="2">
        <f t="shared" si="4"/>
        <v>99</v>
      </c>
      <c r="AQ7" s="2"/>
      <c r="AR7" s="2"/>
      <c r="AS7" s="2"/>
      <c r="AT7" s="2"/>
      <c r="AU7" s="2"/>
      <c r="AV7" s="2"/>
    </row>
    <row r="8" spans="1:54" ht="15.75" thickBot="1">
      <c r="A8" t="s">
        <v>16</v>
      </c>
      <c r="B8" s="14"/>
      <c r="C8" s="14" t="s">
        <v>44</v>
      </c>
      <c r="D8" s="14"/>
      <c r="I8" s="109"/>
      <c r="J8"/>
    </row>
    <row r="9" spans="1:54">
      <c r="A9" t="s">
        <v>16</v>
      </c>
      <c r="C9" t="s">
        <v>41</v>
      </c>
      <c r="D9" t="s">
        <v>47</v>
      </c>
      <c r="J9" s="35"/>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row>
    <row r="10" spans="1:54">
      <c r="A10" t="s">
        <v>16</v>
      </c>
      <c r="C10" t="s">
        <v>42</v>
      </c>
      <c r="D10" t="s">
        <v>47</v>
      </c>
    </row>
    <row r="11" spans="1:54">
      <c r="A11" t="s">
        <v>16</v>
      </c>
      <c r="C11" t="s">
        <v>43</v>
      </c>
      <c r="D11" t="s">
        <v>47</v>
      </c>
    </row>
    <row r="12" spans="1:54">
      <c r="A12" t="s">
        <v>16</v>
      </c>
    </row>
    <row r="13" spans="1:54" ht="18" thickBot="1">
      <c r="A13" t="s">
        <v>16</v>
      </c>
      <c r="B13" s="19"/>
      <c r="C13" s="31" t="s">
        <v>40</v>
      </c>
    </row>
    <row r="14" spans="1:54" ht="16.5" thickTop="1" thickBot="1">
      <c r="A14" t="s">
        <v>16</v>
      </c>
      <c r="C14" s="14" t="s">
        <v>46</v>
      </c>
      <c r="D14" t="s">
        <v>47</v>
      </c>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row>
    <row r="15" spans="1:54">
      <c r="A15" t="s">
        <v>16</v>
      </c>
    </row>
    <row r="16" spans="1:54" ht="15.75" thickBot="1">
      <c r="A16" t="s">
        <v>16</v>
      </c>
      <c r="C16" s="14" t="s">
        <v>57</v>
      </c>
      <c r="D16" s="14"/>
    </row>
    <row r="17" spans="1:48">
      <c r="A17" t="s">
        <v>16</v>
      </c>
      <c r="C17" t="s">
        <v>49</v>
      </c>
      <c r="D17" t="s">
        <v>48</v>
      </c>
      <c r="E17">
        <f>E22/$E$25</f>
        <v>0.5</v>
      </c>
      <c r="F17">
        <f>F22/$F$25</f>
        <v>0.46414111634904792</v>
      </c>
      <c r="K17" s="170">
        <f t="shared" ref="K17:AP17" si="5">K22/K$25</f>
        <v>0.49195171026156959</v>
      </c>
      <c r="L17" s="170">
        <f t="shared" si="5"/>
        <v>0.47874493927125505</v>
      </c>
      <c r="M17" s="170">
        <f t="shared" si="5"/>
        <v>0.46897253306205489</v>
      </c>
      <c r="N17" s="170">
        <f t="shared" si="5"/>
        <v>0.46311475409836061</v>
      </c>
      <c r="O17" s="170">
        <f t="shared" si="5"/>
        <v>0.4556701030927835</v>
      </c>
      <c r="P17" s="170">
        <f t="shared" si="5"/>
        <v>0.44755970924195232</v>
      </c>
      <c r="Q17" s="170">
        <f t="shared" si="5"/>
        <v>0.44456066945606693</v>
      </c>
      <c r="R17" s="170">
        <f t="shared" si="5"/>
        <v>0.46414111634904792</v>
      </c>
      <c r="S17" s="170">
        <f t="shared" si="5"/>
        <v>0.52100000000000002</v>
      </c>
      <c r="T17" s="170">
        <f t="shared" si="5"/>
        <v>0.50900000000000001</v>
      </c>
      <c r="U17" s="170">
        <f t="shared" si="5"/>
        <v>0.49999999999999994</v>
      </c>
      <c r="V17" s="170">
        <f t="shared" si="5"/>
        <v>0.49099999999999999</v>
      </c>
      <c r="W17" s="170">
        <f t="shared" si="5"/>
        <v>0.48199999999999998</v>
      </c>
      <c r="X17" s="170">
        <f t="shared" si="5"/>
        <v>0.47499999999999998</v>
      </c>
      <c r="Y17" s="170">
        <f t="shared" si="5"/>
        <v>0.46799999999999992</v>
      </c>
      <c r="Z17" s="170">
        <f t="shared" si="5"/>
        <v>0.46400000000000002</v>
      </c>
      <c r="AA17" s="170">
        <f t="shared" si="5"/>
        <v>0.45700000000000002</v>
      </c>
      <c r="AB17" s="170">
        <f t="shared" si="5"/>
        <v>0.44855144855144852</v>
      </c>
      <c r="AC17" s="170">
        <f t="shared" si="5"/>
        <v>0.43856143856143859</v>
      </c>
      <c r="AD17" s="170">
        <f t="shared" si="5"/>
        <v>0.42842842842842838</v>
      </c>
      <c r="AE17" s="170">
        <f t="shared" si="5"/>
        <v>0.41699999999999998</v>
      </c>
      <c r="AF17" s="170">
        <f t="shared" si="5"/>
        <v>0.40499999999999992</v>
      </c>
      <c r="AG17" s="170">
        <f t="shared" si="5"/>
        <v>0.39599999999999996</v>
      </c>
      <c r="AH17" s="170">
        <f t="shared" si="5"/>
        <v>0.3909999999999999</v>
      </c>
      <c r="AI17" s="170">
        <f t="shared" si="5"/>
        <v>0.3839999999999999</v>
      </c>
      <c r="AJ17" s="170">
        <f t="shared" si="5"/>
        <v>0.37662337662337664</v>
      </c>
      <c r="AK17" s="170">
        <f t="shared" si="5"/>
        <v>0.36836836836836834</v>
      </c>
      <c r="AL17" s="170">
        <f t="shared" si="5"/>
        <v>0.35935935935935936</v>
      </c>
      <c r="AM17" s="170">
        <f t="shared" si="5"/>
        <v>0.32</v>
      </c>
      <c r="AN17" s="170">
        <f t="shared" si="5"/>
        <v>0.29599999999999999</v>
      </c>
      <c r="AO17" s="170">
        <f t="shared" si="5"/>
        <v>0.29599999999999999</v>
      </c>
      <c r="AP17" s="170">
        <f t="shared" si="5"/>
        <v>0.29599999999999999</v>
      </c>
      <c r="AQ17" s="170"/>
      <c r="AR17" s="170"/>
      <c r="AS17" s="170"/>
      <c r="AT17" s="170"/>
      <c r="AU17" s="170"/>
      <c r="AV17" s="170"/>
    </row>
    <row r="18" spans="1:48">
      <c r="A18" t="s">
        <v>16</v>
      </c>
      <c r="C18" t="s">
        <v>51</v>
      </c>
      <c r="D18" t="s">
        <v>48</v>
      </c>
      <c r="E18">
        <f>E23/$E$25</f>
        <v>0.3</v>
      </c>
      <c r="F18">
        <f>F23/$F$25</f>
        <v>0.33198982627744406</v>
      </c>
      <c r="K18" s="170">
        <f t="shared" ref="K18:AP18" si="6">K23/K$25</f>
        <v>0.29577464788732399</v>
      </c>
      <c r="L18" s="170">
        <f t="shared" si="6"/>
        <v>0.30060728744939269</v>
      </c>
      <c r="M18" s="170">
        <f t="shared" si="6"/>
        <v>0.30417090539165814</v>
      </c>
      <c r="N18" s="170">
        <f t="shared" si="6"/>
        <v>0.30737704918032788</v>
      </c>
      <c r="O18" s="170">
        <f t="shared" si="6"/>
        <v>0.30824742268041239</v>
      </c>
      <c r="P18" s="170">
        <f t="shared" si="6"/>
        <v>0.31152647975077885</v>
      </c>
      <c r="Q18" s="170">
        <f t="shared" si="6"/>
        <v>0.31485355648535562</v>
      </c>
      <c r="R18" s="170">
        <f t="shared" si="6"/>
        <v>0.33198982627744406</v>
      </c>
      <c r="S18" s="170">
        <f t="shared" si="6"/>
        <v>0.27900000000000003</v>
      </c>
      <c r="T18" s="170">
        <f t="shared" si="6"/>
        <v>0.29100000000000004</v>
      </c>
      <c r="U18" s="170">
        <f t="shared" si="6"/>
        <v>0.29900000000000004</v>
      </c>
      <c r="V18" s="170">
        <f t="shared" si="6"/>
        <v>0.30200000000000005</v>
      </c>
      <c r="W18" s="170">
        <f t="shared" si="6"/>
        <v>0.30500000000000005</v>
      </c>
      <c r="X18" s="170">
        <f t="shared" si="6"/>
        <v>0.30700000000000005</v>
      </c>
      <c r="Y18" s="170">
        <f t="shared" si="6"/>
        <v>0.31</v>
      </c>
      <c r="Z18" s="170">
        <f t="shared" si="6"/>
        <v>0.312</v>
      </c>
      <c r="AA18" s="170">
        <f t="shared" si="6"/>
        <v>0.313</v>
      </c>
      <c r="AB18" s="170">
        <f t="shared" si="6"/>
        <v>0.31568431568431565</v>
      </c>
      <c r="AC18" s="170">
        <f t="shared" si="6"/>
        <v>0.31768231768231775</v>
      </c>
      <c r="AD18" s="170">
        <f t="shared" si="6"/>
        <v>0.32032032032032032</v>
      </c>
      <c r="AE18" s="170">
        <f t="shared" si="6"/>
        <v>0.32299999999999995</v>
      </c>
      <c r="AF18" s="170">
        <f t="shared" si="6"/>
        <v>0.32599999999999996</v>
      </c>
      <c r="AG18" s="170">
        <f t="shared" si="6"/>
        <v>0.32999999999999996</v>
      </c>
      <c r="AH18" s="170">
        <f t="shared" si="6"/>
        <v>0.33199999999999996</v>
      </c>
      <c r="AI18" s="170">
        <f t="shared" si="6"/>
        <v>0.33399999999999996</v>
      </c>
      <c r="AJ18" s="170">
        <f t="shared" si="6"/>
        <v>0.33666333666333664</v>
      </c>
      <c r="AK18" s="170">
        <f t="shared" si="6"/>
        <v>0.33733733733733728</v>
      </c>
      <c r="AL18" s="170">
        <f t="shared" si="6"/>
        <v>0.34134134134134131</v>
      </c>
      <c r="AM18" s="170">
        <f t="shared" si="6"/>
        <v>0.34999999999999987</v>
      </c>
      <c r="AN18" s="170">
        <f t="shared" si="6"/>
        <v>0.35899999999999987</v>
      </c>
      <c r="AO18" s="170">
        <f t="shared" si="6"/>
        <v>0.35899999999999987</v>
      </c>
      <c r="AP18" s="170">
        <f t="shared" si="6"/>
        <v>0.35899999999999987</v>
      </c>
      <c r="AQ18" s="170"/>
      <c r="AR18" s="170"/>
      <c r="AS18" s="170"/>
      <c r="AT18" s="170"/>
      <c r="AU18" s="170"/>
      <c r="AV18" s="170"/>
    </row>
    <row r="19" spans="1:48">
      <c r="A19" t="s">
        <v>16</v>
      </c>
      <c r="C19" t="s">
        <v>50</v>
      </c>
      <c r="D19" t="s">
        <v>48</v>
      </c>
      <c r="E19">
        <f>E24/$E$25</f>
        <v>0.19999999999999996</v>
      </c>
      <c r="F19">
        <f>F24/$F$25</f>
        <v>0.20386905737350788</v>
      </c>
      <c r="K19" s="170">
        <f t="shared" ref="K19:AP19" si="7">K24/K$25</f>
        <v>0.21227364185110653</v>
      </c>
      <c r="L19" s="170">
        <f t="shared" si="7"/>
        <v>0.22064777327935226</v>
      </c>
      <c r="M19" s="170">
        <f t="shared" si="7"/>
        <v>0.22685656154628689</v>
      </c>
      <c r="N19" s="170">
        <f t="shared" si="7"/>
        <v>0.22950819672131148</v>
      </c>
      <c r="O19" s="170">
        <f t="shared" si="7"/>
        <v>0.23608247422680412</v>
      </c>
      <c r="P19" s="170">
        <f t="shared" si="7"/>
        <v>0.24091381100726891</v>
      </c>
      <c r="Q19" s="170">
        <f t="shared" si="7"/>
        <v>0.24058577405857745</v>
      </c>
      <c r="R19" s="170">
        <f t="shared" si="7"/>
        <v>0.20386905737350788</v>
      </c>
      <c r="S19" s="170">
        <f t="shared" si="7"/>
        <v>0.19999999999999998</v>
      </c>
      <c r="T19" s="170">
        <f t="shared" si="7"/>
        <v>0.20000000000000004</v>
      </c>
      <c r="U19" s="170">
        <f t="shared" si="7"/>
        <v>0.20099999999999998</v>
      </c>
      <c r="V19" s="170">
        <f t="shared" si="7"/>
        <v>0.20699999999999996</v>
      </c>
      <c r="W19" s="170">
        <f t="shared" si="7"/>
        <v>0.21299999999999999</v>
      </c>
      <c r="X19" s="170">
        <f t="shared" si="7"/>
        <v>0.21800000000000003</v>
      </c>
      <c r="Y19" s="170">
        <f t="shared" si="7"/>
        <v>0.222</v>
      </c>
      <c r="Z19" s="170">
        <f t="shared" si="7"/>
        <v>0.22400000000000003</v>
      </c>
      <c r="AA19" s="170">
        <f t="shared" si="7"/>
        <v>0.23000000000000007</v>
      </c>
      <c r="AB19" s="170">
        <f t="shared" si="7"/>
        <v>0.23576423576423577</v>
      </c>
      <c r="AC19" s="170">
        <f t="shared" si="7"/>
        <v>0.24375624375624383</v>
      </c>
      <c r="AD19" s="170">
        <f t="shared" si="7"/>
        <v>0.25125125125125136</v>
      </c>
      <c r="AE19" s="170">
        <f t="shared" si="7"/>
        <v>0.26000000000000012</v>
      </c>
      <c r="AF19" s="170">
        <f t="shared" si="7"/>
        <v>0.26900000000000007</v>
      </c>
      <c r="AG19" s="170">
        <f t="shared" si="7"/>
        <v>0.27400000000000008</v>
      </c>
      <c r="AH19" s="170">
        <f t="shared" si="7"/>
        <v>0.27700000000000008</v>
      </c>
      <c r="AI19" s="170">
        <f t="shared" si="7"/>
        <v>0.28200000000000003</v>
      </c>
      <c r="AJ19" s="170">
        <f t="shared" si="7"/>
        <v>0.28671328671328683</v>
      </c>
      <c r="AK19" s="170">
        <f t="shared" si="7"/>
        <v>0.29429429429429438</v>
      </c>
      <c r="AL19" s="170">
        <f t="shared" si="7"/>
        <v>0.29929929929929933</v>
      </c>
      <c r="AM19" s="170">
        <f t="shared" si="7"/>
        <v>0.33000000000000007</v>
      </c>
      <c r="AN19" s="170">
        <f t="shared" si="7"/>
        <v>0.34500000000000003</v>
      </c>
      <c r="AO19" s="170">
        <f t="shared" si="7"/>
        <v>0.34500000000000003</v>
      </c>
      <c r="AP19" s="170">
        <f t="shared" si="7"/>
        <v>0.34500000000000003</v>
      </c>
      <c r="AQ19" s="170"/>
      <c r="AR19" s="170"/>
      <c r="AS19" s="170"/>
      <c r="AT19" s="170"/>
      <c r="AU19" s="170"/>
      <c r="AV19" s="170"/>
    </row>
    <row r="20" spans="1:48">
      <c r="A20" t="s">
        <v>16</v>
      </c>
      <c r="K20" s="2"/>
      <c r="Q20" s="2"/>
    </row>
    <row r="21" spans="1:48" ht="15.75" thickBot="1">
      <c r="A21" t="s">
        <v>16</v>
      </c>
      <c r="B21" s="14" t="s">
        <v>56</v>
      </c>
      <c r="D21" s="14"/>
      <c r="E21">
        <v>2012</v>
      </c>
      <c r="F21">
        <v>2020</v>
      </c>
      <c r="G21">
        <v>2030</v>
      </c>
      <c r="H21">
        <v>2040</v>
      </c>
      <c r="I21">
        <v>2050</v>
      </c>
      <c r="J21" s="34">
        <f>MATCH(J3,Drivers!$C$5:$AG$5,0)</f>
        <v>1</v>
      </c>
      <c r="K21" s="34">
        <f>MATCH(K3,Drivers!$C$5:$AG$5,0)</f>
        <v>2</v>
      </c>
      <c r="L21" s="34">
        <f>MATCH(L3,Drivers!$C$5:$AG$5,0)</f>
        <v>3</v>
      </c>
      <c r="M21" s="34">
        <f>MATCH(M3,Drivers!$C$5:$AG$5,0)</f>
        <v>4</v>
      </c>
      <c r="N21" s="34">
        <f>MATCH(N3,Drivers!$C$5:$AG$5,0)</f>
        <v>5</v>
      </c>
      <c r="O21" s="34">
        <f>MATCH(O3,Drivers!$C$5:$AG$5,0)</f>
        <v>6</v>
      </c>
      <c r="P21" s="34">
        <f>MATCH(P3,Drivers!$C$5:$AG$5,0)</f>
        <v>7</v>
      </c>
      <c r="Q21" s="34">
        <f>MATCH(Q3,Drivers!$C$5:$AG$5,0)</f>
        <v>8</v>
      </c>
      <c r="R21" s="34">
        <f>MATCH(R3,Drivers!$C$5:$AG$5,0)</f>
        <v>9</v>
      </c>
      <c r="S21" s="34">
        <f>MATCH(S3,Drivers!$C$5:$AG$5,0)</f>
        <v>10</v>
      </c>
      <c r="T21" s="34">
        <f>MATCH(T3,Drivers!$C$5:$AG$5,0)</f>
        <v>11</v>
      </c>
      <c r="U21" s="34">
        <f>MATCH(U3,Drivers!$C$5:$AG$5,0)</f>
        <v>12</v>
      </c>
      <c r="V21" s="34">
        <f>MATCH(V3,Drivers!$C$5:$AG$5,0)</f>
        <v>13</v>
      </c>
      <c r="W21" s="34">
        <f>MATCH(W3,Drivers!$C$5:$AG$5,0)</f>
        <v>14</v>
      </c>
      <c r="X21" s="34">
        <f>MATCH(X3,Drivers!$C$5:$AG$5,0)</f>
        <v>15</v>
      </c>
      <c r="Y21" s="34">
        <f>MATCH(Y3,Drivers!$C$5:$AG$5,0)</f>
        <v>16</v>
      </c>
      <c r="Z21" s="34">
        <f>MATCH(Z3,Drivers!$C$5:$AG$5,0)</f>
        <v>17</v>
      </c>
      <c r="AA21" s="34">
        <f>MATCH(AA3,Drivers!$C$5:$AG$5,0)</f>
        <v>18</v>
      </c>
      <c r="AB21" s="34">
        <f>MATCH(AB3,Drivers!$C$5:$AG$5,0)</f>
        <v>19</v>
      </c>
      <c r="AC21" s="34">
        <f>MATCH(AC3,Drivers!$C$5:$AG$5,0)</f>
        <v>20</v>
      </c>
      <c r="AD21" s="34">
        <f>MATCH(AD3,Drivers!$C$5:$AG$5,0)</f>
        <v>21</v>
      </c>
      <c r="AE21" s="34">
        <f>MATCH(AE3,Drivers!$C$5:$AG$5,0)</f>
        <v>22</v>
      </c>
      <c r="AF21" s="34">
        <f>MATCH(AF3,Drivers!$C$5:$AG$5,0)</f>
        <v>23</v>
      </c>
      <c r="AG21" s="34">
        <f>MATCH(AG3,Drivers!$C$5:$AG$5,0)</f>
        <v>24</v>
      </c>
      <c r="AH21" s="34">
        <f>MATCH(AH3,Drivers!$C$5:$AG$5,0)</f>
        <v>25</v>
      </c>
      <c r="AI21" s="34">
        <f>MATCH(AI3,Drivers!$C$5:$AG$5,0)</f>
        <v>26</v>
      </c>
      <c r="AJ21" s="34">
        <f>MATCH(AJ3,Drivers!$C$5:$AG$5,0)</f>
        <v>27</v>
      </c>
      <c r="AK21" s="34">
        <f>MATCH(AK3,Drivers!$C$5:$AG$5,0)</f>
        <v>28</v>
      </c>
      <c r="AL21" s="34">
        <f>MATCH(AL3,Drivers!$C$5:$AG$5,0)</f>
        <v>29</v>
      </c>
      <c r="AM21" s="34">
        <f>MATCH(AM3,Drivers!$C$5:$AG$5,0)</f>
        <v>30</v>
      </c>
      <c r="AN21" s="34">
        <f>MATCH(AN3,Drivers!$C$5:$AG$5,0)</f>
        <v>31</v>
      </c>
      <c r="AO21" s="4">
        <f>AN21+1</f>
        <v>32</v>
      </c>
      <c r="AP21" s="4">
        <f>AO21+1</f>
        <v>33</v>
      </c>
      <c r="AQ21" s="4"/>
      <c r="AR21" s="4"/>
      <c r="AS21" s="4"/>
      <c r="AT21" s="4"/>
      <c r="AU21" s="4"/>
      <c r="AV21" s="4"/>
    </row>
    <row r="22" spans="1:48">
      <c r="A22" t="s">
        <v>16</v>
      </c>
      <c r="B22">
        <v>1</v>
      </c>
      <c r="C22" t="s">
        <v>7</v>
      </c>
      <c r="D22" t="s">
        <v>47</v>
      </c>
      <c r="E22" s="6">
        <f t="shared" ref="E22:I24" si="8">SUMIF($J$3:$AV$3,E$21,$J22:$AV22)</f>
        <v>26.162716441035041</v>
      </c>
      <c r="F22" s="6">
        <f t="shared" si="8"/>
        <v>26.998265626975765</v>
      </c>
      <c r="G22" s="6">
        <f t="shared" si="8"/>
        <v>29.686576824104986</v>
      </c>
      <c r="H22" s="6">
        <f t="shared" si="8"/>
        <v>25.633657687019387</v>
      </c>
      <c r="I22" s="18">
        <f t="shared" si="8"/>
        <v>22.235877334709592</v>
      </c>
      <c r="J22" s="6" cm="1">
        <f t="array" ref="J22">INDEX(Drivers!$C$34:$AG$36,$B22,J$21)</f>
        <v>26.162716441035041</v>
      </c>
      <c r="K22" s="6" cm="1">
        <f t="array" ref="K22">INDEX(Drivers!$C$34:$AG$36,$B22,K$21)</f>
        <v>26.124793740612695</v>
      </c>
      <c r="L22" s="6" cm="1">
        <f t="array" ref="L22">INDEX(Drivers!$C$34:$AG$36,$B22,L$21)</f>
        <v>25.810272238913001</v>
      </c>
      <c r="M22" s="6" cm="1">
        <f t="array" ref="M22">INDEX(Drivers!$C$34:$AG$36,$B22,M$21)</f>
        <v>25.676476665132281</v>
      </c>
      <c r="N22" s="6" cm="1">
        <f t="array" ref="N22">INDEX(Drivers!$C$34:$AG$36,$B22,N$21)</f>
        <v>25.758415053648385</v>
      </c>
      <c r="O22" s="6" cm="1">
        <f t="array" ref="O22">INDEX(Drivers!$C$34:$AG$36,$B22,O$21)</f>
        <v>25.755361891142741</v>
      </c>
      <c r="P22" s="6" cm="1">
        <f t="array" ref="P22">INDEX(Drivers!$C$34:$AG$36,$B22,P$21)</f>
        <v>25.706039736299225</v>
      </c>
      <c r="Q22" s="6" cm="1">
        <f t="array" ref="Q22">INDEX(Drivers!$C$34:$AG$36,$B22,Q$21)</f>
        <v>25.946710085536886</v>
      </c>
      <c r="R22" s="6" cm="1">
        <f t="array" ref="R22">INDEX(Drivers!$C$34:$AG$36,$B22,R$21)</f>
        <v>26.998265626975765</v>
      </c>
      <c r="S22" s="6" cm="1">
        <f t="array" ref="S22">INDEX(Drivers!$C$34:$AG$36,$B22,S$21)</f>
        <v>31.342336853405079</v>
      </c>
      <c r="T22" s="6" cm="1">
        <f t="array" ref="T22">INDEX(Drivers!$C$34:$AG$36,$B22,T$21)</f>
        <v>31.030451830683688</v>
      </c>
      <c r="U22" s="6" cm="1">
        <f t="array" ref="U22">INDEX(Drivers!$C$34:$AG$36,$B22,U$21)</f>
        <v>30.861566654303889</v>
      </c>
      <c r="V22" s="6" cm="1">
        <f t="array" ref="V22">INDEX(Drivers!$C$34:$AG$36,$B22,V$21)</f>
        <v>30.655451585509478</v>
      </c>
      <c r="W22" s="6" cm="1">
        <f t="array" ref="W22">INDEX(Drivers!$C$34:$AG$36,$B22,W$21)</f>
        <v>30.412475510781288</v>
      </c>
      <c r="X22" s="6" cm="1">
        <f t="array" ref="X22">INDEX(Drivers!$C$34:$AG$36,$B22,X$21)</f>
        <v>30.278448680433659</v>
      </c>
      <c r="Y22" s="6" cm="1">
        <f t="array" ref="Y22">INDEX(Drivers!$C$34:$AG$36,$B22,Y$21)</f>
        <v>30.128524396770668</v>
      </c>
      <c r="Z22" s="6" cm="1">
        <f t="array" ref="Z22">INDEX(Drivers!$C$34:$AG$36,$B22,Z$21)</f>
        <v>30.157730884218633</v>
      </c>
      <c r="AA22" s="6" cm="1">
        <f t="array" ref="AA22">INDEX(Drivers!$C$34:$AG$36,$B22,AA$21)</f>
        <v>29.977967186116597</v>
      </c>
      <c r="AB22" s="6" cm="1">
        <f t="array" ref="AB22">INDEX(Drivers!$C$34:$AG$36,$B22,AB$21)</f>
        <v>29.686576824104986</v>
      </c>
      <c r="AC22" s="6" cm="1">
        <f t="array" ref="AC22">INDEX(Drivers!$C$34:$AG$36,$B22,AC$21)</f>
        <v>29.277049150984421</v>
      </c>
      <c r="AD22" s="6" cm="1">
        <f t="array" ref="AD22">INDEX(Drivers!$C$34:$AG$36,$B22,AD$21)</f>
        <v>28.841061046548674</v>
      </c>
      <c r="AE22" s="6" cm="1">
        <f t="array" ref="AE22">INDEX(Drivers!$C$34:$AG$36,$B22,AE$21)</f>
        <v>28.300373396234981</v>
      </c>
      <c r="AF22" s="6" cm="1">
        <f t="array" ref="AF22">INDEX(Drivers!$C$34:$AG$36,$B22,AF$21)</f>
        <v>27.702650691361523</v>
      </c>
      <c r="AG22" s="6" cm="1">
        <f t="array" ref="AG22">INDEX(Drivers!$C$34:$AG$36,$B22,AG$21)</f>
        <v>27.293465710576875</v>
      </c>
      <c r="AH22" s="6" cm="1">
        <f t="array" ref="AH22">INDEX(Drivers!$C$34:$AG$36,$B22,AH$21)</f>
        <v>27.147695128590911</v>
      </c>
      <c r="AI22" s="6" cm="1">
        <f t="array" ref="AI22">INDEX(Drivers!$C$34:$AG$36,$B22,AI$21)</f>
        <v>26.85193706748673</v>
      </c>
      <c r="AJ22" s="6" cm="1">
        <f t="array" ref="AJ22">INDEX(Drivers!$C$34:$AG$36,$B22,AJ$21)</f>
        <v>26.517667346672109</v>
      </c>
      <c r="AK22" s="6" cm="1">
        <f t="array" ref="AK22">INDEX(Drivers!$C$34:$AG$36,$B22,AK$21)</f>
        <v>26.10895315165606</v>
      </c>
      <c r="AL22" s="6" cm="1">
        <f t="array" ref="AL22">INDEX(Drivers!$C$34:$AG$36,$B22,AL$21)</f>
        <v>25.633657687019387</v>
      </c>
      <c r="AM22" s="6" cm="1">
        <f t="array" ref="AM22">INDEX(Drivers!$C$34:$AG$36,$B22,AM$21)</f>
        <v>23.489160330964268</v>
      </c>
      <c r="AN22" s="6" cm="1">
        <f t="array" ref="AN22">INDEX(Drivers!$C$34:$AG$36,$B22,AN$21)</f>
        <v>22.235877334709592</v>
      </c>
      <c r="AO22" s="6">
        <f t="shared" ref="AO22:AP24" si="9">AN22</f>
        <v>22.235877334709592</v>
      </c>
      <c r="AP22" s="6">
        <f t="shared" si="9"/>
        <v>22.235877334709592</v>
      </c>
      <c r="AQ22" s="6"/>
      <c r="AR22" s="6"/>
      <c r="AS22" s="6"/>
      <c r="AT22" s="6"/>
      <c r="AU22" s="6"/>
      <c r="AV22" s="6"/>
    </row>
    <row r="23" spans="1:48">
      <c r="A23" t="s">
        <v>16</v>
      </c>
      <c r="B23">
        <v>2</v>
      </c>
      <c r="C23" t="s">
        <v>8</v>
      </c>
      <c r="D23" t="s">
        <v>47</v>
      </c>
      <c r="E23" s="6">
        <f t="shared" si="8"/>
        <v>15.697629864621025</v>
      </c>
      <c r="F23" s="6">
        <f t="shared" si="8"/>
        <v>19.311259441517389</v>
      </c>
      <c r="G23" s="6">
        <f t="shared" si="8"/>
        <v>20.893002842799945</v>
      </c>
      <c r="H23" s="6">
        <f t="shared" si="8"/>
        <v>24.348404655358244</v>
      </c>
      <c r="I23" s="18">
        <f t="shared" si="8"/>
        <v>26.968513389056554</v>
      </c>
      <c r="J23" s="6" cm="1">
        <f t="array" ref="J23">INDEX(Drivers!$C$34:$AG$36,$B23,J$21)</f>
        <v>15.697629864621025</v>
      </c>
      <c r="K23" s="6" cm="1">
        <f t="array" ref="K23">INDEX(Drivers!$C$34:$AG$36,$B23,K$21)</f>
        <v>15.706931206012538</v>
      </c>
      <c r="L23" s="6" cm="1">
        <f t="array" ref="L23">INDEX(Drivers!$C$34:$AG$36,$B23,L$21)</f>
        <v>16.206450010480257</v>
      </c>
      <c r="M23" s="6" cm="1">
        <f t="array" ref="M23">INDEX(Drivers!$C$34:$AG$36,$B23,M$21)</f>
        <v>16.65350655721161</v>
      </c>
      <c r="N23" s="6" cm="1">
        <f t="array" ref="N23">INDEX(Drivers!$C$34:$AG$36,$B23,N$21)</f>
        <v>17.096293177200256</v>
      </c>
      <c r="O23" s="6" cm="1">
        <f t="array" ref="O23">INDEX(Drivers!$C$34:$AG$36,$B23,O$21)</f>
        <v>17.422744808714206</v>
      </c>
      <c r="P23" s="6" cm="1">
        <f t="array" ref="P23">INDEX(Drivers!$C$34:$AG$36,$B23,P$21)</f>
        <v>17.892835083270921</v>
      </c>
      <c r="Q23" s="6" cm="1">
        <f t="array" ref="Q23">INDEX(Drivers!$C$34:$AG$36,$B23,Q$21)</f>
        <v>18.376375848815535</v>
      </c>
      <c r="R23" s="6" cm="1">
        <f t="array" ref="R23">INDEX(Drivers!$C$34:$AG$36,$B23,R$21)</f>
        <v>19.311259441517389</v>
      </c>
      <c r="S23" s="6" cm="1">
        <f t="array" ref="S23">INDEX(Drivers!$C$34:$AG$36,$B23,S$21)</f>
        <v>16.784092096161263</v>
      </c>
      <c r="T23" s="6" cm="1">
        <f t="array" ref="T23">INDEX(Drivers!$C$34:$AG$36,$B23,T$21)</f>
        <v>17.740395840331932</v>
      </c>
      <c r="U23" s="6" cm="1">
        <f t="array" ref="U23">INDEX(Drivers!$C$34:$AG$36,$B23,U$21)</f>
        <v>18.45521685927373</v>
      </c>
      <c r="V23" s="6" cm="1">
        <f t="array" ref="V23">INDEX(Drivers!$C$34:$AG$36,$B23,V$21)</f>
        <v>18.855287940578133</v>
      </c>
      <c r="W23" s="6" cm="1">
        <f t="array" ref="W23">INDEX(Drivers!$C$34:$AG$36,$B23,W$21)</f>
        <v>19.244408777569074</v>
      </c>
      <c r="X23" s="6" cm="1">
        <f t="array" ref="X23">INDEX(Drivers!$C$34:$AG$36,$B23,X$21)</f>
        <v>19.569439462932916</v>
      </c>
      <c r="Y23" s="6" cm="1">
        <f t="array" ref="Y23">INDEX(Drivers!$C$34:$AG$36,$B23,Y$21)</f>
        <v>19.956928553416471</v>
      </c>
      <c r="Z23" s="6" cm="1">
        <f t="array" ref="Z23">INDEX(Drivers!$C$34:$AG$36,$B23,Z$21)</f>
        <v>20.278474215250458</v>
      </c>
      <c r="AA23" s="6" cm="1">
        <f t="array" ref="AA23">INDEX(Drivers!$C$34:$AG$36,$B23,AA$21)</f>
        <v>20.53195564388292</v>
      </c>
      <c r="AB23" s="6" cm="1">
        <f t="array" ref="AB23">INDEX(Drivers!$C$34:$AG$36,$B23,AB$21)</f>
        <v>20.893002842799945</v>
      </c>
      <c r="AC23" s="6" cm="1">
        <f t="array" ref="AC23">INDEX(Drivers!$C$34:$AG$36,$B23,AC$21)</f>
        <v>21.207520797296233</v>
      </c>
      <c r="AD23" s="6" cm="1">
        <f t="array" ref="AD23">INDEX(Drivers!$C$34:$AG$36,$B23,AD$21)</f>
        <v>21.563410128260692</v>
      </c>
      <c r="AE23" s="6" cm="1">
        <f t="array" ref="AE23">INDEX(Drivers!$C$34:$AG$36,$B23,AE$21)</f>
        <v>21.920912726580092</v>
      </c>
      <c r="AF23" s="6" cm="1">
        <f t="array" ref="AF23">INDEX(Drivers!$C$34:$AG$36,$B23,AF$21)</f>
        <v>22.298923766379897</v>
      </c>
      <c r="AG23" s="6" cm="1">
        <f t="array" ref="AG23">INDEX(Drivers!$C$34:$AG$36,$B23,AG$21)</f>
        <v>22.744554758814061</v>
      </c>
      <c r="AH23" s="6" cm="1">
        <f t="array" ref="AH23">INDEX(Drivers!$C$34:$AG$36,$B23,AH$21)</f>
        <v>23.051239853432698</v>
      </c>
      <c r="AI23" s="6" cm="1">
        <f t="array" ref="AI23">INDEX(Drivers!$C$34:$AG$36,$B23,AI$21)</f>
        <v>23.355591095157731</v>
      </c>
      <c r="AJ23" s="6" cm="1">
        <f t="array" ref="AJ23">INDEX(Drivers!$C$34:$AG$36,$B23,AJ$21)</f>
        <v>23.704121739598143</v>
      </c>
      <c r="AK23" s="6" cm="1">
        <f t="array" ref="AK23">INDEX(Drivers!$C$34:$AG$36,$B23,AK$21)</f>
        <v>23.909557641598074</v>
      </c>
      <c r="AL23" s="6" cm="1">
        <f t="array" ref="AL23">INDEX(Drivers!$C$34:$AG$36,$B23,AL$21)</f>
        <v>24.348404655358244</v>
      </c>
      <c r="AM23" s="6" cm="1">
        <f t="array" ref="AM23">INDEX(Drivers!$C$34:$AG$36,$B23,AM$21)</f>
        <v>25.69126911199216</v>
      </c>
      <c r="AN23" s="6" cm="1">
        <f t="array" ref="AN23">INDEX(Drivers!$C$34:$AG$36,$B23,AN$21)</f>
        <v>26.968513389056554</v>
      </c>
      <c r="AO23" s="6">
        <f t="shared" si="9"/>
        <v>26.968513389056554</v>
      </c>
      <c r="AP23" s="6">
        <f t="shared" si="9"/>
        <v>26.968513389056554</v>
      </c>
      <c r="AQ23" s="6"/>
      <c r="AR23" s="6"/>
      <c r="AS23" s="6"/>
      <c r="AT23" s="6"/>
      <c r="AU23" s="6"/>
      <c r="AV23" s="6"/>
    </row>
    <row r="24" spans="1:48">
      <c r="A24" t="s">
        <v>16</v>
      </c>
      <c r="B24">
        <v>3</v>
      </c>
      <c r="C24" t="s">
        <v>406</v>
      </c>
      <c r="D24" t="s">
        <v>47</v>
      </c>
      <c r="E24" s="6">
        <f t="shared" si="8"/>
        <v>10.465086576414015</v>
      </c>
      <c r="F24" s="6">
        <f t="shared" si="8"/>
        <v>11.858701524628284</v>
      </c>
      <c r="G24" s="6">
        <f t="shared" si="8"/>
        <v>15.603635034496163</v>
      </c>
      <c r="H24" s="6">
        <f t="shared" si="8"/>
        <v>21.34948091481559</v>
      </c>
      <c r="I24" s="18">
        <f t="shared" si="8"/>
        <v>25.916816488090575</v>
      </c>
      <c r="J24" s="6" cm="1">
        <f t="array" ref="J24">INDEX(Drivers!$C$34:$AG$36,$B24,J$21)</f>
        <v>10.465086576414015</v>
      </c>
      <c r="K24" s="6" cm="1">
        <f t="array" ref="K24">INDEX(Drivers!$C$34:$AG$36,$B24,K$21)</f>
        <v>11.272661511798107</v>
      </c>
      <c r="L24" s="6" cm="1">
        <f t="array" ref="L24">INDEX(Drivers!$C$34:$AG$36,$B24,L$21)</f>
        <v>11.895643442036015</v>
      </c>
      <c r="M24" s="6" cm="1">
        <f t="array" ref="M24">INDEX(Drivers!$C$34:$AG$36,$B24,M$21)</f>
        <v>12.420508234977223</v>
      </c>
      <c r="N24" s="6" cm="1">
        <f t="array" ref="N24">INDEX(Drivers!$C$34:$AG$36,$B24,N$21)</f>
        <v>12.765232238976191</v>
      </c>
      <c r="O24" s="6" cm="1">
        <f t="array" ref="O24">INDEX(Drivers!$C$34:$AG$36,$B24,O$21)</f>
        <v>13.343841341791148</v>
      </c>
      <c r="P24" s="6" cm="1">
        <f t="array" ref="P24">INDEX(Drivers!$C$34:$AG$36,$B24,P$21)</f>
        <v>13.837125797729508</v>
      </c>
      <c r="Q24" s="6" cm="1">
        <f t="array" ref="Q24">INDEX(Drivers!$C$34:$AG$36,$B24,Q$21)</f>
        <v>14.041748987467024</v>
      </c>
      <c r="R24" s="6" cm="1">
        <f t="array" ref="R24">INDEX(Drivers!$C$34:$AG$36,$B24,R$21)</f>
        <v>11.858701524628284</v>
      </c>
      <c r="S24" s="6" cm="1">
        <f t="array" ref="S24">INDEX(Drivers!$C$34:$AG$36,$B24,S$21)</f>
        <v>12.031607237391585</v>
      </c>
      <c r="T24" s="6" cm="1">
        <f t="array" ref="T24">INDEX(Drivers!$C$34:$AG$36,$B24,T$21)</f>
        <v>12.192711917753906</v>
      </c>
      <c r="U24" s="6" cm="1">
        <f t="array" ref="U24">INDEX(Drivers!$C$34:$AG$36,$B24,U$21)</f>
        <v>12.406349795030163</v>
      </c>
      <c r="V24" s="6" cm="1">
        <f t="array" ref="V24">INDEX(Drivers!$C$34:$AG$36,$B24,V$21)</f>
        <v>12.923988753972425</v>
      </c>
      <c r="W24" s="6" cm="1">
        <f t="array" ref="W24">INDEX(Drivers!$C$34:$AG$36,$B24,W$21)</f>
        <v>13.439537933187582</v>
      </c>
      <c r="X24" s="6" cm="1">
        <f t="array" ref="X24">INDEX(Drivers!$C$34:$AG$36,$B24,X$21)</f>
        <v>13.896214341756924</v>
      </c>
      <c r="Y24" s="6" cm="1">
        <f t="array" ref="Y24">INDEX(Drivers!$C$34:$AG$36,$B24,Y$21)</f>
        <v>14.291735931801473</v>
      </c>
      <c r="Z24" s="6" cm="1">
        <f t="array" ref="Z24">INDEX(Drivers!$C$34:$AG$36,$B24,Z$21)</f>
        <v>14.558904564795203</v>
      </c>
      <c r="AA24" s="6" cm="1">
        <f t="array" ref="AA24">INDEX(Drivers!$C$34:$AG$36,$B24,AA$21)</f>
        <v>15.087379546623236</v>
      </c>
      <c r="AB24" s="6" cm="1">
        <f t="array" ref="AB24">INDEX(Drivers!$C$34:$AG$36,$B24,AB$21)</f>
        <v>15.603635034496163</v>
      </c>
      <c r="AC24" s="6" cm="1">
        <f t="array" ref="AC24">INDEX(Drivers!$C$34:$AG$36,$B24,AC$21)</f>
        <v>16.272437341321641</v>
      </c>
      <c r="AD24" s="6" cm="1">
        <f t="array" ref="AD24">INDEX(Drivers!$C$34:$AG$36,$B24,AD$21)</f>
        <v>16.913799819354487</v>
      </c>
      <c r="AE24" s="6" cm="1">
        <f t="array" ref="AE24">INDEX(Drivers!$C$34:$AG$36,$B24,AE$21)</f>
        <v>17.645316745853954</v>
      </c>
      <c r="AF24" s="6" cm="1">
        <f t="array" ref="AF24">INDEX(Drivers!$C$34:$AG$36,$B24,AF$21)</f>
        <v>18.400032187595688</v>
      </c>
      <c r="AG24" s="6" cm="1">
        <f t="array" ref="AG24">INDEX(Drivers!$C$34:$AG$36,$B24,AG$21)</f>
        <v>18.884872739136533</v>
      </c>
      <c r="AH24" s="6" cm="1">
        <f t="array" ref="AH24">INDEX(Drivers!$C$34:$AG$36,$B24,AH$21)</f>
        <v>19.232510359641143</v>
      </c>
      <c r="AI24" s="6" cm="1">
        <f t="array" ref="AI24">INDEX(Drivers!$C$34:$AG$36,$B24,AI$21)</f>
        <v>19.719391283935575</v>
      </c>
      <c r="AJ24" s="6" cm="1">
        <f t="array" ref="AJ24">INDEX(Drivers!$C$34:$AG$36,$B24,AJ$21)</f>
        <v>20.187189730755698</v>
      </c>
      <c r="AK24" s="6" cm="1">
        <f t="array" ref="AK24">INDEX(Drivers!$C$34:$AG$36,$B24,AK$21)</f>
        <v>20.858783224420879</v>
      </c>
      <c r="AL24" s="6" cm="1">
        <f t="array" ref="AL24">INDEX(Drivers!$C$34:$AG$36,$B24,AL$21)</f>
        <v>21.34948091481559</v>
      </c>
      <c r="AM24" s="6" cm="1">
        <f t="array" ref="AM24">INDEX(Drivers!$C$34:$AG$36,$B24,AM$21)</f>
        <v>24.223196591306909</v>
      </c>
      <c r="AN24" s="6" cm="1">
        <f t="array" ref="AN24">INDEX(Drivers!$C$34:$AG$36,$B24,AN$21)</f>
        <v>25.916816488090575</v>
      </c>
      <c r="AO24" s="6">
        <f t="shared" si="9"/>
        <v>25.916816488090575</v>
      </c>
      <c r="AP24" s="6">
        <f t="shared" si="9"/>
        <v>25.916816488090575</v>
      </c>
      <c r="AQ24" s="6"/>
      <c r="AR24" s="6"/>
      <c r="AS24" s="6"/>
      <c r="AT24" s="6"/>
      <c r="AU24" s="6"/>
      <c r="AV24" s="6"/>
    </row>
    <row r="25" spans="1:48">
      <c r="A25" t="s">
        <v>16</v>
      </c>
      <c r="E25" s="39">
        <f t="shared" ref="E25:AP25" si="10">SUM(E22:E24)</f>
        <v>52.325432882070082</v>
      </c>
      <c r="F25" s="39">
        <f t="shared" si="10"/>
        <v>58.168226593121446</v>
      </c>
      <c r="G25" s="39">
        <f t="shared" si="10"/>
        <v>66.183214701401099</v>
      </c>
      <c r="H25" s="39">
        <f t="shared" si="10"/>
        <v>71.331543257193218</v>
      </c>
      <c r="I25" s="39">
        <f t="shared" si="10"/>
        <v>75.121207211856728</v>
      </c>
      <c r="J25" s="39">
        <f t="shared" si="10"/>
        <v>52.325432882070082</v>
      </c>
      <c r="K25" s="39">
        <f t="shared" si="10"/>
        <v>53.104386458423335</v>
      </c>
      <c r="L25" s="39">
        <f t="shared" si="10"/>
        <v>53.912365691429272</v>
      </c>
      <c r="M25" s="39">
        <f t="shared" si="10"/>
        <v>54.750491457321118</v>
      </c>
      <c r="N25" s="39">
        <f t="shared" si="10"/>
        <v>55.619940469824833</v>
      </c>
      <c r="O25" s="39">
        <f t="shared" si="10"/>
        <v>56.521948041648095</v>
      </c>
      <c r="P25" s="39">
        <f t="shared" si="10"/>
        <v>57.436000617299648</v>
      </c>
      <c r="Q25" s="39">
        <f t="shared" si="10"/>
        <v>58.364834921819444</v>
      </c>
      <c r="R25" s="39">
        <f t="shared" si="10"/>
        <v>58.168226593121446</v>
      </c>
      <c r="S25" s="39">
        <f t="shared" si="10"/>
        <v>60.158036186957929</v>
      </c>
      <c r="T25" s="39">
        <f t="shared" si="10"/>
        <v>60.96355958876952</v>
      </c>
      <c r="U25" s="39">
        <f t="shared" si="10"/>
        <v>61.723133308607785</v>
      </c>
      <c r="V25" s="39">
        <f t="shared" si="10"/>
        <v>62.434728280060035</v>
      </c>
      <c r="W25" s="39">
        <f t="shared" si="10"/>
        <v>63.096422221537942</v>
      </c>
      <c r="X25" s="39">
        <f t="shared" si="10"/>
        <v>63.744102485123499</v>
      </c>
      <c r="Y25" s="39">
        <f t="shared" si="10"/>
        <v>64.377188881988616</v>
      </c>
      <c r="Z25" s="39">
        <f t="shared" si="10"/>
        <v>64.995109664264291</v>
      </c>
      <c r="AA25" s="39">
        <f t="shared" si="10"/>
        <v>65.59730237662275</v>
      </c>
      <c r="AB25" s="39">
        <f t="shared" si="10"/>
        <v>66.183214701401099</v>
      </c>
      <c r="AC25" s="39">
        <f t="shared" si="10"/>
        <v>66.757007289602285</v>
      </c>
      <c r="AD25" s="39">
        <f t="shared" si="10"/>
        <v>67.318270994163854</v>
      </c>
      <c r="AE25" s="39">
        <f t="shared" si="10"/>
        <v>67.86660286866902</v>
      </c>
      <c r="AF25" s="39">
        <f t="shared" si="10"/>
        <v>68.401606645337111</v>
      </c>
      <c r="AG25" s="39">
        <f t="shared" si="10"/>
        <v>68.922893208527469</v>
      </c>
      <c r="AH25" s="39">
        <f t="shared" si="10"/>
        <v>69.431445341664755</v>
      </c>
      <c r="AI25" s="39">
        <f t="shared" si="10"/>
        <v>69.926919446580044</v>
      </c>
      <c r="AJ25" s="39">
        <f t="shared" si="10"/>
        <v>70.40897881702594</v>
      </c>
      <c r="AK25" s="39">
        <f t="shared" si="10"/>
        <v>70.877294017675013</v>
      </c>
      <c r="AL25" s="39">
        <f t="shared" si="10"/>
        <v>71.331543257193218</v>
      </c>
      <c r="AM25" s="39">
        <f t="shared" si="10"/>
        <v>73.40362603426334</v>
      </c>
      <c r="AN25" s="39">
        <f t="shared" si="10"/>
        <v>75.121207211856728</v>
      </c>
      <c r="AO25" s="39">
        <f t="shared" si="10"/>
        <v>75.121207211856728</v>
      </c>
      <c r="AP25" s="39">
        <f t="shared" si="10"/>
        <v>75.121207211856728</v>
      </c>
      <c r="AQ25" s="39"/>
      <c r="AR25" s="39"/>
      <c r="AS25" s="39"/>
      <c r="AT25" s="39"/>
      <c r="AU25" s="39"/>
      <c r="AV25" s="39"/>
    </row>
    <row r="26" spans="1:48">
      <c r="A26" t="s">
        <v>16</v>
      </c>
      <c r="J26" s="36"/>
      <c r="K26" s="3"/>
      <c r="L26" s="3"/>
    </row>
    <row r="27" spans="1:48">
      <c r="A27" t="s">
        <v>16</v>
      </c>
      <c r="J27" s="36"/>
      <c r="K27" s="3"/>
      <c r="L27" s="3"/>
    </row>
    <row r="28" spans="1:48" ht="15.75" thickBot="1">
      <c r="A28" t="s">
        <v>16</v>
      </c>
      <c r="C28" s="14" t="s">
        <v>45</v>
      </c>
      <c r="D28" s="14"/>
      <c r="E28">
        <v>2012</v>
      </c>
      <c r="F28">
        <v>2020</v>
      </c>
      <c r="G28">
        <v>2030</v>
      </c>
      <c r="H28">
        <v>2040</v>
      </c>
      <c r="I28">
        <v>2050</v>
      </c>
    </row>
    <row r="29" spans="1:48">
      <c r="A29" t="s">
        <v>16</v>
      </c>
      <c r="C29" t="s">
        <v>7</v>
      </c>
      <c r="D29" t="s">
        <v>48</v>
      </c>
      <c r="E29" s="68">
        <v>0.71</v>
      </c>
      <c r="F29" s="28">
        <v>0.8</v>
      </c>
      <c r="G29" s="28">
        <v>0.85</v>
      </c>
      <c r="H29" s="28">
        <v>0.9</v>
      </c>
      <c r="I29" s="100">
        <v>0.95</v>
      </c>
      <c r="J29" cm="1">
        <f t="array" ref="J29">IF(J$7=-1,K29,IF(J$7=99,I29,IF(J$7=0,INDEX($E29:$I29,0,J$5),(INDEX($E29:$I29,0,J$7+1)-INDEX($E29:$I29,0,J$7))/(INDEX($E$4:$I$4,0,J$7+1)-INDEX($E$4:$I$4,0,J$7))+I29)))</f>
        <v>0.71</v>
      </c>
      <c r="K29" cm="1">
        <f t="array" ref="K29">IF(K$7=-1,L29,IF(K$7=99,J29,IF(K$7=0,INDEX($E29:$I29,0,K$5),(INDEX($E29:$I29,0,K$7+1)-INDEX($E29:$I29,0,K$7))/(INDEX($E$4:$I$4,0,K$7+1)-INDEX($E$4:$I$4,0,K$7))+J29)))</f>
        <v>0.72124999999999995</v>
      </c>
      <c r="L29" cm="1">
        <f t="array" ref="L29">IF(L$7=-1,M29,IF(L$7=99,K29,IF(L$7=0,INDEX($E29:$I29,0,L$5),(INDEX($E29:$I29,0,L$7+1)-INDEX($E29:$I29,0,L$7))/(INDEX($E$4:$I$4,0,L$7+1)-INDEX($E$4:$I$4,0,L$7))+K29)))</f>
        <v>0.73249999999999993</v>
      </c>
      <c r="M29" cm="1">
        <f t="array" ref="M29">IF(M$7=-1,N29,IF(M$7=99,L29,IF(M$7=0,INDEX($E29:$I29,0,M$5),(INDEX($E29:$I29,0,M$7+1)-INDEX($E29:$I29,0,M$7))/(INDEX($E$4:$I$4,0,M$7+1)-INDEX($E$4:$I$4,0,M$7))+L29)))</f>
        <v>0.74374999999999991</v>
      </c>
      <c r="N29" cm="1">
        <f t="array" ref="N29">IF(N$7=-1,O29,IF(N$7=99,M29,IF(N$7=0,INDEX($E29:$I29,0,N$5),(INDEX($E29:$I29,0,N$7+1)-INDEX($E29:$I29,0,N$7))/(INDEX($E$4:$I$4,0,N$7+1)-INDEX($E$4:$I$4,0,N$7))+M29)))</f>
        <v>0.75499999999999989</v>
      </c>
      <c r="O29" cm="1">
        <f t="array" ref="O29">IF(O$7=-1,P29,IF(O$7=99,N29,IF(O$7=0,INDEX($E29:$I29,0,O$5),(INDEX($E29:$I29,0,O$7+1)-INDEX($E29:$I29,0,O$7))/(INDEX($E$4:$I$4,0,O$7+1)-INDEX($E$4:$I$4,0,O$7))+N29)))</f>
        <v>0.76624999999999988</v>
      </c>
      <c r="P29" cm="1">
        <f t="array" ref="P29">IF(P$7=-1,Q29,IF(P$7=99,O29,IF(P$7=0,INDEX($E29:$I29,0,P$5),(INDEX($E29:$I29,0,P$7+1)-INDEX($E29:$I29,0,P$7))/(INDEX($E$4:$I$4,0,P$7+1)-INDEX($E$4:$I$4,0,P$7))+O29)))</f>
        <v>0.77749999999999986</v>
      </c>
      <c r="Q29" cm="1">
        <f t="array" ref="Q29">IF(Q$7=-1,R29,IF(Q$7=99,P29,IF(Q$7=0,INDEX($E29:$I29,0,Q$5),(INDEX($E29:$I29,0,Q$7+1)-INDEX($E29:$I29,0,Q$7))/(INDEX($E$4:$I$4,0,Q$7+1)-INDEX($E$4:$I$4,0,Q$7))+P29)))</f>
        <v>0.78874999999999984</v>
      </c>
      <c r="R29" cm="1">
        <f t="array" ref="R29">IF(R$7=-1,S29,IF(R$7=99,Q29,IF(R$7=0,INDEX($E29:$I29,0,R$5),(INDEX($E29:$I29,0,R$7+1)-INDEX($E29:$I29,0,R$7))/(INDEX($E$4:$I$4,0,R$7+1)-INDEX($E$4:$I$4,0,R$7))+Q29)))</f>
        <v>0.8</v>
      </c>
      <c r="S29" cm="1">
        <f t="array" ref="S29">IF(S$7=-1,T29,IF(S$7=99,R29,IF(S$7=0,INDEX($E29:$I29,0,S$5),(INDEX($E29:$I29,0,S$7+1)-INDEX($E29:$I29,0,S$7))/(INDEX($E$4:$I$4,0,S$7+1)-INDEX($E$4:$I$4,0,S$7))+R29)))</f>
        <v>0.80500000000000005</v>
      </c>
      <c r="T29" cm="1">
        <f t="array" ref="T29">IF(T$7=-1,U29,IF(T$7=99,S29,IF(T$7=0,INDEX($E29:$I29,0,T$5),(INDEX($E29:$I29,0,T$7+1)-INDEX($E29:$I29,0,T$7))/(INDEX($E$4:$I$4,0,T$7+1)-INDEX($E$4:$I$4,0,T$7))+S29)))</f>
        <v>0.81</v>
      </c>
      <c r="U29" cm="1">
        <f t="array" ref="U29">IF(U$7=-1,V29,IF(U$7=99,T29,IF(U$7=0,INDEX($E29:$I29,0,U$5),(INDEX($E29:$I29,0,U$7+1)-INDEX($E29:$I29,0,U$7))/(INDEX($E$4:$I$4,0,U$7+1)-INDEX($E$4:$I$4,0,U$7))+T29)))</f>
        <v>0.81500000000000006</v>
      </c>
      <c r="V29" cm="1">
        <f t="array" ref="V29">IF(V$7=-1,W29,IF(V$7=99,U29,IF(V$7=0,INDEX($E29:$I29,0,V$5),(INDEX($E29:$I29,0,V$7+1)-INDEX($E29:$I29,0,V$7))/(INDEX($E$4:$I$4,0,V$7+1)-INDEX($E$4:$I$4,0,V$7))+U29)))</f>
        <v>0.82000000000000006</v>
      </c>
      <c r="W29" cm="1">
        <f t="array" ref="W29">IF(W$7=-1,X29,IF(W$7=99,V29,IF(W$7=0,INDEX($E29:$I29,0,W$5),(INDEX($E29:$I29,0,W$7+1)-INDEX($E29:$I29,0,W$7))/(INDEX($E$4:$I$4,0,W$7+1)-INDEX($E$4:$I$4,0,W$7))+V29)))</f>
        <v>0.82500000000000007</v>
      </c>
      <c r="X29" cm="1">
        <f t="array" ref="X29">IF(X$7=-1,Y29,IF(X$7=99,W29,IF(X$7=0,INDEX($E29:$I29,0,X$5),(INDEX($E29:$I29,0,X$7+1)-INDEX($E29:$I29,0,X$7))/(INDEX($E$4:$I$4,0,X$7+1)-INDEX($E$4:$I$4,0,X$7))+W29)))</f>
        <v>0.83000000000000007</v>
      </c>
      <c r="Y29" cm="1">
        <f t="array" ref="Y29">IF(Y$7=-1,Z29,IF(Y$7=99,X29,IF(Y$7=0,INDEX($E29:$I29,0,Y$5),(INDEX($E29:$I29,0,Y$7+1)-INDEX($E29:$I29,0,Y$7))/(INDEX($E$4:$I$4,0,Y$7+1)-INDEX($E$4:$I$4,0,Y$7))+X29)))</f>
        <v>0.83500000000000008</v>
      </c>
      <c r="Z29" cm="1">
        <f t="array" ref="Z29">IF(Z$7=-1,AA29,IF(Z$7=99,Y29,IF(Z$7=0,INDEX($E29:$I29,0,Z$5),(INDEX($E29:$I29,0,Z$7+1)-INDEX($E29:$I29,0,Z$7))/(INDEX($E$4:$I$4,0,Z$7+1)-INDEX($E$4:$I$4,0,Z$7))+Y29)))</f>
        <v>0.84000000000000008</v>
      </c>
      <c r="AA29" cm="1">
        <f t="array" ref="AA29">IF(AA$7=-1,AB29,IF(AA$7=99,Z29,IF(AA$7=0,INDEX($E29:$I29,0,AA$5),(INDEX($E29:$I29,0,AA$7+1)-INDEX($E29:$I29,0,AA$7))/(INDEX($E$4:$I$4,0,AA$7+1)-INDEX($E$4:$I$4,0,AA$7))+Z29)))</f>
        <v>0.84500000000000008</v>
      </c>
      <c r="AB29" cm="1">
        <f t="array" ref="AB29">IF(AB$7=-1,AC29,IF(AB$7=99,AA29,IF(AB$7=0,INDEX($E29:$I29,0,AB$5),(INDEX($E29:$I29,0,AB$7+1)-INDEX($E29:$I29,0,AB$7))/(INDEX($E$4:$I$4,0,AB$7+1)-INDEX($E$4:$I$4,0,AB$7))+AA29)))</f>
        <v>0.85</v>
      </c>
      <c r="AC29" cm="1">
        <f t="array" ref="AC29">IF(AC$7=-1,AD29,IF(AC$7=99,AB29,IF(AC$7=0,INDEX($E29:$I29,0,AC$5),(INDEX($E29:$I29,0,AC$7+1)-INDEX($E29:$I29,0,AC$7))/(INDEX($E$4:$I$4,0,AC$7+1)-INDEX($E$4:$I$4,0,AC$7))+AB29)))</f>
        <v>0.85499999999999998</v>
      </c>
      <c r="AD29" cm="1">
        <f t="array" ref="AD29">IF(AD$7=-1,AE29,IF(AD$7=99,AC29,IF(AD$7=0,INDEX($E29:$I29,0,AD$5),(INDEX($E29:$I29,0,AD$7+1)-INDEX($E29:$I29,0,AD$7))/(INDEX($E$4:$I$4,0,AD$7+1)-INDEX($E$4:$I$4,0,AD$7))+AC29)))</f>
        <v>0.86</v>
      </c>
      <c r="AE29" cm="1">
        <f t="array" ref="AE29">IF(AE$7=-1,AF29,IF(AE$7=99,AD29,IF(AE$7=0,INDEX($E29:$I29,0,AE$5),(INDEX($E29:$I29,0,AE$7+1)-INDEX($E29:$I29,0,AE$7))/(INDEX($E$4:$I$4,0,AE$7+1)-INDEX($E$4:$I$4,0,AE$7))+AD29)))</f>
        <v>0.86499999999999999</v>
      </c>
      <c r="AF29" cm="1">
        <f t="array" ref="AF29">IF(AF$7=-1,AG29,IF(AF$7=99,AE29,IF(AF$7=0,INDEX($E29:$I29,0,AF$5),(INDEX($E29:$I29,0,AF$7+1)-INDEX($E29:$I29,0,AF$7))/(INDEX($E$4:$I$4,0,AF$7+1)-INDEX($E$4:$I$4,0,AF$7))+AE29)))</f>
        <v>0.87</v>
      </c>
      <c r="AG29" cm="1">
        <f t="array" ref="AG29">IF(AG$7=-1,AH29,IF(AG$7=99,AF29,IF(AG$7=0,INDEX($E29:$I29,0,AG$5),(INDEX($E29:$I29,0,AG$7+1)-INDEX($E29:$I29,0,AG$7))/(INDEX($E$4:$I$4,0,AG$7+1)-INDEX($E$4:$I$4,0,AG$7))+AF29)))</f>
        <v>0.875</v>
      </c>
      <c r="AH29" cm="1">
        <f t="array" ref="AH29">IF(AH$7=-1,AI29,IF(AH$7=99,AG29,IF(AH$7=0,INDEX($E29:$I29,0,AH$5),(INDEX($E29:$I29,0,AH$7+1)-INDEX($E29:$I29,0,AH$7))/(INDEX($E$4:$I$4,0,AH$7+1)-INDEX($E$4:$I$4,0,AH$7))+AG29)))</f>
        <v>0.88</v>
      </c>
      <c r="AI29" cm="1">
        <f t="array" ref="AI29">IF(AI$7=-1,AJ29,IF(AI$7=99,AH29,IF(AI$7=0,INDEX($E29:$I29,0,AI$5),(INDEX($E29:$I29,0,AI$7+1)-INDEX($E29:$I29,0,AI$7))/(INDEX($E$4:$I$4,0,AI$7+1)-INDEX($E$4:$I$4,0,AI$7))+AH29)))</f>
        <v>0.88500000000000001</v>
      </c>
      <c r="AJ29" cm="1">
        <f t="array" ref="AJ29">IF(AJ$7=-1,AK29,IF(AJ$7=99,AI29,IF(AJ$7=0,INDEX($E29:$I29,0,AJ$5),(INDEX($E29:$I29,0,AJ$7+1)-INDEX($E29:$I29,0,AJ$7))/(INDEX($E$4:$I$4,0,AJ$7+1)-INDEX($E$4:$I$4,0,AJ$7))+AI29)))</f>
        <v>0.89</v>
      </c>
      <c r="AK29" cm="1">
        <f t="array" ref="AK29">IF(AK$7=-1,AL29,IF(AK$7=99,AJ29,IF(AK$7=0,INDEX($E29:$I29,0,AK$5),(INDEX($E29:$I29,0,AK$7+1)-INDEX($E29:$I29,0,AK$7))/(INDEX($E$4:$I$4,0,AK$7+1)-INDEX($E$4:$I$4,0,AK$7))+AJ29)))</f>
        <v>0.89500000000000002</v>
      </c>
      <c r="AL29" cm="1">
        <f t="array" ref="AL29">IF(AL$7=-1,AM29,IF(AL$7=99,AK29,IF(AL$7=0,INDEX($E29:$I29,0,AL$5),(INDEX($E29:$I29,0,AL$7+1)-INDEX($E29:$I29,0,AL$7))/(INDEX($E$4:$I$4,0,AL$7+1)-INDEX($E$4:$I$4,0,AL$7))+AK29)))</f>
        <v>0.9</v>
      </c>
      <c r="AM29" s="189">
        <f>(AL29+AN29)/2</f>
        <v>0.92500000000000004</v>
      </c>
      <c r="AN29" cm="1">
        <f t="array" ref="AN29">IF(AN$7=-1,AO29,IF(AN$7=99,AM29,IF(AN$7=0,INDEX($E29:$I29,0,AN$5),(INDEX($E29:$I29,0,AN$7+1)-INDEX($E29:$I29,0,AN$7))/(INDEX($E$4:$I$4,0,AN$7+1)-INDEX($E$4:$I$4,0,AN$7))+AM29)))</f>
        <v>0.95</v>
      </c>
      <c r="AO29" cm="1">
        <f t="array" ref="AO29">IF(AO$7=-1,AP29,IF(AO$7=99,AN29,IF(AO$7=0,INDEX($E29:$I29,0,AO$5),(INDEX($E29:$I29,0,AO$7+1)-INDEX($E29:$I29,0,AO$7))/(INDEX($E$4:$I$4,0,AO$7+1)-INDEX($E$4:$I$4,0,AO$7))+AN29)))</f>
        <v>0.95</v>
      </c>
      <c r="AP29" cm="1">
        <f t="array" ref="AP29">IF(AP$7=-1,AQ29,IF(AP$7=99,AO29,IF(AP$7=0,INDEX($E29:$I29,0,AP$5),(INDEX($E29:$I29,0,AP$7+1)-INDEX($E29:$I29,0,AP$7))/(INDEX($E$4:$I$4,0,AP$7+1)-INDEX($E$4:$I$4,0,AP$7))+AO29)))</f>
        <v>0.95</v>
      </c>
    </row>
    <row r="30" spans="1:48">
      <c r="A30" t="s">
        <v>16</v>
      </c>
      <c r="C30" t="s">
        <v>8</v>
      </c>
      <c r="D30" t="s">
        <v>48</v>
      </c>
      <c r="E30" s="68">
        <v>0.83</v>
      </c>
      <c r="F30" s="28">
        <v>0.9</v>
      </c>
      <c r="G30" s="28">
        <v>0.95</v>
      </c>
      <c r="H30" s="28">
        <v>0.95</v>
      </c>
      <c r="I30" s="100">
        <v>1</v>
      </c>
      <c r="J30" cm="1">
        <f t="array" ref="J30">IF(J$7=-1,K30,IF(J$7=99,I30,IF(J$7=0,INDEX($E30:$I30,0,J$5),(INDEX($E30:$I30,0,J$7+1)-INDEX($E30:$I30,0,J$7))/(INDEX($E$4:$I$4,0,J$7+1)-INDEX($E$4:$I$4,0,J$7))+I30)))</f>
        <v>0.83</v>
      </c>
      <c r="K30" cm="1">
        <f t="array" ref="K30">IF(K$7=-1,L30,IF(K$7=99,J30,IF(K$7=0,INDEX($E30:$I30,0,K$5),(INDEX($E30:$I30,0,K$7+1)-INDEX($E30:$I30,0,K$7))/(INDEX($E$4:$I$4,0,K$7+1)-INDEX($E$4:$I$4,0,K$7))+J30)))</f>
        <v>0.83875</v>
      </c>
      <c r="L30" cm="1">
        <f t="array" ref="L30">IF(L$7=-1,M30,IF(L$7=99,K30,IF(L$7=0,INDEX($E30:$I30,0,L$5),(INDEX($E30:$I30,0,L$7+1)-INDEX($E30:$I30,0,L$7))/(INDEX($E$4:$I$4,0,L$7+1)-INDEX($E$4:$I$4,0,L$7))+K30)))</f>
        <v>0.84750000000000003</v>
      </c>
      <c r="M30" cm="1">
        <f t="array" ref="M30">IF(M$7=-1,N30,IF(M$7=99,L30,IF(M$7=0,INDEX($E30:$I30,0,M$5),(INDEX($E30:$I30,0,M$7+1)-INDEX($E30:$I30,0,M$7))/(INDEX($E$4:$I$4,0,M$7+1)-INDEX($E$4:$I$4,0,M$7))+L30)))</f>
        <v>0.85625000000000007</v>
      </c>
      <c r="N30" cm="1">
        <f t="array" ref="N30">IF(N$7=-1,O30,IF(N$7=99,M30,IF(N$7=0,INDEX($E30:$I30,0,N$5),(INDEX($E30:$I30,0,N$7+1)-INDEX($E30:$I30,0,N$7))/(INDEX($E$4:$I$4,0,N$7+1)-INDEX($E$4:$I$4,0,N$7))+M30)))</f>
        <v>0.8650000000000001</v>
      </c>
      <c r="O30" cm="1">
        <f t="array" ref="O30">IF(O$7=-1,P30,IF(O$7=99,N30,IF(O$7=0,INDEX($E30:$I30,0,O$5),(INDEX($E30:$I30,0,O$7+1)-INDEX($E30:$I30,0,O$7))/(INDEX($E$4:$I$4,0,O$7+1)-INDEX($E$4:$I$4,0,O$7))+N30)))</f>
        <v>0.87375000000000014</v>
      </c>
      <c r="P30" cm="1">
        <f t="array" ref="P30">IF(P$7=-1,Q30,IF(P$7=99,O30,IF(P$7=0,INDEX($E30:$I30,0,P$5),(INDEX($E30:$I30,0,P$7+1)-INDEX($E30:$I30,0,P$7))/(INDEX($E$4:$I$4,0,P$7+1)-INDEX($E$4:$I$4,0,P$7))+O30)))</f>
        <v>0.88250000000000017</v>
      </c>
      <c r="Q30" cm="1">
        <f t="array" ref="Q30">IF(Q$7=-1,R30,IF(Q$7=99,P30,IF(Q$7=0,INDEX($E30:$I30,0,Q$5),(INDEX($E30:$I30,0,Q$7+1)-INDEX($E30:$I30,0,Q$7))/(INDEX($E$4:$I$4,0,Q$7+1)-INDEX($E$4:$I$4,0,Q$7))+P30)))</f>
        <v>0.89125000000000021</v>
      </c>
      <c r="R30" cm="1">
        <f t="array" ref="R30">IF(R$7=-1,S30,IF(R$7=99,Q30,IF(R$7=0,INDEX($E30:$I30,0,R$5),(INDEX($E30:$I30,0,R$7+1)-INDEX($E30:$I30,0,R$7))/(INDEX($E$4:$I$4,0,R$7+1)-INDEX($E$4:$I$4,0,R$7))+Q30)))</f>
        <v>0.9</v>
      </c>
      <c r="S30" cm="1">
        <f t="array" ref="S30">IF(S$7=-1,T30,IF(S$7=99,R30,IF(S$7=0,INDEX($E30:$I30,0,S$5),(INDEX($E30:$I30,0,S$7+1)-INDEX($E30:$I30,0,S$7))/(INDEX($E$4:$I$4,0,S$7+1)-INDEX($E$4:$I$4,0,S$7))+R30)))</f>
        <v>0.90500000000000003</v>
      </c>
      <c r="T30" cm="1">
        <f t="array" ref="T30">IF(T$7=-1,U30,IF(T$7=99,S30,IF(T$7=0,INDEX($E30:$I30,0,T$5),(INDEX($E30:$I30,0,T$7+1)-INDEX($E30:$I30,0,T$7))/(INDEX($E$4:$I$4,0,T$7+1)-INDEX($E$4:$I$4,0,T$7))+S30)))</f>
        <v>0.91</v>
      </c>
      <c r="U30" cm="1">
        <f t="array" ref="U30">IF(U$7=-1,V30,IF(U$7=99,T30,IF(U$7=0,INDEX($E30:$I30,0,U$5),(INDEX($E30:$I30,0,U$7+1)-INDEX($E30:$I30,0,U$7))/(INDEX($E$4:$I$4,0,U$7+1)-INDEX($E$4:$I$4,0,U$7))+T30)))</f>
        <v>0.91500000000000004</v>
      </c>
      <c r="V30" cm="1">
        <f t="array" ref="V30">IF(V$7=-1,W30,IF(V$7=99,U30,IF(V$7=0,INDEX($E30:$I30,0,V$5),(INDEX($E30:$I30,0,V$7+1)-INDEX($E30:$I30,0,V$7))/(INDEX($E$4:$I$4,0,V$7+1)-INDEX($E$4:$I$4,0,V$7))+U30)))</f>
        <v>0.92</v>
      </c>
      <c r="W30" cm="1">
        <f t="array" ref="W30">IF(W$7=-1,X30,IF(W$7=99,V30,IF(W$7=0,INDEX($E30:$I30,0,W$5),(INDEX($E30:$I30,0,W$7+1)-INDEX($E30:$I30,0,W$7))/(INDEX($E$4:$I$4,0,W$7+1)-INDEX($E$4:$I$4,0,W$7))+V30)))</f>
        <v>0.92500000000000004</v>
      </c>
      <c r="X30" cm="1">
        <f t="array" ref="X30">IF(X$7=-1,Y30,IF(X$7=99,W30,IF(X$7=0,INDEX($E30:$I30,0,X$5),(INDEX($E30:$I30,0,X$7+1)-INDEX($E30:$I30,0,X$7))/(INDEX($E$4:$I$4,0,X$7+1)-INDEX($E$4:$I$4,0,X$7))+W30)))</f>
        <v>0.93</v>
      </c>
      <c r="Y30" cm="1">
        <f t="array" ref="Y30">IF(Y$7=-1,Z30,IF(Y$7=99,X30,IF(Y$7=0,INDEX($E30:$I30,0,Y$5),(INDEX($E30:$I30,0,Y$7+1)-INDEX($E30:$I30,0,Y$7))/(INDEX($E$4:$I$4,0,Y$7+1)-INDEX($E$4:$I$4,0,Y$7))+X30)))</f>
        <v>0.93500000000000005</v>
      </c>
      <c r="Z30" cm="1">
        <f t="array" ref="Z30">IF(Z$7=-1,AA30,IF(Z$7=99,Y30,IF(Z$7=0,INDEX($E30:$I30,0,Z$5),(INDEX($E30:$I30,0,Z$7+1)-INDEX($E30:$I30,0,Z$7))/(INDEX($E$4:$I$4,0,Z$7+1)-INDEX($E$4:$I$4,0,Z$7))+Y30)))</f>
        <v>0.94000000000000006</v>
      </c>
      <c r="AA30" cm="1">
        <f t="array" ref="AA30">IF(AA$7=-1,AB30,IF(AA$7=99,Z30,IF(AA$7=0,INDEX($E30:$I30,0,AA$5),(INDEX($E30:$I30,0,AA$7+1)-INDEX($E30:$I30,0,AA$7))/(INDEX($E$4:$I$4,0,AA$7+1)-INDEX($E$4:$I$4,0,AA$7))+Z30)))</f>
        <v>0.94500000000000006</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cm="1">
        <f t="array" ref="AJ30">IF(AJ$7=-1,AK30,IF(AJ$7=99,AI30,IF(AJ$7=0,INDEX($E30:$I30,0,AJ$5),(INDEX($E30:$I30,0,AJ$7+1)-INDEX($E30:$I30,0,AJ$7))/(INDEX($E$4:$I$4,0,AJ$7+1)-INDEX($E$4:$I$4,0,AJ$7))+AI30)))</f>
        <v>0.95</v>
      </c>
      <c r="AK30" cm="1">
        <f t="array" ref="AK30">IF(AK$7=-1,AL30,IF(AK$7=99,AJ30,IF(AK$7=0,INDEX($E30:$I30,0,AK$5),(INDEX($E30:$I30,0,AK$7+1)-INDEX($E30:$I30,0,AK$7))/(INDEX($E$4:$I$4,0,AK$7+1)-INDEX($E$4:$I$4,0,AK$7))+AJ30)))</f>
        <v>0.95</v>
      </c>
      <c r="AL30" cm="1">
        <f t="array" ref="AL30">IF(AL$7=-1,AM30,IF(AL$7=99,AK30,IF(AL$7=0,INDEX($E30:$I30,0,AL$5),(INDEX($E30:$I30,0,AL$7+1)-INDEX($E30:$I30,0,AL$7))/(INDEX($E$4:$I$4,0,AL$7+1)-INDEX($E$4:$I$4,0,AL$7))+AK30)))</f>
        <v>0.95</v>
      </c>
      <c r="AM30" s="189">
        <f>(AL30+AN30)/2</f>
        <v>0.97499999999999998</v>
      </c>
      <c r="AN30" cm="1">
        <f t="array" ref="AN30">IF(AN$7=-1,AO30,IF(AN$7=99,AM30,IF(AN$7=0,INDEX($E30:$I30,0,AN$5),(INDEX($E30:$I30,0,AN$7+1)-INDEX($E30:$I30,0,AN$7))/(INDEX($E$4:$I$4,0,AN$7+1)-INDEX($E$4:$I$4,0,AN$7))+AM30)))</f>
        <v>1</v>
      </c>
      <c r="AO30" cm="1">
        <f t="array" ref="AO30">IF(AO$7=-1,AP30,IF(AO$7=99,AN30,IF(AO$7=0,INDEX($E30:$I30,0,AO$5),(INDEX($E30:$I30,0,AO$7+1)-INDEX($E30:$I30,0,AO$7))/(INDEX($E$4:$I$4,0,AO$7+1)-INDEX($E$4:$I$4,0,AO$7))+AN30)))</f>
        <v>1</v>
      </c>
      <c r="AP30" cm="1">
        <f t="array" ref="AP30">IF(AP$7=-1,AQ30,IF(AP$7=99,AO30,IF(AP$7=0,INDEX($E30:$I30,0,AP$5),(INDEX($E30:$I30,0,AP$7+1)-INDEX($E30:$I30,0,AP$7))/(INDEX($E$4:$I$4,0,AP$7+1)-INDEX($E$4:$I$4,0,AP$7))+AO30)))</f>
        <v>1</v>
      </c>
    </row>
    <row r="31" spans="1:48">
      <c r="A31" t="s">
        <v>16</v>
      </c>
      <c r="C31" t="s">
        <v>54</v>
      </c>
      <c r="D31" t="s">
        <v>48</v>
      </c>
      <c r="E31" s="68">
        <f>(E29*E22+E30*E23+E24)/E25</f>
        <v>0.80399999999999994</v>
      </c>
      <c r="F31" s="68">
        <f>(F29*F22+F30*F23+F24)/F25</f>
        <v>0.87397279410244599</v>
      </c>
      <c r="G31" s="68">
        <f>(G29*G22+G30*G23+G24)/G25</f>
        <v>0.91693306693306686</v>
      </c>
      <c r="H31" s="68">
        <f>(H29*H22+H30*H23+H24)/H25</f>
        <v>0.94699699699699702</v>
      </c>
      <c r="I31" s="68">
        <f>(I29*I22+I30*I23+I24)/I25</f>
        <v>0.98519999999999974</v>
      </c>
      <c r="J31" s="276"/>
    </row>
    <row r="32" spans="1:48">
      <c r="A32" t="s">
        <v>16</v>
      </c>
    </row>
    <row r="33" spans="1:48" ht="15.75" thickBot="1">
      <c r="A33" t="s">
        <v>16</v>
      </c>
      <c r="B33" s="14" t="s">
        <v>59</v>
      </c>
      <c r="D33" s="14"/>
      <c r="E33">
        <f>E28</f>
        <v>2012</v>
      </c>
      <c r="F33">
        <f>F28</f>
        <v>2020</v>
      </c>
      <c r="G33">
        <f>G28</f>
        <v>2030</v>
      </c>
      <c r="H33">
        <f>H28</f>
        <v>2040</v>
      </c>
      <c r="I33">
        <f>I28</f>
        <v>2050</v>
      </c>
    </row>
    <row r="34" spans="1:48">
      <c r="A34" t="s">
        <v>16</v>
      </c>
      <c r="B34" t="str">
        <f>[12]RES!B26</f>
        <v>LE</v>
      </c>
      <c r="C34" t="str">
        <f>[12]RES!A26</f>
        <v>Low Income Electrified</v>
      </c>
      <c r="D34" t="s">
        <v>47</v>
      </c>
      <c r="E34" s="6">
        <f t="shared" ref="E34:AP34" si="11">E22</f>
        <v>26.162716441035041</v>
      </c>
      <c r="F34" s="6">
        <f t="shared" si="11"/>
        <v>26.998265626975765</v>
      </c>
      <c r="G34" s="6">
        <f t="shared" si="11"/>
        <v>29.686576824104986</v>
      </c>
      <c r="H34" s="6">
        <f t="shared" si="11"/>
        <v>25.633657687019387</v>
      </c>
      <c r="I34" s="6">
        <f t="shared" si="11"/>
        <v>22.235877334709592</v>
      </c>
      <c r="J34" s="6">
        <f t="shared" si="11"/>
        <v>26.162716441035041</v>
      </c>
      <c r="K34" s="6">
        <f t="shared" si="11"/>
        <v>26.124793740612695</v>
      </c>
      <c r="L34" s="6">
        <f t="shared" si="11"/>
        <v>25.810272238913001</v>
      </c>
      <c r="M34" s="6">
        <f t="shared" si="11"/>
        <v>25.676476665132281</v>
      </c>
      <c r="N34" s="6">
        <f t="shared" si="11"/>
        <v>25.758415053648385</v>
      </c>
      <c r="O34" s="6">
        <f t="shared" si="11"/>
        <v>25.755361891142741</v>
      </c>
      <c r="P34" s="6">
        <f t="shared" si="11"/>
        <v>25.706039736299225</v>
      </c>
      <c r="Q34" s="6">
        <f t="shared" si="11"/>
        <v>25.946710085536886</v>
      </c>
      <c r="R34" s="6">
        <f t="shared" si="11"/>
        <v>26.998265626975765</v>
      </c>
      <c r="S34" s="6">
        <f t="shared" si="11"/>
        <v>31.342336853405079</v>
      </c>
      <c r="T34" s="6">
        <f t="shared" si="11"/>
        <v>31.030451830683688</v>
      </c>
      <c r="U34" s="6">
        <f t="shared" si="11"/>
        <v>30.861566654303889</v>
      </c>
      <c r="V34" s="6">
        <f t="shared" si="11"/>
        <v>30.655451585509478</v>
      </c>
      <c r="W34" s="6">
        <f t="shared" si="11"/>
        <v>30.412475510781288</v>
      </c>
      <c r="X34" s="6">
        <f t="shared" si="11"/>
        <v>30.278448680433659</v>
      </c>
      <c r="Y34" s="6">
        <f t="shared" si="11"/>
        <v>30.128524396770668</v>
      </c>
      <c r="Z34" s="6">
        <f t="shared" si="11"/>
        <v>30.157730884218633</v>
      </c>
      <c r="AA34" s="6">
        <f t="shared" si="11"/>
        <v>29.977967186116597</v>
      </c>
      <c r="AB34" s="6">
        <f t="shared" si="11"/>
        <v>29.686576824104986</v>
      </c>
      <c r="AC34" s="6">
        <f t="shared" si="11"/>
        <v>29.277049150984421</v>
      </c>
      <c r="AD34" s="6">
        <f t="shared" si="11"/>
        <v>28.841061046548674</v>
      </c>
      <c r="AE34" s="6">
        <f t="shared" si="11"/>
        <v>28.300373396234981</v>
      </c>
      <c r="AF34" s="6">
        <f t="shared" si="11"/>
        <v>27.702650691361523</v>
      </c>
      <c r="AG34" s="6">
        <f t="shared" si="11"/>
        <v>27.293465710576875</v>
      </c>
      <c r="AH34" s="6">
        <f t="shared" si="11"/>
        <v>27.147695128590911</v>
      </c>
      <c r="AI34" s="6">
        <f t="shared" si="11"/>
        <v>26.85193706748673</v>
      </c>
      <c r="AJ34" s="6">
        <f t="shared" si="11"/>
        <v>26.517667346672109</v>
      </c>
      <c r="AK34" s="6">
        <f t="shared" si="11"/>
        <v>26.10895315165606</v>
      </c>
      <c r="AL34" s="6">
        <f t="shared" si="11"/>
        <v>25.633657687019387</v>
      </c>
      <c r="AM34" s="6">
        <f t="shared" si="11"/>
        <v>23.489160330964268</v>
      </c>
      <c r="AN34" s="6">
        <f t="shared" si="11"/>
        <v>22.235877334709592</v>
      </c>
      <c r="AO34" s="6">
        <f t="shared" si="11"/>
        <v>22.235877334709592</v>
      </c>
      <c r="AP34" s="6">
        <f t="shared" si="11"/>
        <v>22.235877334709592</v>
      </c>
      <c r="AQ34" s="6"/>
      <c r="AR34" s="6"/>
      <c r="AS34" s="6"/>
      <c r="AT34" s="6"/>
      <c r="AU34" s="6"/>
      <c r="AV34" s="6"/>
    </row>
    <row r="35" spans="1:48">
      <c r="A35" t="s">
        <v>16</v>
      </c>
      <c r="B35" t="str">
        <f>[12]RES!B27</f>
        <v>ME</v>
      </c>
      <c r="C35" t="str">
        <f>[12]RES!A27</f>
        <v>Middle Income Electrified</v>
      </c>
      <c r="D35" t="s">
        <v>47</v>
      </c>
      <c r="E35" s="6">
        <f t="shared" ref="E35:AP35" si="12">E23</f>
        <v>15.697629864621025</v>
      </c>
      <c r="F35" s="6">
        <f t="shared" si="12"/>
        <v>19.311259441517389</v>
      </c>
      <c r="G35" s="6">
        <f t="shared" si="12"/>
        <v>20.893002842799945</v>
      </c>
      <c r="H35" s="6">
        <f t="shared" si="12"/>
        <v>24.348404655358244</v>
      </c>
      <c r="I35" s="6">
        <f t="shared" si="12"/>
        <v>26.968513389056554</v>
      </c>
      <c r="J35" s="6">
        <f t="shared" si="12"/>
        <v>15.697629864621025</v>
      </c>
      <c r="K35" s="6">
        <f t="shared" si="12"/>
        <v>15.706931206012538</v>
      </c>
      <c r="L35" s="6">
        <f t="shared" si="12"/>
        <v>16.206450010480257</v>
      </c>
      <c r="M35" s="6">
        <f t="shared" si="12"/>
        <v>16.65350655721161</v>
      </c>
      <c r="N35" s="6">
        <f t="shared" si="12"/>
        <v>17.096293177200256</v>
      </c>
      <c r="O35" s="6">
        <f t="shared" si="12"/>
        <v>17.422744808714206</v>
      </c>
      <c r="P35" s="6">
        <f t="shared" si="12"/>
        <v>17.892835083270921</v>
      </c>
      <c r="Q35" s="6">
        <f t="shared" si="12"/>
        <v>18.376375848815535</v>
      </c>
      <c r="R35" s="6">
        <f t="shared" si="12"/>
        <v>19.311259441517389</v>
      </c>
      <c r="S35" s="6">
        <f t="shared" si="12"/>
        <v>16.784092096161263</v>
      </c>
      <c r="T35" s="6">
        <f t="shared" si="12"/>
        <v>17.740395840331932</v>
      </c>
      <c r="U35" s="6">
        <f t="shared" si="12"/>
        <v>18.45521685927373</v>
      </c>
      <c r="V35" s="6">
        <f t="shared" si="12"/>
        <v>18.855287940578133</v>
      </c>
      <c r="W35" s="6">
        <f t="shared" si="12"/>
        <v>19.244408777569074</v>
      </c>
      <c r="X35" s="6">
        <f t="shared" si="12"/>
        <v>19.569439462932916</v>
      </c>
      <c r="Y35" s="6">
        <f t="shared" si="12"/>
        <v>19.956928553416471</v>
      </c>
      <c r="Z35" s="6">
        <f t="shared" si="12"/>
        <v>20.278474215250458</v>
      </c>
      <c r="AA35" s="6">
        <f t="shared" si="12"/>
        <v>20.53195564388292</v>
      </c>
      <c r="AB35" s="6">
        <f t="shared" si="12"/>
        <v>20.893002842799945</v>
      </c>
      <c r="AC35" s="6">
        <f t="shared" si="12"/>
        <v>21.207520797296233</v>
      </c>
      <c r="AD35" s="6">
        <f t="shared" si="12"/>
        <v>21.563410128260692</v>
      </c>
      <c r="AE35" s="6">
        <f t="shared" si="12"/>
        <v>21.920912726580092</v>
      </c>
      <c r="AF35" s="6">
        <f t="shared" si="12"/>
        <v>22.298923766379897</v>
      </c>
      <c r="AG35" s="6">
        <f t="shared" si="12"/>
        <v>22.744554758814061</v>
      </c>
      <c r="AH35" s="6">
        <f t="shared" si="12"/>
        <v>23.051239853432698</v>
      </c>
      <c r="AI35" s="6">
        <f t="shared" si="12"/>
        <v>23.355591095157731</v>
      </c>
      <c r="AJ35" s="6">
        <f t="shared" si="12"/>
        <v>23.704121739598143</v>
      </c>
      <c r="AK35" s="6">
        <f t="shared" si="12"/>
        <v>23.909557641598074</v>
      </c>
      <c r="AL35" s="6">
        <f t="shared" si="12"/>
        <v>24.348404655358244</v>
      </c>
      <c r="AM35" s="6">
        <f t="shared" si="12"/>
        <v>25.69126911199216</v>
      </c>
      <c r="AN35" s="6">
        <f t="shared" si="12"/>
        <v>26.968513389056554</v>
      </c>
      <c r="AO35" s="6">
        <f t="shared" si="12"/>
        <v>26.968513389056554</v>
      </c>
      <c r="AP35" s="6">
        <f t="shared" si="12"/>
        <v>26.968513389056554</v>
      </c>
      <c r="AQ35" s="6"/>
      <c r="AR35" s="6"/>
      <c r="AS35" s="6"/>
      <c r="AT35" s="6"/>
      <c r="AU35" s="6"/>
      <c r="AV35" s="6"/>
    </row>
    <row r="36" spans="1:48">
      <c r="A36" t="s">
        <v>16</v>
      </c>
      <c r="B36" t="str">
        <f>[12]RES!B28</f>
        <v>HE</v>
      </c>
      <c r="C36" t="str">
        <f>[12]RES!A28</f>
        <v>High Income Electrified</v>
      </c>
      <c r="D36" t="s">
        <v>47</v>
      </c>
      <c r="E36" s="6">
        <f t="shared" ref="E36:AP36" si="13">E24</f>
        <v>10.465086576414015</v>
      </c>
      <c r="F36" s="6">
        <f t="shared" si="13"/>
        <v>11.858701524628284</v>
      </c>
      <c r="G36" s="6">
        <f t="shared" si="13"/>
        <v>15.603635034496163</v>
      </c>
      <c r="H36" s="6">
        <f t="shared" si="13"/>
        <v>21.34948091481559</v>
      </c>
      <c r="I36" s="6">
        <f t="shared" si="13"/>
        <v>25.916816488090575</v>
      </c>
      <c r="J36" s="6">
        <f t="shared" si="13"/>
        <v>10.465086576414015</v>
      </c>
      <c r="K36" s="6">
        <f t="shared" si="13"/>
        <v>11.272661511798107</v>
      </c>
      <c r="L36" s="6">
        <f t="shared" si="13"/>
        <v>11.895643442036015</v>
      </c>
      <c r="M36" s="6">
        <f t="shared" si="13"/>
        <v>12.420508234977223</v>
      </c>
      <c r="N36" s="6">
        <f t="shared" si="13"/>
        <v>12.765232238976191</v>
      </c>
      <c r="O36" s="6">
        <f t="shared" si="13"/>
        <v>13.343841341791148</v>
      </c>
      <c r="P36" s="6">
        <f t="shared" si="13"/>
        <v>13.837125797729508</v>
      </c>
      <c r="Q36" s="6">
        <f t="shared" si="13"/>
        <v>14.041748987467024</v>
      </c>
      <c r="R36" s="6">
        <f t="shared" si="13"/>
        <v>11.858701524628284</v>
      </c>
      <c r="S36" s="6">
        <f t="shared" si="13"/>
        <v>12.031607237391585</v>
      </c>
      <c r="T36" s="6">
        <f t="shared" si="13"/>
        <v>12.192711917753906</v>
      </c>
      <c r="U36" s="6">
        <f t="shared" si="13"/>
        <v>12.406349795030163</v>
      </c>
      <c r="V36" s="6">
        <f t="shared" si="13"/>
        <v>12.923988753972425</v>
      </c>
      <c r="W36" s="6">
        <f t="shared" si="13"/>
        <v>13.439537933187582</v>
      </c>
      <c r="X36" s="6">
        <f t="shared" si="13"/>
        <v>13.896214341756924</v>
      </c>
      <c r="Y36" s="6">
        <f t="shared" si="13"/>
        <v>14.291735931801473</v>
      </c>
      <c r="Z36" s="6">
        <f t="shared" si="13"/>
        <v>14.558904564795203</v>
      </c>
      <c r="AA36" s="6">
        <f t="shared" si="13"/>
        <v>15.087379546623236</v>
      </c>
      <c r="AB36" s="6">
        <f t="shared" si="13"/>
        <v>15.603635034496163</v>
      </c>
      <c r="AC36" s="6">
        <f t="shared" si="13"/>
        <v>16.272437341321641</v>
      </c>
      <c r="AD36" s="6">
        <f t="shared" si="13"/>
        <v>16.913799819354487</v>
      </c>
      <c r="AE36" s="6">
        <f t="shared" si="13"/>
        <v>17.645316745853954</v>
      </c>
      <c r="AF36" s="6">
        <f t="shared" si="13"/>
        <v>18.400032187595688</v>
      </c>
      <c r="AG36" s="6">
        <f t="shared" si="13"/>
        <v>18.884872739136533</v>
      </c>
      <c r="AH36" s="6">
        <f t="shared" si="13"/>
        <v>19.232510359641143</v>
      </c>
      <c r="AI36" s="6">
        <f t="shared" si="13"/>
        <v>19.719391283935575</v>
      </c>
      <c r="AJ36" s="6">
        <f t="shared" si="13"/>
        <v>20.187189730755698</v>
      </c>
      <c r="AK36" s="6">
        <f t="shared" si="13"/>
        <v>20.858783224420879</v>
      </c>
      <c r="AL36" s="6">
        <f t="shared" si="13"/>
        <v>21.34948091481559</v>
      </c>
      <c r="AM36" s="6">
        <f t="shared" si="13"/>
        <v>24.223196591306909</v>
      </c>
      <c r="AN36" s="6">
        <f t="shared" si="13"/>
        <v>25.916816488090575</v>
      </c>
      <c r="AO36" s="6">
        <f t="shared" si="13"/>
        <v>25.916816488090575</v>
      </c>
      <c r="AP36" s="6">
        <f t="shared" si="13"/>
        <v>25.916816488090575</v>
      </c>
      <c r="AQ36" s="6"/>
      <c r="AR36" s="6"/>
      <c r="AS36" s="6"/>
      <c r="AT36" s="6"/>
      <c r="AU36" s="6"/>
      <c r="AV36" s="6"/>
    </row>
    <row r="37" spans="1:48">
      <c r="A37" t="s">
        <v>16</v>
      </c>
      <c r="B37" t="str">
        <f>[12]RES!B29</f>
        <v>LN</v>
      </c>
      <c r="C37" t="str">
        <f>[12]RES!A29</f>
        <v>Low Income Non-Electrified</v>
      </c>
      <c r="D37" t="s">
        <v>47</v>
      </c>
      <c r="E37" s="6">
        <f t="shared" ref="E37:AP37" si="14">E22-E34</f>
        <v>0</v>
      </c>
      <c r="F37" s="6">
        <f t="shared" si="14"/>
        <v>0</v>
      </c>
      <c r="G37" s="6">
        <f t="shared" si="14"/>
        <v>0</v>
      </c>
      <c r="H37" s="6">
        <f t="shared" si="14"/>
        <v>0</v>
      </c>
      <c r="I37" s="6">
        <f t="shared" si="14"/>
        <v>0</v>
      </c>
      <c r="J37" s="6">
        <f t="shared" si="14"/>
        <v>0</v>
      </c>
      <c r="K37" s="6">
        <f t="shared" si="14"/>
        <v>0</v>
      </c>
      <c r="L37" s="6">
        <f t="shared" si="14"/>
        <v>0</v>
      </c>
      <c r="M37" s="6">
        <f t="shared" si="14"/>
        <v>0</v>
      </c>
      <c r="N37" s="6">
        <f t="shared" si="14"/>
        <v>0</v>
      </c>
      <c r="O37" s="6">
        <f t="shared" si="14"/>
        <v>0</v>
      </c>
      <c r="P37" s="6">
        <f t="shared" si="14"/>
        <v>0</v>
      </c>
      <c r="Q37" s="6">
        <f t="shared" si="14"/>
        <v>0</v>
      </c>
      <c r="R37" s="6">
        <f t="shared" si="14"/>
        <v>0</v>
      </c>
      <c r="S37" s="6">
        <f t="shared" si="14"/>
        <v>0</v>
      </c>
      <c r="T37" s="6">
        <f t="shared" si="14"/>
        <v>0</v>
      </c>
      <c r="U37" s="6">
        <f t="shared" si="14"/>
        <v>0</v>
      </c>
      <c r="V37" s="6">
        <f t="shared" si="14"/>
        <v>0</v>
      </c>
      <c r="W37" s="6">
        <f t="shared" si="14"/>
        <v>0</v>
      </c>
      <c r="X37" s="6">
        <f t="shared" si="14"/>
        <v>0</v>
      </c>
      <c r="Y37" s="6">
        <f t="shared" si="14"/>
        <v>0</v>
      </c>
      <c r="Z37" s="6">
        <f t="shared" si="14"/>
        <v>0</v>
      </c>
      <c r="AA37" s="6">
        <f t="shared" si="14"/>
        <v>0</v>
      </c>
      <c r="AB37" s="6">
        <f t="shared" si="14"/>
        <v>0</v>
      </c>
      <c r="AC37" s="6">
        <f t="shared" si="14"/>
        <v>0</v>
      </c>
      <c r="AD37" s="6">
        <f t="shared" si="14"/>
        <v>0</v>
      </c>
      <c r="AE37" s="6">
        <f t="shared" si="14"/>
        <v>0</v>
      </c>
      <c r="AF37" s="6">
        <f t="shared" si="14"/>
        <v>0</v>
      </c>
      <c r="AG37" s="6">
        <f t="shared" si="14"/>
        <v>0</v>
      </c>
      <c r="AH37" s="6">
        <f t="shared" si="14"/>
        <v>0</v>
      </c>
      <c r="AI37" s="6">
        <f t="shared" si="14"/>
        <v>0</v>
      </c>
      <c r="AJ37" s="6">
        <f t="shared" si="14"/>
        <v>0</v>
      </c>
      <c r="AK37" s="6">
        <f t="shared" si="14"/>
        <v>0</v>
      </c>
      <c r="AL37" s="6">
        <f t="shared" si="14"/>
        <v>0</v>
      </c>
      <c r="AM37" s="6">
        <f t="shared" si="14"/>
        <v>0</v>
      </c>
      <c r="AN37" s="6">
        <f t="shared" si="14"/>
        <v>0</v>
      </c>
      <c r="AO37" s="6">
        <f t="shared" si="14"/>
        <v>0</v>
      </c>
      <c r="AP37" s="6">
        <f t="shared" si="14"/>
        <v>0</v>
      </c>
      <c r="AQ37" s="6"/>
      <c r="AR37" s="6"/>
      <c r="AS37" s="6"/>
      <c r="AT37" s="6"/>
      <c r="AU37" s="6"/>
      <c r="AV37" s="6"/>
    </row>
    <row r="38" spans="1:48">
      <c r="A38" t="s">
        <v>16</v>
      </c>
      <c r="B38" t="str">
        <f>[12]RES!B30</f>
        <v>MN</v>
      </c>
      <c r="C38" t="str">
        <f>[12]RES!A30</f>
        <v>Middle Income Non-Electrified</v>
      </c>
      <c r="D38" t="s">
        <v>47</v>
      </c>
      <c r="E38" s="6">
        <f t="shared" ref="E38:AP38" si="15">E23-E35</f>
        <v>0</v>
      </c>
      <c r="F38" s="6">
        <f t="shared" si="15"/>
        <v>0</v>
      </c>
      <c r="G38" s="6">
        <f t="shared" si="15"/>
        <v>0</v>
      </c>
      <c r="H38" s="6">
        <f t="shared" si="15"/>
        <v>0</v>
      </c>
      <c r="I38" s="6">
        <f t="shared" si="15"/>
        <v>0</v>
      </c>
      <c r="J38" s="6">
        <f t="shared" si="15"/>
        <v>0</v>
      </c>
      <c r="K38" s="6">
        <f t="shared" si="15"/>
        <v>0</v>
      </c>
      <c r="L38" s="6">
        <f t="shared" si="15"/>
        <v>0</v>
      </c>
      <c r="M38" s="6">
        <f t="shared" si="15"/>
        <v>0</v>
      </c>
      <c r="N38" s="6">
        <f t="shared" si="15"/>
        <v>0</v>
      </c>
      <c r="O38" s="6">
        <f t="shared" si="15"/>
        <v>0</v>
      </c>
      <c r="P38" s="6">
        <f t="shared" si="15"/>
        <v>0</v>
      </c>
      <c r="Q38" s="6">
        <f t="shared" si="15"/>
        <v>0</v>
      </c>
      <c r="R38" s="6">
        <f t="shared" si="15"/>
        <v>0</v>
      </c>
      <c r="S38" s="6">
        <f t="shared" si="15"/>
        <v>0</v>
      </c>
      <c r="T38" s="6">
        <f t="shared" si="15"/>
        <v>0</v>
      </c>
      <c r="U38" s="6">
        <f t="shared" si="15"/>
        <v>0</v>
      </c>
      <c r="V38" s="6">
        <f t="shared" si="15"/>
        <v>0</v>
      </c>
      <c r="W38" s="6">
        <f t="shared" si="15"/>
        <v>0</v>
      </c>
      <c r="X38" s="6">
        <f t="shared" si="15"/>
        <v>0</v>
      </c>
      <c r="Y38" s="6">
        <f t="shared" si="15"/>
        <v>0</v>
      </c>
      <c r="Z38" s="6">
        <f t="shared" si="15"/>
        <v>0</v>
      </c>
      <c r="AA38" s="6">
        <f t="shared" si="15"/>
        <v>0</v>
      </c>
      <c r="AB38" s="6">
        <f t="shared" si="15"/>
        <v>0</v>
      </c>
      <c r="AC38" s="6">
        <f t="shared" si="15"/>
        <v>0</v>
      </c>
      <c r="AD38" s="6">
        <f t="shared" si="15"/>
        <v>0</v>
      </c>
      <c r="AE38" s="6">
        <f t="shared" si="15"/>
        <v>0</v>
      </c>
      <c r="AF38" s="6">
        <f t="shared" si="15"/>
        <v>0</v>
      </c>
      <c r="AG38" s="6">
        <f t="shared" si="15"/>
        <v>0</v>
      </c>
      <c r="AH38" s="6">
        <f t="shared" si="15"/>
        <v>0</v>
      </c>
      <c r="AI38" s="6">
        <f t="shared" si="15"/>
        <v>0</v>
      </c>
      <c r="AJ38" s="6">
        <f t="shared" si="15"/>
        <v>0</v>
      </c>
      <c r="AK38" s="6">
        <f t="shared" si="15"/>
        <v>0</v>
      </c>
      <c r="AL38" s="6">
        <f t="shared" si="15"/>
        <v>0</v>
      </c>
      <c r="AM38" s="6">
        <f t="shared" si="15"/>
        <v>0</v>
      </c>
      <c r="AN38" s="6">
        <f t="shared" si="15"/>
        <v>0</v>
      </c>
      <c r="AO38" s="6">
        <f t="shared" si="15"/>
        <v>0</v>
      </c>
      <c r="AP38" s="6">
        <f t="shared" si="15"/>
        <v>0</v>
      </c>
      <c r="AQ38" s="6"/>
      <c r="AR38" s="6"/>
      <c r="AS38" s="6"/>
      <c r="AT38" s="6"/>
      <c r="AU38" s="6"/>
      <c r="AV38" s="6"/>
    </row>
    <row r="39" spans="1:48">
      <c r="A39" t="s">
        <v>16</v>
      </c>
      <c r="B39" s="19"/>
      <c r="J39" s="36"/>
      <c r="K39" s="3">
        <f>SUM(K34:K38)</f>
        <v>53.104386458423335</v>
      </c>
      <c r="L39" s="3"/>
    </row>
    <row r="40" spans="1:48" ht="18" thickBot="1">
      <c r="A40" t="s">
        <v>16</v>
      </c>
      <c r="B40" s="19"/>
      <c r="C40" s="31" t="s">
        <v>60</v>
      </c>
    </row>
    <row r="41" spans="1:48" ht="15.75" thickTop="1">
      <c r="A41" t="s">
        <v>16</v>
      </c>
    </row>
    <row r="42" spans="1:48" ht="15.75" thickBot="1">
      <c r="A42" t="s">
        <v>16</v>
      </c>
      <c r="C42" s="14" t="s">
        <v>58</v>
      </c>
      <c r="D42" s="14"/>
      <c r="E42" s="4">
        <v>2012</v>
      </c>
      <c r="F42" s="4">
        <v>2020</v>
      </c>
      <c r="G42" s="4">
        <v>2030</v>
      </c>
      <c r="H42" s="4">
        <v>2040</v>
      </c>
      <c r="I42" s="4">
        <v>2050</v>
      </c>
    </row>
    <row r="43" spans="1:48">
      <c r="A43" t="s">
        <v>16</v>
      </c>
      <c r="C43" t="s">
        <v>49</v>
      </c>
      <c r="D43" s="29"/>
      <c r="E43" s="6">
        <f t="shared" ref="E43:I45" si="16">SUMIF($J$3:$AV$3,E$21,$J43:$AV43)</f>
        <v>1</v>
      </c>
      <c r="F43" s="6">
        <f t="shared" si="16"/>
        <v>1</v>
      </c>
      <c r="G43" s="6">
        <f t="shared" si="16"/>
        <v>1</v>
      </c>
      <c r="H43" s="6">
        <f t="shared" si="16"/>
        <v>1</v>
      </c>
      <c r="I43" s="6">
        <f t="shared" si="16"/>
        <v>1</v>
      </c>
      <c r="J43" s="43">
        <v>1</v>
      </c>
      <c r="K43" s="43">
        <v>1</v>
      </c>
      <c r="L43" s="43">
        <v>1</v>
      </c>
      <c r="M43" s="43">
        <v>1</v>
      </c>
      <c r="N43" s="43">
        <v>1</v>
      </c>
      <c r="O43" s="43">
        <v>1</v>
      </c>
      <c r="P43" s="43">
        <v>1</v>
      </c>
      <c r="Q43" s="43">
        <v>1</v>
      </c>
      <c r="R43" s="43">
        <v>1</v>
      </c>
      <c r="S43" s="43">
        <v>1</v>
      </c>
      <c r="T43" s="43">
        <v>1</v>
      </c>
      <c r="U43" s="43">
        <v>1</v>
      </c>
      <c r="V43" s="43">
        <v>1</v>
      </c>
      <c r="W43" s="43">
        <v>1</v>
      </c>
      <c r="X43" s="43">
        <v>1</v>
      </c>
      <c r="Y43" s="43">
        <v>1</v>
      </c>
      <c r="Z43" s="43">
        <v>1</v>
      </c>
      <c r="AA43" s="43">
        <v>1</v>
      </c>
      <c r="AB43" s="43">
        <v>1</v>
      </c>
      <c r="AC43" s="43">
        <v>1</v>
      </c>
      <c r="AD43" s="43">
        <v>1</v>
      </c>
      <c r="AE43" s="43">
        <v>1</v>
      </c>
      <c r="AF43" s="43">
        <v>1</v>
      </c>
      <c r="AG43" s="43">
        <v>1</v>
      </c>
      <c r="AH43" s="43">
        <v>1</v>
      </c>
      <c r="AI43" s="43">
        <v>1</v>
      </c>
      <c r="AJ43" s="43">
        <v>1</v>
      </c>
      <c r="AK43" s="43">
        <v>1</v>
      </c>
      <c r="AL43" s="43">
        <v>1</v>
      </c>
      <c r="AM43" s="43">
        <v>1</v>
      </c>
      <c r="AN43" s="43">
        <v>1</v>
      </c>
      <c r="AO43" s="43">
        <v>1</v>
      </c>
      <c r="AP43" s="43">
        <v>1</v>
      </c>
      <c r="AQ43" s="6"/>
      <c r="AR43" s="6"/>
      <c r="AS43" s="6"/>
      <c r="AT43" s="6"/>
      <c r="AU43" s="6"/>
      <c r="AV43" s="6"/>
    </row>
    <row r="44" spans="1:48">
      <c r="A44" t="s">
        <v>16</v>
      </c>
      <c r="C44" t="s">
        <v>51</v>
      </c>
      <c r="E44" s="6">
        <f t="shared" si="16"/>
        <v>1</v>
      </c>
      <c r="F44" s="6">
        <f t="shared" si="16"/>
        <v>1</v>
      </c>
      <c r="G44" s="6">
        <f t="shared" si="16"/>
        <v>1</v>
      </c>
      <c r="H44" s="6">
        <f t="shared" si="16"/>
        <v>1</v>
      </c>
      <c r="I44" s="6">
        <f t="shared" si="16"/>
        <v>1</v>
      </c>
      <c r="J44" s="43">
        <v>1</v>
      </c>
      <c r="K44" s="43">
        <v>1</v>
      </c>
      <c r="L44" s="43">
        <v>1</v>
      </c>
      <c r="M44" s="43">
        <v>1</v>
      </c>
      <c r="N44" s="43">
        <v>1</v>
      </c>
      <c r="O44" s="43">
        <v>1</v>
      </c>
      <c r="P44" s="43">
        <v>1</v>
      </c>
      <c r="Q44" s="43">
        <v>1</v>
      </c>
      <c r="R44" s="43">
        <v>1</v>
      </c>
      <c r="S44" s="43">
        <v>1</v>
      </c>
      <c r="T44" s="43">
        <v>1</v>
      </c>
      <c r="U44" s="43">
        <v>1</v>
      </c>
      <c r="V44" s="43">
        <v>1</v>
      </c>
      <c r="W44" s="43">
        <v>1</v>
      </c>
      <c r="X44" s="43">
        <v>1</v>
      </c>
      <c r="Y44" s="43">
        <v>1</v>
      </c>
      <c r="Z44" s="43">
        <v>1</v>
      </c>
      <c r="AA44" s="43">
        <v>1</v>
      </c>
      <c r="AB44" s="43">
        <v>1</v>
      </c>
      <c r="AC44" s="43">
        <v>1</v>
      </c>
      <c r="AD44" s="43">
        <v>1</v>
      </c>
      <c r="AE44" s="43">
        <v>1</v>
      </c>
      <c r="AF44" s="43">
        <v>1</v>
      </c>
      <c r="AG44" s="43">
        <v>1</v>
      </c>
      <c r="AH44" s="43">
        <v>1</v>
      </c>
      <c r="AI44" s="43">
        <v>1</v>
      </c>
      <c r="AJ44" s="43">
        <v>1</v>
      </c>
      <c r="AK44" s="43">
        <v>1</v>
      </c>
      <c r="AL44" s="43">
        <v>1</v>
      </c>
      <c r="AM44" s="43">
        <v>1</v>
      </c>
      <c r="AN44" s="43">
        <v>1</v>
      </c>
      <c r="AO44" s="43">
        <v>1</v>
      </c>
      <c r="AP44" s="43">
        <v>1</v>
      </c>
      <c r="AQ44" s="6"/>
      <c r="AR44" s="6"/>
      <c r="AS44" s="6"/>
      <c r="AT44" s="6"/>
      <c r="AU44" s="6"/>
      <c r="AV44" s="6"/>
    </row>
    <row r="45" spans="1:48">
      <c r="A45" t="s">
        <v>16</v>
      </c>
      <c r="C45" t="s">
        <v>50</v>
      </c>
      <c r="E45" s="6">
        <f t="shared" si="16"/>
        <v>1</v>
      </c>
      <c r="F45" s="6">
        <f t="shared" si="16"/>
        <v>0.99921096731572434</v>
      </c>
      <c r="G45" s="6">
        <f t="shared" si="16"/>
        <v>1.3527329762198257</v>
      </c>
      <c r="H45" s="6">
        <f t="shared" si="16"/>
        <v>1.6186049002716711</v>
      </c>
      <c r="I45" s="6">
        <f t="shared" si="16"/>
        <v>2.0626986635231042</v>
      </c>
      <c r="J45" s="43" cm="1">
        <f t="array" ref="J45">INDEX(Drivers!$C$37:$AG$37,1,J21)/Drivers!$C$37</f>
        <v>1</v>
      </c>
      <c r="K45" s="43" cm="1">
        <f t="array" ref="K45">INDEX(Drivers!$C$37:$AG$37,1,K21)/Drivers!$C$37</f>
        <v>1.0290422887134598</v>
      </c>
      <c r="L45" s="43" cm="1">
        <f t="array" ref="L45">INDEX(Drivers!$C$37:$AG$37,1,L21)/Drivers!$C$37</f>
        <v>1.0452868351525577</v>
      </c>
      <c r="M45" s="43" cm="1">
        <f t="array" ref="M45">INDEX(Drivers!$C$37:$AG$37,1,M21)/Drivers!$C$37</f>
        <v>1.0565585612531561</v>
      </c>
      <c r="N45" s="43" cm="1">
        <f t="array" ref="N45">INDEX(Drivers!$C$37:$AG$37,1,N21)/Drivers!$C$37</f>
        <v>1.0602052961680555</v>
      </c>
      <c r="O45" s="43" cm="1">
        <f t="array" ref="O45">INDEX(Drivers!$C$37:$AG$37,1,O21)/Drivers!$C$37</f>
        <v>1.0761183212512533</v>
      </c>
      <c r="P45" s="43" cm="1">
        <f t="array" ref="P45">INDEX(Drivers!$C$37:$AG$37,1,P21)/Drivers!$C$37</f>
        <v>1.0860639619282522</v>
      </c>
      <c r="Q45" s="43" cm="1">
        <f t="array" ref="Q45">INDEX(Drivers!$C$37:$AG$37,1,Q21)/Drivers!$C$37</f>
        <v>1.0814226629456527</v>
      </c>
      <c r="R45" s="43" cm="1">
        <f t="array" ref="R45">INDEX(Drivers!$C$37:$AG$37,1,R21)/Drivers!$C$37</f>
        <v>0.99921096731572434</v>
      </c>
      <c r="S45" s="43" cm="1">
        <f t="array" ref="S45">INDEX(Drivers!$C$37:$AG$37,1,S21)/Drivers!$C$37</f>
        <v>1.026966827518939</v>
      </c>
      <c r="T45" s="43" cm="1">
        <f t="array" ref="T45">INDEX(Drivers!$C$37:$AG$37,1,T21)/Drivers!$C$37</f>
        <v>1.0547226877221536</v>
      </c>
      <c r="U45" s="43" cm="1">
        <f t="array" ref="U45">INDEX(Drivers!$C$37:$AG$37,1,U21)/Drivers!$C$37</f>
        <v>1.2446312049020427</v>
      </c>
      <c r="V45" s="43" cm="1">
        <f t="array" ref="V45">INDEX(Drivers!$C$37:$AG$37,1,V21)/Drivers!$C$37</f>
        <v>1.262161221872494</v>
      </c>
      <c r="W45" s="43" cm="1">
        <f t="array" ref="W45">INDEX(Drivers!$C$37:$AG$37,1,W21)/Drivers!$C$37</f>
        <v>1.2767695693478702</v>
      </c>
      <c r="X45" s="43" cm="1">
        <f t="array" ref="X45">INDEX(Drivers!$C$37:$AG$37,1,X21)/Drivers!$C$37</f>
        <v>1.2913779168232464</v>
      </c>
      <c r="Y45" s="43" cm="1">
        <f t="array" ref="Y45">INDEX(Drivers!$C$37:$AG$37,1,Y21)/Drivers!$C$37</f>
        <v>1.3059862642986224</v>
      </c>
      <c r="Z45" s="43" cm="1">
        <f t="array" ref="Z45">INDEX(Drivers!$C$37:$AG$37,1,Z21)/Drivers!$C$37</f>
        <v>1.3089079337936977</v>
      </c>
      <c r="AA45" s="43" cm="1">
        <f t="array" ref="AA45">INDEX(Drivers!$C$37:$AG$37,1,AA21)/Drivers!$C$37</f>
        <v>1.3322812897542993</v>
      </c>
      <c r="AB45" s="43" cm="1">
        <f t="array" ref="AB45">INDEX(Drivers!$C$37:$AG$37,1,AB21)/Drivers!$C$37</f>
        <v>1.3527329762198257</v>
      </c>
      <c r="AC45" s="43" cm="1">
        <f t="array" ref="AC45">INDEX(Drivers!$C$37:$AG$37,1,AC21)/Drivers!$C$37</f>
        <v>1.3819496711705779</v>
      </c>
      <c r="AD45" s="43" cm="1">
        <f t="array" ref="AD45">INDEX(Drivers!$C$37:$AG$37,1,AD21)/Drivers!$C$37</f>
        <v>1.4111663661213301</v>
      </c>
      <c r="AE45" s="43" cm="1">
        <f t="array" ref="AE45">INDEX(Drivers!$C$37:$AG$37,1,AE21)/Drivers!$C$37</f>
        <v>1.449148069557308</v>
      </c>
      <c r="AF45" s="43" cm="1">
        <f t="array" ref="AF45">INDEX(Drivers!$C$37:$AG$37,1,AF21)/Drivers!$C$37</f>
        <v>1.4871297729932857</v>
      </c>
      <c r="AG45" s="43" cm="1">
        <f t="array" ref="AG45">INDEX(Drivers!$C$37:$AG$37,1,AG21)/Drivers!$C$37</f>
        <v>1.5017381204686617</v>
      </c>
      <c r="AH45" s="43" cm="1">
        <f t="array" ref="AH45">INDEX(Drivers!$C$37:$AG$37,1,AH21)/Drivers!$C$37</f>
        <v>1.5134247984489628</v>
      </c>
      <c r="AI45" s="43" cm="1">
        <f t="array" ref="AI45">INDEX(Drivers!$C$37:$AG$37,1,AI21)/Drivers!$C$37</f>
        <v>1.5338764849144895</v>
      </c>
      <c r="AJ45" s="43" cm="1">
        <f t="array" ref="AJ45">INDEX(Drivers!$C$37:$AG$37,1,AJ21)/Drivers!$C$37</f>
        <v>1.5572498408750914</v>
      </c>
      <c r="AK45" s="43" cm="1">
        <f t="array" ref="AK45">INDEX(Drivers!$C$37:$AG$37,1,AK21)/Drivers!$C$37</f>
        <v>1.6010748833012198</v>
      </c>
      <c r="AL45" s="43" cm="1">
        <f t="array" ref="AL45">INDEX(Drivers!$C$37:$AG$37,1,AL21)/Drivers!$C$37</f>
        <v>1.6186049002716711</v>
      </c>
      <c r="AM45" s="43" cm="1">
        <f t="array" ref="AM45">INDEX(Drivers!$C$37:$AG$37,1,AM21)/Drivers!$C$37</f>
        <v>1.9750485786708478</v>
      </c>
      <c r="AN45" s="43" cm="1">
        <f t="array" ref="AN45">INDEX(Drivers!$C$37:$AG$37,1,AN21)/Drivers!$C$37</f>
        <v>2.0626986635231042</v>
      </c>
      <c r="AO45" s="30">
        <f>AN45</f>
        <v>2.0626986635231042</v>
      </c>
      <c r="AP45" s="30">
        <f>AO45</f>
        <v>2.0626986635231042</v>
      </c>
      <c r="AQ45" s="30"/>
      <c r="AR45" s="30"/>
      <c r="AS45" s="6"/>
      <c r="AT45" s="6"/>
      <c r="AU45" s="6"/>
      <c r="AV45" s="6"/>
    </row>
    <row r="46" spans="1:48">
      <c r="A46" t="s">
        <v>16</v>
      </c>
      <c r="H46" s="97">
        <f>I46^(1/40)-1</f>
        <v>1.8265183606563484E-2</v>
      </c>
      <c r="I46" s="3">
        <f>I45/E45</f>
        <v>2.0626986635231042</v>
      </c>
      <c r="L46" s="18"/>
    </row>
    <row r="47" spans="1:48" ht="15.75" thickBot="1">
      <c r="A47" t="s">
        <v>16</v>
      </c>
      <c r="C47" s="14" t="s">
        <v>213</v>
      </c>
      <c r="D47" s="14"/>
      <c r="E47" s="4">
        <v>2012</v>
      </c>
      <c r="F47" s="4">
        <v>2020</v>
      </c>
      <c r="G47" s="4">
        <v>2030</v>
      </c>
      <c r="H47" s="4">
        <v>2040</v>
      </c>
      <c r="I47" s="4">
        <v>2050</v>
      </c>
    </row>
    <row r="48" spans="1:48">
      <c r="A48" t="s">
        <v>16</v>
      </c>
      <c r="C48" t="s">
        <v>49</v>
      </c>
      <c r="D48" s="29" t="s">
        <v>55</v>
      </c>
      <c r="E48" s="68"/>
      <c r="F48" s="68">
        <f t="shared" ref="F48:I50" si="17">(F43/E43)^(1/(F$42-E$42))-1</f>
        <v>0</v>
      </c>
      <c r="G48" s="68">
        <f t="shared" si="17"/>
        <v>0</v>
      </c>
      <c r="H48" s="68">
        <f t="shared" si="17"/>
        <v>0</v>
      </c>
      <c r="I48" s="68">
        <f t="shared" si="17"/>
        <v>0</v>
      </c>
      <c r="J48" s="43"/>
      <c r="K48" s="30"/>
      <c r="L48" s="18"/>
      <c r="M48" s="6"/>
      <c r="O48" s="6"/>
      <c r="P48" s="6"/>
      <c r="Q48" s="6"/>
      <c r="R48" s="6"/>
      <c r="S48" s="6"/>
      <c r="T48" s="6"/>
      <c r="U48" s="6"/>
      <c r="V48" s="6"/>
      <c r="W48" s="6"/>
      <c r="Y48" s="6"/>
      <c r="Z48" s="6"/>
      <c r="AA48" s="6"/>
      <c r="AB48" s="6"/>
      <c r="AC48" s="6"/>
      <c r="AD48" s="6"/>
      <c r="AE48" s="6"/>
      <c r="AF48" s="6"/>
      <c r="AG48" s="6"/>
      <c r="AS48" s="6"/>
      <c r="AU48" s="6"/>
    </row>
    <row r="49" spans="1:47">
      <c r="A49" t="s">
        <v>16</v>
      </c>
      <c r="C49" t="s">
        <v>51</v>
      </c>
      <c r="E49" s="68"/>
      <c r="F49" s="68">
        <f t="shared" si="17"/>
        <v>0</v>
      </c>
      <c r="G49" s="68">
        <f t="shared" si="17"/>
        <v>0</v>
      </c>
      <c r="H49" s="68">
        <f t="shared" si="17"/>
        <v>0</v>
      </c>
      <c r="I49" s="68">
        <f t="shared" si="17"/>
        <v>0</v>
      </c>
      <c r="J49" s="43"/>
      <c r="K49" s="30"/>
      <c r="L49" s="18"/>
      <c r="M49" s="6"/>
      <c r="O49" s="6"/>
      <c r="P49" s="6"/>
      <c r="Q49" s="6"/>
      <c r="R49" s="6"/>
      <c r="S49" s="6"/>
      <c r="T49" s="6"/>
      <c r="U49" s="6"/>
      <c r="V49" s="6"/>
      <c r="W49" s="6"/>
      <c r="Y49" s="6"/>
      <c r="Z49" s="6"/>
      <c r="AA49" s="6"/>
      <c r="AB49" s="6"/>
      <c r="AC49" s="6"/>
      <c r="AD49" s="6"/>
      <c r="AE49" s="6"/>
      <c r="AF49" s="6"/>
      <c r="AG49" s="6"/>
      <c r="AS49" s="6"/>
      <c r="AU49" s="6"/>
    </row>
    <row r="50" spans="1:47">
      <c r="A50" t="s">
        <v>16</v>
      </c>
      <c r="C50" t="s">
        <v>50</v>
      </c>
      <c r="E50" s="68"/>
      <c r="F50" s="50">
        <f t="shared" si="17"/>
        <v>-9.8663149271871475E-5</v>
      </c>
      <c r="G50" s="50">
        <f t="shared" si="17"/>
        <v>3.0755090987310885E-2</v>
      </c>
      <c r="H50" s="50">
        <f t="shared" si="17"/>
        <v>1.8105719839404566E-2</v>
      </c>
      <c r="I50" s="50">
        <f t="shared" si="17"/>
        <v>2.4541356188728214E-2</v>
      </c>
      <c r="J50" s="43"/>
      <c r="K50" s="30"/>
      <c r="L50" s="18"/>
      <c r="M50" s="6"/>
      <c r="O50" s="6"/>
      <c r="P50" s="6"/>
      <c r="Q50" s="6"/>
      <c r="R50" s="6"/>
      <c r="S50" s="6"/>
      <c r="T50" s="6"/>
      <c r="U50" s="6"/>
      <c r="V50" s="6"/>
      <c r="W50" s="6"/>
      <c r="Y50" s="6"/>
      <c r="Z50" s="6"/>
      <c r="AA50" s="6"/>
      <c r="AB50" s="6"/>
      <c r="AC50" s="6"/>
      <c r="AD50" s="6"/>
      <c r="AE50" s="6"/>
      <c r="AF50" s="6"/>
      <c r="AG50" s="6"/>
      <c r="AS50" s="5"/>
      <c r="AU50" s="5"/>
    </row>
    <row r="51" spans="1:47">
      <c r="A51" t="s">
        <v>16</v>
      </c>
      <c r="L51" s="18"/>
    </row>
    <row r="52" spans="1:47" ht="18" thickBot="1">
      <c r="A52" t="s">
        <v>16</v>
      </c>
      <c r="C52" s="31" t="s">
        <v>294</v>
      </c>
    </row>
    <row r="53" spans="1:47" ht="15.75" thickTop="1">
      <c r="A53" t="s">
        <v>16</v>
      </c>
      <c r="D53" t="s">
        <v>52</v>
      </c>
      <c r="E53">
        <v>100</v>
      </c>
      <c r="F53">
        <v>150</v>
      </c>
      <c r="G53">
        <v>200</v>
      </c>
      <c r="H53" s="34"/>
      <c r="J53"/>
    </row>
    <row r="54" spans="1:47">
      <c r="A54" t="s">
        <v>16</v>
      </c>
      <c r="B54">
        <f>[12]RES!$B32</f>
        <v>0</v>
      </c>
      <c r="C54" t="str">
        <f>[12]RES!A32</f>
        <v>USE the names but not the numbers in the greyed out stuff, all the balance numbers are taken directly from the energy balance sheet</v>
      </c>
      <c r="E54">
        <v>0.3</v>
      </c>
      <c r="F54" s="8">
        <v>0.25</v>
      </c>
      <c r="G54" s="8">
        <v>0.2</v>
      </c>
      <c r="H54" s="34"/>
      <c r="J54"/>
    </row>
    <row r="55" spans="1:47">
      <c r="A55" t="s">
        <v>16</v>
      </c>
      <c r="B55" t="str">
        <f>[12]RES!$B33</f>
        <v>Demand</v>
      </c>
      <c r="C55" t="str">
        <f>[12]RES!A33</f>
        <v>End use demands</v>
      </c>
      <c r="E55">
        <v>0.1</v>
      </c>
      <c r="F55" s="8">
        <v>0.1</v>
      </c>
      <c r="G55" s="8">
        <v>0.1</v>
      </c>
      <c r="H55" s="34"/>
      <c r="J55"/>
    </row>
    <row r="56" spans="1:47">
      <c r="A56" t="s">
        <v>16</v>
      </c>
      <c r="B56" t="str">
        <f>[12]RES!$B34</f>
        <v>L</v>
      </c>
      <c r="C56" t="str">
        <f>[12]RES!A34</f>
        <v>Lighting</v>
      </c>
      <c r="E56">
        <v>0.5</v>
      </c>
      <c r="F56" s="8">
        <v>0.4</v>
      </c>
      <c r="G56" s="8">
        <v>0.3</v>
      </c>
      <c r="H56" s="34"/>
      <c r="J56"/>
    </row>
    <row r="57" spans="1:47">
      <c r="A57" t="s">
        <v>16</v>
      </c>
      <c r="B57" t="str">
        <f>[12]RES!$B35</f>
        <v>K</v>
      </c>
      <c r="C57" t="str">
        <f>[12]RES!A35</f>
        <v>Cooking</v>
      </c>
      <c r="E57">
        <v>0.3</v>
      </c>
      <c r="F57" s="8">
        <v>0.25</v>
      </c>
      <c r="G57" s="8">
        <v>0.2</v>
      </c>
      <c r="H57" s="34"/>
      <c r="J57"/>
    </row>
    <row r="58" spans="1:47">
      <c r="A58" t="s">
        <v>16</v>
      </c>
      <c r="B58" t="str">
        <f>[12]RES!$B36</f>
        <v>H</v>
      </c>
      <c r="C58" t="str">
        <f>[12]RES!A36</f>
        <v>Space Heating</v>
      </c>
      <c r="E58">
        <v>0.2</v>
      </c>
      <c r="F58" s="8">
        <v>0.15</v>
      </c>
      <c r="G58" s="8">
        <v>0.1</v>
      </c>
      <c r="H58" s="34"/>
      <c r="J58"/>
    </row>
    <row r="59" spans="1:47">
      <c r="A59" t="s">
        <v>16</v>
      </c>
      <c r="B59" t="str">
        <f>[12]RES!$B37</f>
        <v>WG</v>
      </c>
      <c r="C59" t="str">
        <f>[12]RES!A37</f>
        <v>Water Heating Geyser</v>
      </c>
      <c r="E59">
        <v>0.5</v>
      </c>
      <c r="F59" s="8">
        <v>0.4</v>
      </c>
      <c r="G59" s="8">
        <v>0.3</v>
      </c>
      <c r="H59" s="34"/>
      <c r="J59"/>
    </row>
    <row r="60" spans="1:47">
      <c r="A60" t="s">
        <v>16</v>
      </c>
      <c r="B60" t="str">
        <f>[12]RES!$B38</f>
        <v>W</v>
      </c>
      <c r="C60" t="str">
        <f>[12]RES!A38</f>
        <v>Water Heating</v>
      </c>
      <c r="E60">
        <v>0</v>
      </c>
      <c r="F60" s="8">
        <v>0</v>
      </c>
      <c r="G60" s="8">
        <v>0</v>
      </c>
      <c r="H60" s="34"/>
      <c r="J60"/>
    </row>
    <row r="61" spans="1:47">
      <c r="A61" t="s">
        <v>16</v>
      </c>
      <c r="B61" s="19"/>
    </row>
    <row r="62" spans="1:47">
      <c r="A62" t="s">
        <v>16</v>
      </c>
      <c r="C62" s="2" t="str">
        <f>C52</f>
        <v>High Income Household Elasticities</v>
      </c>
    </row>
    <row r="63" spans="1:47">
      <c r="A63" t="s">
        <v>16</v>
      </c>
      <c r="C63" t="str">
        <f t="shared" ref="C63:C69" si="18">C54</f>
        <v>USE the names but not the numbers in the greyed out stuff, all the balance numbers are taken directly from the energy balance sheet</v>
      </c>
      <c r="E63" s="3">
        <f t="shared" ref="E63:I69" si="19">FORECAST(E$45,$E54:$G54,$E$53:$G$53)</f>
        <v>0.39899999999999997</v>
      </c>
      <c r="F63" s="3">
        <f t="shared" si="19"/>
        <v>0.39900078903268427</v>
      </c>
      <c r="G63" s="3">
        <f t="shared" si="19"/>
        <v>0.39864726702378012</v>
      </c>
      <c r="H63" s="3">
        <f t="shared" si="19"/>
        <v>0.39838139509972831</v>
      </c>
      <c r="I63" s="3">
        <f t="shared" si="19"/>
        <v>0.39793730133647687</v>
      </c>
      <c r="J63" cm="1">
        <f t="array" ref="J63">IF(J$7=-1,K63,IF(J$7=99,I63,IF(J$7=0,INDEX($E63:$I63,0,J$5),(INDEX($E63:$I63,0,J$7+1)-INDEX($E63:$I63,0,J$7))/(INDEX($E$4:$I$4,0,J$7+1)-INDEX($E$4:$I$4,0,J$7))+I63)))</f>
        <v>0.39899999999999997</v>
      </c>
      <c r="K63" cm="1">
        <f t="array" ref="K63">IF(K$7=-1,L63,IF(K$7=99,J63,IF(K$7=0,INDEX($E63:$I63,0,K$5),(INDEX($E63:$I63,0,K$7+1)-INDEX($E63:$I63,0,K$7))/(INDEX($E$4:$I$4,0,K$7+1)-INDEX($E$4:$I$4,0,K$7))+J63)))</f>
        <v>0.39900009862908548</v>
      </c>
      <c r="L63" cm="1">
        <f t="array" ref="L63">IF(L$7=-1,M63,IF(L$7=99,K63,IF(L$7=0,INDEX($E63:$I63,0,L$5),(INDEX($E63:$I63,0,L$7+1)-INDEX($E63:$I63,0,L$7))/(INDEX($E$4:$I$4,0,L$7+1)-INDEX($E$4:$I$4,0,L$7))+K63)))</f>
        <v>0.39900019725817104</v>
      </c>
      <c r="M63" cm="1">
        <f t="array" ref="M63">IF(M$7=-1,N63,IF(M$7=99,L63,IF(M$7=0,INDEX($E63:$I63,0,M$5),(INDEX($E63:$I63,0,M$7+1)-INDEX($E63:$I63,0,M$7))/(INDEX($E$4:$I$4,0,M$7+1)-INDEX($E$4:$I$4,0,M$7))+L63)))</f>
        <v>0.39900029588725661</v>
      </c>
      <c r="N63" cm="1">
        <f t="array" ref="N63">IF(N$7=-1,O63,IF(N$7=99,M63,IF(N$7=0,INDEX($E63:$I63,0,N$5),(INDEX($E63:$I63,0,N$7+1)-INDEX($E63:$I63,0,N$7))/(INDEX($E$4:$I$4,0,N$7+1)-INDEX($E$4:$I$4,0,N$7))+M63)))</f>
        <v>0.39900039451634217</v>
      </c>
      <c r="O63" cm="1">
        <f t="array" ref="O63">IF(O$7=-1,P63,IF(O$7=99,N63,IF(O$7=0,INDEX($E63:$I63,0,O$5),(INDEX($E63:$I63,0,O$7+1)-INDEX($E63:$I63,0,O$7))/(INDEX($E$4:$I$4,0,O$7+1)-INDEX($E$4:$I$4,0,O$7))+N63)))</f>
        <v>0.39900049314542774</v>
      </c>
      <c r="P63" cm="1">
        <f t="array" ref="P63">IF(P$7=-1,Q63,IF(P$7=99,O63,IF(P$7=0,INDEX($E63:$I63,0,P$5),(INDEX($E63:$I63,0,P$7+1)-INDEX($E63:$I63,0,P$7))/(INDEX($E$4:$I$4,0,P$7+1)-INDEX($E$4:$I$4,0,P$7))+O63)))</f>
        <v>0.3990005917745133</v>
      </c>
      <c r="Q63" cm="1">
        <f t="array" ref="Q63">IF(Q$7=-1,R63,IF(Q$7=99,P63,IF(Q$7=0,INDEX($E63:$I63,0,Q$5),(INDEX($E63:$I63,0,Q$7+1)-INDEX($E63:$I63,0,Q$7))/(INDEX($E$4:$I$4,0,Q$7+1)-INDEX($E$4:$I$4,0,Q$7))+P63)))</f>
        <v>0.39900069040359887</v>
      </c>
      <c r="R63" cm="1">
        <f t="array" ref="R63">IF(R$7=-1,S63,IF(R$7=99,Q63,IF(R$7=0,INDEX($E63:$I63,0,R$5),(INDEX($E63:$I63,0,R$7+1)-INDEX($E63:$I63,0,R$7))/(INDEX($E$4:$I$4,0,R$7+1)-INDEX($E$4:$I$4,0,R$7))+Q63)))</f>
        <v>0.39900078903268427</v>
      </c>
      <c r="S63" cm="1">
        <f t="array" ref="S63">IF(S$7=-1,T63,IF(S$7=99,R63,IF(S$7=0,INDEX($E63:$I63,0,S$5),(INDEX($E63:$I63,0,S$7+1)-INDEX($E63:$I63,0,S$7))/(INDEX($E$4:$I$4,0,S$7+1)-INDEX($E$4:$I$4,0,S$7))+R63)))</f>
        <v>0.39896543683179386</v>
      </c>
      <c r="T63" cm="1">
        <f t="array" ref="T63">IF(T$7=-1,U63,IF(T$7=99,S63,IF(T$7=0,INDEX($E63:$I63,0,T$5),(INDEX($E63:$I63,0,T$7+1)-INDEX($E63:$I63,0,T$7))/(INDEX($E$4:$I$4,0,T$7+1)-INDEX($E$4:$I$4,0,T$7))+S63)))</f>
        <v>0.39893008463090346</v>
      </c>
      <c r="U63" cm="1">
        <f t="array" ref="U63">IF(U$7=-1,V63,IF(U$7=99,T63,IF(U$7=0,INDEX($E63:$I63,0,U$5),(INDEX($E63:$I63,0,U$7+1)-INDEX($E63:$I63,0,U$7))/(INDEX($E$4:$I$4,0,U$7+1)-INDEX($E$4:$I$4,0,U$7))+T63)))</f>
        <v>0.39889473243001305</v>
      </c>
      <c r="V63" cm="1">
        <f t="array" ref="V63">IF(V$7=-1,W63,IF(V$7=99,U63,IF(V$7=0,INDEX($E63:$I63,0,V$5),(INDEX($E63:$I63,0,V$7+1)-INDEX($E63:$I63,0,V$7))/(INDEX($E$4:$I$4,0,V$7+1)-INDEX($E$4:$I$4,0,V$7))+U63)))</f>
        <v>0.39885938022912265</v>
      </c>
      <c r="W63" cm="1">
        <f t="array" ref="W63">IF(W$7=-1,X63,IF(W$7=99,V63,IF(W$7=0,INDEX($E63:$I63,0,W$5),(INDEX($E63:$I63,0,W$7+1)-INDEX($E63:$I63,0,W$7))/(INDEX($E$4:$I$4,0,W$7+1)-INDEX($E$4:$I$4,0,W$7))+V63)))</f>
        <v>0.39882402802823225</v>
      </c>
      <c r="X63" cm="1">
        <f t="array" ref="X63">IF(X$7=-1,Y63,IF(X$7=99,W63,IF(X$7=0,INDEX($E63:$I63,0,X$5),(INDEX($E63:$I63,0,X$7+1)-INDEX($E63:$I63,0,X$7))/(INDEX($E$4:$I$4,0,X$7+1)-INDEX($E$4:$I$4,0,X$7))+W63)))</f>
        <v>0.39878867582734184</v>
      </c>
      <c r="Y63" cm="1">
        <f t="array" ref="Y63">IF(Y$7=-1,Z63,IF(Y$7=99,X63,IF(Y$7=0,INDEX($E63:$I63,0,Y$5),(INDEX($E63:$I63,0,Y$7+1)-INDEX($E63:$I63,0,Y$7))/(INDEX($E$4:$I$4,0,Y$7+1)-INDEX($E$4:$I$4,0,Y$7))+X63)))</f>
        <v>0.39875332362645144</v>
      </c>
      <c r="Z63" cm="1">
        <f t="array" ref="Z63">IF(Z$7=-1,AA63,IF(Z$7=99,Y63,IF(Z$7=0,INDEX($E63:$I63,0,Z$5),(INDEX($E63:$I63,0,Z$7+1)-INDEX($E63:$I63,0,Z$7))/(INDEX($E$4:$I$4,0,Z$7+1)-INDEX($E$4:$I$4,0,Z$7))+Y63)))</f>
        <v>0.39871797142556104</v>
      </c>
      <c r="AA63" cm="1">
        <f t="array" ref="AA63">IF(AA$7=-1,AB63,IF(AA$7=99,Z63,IF(AA$7=0,INDEX($E63:$I63,0,AA$5),(INDEX($E63:$I63,0,AA$7+1)-INDEX($E63:$I63,0,AA$7))/(INDEX($E$4:$I$4,0,AA$7+1)-INDEX($E$4:$I$4,0,AA$7))+Z63)))</f>
        <v>0.39868261922467063</v>
      </c>
      <c r="AB63" cm="1">
        <f t="array" ref="AB63">IF(AB$7=-1,AC63,IF(AB$7=99,AA63,IF(AB$7=0,INDEX($E63:$I63,0,AB$5),(INDEX($E63:$I63,0,AB$7+1)-INDEX($E63:$I63,0,AB$7))/(INDEX($E$4:$I$4,0,AB$7+1)-INDEX($E$4:$I$4,0,AB$7))+AA63)))</f>
        <v>0.39864726702378012</v>
      </c>
      <c r="AC63" cm="1">
        <f t="array" ref="AC63">IF(AC$7=-1,AD63,IF(AC$7=99,AB63,IF(AC$7=0,INDEX($E63:$I63,0,AC$5),(INDEX($E63:$I63,0,AC$7+1)-INDEX($E63:$I63,0,AC$7))/(INDEX($E$4:$I$4,0,AC$7+1)-INDEX($E$4:$I$4,0,AC$7))+AB63)))</f>
        <v>0.39862067983137495</v>
      </c>
      <c r="AD63" cm="1">
        <f t="array" ref="AD63">IF(AD$7=-1,AE63,IF(AD$7=99,AC63,IF(AD$7=0,INDEX($E63:$I63,0,AD$5),(INDEX($E63:$I63,0,AD$7+1)-INDEX($E63:$I63,0,AD$7))/(INDEX($E$4:$I$4,0,AD$7+1)-INDEX($E$4:$I$4,0,AD$7))+AC63)))</f>
        <v>0.39859409263896978</v>
      </c>
      <c r="AE63" cm="1">
        <f t="array" ref="AE63">IF(AE$7=-1,AF63,IF(AE$7=99,AD63,IF(AE$7=0,INDEX($E63:$I63,0,AE$5),(INDEX($E63:$I63,0,AE$7+1)-INDEX($E63:$I63,0,AE$7))/(INDEX($E$4:$I$4,0,AE$7+1)-INDEX($E$4:$I$4,0,AE$7))+AD63)))</f>
        <v>0.39856750544656461</v>
      </c>
      <c r="AF63" cm="1">
        <f t="array" ref="AF63">IF(AF$7=-1,AG63,IF(AF$7=99,AE63,IF(AF$7=0,INDEX($E63:$I63,0,AF$5),(INDEX($E63:$I63,0,AF$7+1)-INDEX($E63:$I63,0,AF$7))/(INDEX($E$4:$I$4,0,AF$7+1)-INDEX($E$4:$I$4,0,AF$7))+AE63)))</f>
        <v>0.39854091825415944</v>
      </c>
      <c r="AG63" cm="1">
        <f t="array" ref="AG63">IF(AG$7=-1,AH63,IF(AG$7=99,AF63,IF(AG$7=0,INDEX($E63:$I63,0,AG$5),(INDEX($E63:$I63,0,AG$7+1)-INDEX($E63:$I63,0,AG$7))/(INDEX($E$4:$I$4,0,AG$7+1)-INDEX($E$4:$I$4,0,AG$7))+AF63)))</f>
        <v>0.39851433106175427</v>
      </c>
      <c r="AH63" cm="1">
        <f t="array" ref="AH63">IF(AH$7=-1,AI63,IF(AH$7=99,AG63,IF(AH$7=0,INDEX($E63:$I63,0,AH$5),(INDEX($E63:$I63,0,AH$7+1)-INDEX($E63:$I63,0,AH$7))/(INDEX($E$4:$I$4,0,AH$7+1)-INDEX($E$4:$I$4,0,AH$7))+AG63)))</f>
        <v>0.3984877438693491</v>
      </c>
      <c r="AI63" cm="1">
        <f t="array" ref="AI63">IF(AI$7=-1,AJ63,IF(AI$7=99,AH63,IF(AI$7=0,INDEX($E63:$I63,0,AI$5),(INDEX($E63:$I63,0,AI$7+1)-INDEX($E63:$I63,0,AI$7))/(INDEX($E$4:$I$4,0,AI$7+1)-INDEX($E$4:$I$4,0,AI$7))+AH63)))</f>
        <v>0.39846115667694393</v>
      </c>
      <c r="AJ63" cm="1">
        <f t="array" ref="AJ63">IF(AJ$7=-1,AK63,IF(AJ$7=99,AI63,IF(AJ$7=0,INDEX($E63:$I63,0,AJ$5),(INDEX($E63:$I63,0,AJ$7+1)-INDEX($E63:$I63,0,AJ$7))/(INDEX($E$4:$I$4,0,AJ$7+1)-INDEX($E$4:$I$4,0,AJ$7))+AI63)))</f>
        <v>0.39843456948453876</v>
      </c>
      <c r="AK63" cm="1">
        <f t="array" ref="AK63">IF(AK$7=-1,AL63,IF(AK$7=99,AJ63,IF(AK$7=0,INDEX($E63:$I63,0,AK$5),(INDEX($E63:$I63,0,AK$7+1)-INDEX($E63:$I63,0,AK$7))/(INDEX($E$4:$I$4,0,AK$7+1)-INDEX($E$4:$I$4,0,AK$7))+AJ63)))</f>
        <v>0.39840798229213359</v>
      </c>
      <c r="AL63" cm="1">
        <f t="array" ref="AL63">IF(AL$7=-1,AM63,IF(AL$7=99,AK63,IF(AL$7=0,INDEX($E63:$I63,0,AL$5),(INDEX($E63:$I63,0,AL$7+1)-INDEX($E63:$I63,0,AL$7))/(INDEX($E$4:$I$4,0,AL$7+1)-INDEX($E$4:$I$4,0,AL$7))+AK63)))</f>
        <v>0.39838139509972831</v>
      </c>
      <c r="AM63" cm="1">
        <f t="array" ref="AM63">IF(AM$7=-1,AN63,IF(AM$7=99,AL63,IF(AM$7=0,INDEX($E63:$I63,0,AM$5),(INDEX($E63:$I63,0,AM$7+1)-INDEX($E63:$I63,0,AM$7))/(INDEX($E$4:$I$4,0,AM$7+1)-INDEX($E$4:$I$4,0,AM$7))+AL63)))</f>
        <v>0.39833698572340315</v>
      </c>
      <c r="AN63" cm="1">
        <f t="array" ref="AN63">IF(AN$7=-1,AO63,IF(AN$7=99,AM63,IF(AN$7=0,INDEX($E63:$I63,0,AN$5),(INDEX($E63:$I63,0,AN$7+1)-INDEX($E63:$I63,0,AN$7))/(INDEX($E$4:$I$4,0,AN$7+1)-INDEX($E$4:$I$4,0,AN$7))+AM63)))</f>
        <v>0.39793730133647687</v>
      </c>
      <c r="AO63" cm="1">
        <f t="array" ref="AO63">IF(AO$7=-1,AP63,IF(AO$7=99,AN63,IF(AO$7=0,INDEX($E63:$I63,0,AO$5),(INDEX($E63:$I63,0,AO$7+1)-INDEX($E63:$I63,0,AO$7))/(INDEX($E$4:$I$4,0,AO$7+1)-INDEX($E$4:$I$4,0,AO$7))+AN63)))</f>
        <v>0.39793730133647687</v>
      </c>
      <c r="AP63" cm="1">
        <f t="array" ref="AP63">IF(AP$7=-1,AQ63,IF(AP$7=99,AO63,IF(AP$7=0,INDEX($E63:$I63,0,AP$5),(INDEX($E63:$I63,0,AP$7+1)-INDEX($E63:$I63,0,AP$7))/(INDEX($E$4:$I$4,0,AP$7+1)-INDEX($E$4:$I$4,0,AP$7))+AO63)))</f>
        <v>0.39793730133647687</v>
      </c>
    </row>
    <row r="64" spans="1:47">
      <c r="A64" t="s">
        <v>16</v>
      </c>
      <c r="C64" t="str">
        <f t="shared" si="18"/>
        <v>End use demands</v>
      </c>
      <c r="E64" s="3">
        <f t="shared" si="19"/>
        <v>0.10000000000000002</v>
      </c>
      <c r="F64" s="3">
        <f t="shared" si="19"/>
        <v>0.10000000000000002</v>
      </c>
      <c r="G64" s="3">
        <f t="shared" si="19"/>
        <v>0.10000000000000002</v>
      </c>
      <c r="H64" s="3">
        <f t="shared" si="19"/>
        <v>0.10000000000000002</v>
      </c>
      <c r="I64" s="3">
        <f t="shared" si="19"/>
        <v>0.10000000000000002</v>
      </c>
      <c r="J64" cm="1">
        <f t="array" ref="J64">IF(J$7=-1,K64,IF(J$7=99,I64,IF(J$7=0,INDEX($E64:$I64,0,J$5),(INDEX($E64:$I64,0,J$7+1)-INDEX($E64:$I64,0,J$7))/(INDEX($E$4:$I$4,0,J$7+1)-INDEX($E$4:$I$4,0,J$7))+I64)))</f>
        <v>0.10000000000000002</v>
      </c>
      <c r="K64" cm="1">
        <f t="array" ref="K64">IF(K$7=-1,L64,IF(K$7=99,J64,IF(K$7=0,INDEX($E64:$I64,0,K$5),(INDEX($E64:$I64,0,K$7+1)-INDEX($E64:$I64,0,K$7))/(INDEX($E$4:$I$4,0,K$7+1)-INDEX($E$4:$I$4,0,K$7))+J64)))</f>
        <v>0.10000000000000002</v>
      </c>
      <c r="L64" cm="1">
        <f t="array" ref="L64">IF(L$7=-1,M64,IF(L$7=99,K64,IF(L$7=0,INDEX($E64:$I64,0,L$5),(INDEX($E64:$I64,0,L$7+1)-INDEX($E64:$I64,0,L$7))/(INDEX($E$4:$I$4,0,L$7+1)-INDEX($E$4:$I$4,0,L$7))+K64)))</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IF(AL$7=-1,AM64,IF(AL$7=99,AK64,IF(AL$7=0,INDEX($E64:$I64,0,AL$5),(INDEX($E64:$I64,0,AL$7+1)-INDEX($E64:$I64,0,AL$7))/(INDEX($E$4:$I$4,0,AL$7+1)-INDEX($E$4:$I$4,0,AL$7))+AK64)))</f>
        <v>0.10000000000000002</v>
      </c>
      <c r="AM64" cm="1">
        <f t="array" ref="AM64">IF(AM$7=-1,AN64,IF(AM$7=99,AL64,IF(AM$7=0,INDEX($E64:$I64,0,AM$5),(INDEX($E64:$I64,0,AM$7+1)-INDEX($E64:$I64,0,AM$7))/(INDEX($E$4:$I$4,0,AM$7+1)-INDEX($E$4:$I$4,0,AM$7))+AL64)))</f>
        <v>0.10000000000000002</v>
      </c>
      <c r="AN64" cm="1">
        <f t="array" ref="AN64">IF(AN$7=-1,AO64,IF(AN$7=99,AM64,IF(AN$7=0,INDEX($E64:$I64,0,AN$5),(INDEX($E64:$I64,0,AN$7+1)-INDEX($E64:$I64,0,AN$7))/(INDEX($E$4:$I$4,0,AN$7+1)-INDEX($E$4:$I$4,0,AN$7))+AM64)))</f>
        <v>0.10000000000000002</v>
      </c>
      <c r="AO64" cm="1">
        <f t="array" ref="AO64">IF(AO$7=-1,AP64,IF(AO$7=99,AN64,IF(AO$7=0,INDEX($E64:$I64,0,AO$5),(INDEX($E64:$I64,0,AO$7+1)-INDEX($E64:$I64,0,AO$7))/(INDEX($E$4:$I$4,0,AO$7+1)-INDEX($E$4:$I$4,0,AO$7))+AN64)))</f>
        <v>0.10000000000000002</v>
      </c>
      <c r="AP64" cm="1">
        <f t="array" ref="AP64">IF(AP$7=-1,AQ64,IF(AP$7=99,AO64,IF(AP$7=0,INDEX($E64:$I64,0,AP$5),(INDEX($E64:$I64,0,AP$7+1)-INDEX($E64:$I64,0,AP$7))/(INDEX($E$4:$I$4,0,AP$7+1)-INDEX($E$4:$I$4,0,AP$7))+AO64)))</f>
        <v>0.10000000000000002</v>
      </c>
    </row>
    <row r="65" spans="1:42">
      <c r="A65" t="s">
        <v>16</v>
      </c>
      <c r="C65" t="str">
        <f t="shared" si="18"/>
        <v>Lighting</v>
      </c>
      <c r="E65" s="3">
        <f t="shared" si="19"/>
        <v>0.69799999999999995</v>
      </c>
      <c r="F65" s="3">
        <f t="shared" si="19"/>
        <v>0.69800157806536856</v>
      </c>
      <c r="G65" s="3">
        <f t="shared" si="19"/>
        <v>0.69729453404756025</v>
      </c>
      <c r="H65" s="3">
        <f t="shared" si="19"/>
        <v>0.69676279019945664</v>
      </c>
      <c r="I65" s="3">
        <f t="shared" si="19"/>
        <v>0.69587460267295376</v>
      </c>
      <c r="J65" cm="1">
        <f t="array" ref="J65">IF(J$7=-1,K65,IF(J$7=99,I65,IF(J$7=0,INDEX($E65:$I65,0,J$5),(INDEX($E65:$I65,0,J$7+1)-INDEX($E65:$I65,0,J$7))/(INDEX($E$4:$I$4,0,J$7+1)-INDEX($E$4:$I$4,0,J$7))+I65)))</f>
        <v>0.69799999999999995</v>
      </c>
      <c r="K65" cm="1">
        <f t="array" ref="K65">IF(K$7=-1,L65,IF(K$7=99,J65,IF(K$7=0,INDEX($E65:$I65,0,K$5),(INDEX($E65:$I65,0,K$7+1)-INDEX($E65:$I65,0,K$7))/(INDEX($E$4:$I$4,0,K$7+1)-INDEX($E$4:$I$4,0,K$7))+J65)))</f>
        <v>0.69800019725817108</v>
      </c>
      <c r="L65" cm="1">
        <f t="array" ref="L65">IF(L$7=-1,M65,IF(L$7=99,K65,IF(L$7=0,INDEX($E65:$I65,0,L$5),(INDEX($E65:$I65,0,L$7+1)-INDEX($E65:$I65,0,L$7))/(INDEX($E$4:$I$4,0,L$7+1)-INDEX($E$4:$I$4,0,L$7))+K65)))</f>
        <v>0.69800039451634222</v>
      </c>
      <c r="M65" cm="1">
        <f t="array" ref="M65">IF(M$7=-1,N65,IF(M$7=99,L65,IF(M$7=0,INDEX($E65:$I65,0,M$5),(INDEX($E65:$I65,0,M$7+1)-INDEX($E65:$I65,0,M$7))/(INDEX($E$4:$I$4,0,M$7+1)-INDEX($E$4:$I$4,0,M$7))+L65)))</f>
        <v>0.69800059177451335</v>
      </c>
      <c r="N65" cm="1">
        <f t="array" ref="N65">IF(N$7=-1,O65,IF(N$7=99,M65,IF(N$7=0,INDEX($E65:$I65,0,N$5),(INDEX($E65:$I65,0,N$7+1)-INDEX($E65:$I65,0,N$7))/(INDEX($E$4:$I$4,0,N$7+1)-INDEX($E$4:$I$4,0,N$7))+M65)))</f>
        <v>0.69800078903268448</v>
      </c>
      <c r="O65" cm="1">
        <f t="array" ref="O65">IF(O$7=-1,P65,IF(O$7=99,N65,IF(O$7=0,INDEX($E65:$I65,0,O$5),(INDEX($E65:$I65,0,O$7+1)-INDEX($E65:$I65,0,O$7))/(INDEX($E$4:$I$4,0,O$7+1)-INDEX($E$4:$I$4,0,O$7))+N65)))</f>
        <v>0.69800098629085561</v>
      </c>
      <c r="P65" cm="1">
        <f t="array" ref="P65">IF(P$7=-1,Q65,IF(P$7=99,O65,IF(P$7=0,INDEX($E65:$I65,0,P$5),(INDEX($E65:$I65,0,P$7+1)-INDEX($E65:$I65,0,P$7))/(INDEX($E$4:$I$4,0,P$7+1)-INDEX($E$4:$I$4,0,P$7))+O65)))</f>
        <v>0.69800118354902674</v>
      </c>
      <c r="Q65" cm="1">
        <f t="array" ref="Q65">IF(Q$7=-1,R65,IF(Q$7=99,P65,IF(Q$7=0,INDEX($E65:$I65,0,Q$5),(INDEX($E65:$I65,0,Q$7+1)-INDEX($E65:$I65,0,Q$7))/(INDEX($E$4:$I$4,0,Q$7+1)-INDEX($E$4:$I$4,0,Q$7))+P65)))</f>
        <v>0.69800138080719787</v>
      </c>
      <c r="R65" cm="1">
        <f t="array" ref="R65">IF(R$7=-1,S65,IF(R$7=99,Q65,IF(R$7=0,INDEX($E65:$I65,0,R$5),(INDEX($E65:$I65,0,R$7+1)-INDEX($E65:$I65,0,R$7))/(INDEX($E$4:$I$4,0,R$7+1)-INDEX($E$4:$I$4,0,R$7))+Q65)))</f>
        <v>0.69800157806536856</v>
      </c>
      <c r="S65" cm="1">
        <f t="array" ref="S65">IF(S$7=-1,T65,IF(S$7=99,R65,IF(S$7=0,INDEX($E65:$I65,0,S$5),(INDEX($E65:$I65,0,S$7+1)-INDEX($E65:$I65,0,S$7))/(INDEX($E$4:$I$4,0,S$7+1)-INDEX($E$4:$I$4,0,S$7))+R65)))</f>
        <v>0.69793087366358775</v>
      </c>
      <c r="T65" cm="1">
        <f t="array" ref="T65">IF(T$7=-1,U65,IF(T$7=99,S65,IF(T$7=0,INDEX($E65:$I65,0,T$5),(INDEX($E65:$I65,0,T$7+1)-INDEX($E65:$I65,0,T$7))/(INDEX($E$4:$I$4,0,T$7+1)-INDEX($E$4:$I$4,0,T$7))+S65)))</f>
        <v>0.69786016926180694</v>
      </c>
      <c r="U65" cm="1">
        <f t="array" ref="U65">IF(U$7=-1,V65,IF(U$7=99,T65,IF(U$7=0,INDEX($E65:$I65,0,U$5),(INDEX($E65:$I65,0,U$7+1)-INDEX($E65:$I65,0,U$7))/(INDEX($E$4:$I$4,0,U$7+1)-INDEX($E$4:$I$4,0,U$7))+T65)))</f>
        <v>0.69778946486002613</v>
      </c>
      <c r="V65" cm="1">
        <f t="array" ref="V65">IF(V$7=-1,W65,IF(V$7=99,U65,IF(V$7=0,INDEX($E65:$I65,0,V$5),(INDEX($E65:$I65,0,V$7+1)-INDEX($E65:$I65,0,V$7))/(INDEX($E$4:$I$4,0,V$7+1)-INDEX($E$4:$I$4,0,V$7))+U65)))</f>
        <v>0.69771876045824532</v>
      </c>
      <c r="W65" cm="1">
        <f t="array" ref="W65">IF(W$7=-1,X65,IF(W$7=99,V65,IF(W$7=0,INDEX($E65:$I65,0,W$5),(INDEX($E65:$I65,0,W$7+1)-INDEX($E65:$I65,0,W$7))/(INDEX($E$4:$I$4,0,W$7+1)-INDEX($E$4:$I$4,0,W$7))+V65)))</f>
        <v>0.69764805605646452</v>
      </c>
      <c r="X65" cm="1">
        <f t="array" ref="X65">IF(X$7=-1,Y65,IF(X$7=99,W65,IF(X$7=0,INDEX($E65:$I65,0,X$5),(INDEX($E65:$I65,0,X$7+1)-INDEX($E65:$I65,0,X$7))/(INDEX($E$4:$I$4,0,X$7+1)-INDEX($E$4:$I$4,0,X$7))+W65)))</f>
        <v>0.69757735165468371</v>
      </c>
      <c r="Y65" cm="1">
        <f t="array" ref="Y65">IF(Y$7=-1,Z65,IF(Y$7=99,X65,IF(Y$7=0,INDEX($E65:$I65,0,Y$5),(INDEX($E65:$I65,0,Y$7+1)-INDEX($E65:$I65,0,Y$7))/(INDEX($E$4:$I$4,0,Y$7+1)-INDEX($E$4:$I$4,0,Y$7))+X65)))</f>
        <v>0.6975066472529029</v>
      </c>
      <c r="Z65" cm="1">
        <f t="array" ref="Z65">IF(Z$7=-1,AA65,IF(Z$7=99,Y65,IF(Z$7=0,INDEX($E65:$I65,0,Z$5),(INDEX($E65:$I65,0,Z$7+1)-INDEX($E65:$I65,0,Z$7))/(INDEX($E$4:$I$4,0,Z$7+1)-INDEX($E$4:$I$4,0,Z$7))+Y65)))</f>
        <v>0.69743594285112209</v>
      </c>
      <c r="AA65" cm="1">
        <f t="array" ref="AA65">IF(AA$7=-1,AB65,IF(AA$7=99,Z65,IF(AA$7=0,INDEX($E65:$I65,0,AA$5),(INDEX($E65:$I65,0,AA$7+1)-INDEX($E65:$I65,0,AA$7))/(INDEX($E$4:$I$4,0,AA$7+1)-INDEX($E$4:$I$4,0,AA$7))+Z65)))</f>
        <v>0.69736523844934128</v>
      </c>
      <c r="AB65" cm="1">
        <f t="array" ref="AB65">IF(AB$7=-1,AC65,IF(AB$7=99,AA65,IF(AB$7=0,INDEX($E65:$I65,0,AB$5),(INDEX($E65:$I65,0,AB$7+1)-INDEX($E65:$I65,0,AB$7))/(INDEX($E$4:$I$4,0,AB$7+1)-INDEX($E$4:$I$4,0,AB$7))+AA65)))</f>
        <v>0.69729453404756025</v>
      </c>
      <c r="AC65" cm="1">
        <f t="array" ref="AC65">IF(AC$7=-1,AD65,IF(AC$7=99,AB65,IF(AC$7=0,INDEX($E65:$I65,0,AC$5),(INDEX($E65:$I65,0,AC$7+1)-INDEX($E65:$I65,0,AC$7))/(INDEX($E$4:$I$4,0,AC$7+1)-INDEX($E$4:$I$4,0,AC$7))+AB65)))</f>
        <v>0.69724135966274992</v>
      </c>
      <c r="AD65" cm="1">
        <f t="array" ref="AD65">IF(AD$7=-1,AE65,IF(AD$7=99,AC65,IF(AD$7=0,INDEX($E65:$I65,0,AD$5),(INDEX($E65:$I65,0,AD$7+1)-INDEX($E65:$I65,0,AD$7))/(INDEX($E$4:$I$4,0,AD$7+1)-INDEX($E$4:$I$4,0,AD$7))+AC65)))</f>
        <v>0.69718818527793958</v>
      </c>
      <c r="AE65" cm="1">
        <f t="array" ref="AE65">IF(AE$7=-1,AF65,IF(AE$7=99,AD65,IF(AE$7=0,INDEX($E65:$I65,0,AE$5),(INDEX($E65:$I65,0,AE$7+1)-INDEX($E65:$I65,0,AE$7))/(INDEX($E$4:$I$4,0,AE$7+1)-INDEX($E$4:$I$4,0,AE$7))+AD65)))</f>
        <v>0.69713501089312924</v>
      </c>
      <c r="AF65" cm="1">
        <f t="array" ref="AF65">IF(AF$7=-1,AG65,IF(AF$7=99,AE65,IF(AF$7=0,INDEX($E65:$I65,0,AF$5),(INDEX($E65:$I65,0,AF$7+1)-INDEX($E65:$I65,0,AF$7))/(INDEX($E$4:$I$4,0,AF$7+1)-INDEX($E$4:$I$4,0,AF$7))+AE65)))</f>
        <v>0.6970818365083189</v>
      </c>
      <c r="AG65" cm="1">
        <f t="array" ref="AG65">IF(AG$7=-1,AH65,IF(AG$7=99,AF65,IF(AG$7=0,INDEX($E65:$I65,0,AG$5),(INDEX($E65:$I65,0,AG$7+1)-INDEX($E65:$I65,0,AG$7))/(INDEX($E$4:$I$4,0,AG$7+1)-INDEX($E$4:$I$4,0,AG$7))+AF65)))</f>
        <v>0.69702866212350856</v>
      </c>
      <c r="AH65" cm="1">
        <f t="array" ref="AH65">IF(AH$7=-1,AI65,IF(AH$7=99,AG65,IF(AH$7=0,INDEX($E65:$I65,0,AH$5),(INDEX($E65:$I65,0,AH$7+1)-INDEX($E65:$I65,0,AH$7))/(INDEX($E$4:$I$4,0,AH$7+1)-INDEX($E$4:$I$4,0,AH$7))+AG65)))</f>
        <v>0.69697548773869822</v>
      </c>
      <c r="AI65" cm="1">
        <f t="array" ref="AI65">IF(AI$7=-1,AJ65,IF(AI$7=99,AH65,IF(AI$7=0,INDEX($E65:$I65,0,AI$5),(INDEX($E65:$I65,0,AI$7+1)-INDEX($E65:$I65,0,AI$7))/(INDEX($E$4:$I$4,0,AI$7+1)-INDEX($E$4:$I$4,0,AI$7))+AH65)))</f>
        <v>0.69692231335388788</v>
      </c>
      <c r="AJ65" cm="1">
        <f t="array" ref="AJ65">IF(AJ$7=-1,AK65,IF(AJ$7=99,AI65,IF(AJ$7=0,INDEX($E65:$I65,0,AJ$5),(INDEX($E65:$I65,0,AJ$7+1)-INDEX($E65:$I65,0,AJ$7))/(INDEX($E$4:$I$4,0,AJ$7+1)-INDEX($E$4:$I$4,0,AJ$7))+AI65)))</f>
        <v>0.69686913896907754</v>
      </c>
      <c r="AK65" cm="1">
        <f t="array" ref="AK65">IF(AK$7=-1,AL65,IF(AK$7=99,AJ65,IF(AK$7=0,INDEX($E65:$I65,0,AK$5),(INDEX($E65:$I65,0,AK$7+1)-INDEX($E65:$I65,0,AK$7))/(INDEX($E$4:$I$4,0,AK$7+1)-INDEX($E$4:$I$4,0,AK$7))+AJ65)))</f>
        <v>0.6968159645842672</v>
      </c>
      <c r="AL65" cm="1">
        <f t="array" ref="AL65">IF(AL$7=-1,AM65,IF(AL$7=99,AK65,IF(AL$7=0,INDEX($E65:$I65,0,AL$5),(INDEX($E65:$I65,0,AL$7+1)-INDEX($E65:$I65,0,AL$7))/(INDEX($E$4:$I$4,0,AL$7+1)-INDEX($E$4:$I$4,0,AL$7))+AK65)))</f>
        <v>0.69676279019945664</v>
      </c>
      <c r="AM65" cm="1">
        <f t="array" ref="AM65">IF(AM$7=-1,AN65,IF(AM$7=99,AL65,IF(AM$7=0,INDEX($E65:$I65,0,AM$5),(INDEX($E65:$I65,0,AM$7+1)-INDEX($E65:$I65,0,AM$7))/(INDEX($E$4:$I$4,0,AM$7+1)-INDEX($E$4:$I$4,0,AM$7))+AL65)))</f>
        <v>0.69667397144680632</v>
      </c>
      <c r="AN65" cm="1">
        <f t="array" ref="AN65">IF(AN$7=-1,AO65,IF(AN$7=99,AM65,IF(AN$7=0,INDEX($E65:$I65,0,AN$5),(INDEX($E65:$I65,0,AN$7+1)-INDEX($E65:$I65,0,AN$7))/(INDEX($E$4:$I$4,0,AN$7+1)-INDEX($E$4:$I$4,0,AN$7))+AM65)))</f>
        <v>0.69587460267295376</v>
      </c>
      <c r="AO65" cm="1">
        <f t="array" ref="AO65">IF(AO$7=-1,AP65,IF(AO$7=99,AN65,IF(AO$7=0,INDEX($E65:$I65,0,AO$5),(INDEX($E65:$I65,0,AO$7+1)-INDEX($E65:$I65,0,AO$7))/(INDEX($E$4:$I$4,0,AO$7+1)-INDEX($E$4:$I$4,0,AO$7))+AN65)))</f>
        <v>0.69587460267295376</v>
      </c>
      <c r="AP65" cm="1">
        <f t="array" ref="AP65">IF(AP$7=-1,AQ65,IF(AP$7=99,AO65,IF(AP$7=0,INDEX($E65:$I65,0,AP$5),(INDEX($E65:$I65,0,AP$7+1)-INDEX($E65:$I65,0,AP$7))/(INDEX($E$4:$I$4,0,AP$7+1)-INDEX($E$4:$I$4,0,AP$7))+AO65)))</f>
        <v>0.69587460267295376</v>
      </c>
    </row>
    <row r="66" spans="1:42">
      <c r="A66" t="s">
        <v>16</v>
      </c>
      <c r="C66" t="str">
        <f t="shared" si="18"/>
        <v>Cooking</v>
      </c>
      <c r="E66" s="3">
        <f t="shared" si="19"/>
        <v>0.39899999999999997</v>
      </c>
      <c r="F66" s="3">
        <f t="shared" si="19"/>
        <v>0.39900078903268427</v>
      </c>
      <c r="G66" s="3">
        <f t="shared" si="19"/>
        <v>0.39864726702378012</v>
      </c>
      <c r="H66" s="3">
        <f t="shared" si="19"/>
        <v>0.39838139509972831</v>
      </c>
      <c r="I66" s="3">
        <f t="shared" si="19"/>
        <v>0.39793730133647687</v>
      </c>
      <c r="J66" cm="1">
        <f t="array" ref="J66">IF(J$7=-1,K66,IF(J$7=99,I66,IF(J$7=0,INDEX($E66:$I66,0,J$5),(INDEX($E66:$I66,0,J$7+1)-INDEX($E66:$I66,0,J$7))/(INDEX($E$4:$I$4,0,J$7+1)-INDEX($E$4:$I$4,0,J$7))+I66)))</f>
        <v>0.39899999999999997</v>
      </c>
      <c r="K66" cm="1">
        <f t="array" ref="K66">IF(K$7=-1,L66,IF(K$7=99,J66,IF(K$7=0,INDEX($E66:$I66,0,K$5),(INDEX($E66:$I66,0,K$7+1)-INDEX($E66:$I66,0,K$7))/(INDEX($E$4:$I$4,0,K$7+1)-INDEX($E$4:$I$4,0,K$7))+J66)))</f>
        <v>0.39900009862908548</v>
      </c>
      <c r="L66" cm="1">
        <f t="array" ref="L66">IF(L$7=-1,M66,IF(L$7=99,K66,IF(L$7=0,INDEX($E66:$I66,0,L$5),(INDEX($E66:$I66,0,L$7+1)-INDEX($E66:$I66,0,L$7))/(INDEX($E$4:$I$4,0,L$7+1)-INDEX($E$4:$I$4,0,L$7))+K66)))</f>
        <v>0.39900019725817104</v>
      </c>
      <c r="M66" cm="1">
        <f t="array" ref="M66">IF(M$7=-1,N66,IF(M$7=99,L66,IF(M$7=0,INDEX($E66:$I66,0,M$5),(INDEX($E66:$I66,0,M$7+1)-INDEX($E66:$I66,0,M$7))/(INDEX($E$4:$I$4,0,M$7+1)-INDEX($E$4:$I$4,0,M$7))+L66)))</f>
        <v>0.39900029588725661</v>
      </c>
      <c r="N66" cm="1">
        <f t="array" ref="N66">IF(N$7=-1,O66,IF(N$7=99,M66,IF(N$7=0,INDEX($E66:$I66,0,N$5),(INDEX($E66:$I66,0,N$7+1)-INDEX($E66:$I66,0,N$7))/(INDEX($E$4:$I$4,0,N$7+1)-INDEX($E$4:$I$4,0,N$7))+M66)))</f>
        <v>0.39900039451634217</v>
      </c>
      <c r="O66" cm="1">
        <f t="array" ref="O66">IF(O$7=-1,P66,IF(O$7=99,N66,IF(O$7=0,INDEX($E66:$I66,0,O$5),(INDEX($E66:$I66,0,O$7+1)-INDEX($E66:$I66,0,O$7))/(INDEX($E$4:$I$4,0,O$7+1)-INDEX($E$4:$I$4,0,O$7))+N66)))</f>
        <v>0.39900049314542774</v>
      </c>
      <c r="P66" cm="1">
        <f t="array" ref="P66">IF(P$7=-1,Q66,IF(P$7=99,O66,IF(P$7=0,INDEX($E66:$I66,0,P$5),(INDEX($E66:$I66,0,P$7+1)-INDEX($E66:$I66,0,P$7))/(INDEX($E$4:$I$4,0,P$7+1)-INDEX($E$4:$I$4,0,P$7))+O66)))</f>
        <v>0.3990005917745133</v>
      </c>
      <c r="Q66" cm="1">
        <f t="array" ref="Q66">IF(Q$7=-1,R66,IF(Q$7=99,P66,IF(Q$7=0,INDEX($E66:$I66,0,Q$5),(INDEX($E66:$I66,0,Q$7+1)-INDEX($E66:$I66,0,Q$7))/(INDEX($E$4:$I$4,0,Q$7+1)-INDEX($E$4:$I$4,0,Q$7))+P66)))</f>
        <v>0.39900069040359887</v>
      </c>
      <c r="R66" cm="1">
        <f t="array" ref="R66">IF(R$7=-1,S66,IF(R$7=99,Q66,IF(R$7=0,INDEX($E66:$I66,0,R$5),(INDEX($E66:$I66,0,R$7+1)-INDEX($E66:$I66,0,R$7))/(INDEX($E$4:$I$4,0,R$7+1)-INDEX($E$4:$I$4,0,R$7))+Q66)))</f>
        <v>0.39900078903268427</v>
      </c>
      <c r="S66" cm="1">
        <f t="array" ref="S66">IF(S$7=-1,T66,IF(S$7=99,R66,IF(S$7=0,INDEX($E66:$I66,0,S$5),(INDEX($E66:$I66,0,S$7+1)-INDEX($E66:$I66,0,S$7))/(INDEX($E$4:$I$4,0,S$7+1)-INDEX($E$4:$I$4,0,S$7))+R66)))</f>
        <v>0.39896543683179386</v>
      </c>
      <c r="T66" cm="1">
        <f t="array" ref="T66">IF(T$7=-1,U66,IF(T$7=99,S66,IF(T$7=0,INDEX($E66:$I66,0,T$5),(INDEX($E66:$I66,0,T$7+1)-INDEX($E66:$I66,0,T$7))/(INDEX($E$4:$I$4,0,T$7+1)-INDEX($E$4:$I$4,0,T$7))+S66)))</f>
        <v>0.39893008463090346</v>
      </c>
      <c r="U66" cm="1">
        <f t="array" ref="U66">IF(U$7=-1,V66,IF(U$7=99,T66,IF(U$7=0,INDEX($E66:$I66,0,U$5),(INDEX($E66:$I66,0,U$7+1)-INDEX($E66:$I66,0,U$7))/(INDEX($E$4:$I$4,0,U$7+1)-INDEX($E$4:$I$4,0,U$7))+T66)))</f>
        <v>0.39889473243001305</v>
      </c>
      <c r="V66" cm="1">
        <f t="array" ref="V66">IF(V$7=-1,W66,IF(V$7=99,U66,IF(V$7=0,INDEX($E66:$I66,0,V$5),(INDEX($E66:$I66,0,V$7+1)-INDEX($E66:$I66,0,V$7))/(INDEX($E$4:$I$4,0,V$7+1)-INDEX($E$4:$I$4,0,V$7))+U66)))</f>
        <v>0.39885938022912265</v>
      </c>
      <c r="W66" cm="1">
        <f t="array" ref="W66">IF(W$7=-1,X66,IF(W$7=99,V66,IF(W$7=0,INDEX($E66:$I66,0,W$5),(INDEX($E66:$I66,0,W$7+1)-INDEX($E66:$I66,0,W$7))/(INDEX($E$4:$I$4,0,W$7+1)-INDEX($E$4:$I$4,0,W$7))+V66)))</f>
        <v>0.39882402802823225</v>
      </c>
      <c r="X66" cm="1">
        <f t="array" ref="X66">IF(X$7=-1,Y66,IF(X$7=99,W66,IF(X$7=0,INDEX($E66:$I66,0,X$5),(INDEX($E66:$I66,0,X$7+1)-INDEX($E66:$I66,0,X$7))/(INDEX($E$4:$I$4,0,X$7+1)-INDEX($E$4:$I$4,0,X$7))+W66)))</f>
        <v>0.39878867582734184</v>
      </c>
      <c r="Y66" cm="1">
        <f t="array" ref="Y66">IF(Y$7=-1,Z66,IF(Y$7=99,X66,IF(Y$7=0,INDEX($E66:$I66,0,Y$5),(INDEX($E66:$I66,0,Y$7+1)-INDEX($E66:$I66,0,Y$7))/(INDEX($E$4:$I$4,0,Y$7+1)-INDEX($E$4:$I$4,0,Y$7))+X66)))</f>
        <v>0.39875332362645144</v>
      </c>
      <c r="Z66" cm="1">
        <f t="array" ref="Z66">IF(Z$7=-1,AA66,IF(Z$7=99,Y66,IF(Z$7=0,INDEX($E66:$I66,0,Z$5),(INDEX($E66:$I66,0,Z$7+1)-INDEX($E66:$I66,0,Z$7))/(INDEX($E$4:$I$4,0,Z$7+1)-INDEX($E$4:$I$4,0,Z$7))+Y66)))</f>
        <v>0.39871797142556104</v>
      </c>
      <c r="AA66" cm="1">
        <f t="array" ref="AA66">IF(AA$7=-1,AB66,IF(AA$7=99,Z66,IF(AA$7=0,INDEX($E66:$I66,0,AA$5),(INDEX($E66:$I66,0,AA$7+1)-INDEX($E66:$I66,0,AA$7))/(INDEX($E$4:$I$4,0,AA$7+1)-INDEX($E$4:$I$4,0,AA$7))+Z66)))</f>
        <v>0.39868261922467063</v>
      </c>
      <c r="AB66" cm="1">
        <f t="array" ref="AB66">IF(AB$7=-1,AC66,IF(AB$7=99,AA66,IF(AB$7=0,INDEX($E66:$I66,0,AB$5),(INDEX($E66:$I66,0,AB$7+1)-INDEX($E66:$I66,0,AB$7))/(INDEX($E$4:$I$4,0,AB$7+1)-INDEX($E$4:$I$4,0,AB$7))+AA66)))</f>
        <v>0.39864726702378012</v>
      </c>
      <c r="AC66" cm="1">
        <f t="array" ref="AC66">IF(AC$7=-1,AD66,IF(AC$7=99,AB66,IF(AC$7=0,INDEX($E66:$I66,0,AC$5),(INDEX($E66:$I66,0,AC$7+1)-INDEX($E66:$I66,0,AC$7))/(INDEX($E$4:$I$4,0,AC$7+1)-INDEX($E$4:$I$4,0,AC$7))+AB66)))</f>
        <v>0.39862067983137495</v>
      </c>
      <c r="AD66" cm="1">
        <f t="array" ref="AD66">IF(AD$7=-1,AE66,IF(AD$7=99,AC66,IF(AD$7=0,INDEX($E66:$I66,0,AD$5),(INDEX($E66:$I66,0,AD$7+1)-INDEX($E66:$I66,0,AD$7))/(INDEX($E$4:$I$4,0,AD$7+1)-INDEX($E$4:$I$4,0,AD$7))+AC66)))</f>
        <v>0.39859409263896978</v>
      </c>
      <c r="AE66" cm="1">
        <f t="array" ref="AE66">IF(AE$7=-1,AF66,IF(AE$7=99,AD66,IF(AE$7=0,INDEX($E66:$I66,0,AE$5),(INDEX($E66:$I66,0,AE$7+1)-INDEX($E66:$I66,0,AE$7))/(INDEX($E$4:$I$4,0,AE$7+1)-INDEX($E$4:$I$4,0,AE$7))+AD66)))</f>
        <v>0.39856750544656461</v>
      </c>
      <c r="AF66" cm="1">
        <f t="array" ref="AF66">IF(AF$7=-1,AG66,IF(AF$7=99,AE66,IF(AF$7=0,INDEX($E66:$I66,0,AF$5),(INDEX($E66:$I66,0,AF$7+1)-INDEX($E66:$I66,0,AF$7))/(INDEX($E$4:$I$4,0,AF$7+1)-INDEX($E$4:$I$4,0,AF$7))+AE66)))</f>
        <v>0.39854091825415944</v>
      </c>
      <c r="AG66" cm="1">
        <f t="array" ref="AG66">IF(AG$7=-1,AH66,IF(AG$7=99,AF66,IF(AG$7=0,INDEX($E66:$I66,0,AG$5),(INDEX($E66:$I66,0,AG$7+1)-INDEX($E66:$I66,0,AG$7))/(INDEX($E$4:$I$4,0,AG$7+1)-INDEX($E$4:$I$4,0,AG$7))+AF66)))</f>
        <v>0.39851433106175427</v>
      </c>
      <c r="AH66" cm="1">
        <f t="array" ref="AH66">IF(AH$7=-1,AI66,IF(AH$7=99,AG66,IF(AH$7=0,INDEX($E66:$I66,0,AH$5),(INDEX($E66:$I66,0,AH$7+1)-INDEX($E66:$I66,0,AH$7))/(INDEX($E$4:$I$4,0,AH$7+1)-INDEX($E$4:$I$4,0,AH$7))+AG66)))</f>
        <v>0.3984877438693491</v>
      </c>
      <c r="AI66" cm="1">
        <f t="array" ref="AI66">IF(AI$7=-1,AJ66,IF(AI$7=99,AH66,IF(AI$7=0,INDEX($E66:$I66,0,AI$5),(INDEX($E66:$I66,0,AI$7+1)-INDEX($E66:$I66,0,AI$7))/(INDEX($E$4:$I$4,0,AI$7+1)-INDEX($E$4:$I$4,0,AI$7))+AH66)))</f>
        <v>0.39846115667694393</v>
      </c>
      <c r="AJ66" cm="1">
        <f t="array" ref="AJ66">IF(AJ$7=-1,AK66,IF(AJ$7=99,AI66,IF(AJ$7=0,INDEX($E66:$I66,0,AJ$5),(INDEX($E66:$I66,0,AJ$7+1)-INDEX($E66:$I66,0,AJ$7))/(INDEX($E$4:$I$4,0,AJ$7+1)-INDEX($E$4:$I$4,0,AJ$7))+AI66)))</f>
        <v>0.39843456948453876</v>
      </c>
      <c r="AK66" cm="1">
        <f t="array" ref="AK66">IF(AK$7=-1,AL66,IF(AK$7=99,AJ66,IF(AK$7=0,INDEX($E66:$I66,0,AK$5),(INDEX($E66:$I66,0,AK$7+1)-INDEX($E66:$I66,0,AK$7))/(INDEX($E$4:$I$4,0,AK$7+1)-INDEX($E$4:$I$4,0,AK$7))+AJ66)))</f>
        <v>0.39840798229213359</v>
      </c>
      <c r="AL66" cm="1">
        <f t="array" ref="AL66">IF(AL$7=-1,AM66,IF(AL$7=99,AK66,IF(AL$7=0,INDEX($E66:$I66,0,AL$5),(INDEX($E66:$I66,0,AL$7+1)-INDEX($E66:$I66,0,AL$7))/(INDEX($E$4:$I$4,0,AL$7+1)-INDEX($E$4:$I$4,0,AL$7))+AK66)))</f>
        <v>0.39838139509972831</v>
      </c>
      <c r="AM66" cm="1">
        <f t="array" ref="AM66">IF(AM$7=-1,AN66,IF(AM$7=99,AL66,IF(AM$7=0,INDEX($E66:$I66,0,AM$5),(INDEX($E66:$I66,0,AM$7+1)-INDEX($E66:$I66,0,AM$7))/(INDEX($E$4:$I$4,0,AM$7+1)-INDEX($E$4:$I$4,0,AM$7))+AL66)))</f>
        <v>0.39833698572340315</v>
      </c>
      <c r="AN66" cm="1">
        <f t="array" ref="AN66">IF(AN$7=-1,AO66,IF(AN$7=99,AM66,IF(AN$7=0,INDEX($E66:$I66,0,AN$5),(INDEX($E66:$I66,0,AN$7+1)-INDEX($E66:$I66,0,AN$7))/(INDEX($E$4:$I$4,0,AN$7+1)-INDEX($E$4:$I$4,0,AN$7))+AM66)))</f>
        <v>0.39793730133647687</v>
      </c>
      <c r="AO66" cm="1">
        <f t="array" ref="AO66">IF(AO$7=-1,AP66,IF(AO$7=99,AN66,IF(AO$7=0,INDEX($E66:$I66,0,AO$5),(INDEX($E66:$I66,0,AO$7+1)-INDEX($E66:$I66,0,AO$7))/(INDEX($E$4:$I$4,0,AO$7+1)-INDEX($E$4:$I$4,0,AO$7))+AN66)))</f>
        <v>0.39793730133647687</v>
      </c>
      <c r="AP66" cm="1">
        <f t="array" ref="AP66">IF(AP$7=-1,AQ66,IF(AP$7=99,AO66,IF(AP$7=0,INDEX($E66:$I66,0,AP$5),(INDEX($E66:$I66,0,AP$7+1)-INDEX($E66:$I66,0,AP$7))/(INDEX($E$4:$I$4,0,AP$7+1)-INDEX($E$4:$I$4,0,AP$7))+AO66)))</f>
        <v>0.39793730133647687</v>
      </c>
    </row>
    <row r="67" spans="1:42">
      <c r="A67" t="s">
        <v>16</v>
      </c>
      <c r="C67" t="str">
        <f t="shared" si="18"/>
        <v>Space Heating</v>
      </c>
      <c r="E67" s="3">
        <f t="shared" si="19"/>
        <v>0.29899999999999999</v>
      </c>
      <c r="F67" s="3">
        <f t="shared" si="19"/>
        <v>0.29900078903268429</v>
      </c>
      <c r="G67" s="3">
        <f t="shared" si="19"/>
        <v>0.29864726702378014</v>
      </c>
      <c r="H67" s="3">
        <f t="shared" si="19"/>
        <v>0.29838139509972833</v>
      </c>
      <c r="I67" s="3">
        <f t="shared" si="19"/>
        <v>0.29793730133647689</v>
      </c>
      <c r="J67" cm="1">
        <f t="array" ref="J67">IF(J$7=-1,K67,IF(J$7=99,I67,IF(J$7=0,INDEX($E67:$I67,0,J$5),(INDEX($E67:$I67,0,J$7+1)-INDEX($E67:$I67,0,J$7))/(INDEX($E$4:$I$4,0,J$7+1)-INDEX($E$4:$I$4,0,J$7))+I67)))</f>
        <v>0.29899999999999999</v>
      </c>
      <c r="K67" cm="1">
        <f t="array" ref="K67">IF(K$7=-1,L67,IF(K$7=99,J67,IF(K$7=0,INDEX($E67:$I67,0,K$5),(INDEX($E67:$I67,0,K$7+1)-INDEX($E67:$I67,0,K$7))/(INDEX($E$4:$I$4,0,K$7+1)-INDEX($E$4:$I$4,0,K$7))+J67)))</f>
        <v>0.2990000986290855</v>
      </c>
      <c r="L67" cm="1">
        <f t="array" ref="L67">IF(L$7=-1,M67,IF(L$7=99,K67,IF(L$7=0,INDEX($E67:$I67,0,L$5),(INDEX($E67:$I67,0,L$7+1)-INDEX($E67:$I67,0,L$7))/(INDEX($E$4:$I$4,0,L$7+1)-INDEX($E$4:$I$4,0,L$7))+K67)))</f>
        <v>0.29900019725817106</v>
      </c>
      <c r="M67" cm="1">
        <f t="array" ref="M67">IF(M$7=-1,N67,IF(M$7=99,L67,IF(M$7=0,INDEX($E67:$I67,0,M$5),(INDEX($E67:$I67,0,M$7+1)-INDEX($E67:$I67,0,M$7))/(INDEX($E$4:$I$4,0,M$7+1)-INDEX($E$4:$I$4,0,M$7))+L67)))</f>
        <v>0.29900029588725663</v>
      </c>
      <c r="N67" cm="1">
        <f t="array" ref="N67">IF(N$7=-1,O67,IF(N$7=99,M67,IF(N$7=0,INDEX($E67:$I67,0,N$5),(INDEX($E67:$I67,0,N$7+1)-INDEX($E67:$I67,0,N$7))/(INDEX($E$4:$I$4,0,N$7+1)-INDEX($E$4:$I$4,0,N$7))+M67)))</f>
        <v>0.29900039451634219</v>
      </c>
      <c r="O67" cm="1">
        <f t="array" ref="O67">IF(O$7=-1,P67,IF(O$7=99,N67,IF(O$7=0,INDEX($E67:$I67,0,O$5),(INDEX($E67:$I67,0,O$7+1)-INDEX($E67:$I67,0,O$7))/(INDEX($E$4:$I$4,0,O$7+1)-INDEX($E$4:$I$4,0,O$7))+N67)))</f>
        <v>0.29900049314542776</v>
      </c>
      <c r="P67" cm="1">
        <f t="array" ref="P67">IF(P$7=-1,Q67,IF(P$7=99,O67,IF(P$7=0,INDEX($E67:$I67,0,P$5),(INDEX($E67:$I67,0,P$7+1)-INDEX($E67:$I67,0,P$7))/(INDEX($E$4:$I$4,0,P$7+1)-INDEX($E$4:$I$4,0,P$7))+O67)))</f>
        <v>0.29900059177451332</v>
      </c>
      <c r="Q67" cm="1">
        <f t="array" ref="Q67">IF(Q$7=-1,R67,IF(Q$7=99,P67,IF(Q$7=0,INDEX($E67:$I67,0,Q$5),(INDEX($E67:$I67,0,Q$7+1)-INDEX($E67:$I67,0,Q$7))/(INDEX($E$4:$I$4,0,Q$7+1)-INDEX($E$4:$I$4,0,Q$7))+P67)))</f>
        <v>0.29900069040359889</v>
      </c>
      <c r="R67" cm="1">
        <f t="array" ref="R67">IF(R$7=-1,S67,IF(R$7=99,Q67,IF(R$7=0,INDEX($E67:$I67,0,R$5),(INDEX($E67:$I67,0,R$7+1)-INDEX($E67:$I67,0,R$7))/(INDEX($E$4:$I$4,0,R$7+1)-INDEX($E$4:$I$4,0,R$7))+Q67)))</f>
        <v>0.29900078903268429</v>
      </c>
      <c r="S67" cm="1">
        <f t="array" ref="S67">IF(S$7=-1,T67,IF(S$7=99,R67,IF(S$7=0,INDEX($E67:$I67,0,S$5),(INDEX($E67:$I67,0,S$7+1)-INDEX($E67:$I67,0,S$7))/(INDEX($E$4:$I$4,0,S$7+1)-INDEX($E$4:$I$4,0,S$7))+R67)))</f>
        <v>0.29896543683179388</v>
      </c>
      <c r="T67" cm="1">
        <f t="array" ref="T67">IF(T$7=-1,U67,IF(T$7=99,S67,IF(T$7=0,INDEX($E67:$I67,0,T$5),(INDEX($E67:$I67,0,T$7+1)-INDEX($E67:$I67,0,T$7))/(INDEX($E$4:$I$4,0,T$7+1)-INDEX($E$4:$I$4,0,T$7))+S67)))</f>
        <v>0.29893008463090348</v>
      </c>
      <c r="U67" cm="1">
        <f t="array" ref="U67">IF(U$7=-1,V67,IF(U$7=99,T67,IF(U$7=0,INDEX($E67:$I67,0,U$5),(INDEX($E67:$I67,0,U$7+1)-INDEX($E67:$I67,0,U$7))/(INDEX($E$4:$I$4,0,U$7+1)-INDEX($E$4:$I$4,0,U$7))+T67)))</f>
        <v>0.29889473243001308</v>
      </c>
      <c r="V67" cm="1">
        <f t="array" ref="V67">IF(V$7=-1,W67,IF(V$7=99,U67,IF(V$7=0,INDEX($E67:$I67,0,V$5),(INDEX($E67:$I67,0,V$7+1)-INDEX($E67:$I67,0,V$7))/(INDEX($E$4:$I$4,0,V$7+1)-INDEX($E$4:$I$4,0,V$7))+U67)))</f>
        <v>0.29885938022912267</v>
      </c>
      <c r="W67" cm="1">
        <f t="array" ref="W67">IF(W$7=-1,X67,IF(W$7=99,V67,IF(W$7=0,INDEX($E67:$I67,0,W$5),(INDEX($E67:$I67,0,W$7+1)-INDEX($E67:$I67,0,W$7))/(INDEX($E$4:$I$4,0,W$7+1)-INDEX($E$4:$I$4,0,W$7))+V67)))</f>
        <v>0.29882402802823227</v>
      </c>
      <c r="X67" cm="1">
        <f t="array" ref="X67">IF(X$7=-1,Y67,IF(X$7=99,W67,IF(X$7=0,INDEX($E67:$I67,0,X$5),(INDEX($E67:$I67,0,X$7+1)-INDEX($E67:$I67,0,X$7))/(INDEX($E$4:$I$4,0,X$7+1)-INDEX($E$4:$I$4,0,X$7))+W67)))</f>
        <v>0.29878867582734187</v>
      </c>
      <c r="Y67" cm="1">
        <f t="array" ref="Y67">IF(Y$7=-1,Z67,IF(Y$7=99,X67,IF(Y$7=0,INDEX($E67:$I67,0,Y$5),(INDEX($E67:$I67,0,Y$7+1)-INDEX($E67:$I67,0,Y$7))/(INDEX($E$4:$I$4,0,Y$7+1)-INDEX($E$4:$I$4,0,Y$7))+X67)))</f>
        <v>0.29875332362645146</v>
      </c>
      <c r="Z67" cm="1">
        <f t="array" ref="Z67">IF(Z$7=-1,AA67,IF(Z$7=99,Y67,IF(Z$7=0,INDEX($E67:$I67,0,Z$5),(INDEX($E67:$I67,0,Z$7+1)-INDEX($E67:$I67,0,Z$7))/(INDEX($E$4:$I$4,0,Z$7+1)-INDEX($E$4:$I$4,0,Z$7))+Y67)))</f>
        <v>0.29871797142556106</v>
      </c>
      <c r="AA67" cm="1">
        <f t="array" ref="AA67">IF(AA$7=-1,AB67,IF(AA$7=99,Z67,IF(AA$7=0,INDEX($E67:$I67,0,AA$5),(INDEX($E67:$I67,0,AA$7+1)-INDEX($E67:$I67,0,AA$7))/(INDEX($E$4:$I$4,0,AA$7+1)-INDEX($E$4:$I$4,0,AA$7))+Z67)))</f>
        <v>0.29868261922467065</v>
      </c>
      <c r="AB67" cm="1">
        <f t="array" ref="AB67">IF(AB$7=-1,AC67,IF(AB$7=99,AA67,IF(AB$7=0,INDEX($E67:$I67,0,AB$5),(INDEX($E67:$I67,0,AB$7+1)-INDEX($E67:$I67,0,AB$7))/(INDEX($E$4:$I$4,0,AB$7+1)-INDEX($E$4:$I$4,0,AB$7))+AA67)))</f>
        <v>0.29864726702378014</v>
      </c>
      <c r="AC67" cm="1">
        <f t="array" ref="AC67">IF(AC$7=-1,AD67,IF(AC$7=99,AB67,IF(AC$7=0,INDEX($E67:$I67,0,AC$5),(INDEX($E67:$I67,0,AC$7+1)-INDEX($E67:$I67,0,AC$7))/(INDEX($E$4:$I$4,0,AC$7+1)-INDEX($E$4:$I$4,0,AC$7))+AB67)))</f>
        <v>0.29862067983137497</v>
      </c>
      <c r="AD67" cm="1">
        <f t="array" ref="AD67">IF(AD$7=-1,AE67,IF(AD$7=99,AC67,IF(AD$7=0,INDEX($E67:$I67,0,AD$5),(INDEX($E67:$I67,0,AD$7+1)-INDEX($E67:$I67,0,AD$7))/(INDEX($E$4:$I$4,0,AD$7+1)-INDEX($E$4:$I$4,0,AD$7))+AC67)))</f>
        <v>0.2985940926389698</v>
      </c>
      <c r="AE67" cm="1">
        <f t="array" ref="AE67">IF(AE$7=-1,AF67,IF(AE$7=99,AD67,IF(AE$7=0,INDEX($E67:$I67,0,AE$5),(INDEX($E67:$I67,0,AE$7+1)-INDEX($E67:$I67,0,AE$7))/(INDEX($E$4:$I$4,0,AE$7+1)-INDEX($E$4:$I$4,0,AE$7))+AD67)))</f>
        <v>0.29856750544656463</v>
      </c>
      <c r="AF67" cm="1">
        <f t="array" ref="AF67">IF(AF$7=-1,AG67,IF(AF$7=99,AE67,IF(AF$7=0,INDEX($E67:$I67,0,AF$5),(INDEX($E67:$I67,0,AF$7+1)-INDEX($E67:$I67,0,AF$7))/(INDEX($E$4:$I$4,0,AF$7+1)-INDEX($E$4:$I$4,0,AF$7))+AE67)))</f>
        <v>0.29854091825415946</v>
      </c>
      <c r="AG67" cm="1">
        <f t="array" ref="AG67">IF(AG$7=-1,AH67,IF(AG$7=99,AF67,IF(AG$7=0,INDEX($E67:$I67,0,AG$5),(INDEX($E67:$I67,0,AG$7+1)-INDEX($E67:$I67,0,AG$7))/(INDEX($E$4:$I$4,0,AG$7+1)-INDEX($E$4:$I$4,0,AG$7))+AF67)))</f>
        <v>0.29851433106175429</v>
      </c>
      <c r="AH67" cm="1">
        <f t="array" ref="AH67">IF(AH$7=-1,AI67,IF(AH$7=99,AG67,IF(AH$7=0,INDEX($E67:$I67,0,AH$5),(INDEX($E67:$I67,0,AH$7+1)-INDEX($E67:$I67,0,AH$7))/(INDEX($E$4:$I$4,0,AH$7+1)-INDEX($E$4:$I$4,0,AH$7))+AG67)))</f>
        <v>0.29848774386934912</v>
      </c>
      <c r="AI67" cm="1">
        <f t="array" ref="AI67">IF(AI$7=-1,AJ67,IF(AI$7=99,AH67,IF(AI$7=0,INDEX($E67:$I67,0,AI$5),(INDEX($E67:$I67,0,AI$7+1)-INDEX($E67:$I67,0,AI$7))/(INDEX($E$4:$I$4,0,AI$7+1)-INDEX($E$4:$I$4,0,AI$7))+AH67)))</f>
        <v>0.29846115667694395</v>
      </c>
      <c r="AJ67" cm="1">
        <f t="array" ref="AJ67">IF(AJ$7=-1,AK67,IF(AJ$7=99,AI67,IF(AJ$7=0,INDEX($E67:$I67,0,AJ$5),(INDEX($E67:$I67,0,AJ$7+1)-INDEX($E67:$I67,0,AJ$7))/(INDEX($E$4:$I$4,0,AJ$7+1)-INDEX($E$4:$I$4,0,AJ$7))+AI67)))</f>
        <v>0.29843456948453878</v>
      </c>
      <c r="AK67" cm="1">
        <f t="array" ref="AK67">IF(AK$7=-1,AL67,IF(AK$7=99,AJ67,IF(AK$7=0,INDEX($E67:$I67,0,AK$5),(INDEX($E67:$I67,0,AK$7+1)-INDEX($E67:$I67,0,AK$7))/(INDEX($E$4:$I$4,0,AK$7+1)-INDEX($E$4:$I$4,0,AK$7))+AJ67)))</f>
        <v>0.29840798229213361</v>
      </c>
      <c r="AL67" cm="1">
        <f t="array" ref="AL67">IF(AL$7=-1,AM67,IF(AL$7=99,AK67,IF(AL$7=0,INDEX($E67:$I67,0,AL$5),(INDEX($E67:$I67,0,AL$7+1)-INDEX($E67:$I67,0,AL$7))/(INDEX($E$4:$I$4,0,AL$7+1)-INDEX($E$4:$I$4,0,AL$7))+AK67)))</f>
        <v>0.29838139509972833</v>
      </c>
      <c r="AM67" cm="1">
        <f t="array" ref="AM67">IF(AM$7=-1,AN67,IF(AM$7=99,AL67,IF(AM$7=0,INDEX($E67:$I67,0,AM$5),(INDEX($E67:$I67,0,AM$7+1)-INDEX($E67:$I67,0,AM$7))/(INDEX($E$4:$I$4,0,AM$7+1)-INDEX($E$4:$I$4,0,AM$7))+AL67)))</f>
        <v>0.29833698572340317</v>
      </c>
      <c r="AN67" cm="1">
        <f t="array" ref="AN67">IF(AN$7=-1,AO67,IF(AN$7=99,AM67,IF(AN$7=0,INDEX($E67:$I67,0,AN$5),(INDEX($E67:$I67,0,AN$7+1)-INDEX($E67:$I67,0,AN$7))/(INDEX($E$4:$I$4,0,AN$7+1)-INDEX($E$4:$I$4,0,AN$7))+AM67)))</f>
        <v>0.29793730133647689</v>
      </c>
      <c r="AO67" cm="1">
        <f t="array" ref="AO67">IF(AO$7=-1,AP67,IF(AO$7=99,AN67,IF(AO$7=0,INDEX($E67:$I67,0,AO$5),(INDEX($E67:$I67,0,AO$7+1)-INDEX($E67:$I67,0,AO$7))/(INDEX($E$4:$I$4,0,AO$7+1)-INDEX($E$4:$I$4,0,AO$7))+AN67)))</f>
        <v>0.29793730133647689</v>
      </c>
      <c r="AP67" cm="1">
        <f t="array" ref="AP67">IF(AP$7=-1,AQ67,IF(AP$7=99,AO67,IF(AP$7=0,INDEX($E67:$I67,0,AP$5),(INDEX($E67:$I67,0,AP$7+1)-INDEX($E67:$I67,0,AP$7))/(INDEX($E$4:$I$4,0,AP$7+1)-INDEX($E$4:$I$4,0,AP$7))+AO67)))</f>
        <v>0.29793730133647689</v>
      </c>
    </row>
    <row r="68" spans="1:42">
      <c r="A68" t="s">
        <v>16</v>
      </c>
      <c r="C68" t="str">
        <f t="shared" si="18"/>
        <v>Water Heating Geyser</v>
      </c>
      <c r="E68" s="3">
        <f t="shared" si="19"/>
        <v>0.69799999999999995</v>
      </c>
      <c r="F68" s="3">
        <f t="shared" si="19"/>
        <v>0.69800157806536856</v>
      </c>
      <c r="G68" s="3">
        <f t="shared" si="19"/>
        <v>0.69729453404756025</v>
      </c>
      <c r="H68" s="3">
        <f t="shared" si="19"/>
        <v>0.69676279019945664</v>
      </c>
      <c r="I68" s="3">
        <f t="shared" si="19"/>
        <v>0.69587460267295376</v>
      </c>
      <c r="J68" cm="1">
        <f t="array" ref="J68">IF(J$7=-1,K68,IF(J$7=99,I68,IF(J$7=0,INDEX($E68:$I68,0,J$5),(INDEX($E68:$I68,0,J$7+1)-INDEX($E68:$I68,0,J$7))/(INDEX($E$4:$I$4,0,J$7+1)-INDEX($E$4:$I$4,0,J$7))+I68)))</f>
        <v>0.69799999999999995</v>
      </c>
      <c r="K68" cm="1">
        <f t="array" ref="K68">IF(K$7=-1,L68,IF(K$7=99,J68,IF(K$7=0,INDEX($E68:$I68,0,K$5),(INDEX($E68:$I68,0,K$7+1)-INDEX($E68:$I68,0,K$7))/(INDEX($E$4:$I$4,0,K$7+1)-INDEX($E$4:$I$4,0,K$7))+J68)))</f>
        <v>0.69800019725817108</v>
      </c>
      <c r="L68" cm="1">
        <f t="array" ref="L68">IF(L$7=-1,M68,IF(L$7=99,K68,IF(L$7=0,INDEX($E68:$I68,0,L$5),(INDEX($E68:$I68,0,L$7+1)-INDEX($E68:$I68,0,L$7))/(INDEX($E$4:$I$4,0,L$7+1)-INDEX($E$4:$I$4,0,L$7))+K68)))</f>
        <v>0.69800039451634222</v>
      </c>
      <c r="M68" cm="1">
        <f t="array" ref="M68">IF(M$7=-1,N68,IF(M$7=99,L68,IF(M$7=0,INDEX($E68:$I68,0,M$5),(INDEX($E68:$I68,0,M$7+1)-INDEX($E68:$I68,0,M$7))/(INDEX($E$4:$I$4,0,M$7+1)-INDEX($E$4:$I$4,0,M$7))+L68)))</f>
        <v>0.69800059177451335</v>
      </c>
      <c r="N68" cm="1">
        <f t="array" ref="N68">IF(N$7=-1,O68,IF(N$7=99,M68,IF(N$7=0,INDEX($E68:$I68,0,N$5),(INDEX($E68:$I68,0,N$7+1)-INDEX($E68:$I68,0,N$7))/(INDEX($E$4:$I$4,0,N$7+1)-INDEX($E$4:$I$4,0,N$7))+M68)))</f>
        <v>0.69800078903268448</v>
      </c>
      <c r="O68" cm="1">
        <f t="array" ref="O68">IF(O$7=-1,P68,IF(O$7=99,N68,IF(O$7=0,INDEX($E68:$I68,0,O$5),(INDEX($E68:$I68,0,O$7+1)-INDEX($E68:$I68,0,O$7))/(INDEX($E$4:$I$4,0,O$7+1)-INDEX($E$4:$I$4,0,O$7))+N68)))</f>
        <v>0.69800098629085561</v>
      </c>
      <c r="P68" cm="1">
        <f t="array" ref="P68">IF(P$7=-1,Q68,IF(P$7=99,O68,IF(P$7=0,INDEX($E68:$I68,0,P$5),(INDEX($E68:$I68,0,P$7+1)-INDEX($E68:$I68,0,P$7))/(INDEX($E$4:$I$4,0,P$7+1)-INDEX($E$4:$I$4,0,P$7))+O68)))</f>
        <v>0.69800118354902674</v>
      </c>
      <c r="Q68" cm="1">
        <f t="array" ref="Q68">IF(Q$7=-1,R68,IF(Q$7=99,P68,IF(Q$7=0,INDEX($E68:$I68,0,Q$5),(INDEX($E68:$I68,0,Q$7+1)-INDEX($E68:$I68,0,Q$7))/(INDEX($E$4:$I$4,0,Q$7+1)-INDEX($E$4:$I$4,0,Q$7))+P68)))</f>
        <v>0.69800138080719787</v>
      </c>
      <c r="R68" cm="1">
        <f t="array" ref="R68">IF(R$7=-1,S68,IF(R$7=99,Q68,IF(R$7=0,INDEX($E68:$I68,0,R$5),(INDEX($E68:$I68,0,R$7+1)-INDEX($E68:$I68,0,R$7))/(INDEX($E$4:$I$4,0,R$7+1)-INDEX($E$4:$I$4,0,R$7))+Q68)))</f>
        <v>0.69800157806536856</v>
      </c>
      <c r="S68" cm="1">
        <f t="array" ref="S68">IF(S$7=-1,T68,IF(S$7=99,R68,IF(S$7=0,INDEX($E68:$I68,0,S$5),(INDEX($E68:$I68,0,S$7+1)-INDEX($E68:$I68,0,S$7))/(INDEX($E$4:$I$4,0,S$7+1)-INDEX($E$4:$I$4,0,S$7))+R68)))</f>
        <v>0.69793087366358775</v>
      </c>
      <c r="T68" cm="1">
        <f t="array" ref="T68">IF(T$7=-1,U68,IF(T$7=99,S68,IF(T$7=0,INDEX($E68:$I68,0,T$5),(INDEX($E68:$I68,0,T$7+1)-INDEX($E68:$I68,0,T$7))/(INDEX($E$4:$I$4,0,T$7+1)-INDEX($E$4:$I$4,0,T$7))+S68)))</f>
        <v>0.69786016926180694</v>
      </c>
      <c r="U68" cm="1">
        <f t="array" ref="U68">IF(U$7=-1,V68,IF(U$7=99,T68,IF(U$7=0,INDEX($E68:$I68,0,U$5),(INDEX($E68:$I68,0,U$7+1)-INDEX($E68:$I68,0,U$7))/(INDEX($E$4:$I$4,0,U$7+1)-INDEX($E$4:$I$4,0,U$7))+T68)))</f>
        <v>0.69778946486002613</v>
      </c>
      <c r="V68" cm="1">
        <f t="array" ref="V68">IF(V$7=-1,W68,IF(V$7=99,U68,IF(V$7=0,INDEX($E68:$I68,0,V$5),(INDEX($E68:$I68,0,V$7+1)-INDEX($E68:$I68,0,V$7))/(INDEX($E$4:$I$4,0,V$7+1)-INDEX($E$4:$I$4,0,V$7))+U68)))</f>
        <v>0.69771876045824532</v>
      </c>
      <c r="W68" cm="1">
        <f t="array" ref="W68">IF(W$7=-1,X68,IF(W$7=99,V68,IF(W$7=0,INDEX($E68:$I68,0,W$5),(INDEX($E68:$I68,0,W$7+1)-INDEX($E68:$I68,0,W$7))/(INDEX($E$4:$I$4,0,W$7+1)-INDEX($E$4:$I$4,0,W$7))+V68)))</f>
        <v>0.69764805605646452</v>
      </c>
      <c r="X68" cm="1">
        <f t="array" ref="X68">IF(X$7=-1,Y68,IF(X$7=99,W68,IF(X$7=0,INDEX($E68:$I68,0,X$5),(INDEX($E68:$I68,0,X$7+1)-INDEX($E68:$I68,0,X$7))/(INDEX($E$4:$I$4,0,X$7+1)-INDEX($E$4:$I$4,0,X$7))+W68)))</f>
        <v>0.69757735165468371</v>
      </c>
      <c r="Y68" cm="1">
        <f t="array" ref="Y68">IF(Y$7=-1,Z68,IF(Y$7=99,X68,IF(Y$7=0,INDEX($E68:$I68,0,Y$5),(INDEX($E68:$I68,0,Y$7+1)-INDEX($E68:$I68,0,Y$7))/(INDEX($E$4:$I$4,0,Y$7+1)-INDEX($E$4:$I$4,0,Y$7))+X68)))</f>
        <v>0.6975066472529029</v>
      </c>
      <c r="Z68" cm="1">
        <f t="array" ref="Z68">IF(Z$7=-1,AA68,IF(Z$7=99,Y68,IF(Z$7=0,INDEX($E68:$I68,0,Z$5),(INDEX($E68:$I68,0,Z$7+1)-INDEX($E68:$I68,0,Z$7))/(INDEX($E$4:$I$4,0,Z$7+1)-INDEX($E$4:$I$4,0,Z$7))+Y68)))</f>
        <v>0.69743594285112209</v>
      </c>
      <c r="AA68" cm="1">
        <f t="array" ref="AA68">IF(AA$7=-1,AB68,IF(AA$7=99,Z68,IF(AA$7=0,INDEX($E68:$I68,0,AA$5),(INDEX($E68:$I68,0,AA$7+1)-INDEX($E68:$I68,0,AA$7))/(INDEX($E$4:$I$4,0,AA$7+1)-INDEX($E$4:$I$4,0,AA$7))+Z68)))</f>
        <v>0.69736523844934128</v>
      </c>
      <c r="AB68" cm="1">
        <f t="array" ref="AB68">IF(AB$7=-1,AC68,IF(AB$7=99,AA68,IF(AB$7=0,INDEX($E68:$I68,0,AB$5),(INDEX($E68:$I68,0,AB$7+1)-INDEX($E68:$I68,0,AB$7))/(INDEX($E$4:$I$4,0,AB$7+1)-INDEX($E$4:$I$4,0,AB$7))+AA68)))</f>
        <v>0.69729453404756025</v>
      </c>
      <c r="AC68" cm="1">
        <f t="array" ref="AC68">IF(AC$7=-1,AD68,IF(AC$7=99,AB68,IF(AC$7=0,INDEX($E68:$I68,0,AC$5),(INDEX($E68:$I68,0,AC$7+1)-INDEX($E68:$I68,0,AC$7))/(INDEX($E$4:$I$4,0,AC$7+1)-INDEX($E$4:$I$4,0,AC$7))+AB68)))</f>
        <v>0.69724135966274992</v>
      </c>
      <c r="AD68" cm="1">
        <f t="array" ref="AD68">IF(AD$7=-1,AE68,IF(AD$7=99,AC68,IF(AD$7=0,INDEX($E68:$I68,0,AD$5),(INDEX($E68:$I68,0,AD$7+1)-INDEX($E68:$I68,0,AD$7))/(INDEX($E$4:$I$4,0,AD$7+1)-INDEX($E$4:$I$4,0,AD$7))+AC68)))</f>
        <v>0.69718818527793958</v>
      </c>
      <c r="AE68" cm="1">
        <f t="array" ref="AE68">IF(AE$7=-1,AF68,IF(AE$7=99,AD68,IF(AE$7=0,INDEX($E68:$I68,0,AE$5),(INDEX($E68:$I68,0,AE$7+1)-INDEX($E68:$I68,0,AE$7))/(INDEX($E$4:$I$4,0,AE$7+1)-INDEX($E$4:$I$4,0,AE$7))+AD68)))</f>
        <v>0.69713501089312924</v>
      </c>
      <c r="AF68" cm="1">
        <f t="array" ref="AF68">IF(AF$7=-1,AG68,IF(AF$7=99,AE68,IF(AF$7=0,INDEX($E68:$I68,0,AF$5),(INDEX($E68:$I68,0,AF$7+1)-INDEX($E68:$I68,0,AF$7))/(INDEX($E$4:$I$4,0,AF$7+1)-INDEX($E$4:$I$4,0,AF$7))+AE68)))</f>
        <v>0.6970818365083189</v>
      </c>
      <c r="AG68" cm="1">
        <f t="array" ref="AG68">IF(AG$7=-1,AH68,IF(AG$7=99,AF68,IF(AG$7=0,INDEX($E68:$I68,0,AG$5),(INDEX($E68:$I68,0,AG$7+1)-INDEX($E68:$I68,0,AG$7))/(INDEX($E$4:$I$4,0,AG$7+1)-INDEX($E$4:$I$4,0,AG$7))+AF68)))</f>
        <v>0.69702866212350856</v>
      </c>
      <c r="AH68" cm="1">
        <f t="array" ref="AH68">IF(AH$7=-1,AI68,IF(AH$7=99,AG68,IF(AH$7=0,INDEX($E68:$I68,0,AH$5),(INDEX($E68:$I68,0,AH$7+1)-INDEX($E68:$I68,0,AH$7))/(INDEX($E$4:$I$4,0,AH$7+1)-INDEX($E$4:$I$4,0,AH$7))+AG68)))</f>
        <v>0.69697548773869822</v>
      </c>
      <c r="AI68" cm="1">
        <f t="array" ref="AI68">IF(AI$7=-1,AJ68,IF(AI$7=99,AH68,IF(AI$7=0,INDEX($E68:$I68,0,AI$5),(INDEX($E68:$I68,0,AI$7+1)-INDEX($E68:$I68,0,AI$7))/(INDEX($E$4:$I$4,0,AI$7+1)-INDEX($E$4:$I$4,0,AI$7))+AH68)))</f>
        <v>0.69692231335388788</v>
      </c>
      <c r="AJ68" cm="1">
        <f t="array" ref="AJ68">IF(AJ$7=-1,AK68,IF(AJ$7=99,AI68,IF(AJ$7=0,INDEX($E68:$I68,0,AJ$5),(INDEX($E68:$I68,0,AJ$7+1)-INDEX($E68:$I68,0,AJ$7))/(INDEX($E$4:$I$4,0,AJ$7+1)-INDEX($E$4:$I$4,0,AJ$7))+AI68)))</f>
        <v>0.69686913896907754</v>
      </c>
      <c r="AK68" cm="1">
        <f t="array" ref="AK68">IF(AK$7=-1,AL68,IF(AK$7=99,AJ68,IF(AK$7=0,INDEX($E68:$I68,0,AK$5),(INDEX($E68:$I68,0,AK$7+1)-INDEX($E68:$I68,0,AK$7))/(INDEX($E$4:$I$4,0,AK$7+1)-INDEX($E$4:$I$4,0,AK$7))+AJ68)))</f>
        <v>0.6968159645842672</v>
      </c>
      <c r="AL68" cm="1">
        <f t="array" ref="AL68">IF(AL$7=-1,AM68,IF(AL$7=99,AK68,IF(AL$7=0,INDEX($E68:$I68,0,AL$5),(INDEX($E68:$I68,0,AL$7+1)-INDEX($E68:$I68,0,AL$7))/(INDEX($E$4:$I$4,0,AL$7+1)-INDEX($E$4:$I$4,0,AL$7))+AK68)))</f>
        <v>0.69676279019945664</v>
      </c>
      <c r="AM68" cm="1">
        <f t="array" ref="AM68">IF(AM$7=-1,AN68,IF(AM$7=99,AL68,IF(AM$7=0,INDEX($E68:$I68,0,AM$5),(INDEX($E68:$I68,0,AM$7+1)-INDEX($E68:$I68,0,AM$7))/(INDEX($E$4:$I$4,0,AM$7+1)-INDEX($E$4:$I$4,0,AM$7))+AL68)))</f>
        <v>0.69667397144680632</v>
      </c>
      <c r="AN68" cm="1">
        <f t="array" ref="AN68">IF(AN$7=-1,AO68,IF(AN$7=99,AM68,IF(AN$7=0,INDEX($E68:$I68,0,AN$5),(INDEX($E68:$I68,0,AN$7+1)-INDEX($E68:$I68,0,AN$7))/(INDEX($E$4:$I$4,0,AN$7+1)-INDEX($E$4:$I$4,0,AN$7))+AM68)))</f>
        <v>0.69587460267295376</v>
      </c>
      <c r="AO68" cm="1">
        <f t="array" ref="AO68">IF(AO$7=-1,AP68,IF(AO$7=99,AN68,IF(AO$7=0,INDEX($E68:$I68,0,AO$5),(INDEX($E68:$I68,0,AO$7+1)-INDEX($E68:$I68,0,AO$7))/(INDEX($E$4:$I$4,0,AO$7+1)-INDEX($E$4:$I$4,0,AO$7))+AN68)))</f>
        <v>0.69587460267295376</v>
      </c>
      <c r="AP68" cm="1">
        <f t="array" ref="AP68">IF(AP$7=-1,AQ68,IF(AP$7=99,AO68,IF(AP$7=0,INDEX($E68:$I68,0,AP$5),(INDEX($E68:$I68,0,AP$7+1)-INDEX($E68:$I68,0,AP$7))/(INDEX($E$4:$I$4,0,AP$7+1)-INDEX($E$4:$I$4,0,AP$7))+AO68)))</f>
        <v>0.69587460267295376</v>
      </c>
    </row>
    <row r="69" spans="1:42">
      <c r="A69" t="s">
        <v>16</v>
      </c>
      <c r="C69" t="str">
        <f t="shared" si="18"/>
        <v>Water Heating</v>
      </c>
      <c r="E69" s="3">
        <f t="shared" si="19"/>
        <v>0</v>
      </c>
      <c r="F69" s="3">
        <f t="shared" si="19"/>
        <v>0</v>
      </c>
      <c r="G69" s="3">
        <f t="shared" si="19"/>
        <v>0</v>
      </c>
      <c r="H69" s="3">
        <f t="shared" si="19"/>
        <v>0</v>
      </c>
      <c r="I69" s="3">
        <f t="shared" si="19"/>
        <v>0</v>
      </c>
      <c r="J69" cm="1">
        <f t="array" ref="J69">IF(J$7=-1,K69,IF(J$7=99,I69,IF(J$7=0,INDEX($E69:$I69,0,J$5),(INDEX($E69:$I69,0,J$7+1)-INDEX($E69:$I69,0,J$7))/(INDEX($E$4:$I$4,0,J$7+1)-INDEX($E$4:$I$4,0,J$7))+I69)))</f>
        <v>0</v>
      </c>
      <c r="K69" cm="1">
        <f t="array" ref="K69">IF(K$7=-1,L69,IF(K$7=99,J69,IF(K$7=0,INDEX($E69:$I69,0,K$5),(INDEX($E69:$I69,0,K$7+1)-INDEX($E69:$I69,0,K$7))/(INDEX($E$4:$I$4,0,K$7+1)-INDEX($E$4:$I$4,0,K$7))+J69)))</f>
        <v>0</v>
      </c>
      <c r="L69" cm="1">
        <f t="array" ref="L69">IF(L$7=-1,M69,IF(L$7=99,K69,IF(L$7=0,INDEX($E69:$I69,0,L$5),(INDEX($E69:$I69,0,L$7+1)-INDEX($E69:$I69,0,L$7))/(INDEX($E$4:$I$4,0,L$7+1)-INDEX($E$4:$I$4,0,L$7))+K69)))</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IF(AL$7=-1,AM69,IF(AL$7=99,AK69,IF(AL$7=0,INDEX($E69:$I69,0,AL$5),(INDEX($E69:$I69,0,AL$7+1)-INDEX($E69:$I69,0,AL$7))/(INDEX($E$4:$I$4,0,AL$7+1)-INDEX($E$4:$I$4,0,AL$7))+AK69)))</f>
        <v>0</v>
      </c>
      <c r="AM69" cm="1">
        <f t="array" ref="AM69">IF(AM$7=-1,AN69,IF(AM$7=99,AL69,IF(AM$7=0,INDEX($E69:$I69,0,AM$5),(INDEX($E69:$I69,0,AM$7+1)-INDEX($E69:$I69,0,AM$7))/(INDEX($E$4:$I$4,0,AM$7+1)-INDEX($E$4:$I$4,0,AM$7))+AL69)))</f>
        <v>0</v>
      </c>
      <c r="AN69" cm="1">
        <f t="array" ref="AN69">IF(AN$7=-1,AO69,IF(AN$7=99,AM69,IF(AN$7=0,INDEX($E69:$I69,0,AN$5),(INDEX($E69:$I69,0,AN$7+1)-INDEX($E69:$I69,0,AN$7))/(INDEX($E$4:$I$4,0,AN$7+1)-INDEX($E$4:$I$4,0,AN$7))+AM69)))</f>
        <v>0</v>
      </c>
      <c r="AO69" cm="1">
        <f t="array" ref="AO69">IF(AO$7=-1,AP69,IF(AO$7=99,AN69,IF(AO$7=0,INDEX($E69:$I69,0,AO$5),(INDEX($E69:$I69,0,AO$7+1)-INDEX($E69:$I69,0,AO$7))/(INDEX($E$4:$I$4,0,AO$7+1)-INDEX($E$4:$I$4,0,AO$7))+AN69)))</f>
        <v>0</v>
      </c>
      <c r="AP69" cm="1">
        <f t="array" ref="AP69">IF(AP$7=-1,AQ69,IF(AP$7=99,AO69,IF(AP$7=0,INDEX($E69:$I69,0,AP$5),(INDEX($E69:$I69,0,AP$7+1)-INDEX($E69:$I69,0,AP$7))/(INDEX($E$4:$I$4,0,AP$7+1)-INDEX($E$4:$I$4,0,AP$7))+AO69)))</f>
        <v>0</v>
      </c>
    </row>
    <row r="70" spans="1:42">
      <c r="A70" t="s">
        <v>16</v>
      </c>
    </row>
    <row r="71" spans="1:42">
      <c r="A71" t="s">
        <v>16</v>
      </c>
      <c r="C71" s="183" t="s">
        <v>546</v>
      </c>
      <c r="D71" s="184" t="s">
        <v>547</v>
      </c>
      <c r="E71" s="185"/>
      <c r="F71" s="185"/>
      <c r="G71" s="185"/>
      <c r="H71" s="185"/>
      <c r="I71" s="185"/>
      <c r="J71" s="184"/>
      <c r="K71" s="184"/>
      <c r="L71" s="184"/>
      <c r="M71" s="184"/>
      <c r="N71" s="184"/>
    </row>
    <row r="72" spans="1:42">
      <c r="A72" t="s">
        <v>16</v>
      </c>
      <c r="E72" s="3"/>
      <c r="F72" s="3"/>
      <c r="G72" s="3"/>
      <c r="H72" s="3"/>
      <c r="I72" s="3"/>
      <c r="J72"/>
    </row>
    <row r="73" spans="1:42">
      <c r="A73" t="s">
        <v>16</v>
      </c>
      <c r="E73" s="3"/>
      <c r="F73" s="3"/>
      <c r="G73" s="3"/>
      <c r="H73" s="3"/>
      <c r="I73" s="3"/>
      <c r="J73">
        <f t="shared" ref="J73:AP73" si="20">J97</f>
        <v>2012</v>
      </c>
      <c r="K73">
        <f t="shared" si="20"/>
        <v>2013</v>
      </c>
      <c r="L73">
        <f t="shared" si="20"/>
        <v>2014</v>
      </c>
      <c r="M73">
        <f t="shared" si="20"/>
        <v>2015</v>
      </c>
      <c r="N73">
        <f t="shared" si="20"/>
        <v>2016</v>
      </c>
      <c r="O73">
        <f t="shared" si="20"/>
        <v>2017</v>
      </c>
      <c r="P73">
        <f t="shared" si="20"/>
        <v>2018</v>
      </c>
      <c r="Q73">
        <f t="shared" si="20"/>
        <v>2019</v>
      </c>
      <c r="R73">
        <f t="shared" si="20"/>
        <v>2020</v>
      </c>
      <c r="S73">
        <f t="shared" si="20"/>
        <v>2021</v>
      </c>
      <c r="T73">
        <f t="shared" si="20"/>
        <v>2022</v>
      </c>
      <c r="U73">
        <f t="shared" si="20"/>
        <v>2023</v>
      </c>
      <c r="V73">
        <f t="shared" si="20"/>
        <v>2024</v>
      </c>
      <c r="W73">
        <f t="shared" si="20"/>
        <v>2025</v>
      </c>
      <c r="X73">
        <f t="shared" si="20"/>
        <v>2026</v>
      </c>
      <c r="Y73">
        <f t="shared" si="20"/>
        <v>2027</v>
      </c>
      <c r="Z73">
        <f t="shared" si="20"/>
        <v>2028</v>
      </c>
      <c r="AA73">
        <f t="shared" si="20"/>
        <v>2029</v>
      </c>
      <c r="AB73">
        <f t="shared" si="20"/>
        <v>2030</v>
      </c>
      <c r="AC73">
        <f t="shared" si="20"/>
        <v>2031</v>
      </c>
      <c r="AD73">
        <f t="shared" si="20"/>
        <v>2032</v>
      </c>
      <c r="AE73">
        <f t="shared" si="20"/>
        <v>2033</v>
      </c>
      <c r="AF73">
        <f t="shared" si="20"/>
        <v>2034</v>
      </c>
      <c r="AG73">
        <f t="shared" si="20"/>
        <v>2035</v>
      </c>
      <c r="AH73">
        <f t="shared" si="20"/>
        <v>2036</v>
      </c>
      <c r="AI73">
        <f t="shared" si="20"/>
        <v>2037</v>
      </c>
      <c r="AJ73">
        <f t="shared" si="20"/>
        <v>2038</v>
      </c>
      <c r="AK73">
        <f t="shared" si="20"/>
        <v>2039</v>
      </c>
      <c r="AL73">
        <f t="shared" si="20"/>
        <v>2040</v>
      </c>
      <c r="AM73">
        <f t="shared" si="20"/>
        <v>2045</v>
      </c>
      <c r="AN73">
        <f t="shared" si="20"/>
        <v>2050</v>
      </c>
      <c r="AO73">
        <f t="shared" si="20"/>
        <v>2060</v>
      </c>
      <c r="AP73">
        <f t="shared" si="20"/>
        <v>2070</v>
      </c>
    </row>
    <row r="74" spans="1:42">
      <c r="A74" t="s">
        <v>16</v>
      </c>
      <c r="C74" t="s">
        <v>548</v>
      </c>
      <c r="E74" s="3"/>
      <c r="F74" s="3"/>
      <c r="G74" s="3"/>
      <c r="H74" s="3"/>
      <c r="I74" s="3"/>
      <c r="J74" s="3">
        <f t="shared" ref="J74:AP74" si="21">J102+J113+J123</f>
        <v>35.820138900294964</v>
      </c>
      <c r="K74" s="3">
        <f t="shared" si="21"/>
        <v>33.524436823808017</v>
      </c>
      <c r="L74" s="3">
        <f t="shared" si="21"/>
        <v>31.22873474732107</v>
      </c>
      <c r="M74" s="3">
        <f t="shared" si="21"/>
        <v>28.933032670834123</v>
      </c>
      <c r="N74" s="3">
        <f t="shared" si="21"/>
        <v>26.63733059434718</v>
      </c>
      <c r="O74" s="3">
        <f t="shared" si="21"/>
        <v>24.341628517860237</v>
      </c>
      <c r="P74" s="3">
        <f t="shared" ca="1" si="21"/>
        <v>24.762929800202013</v>
      </c>
      <c r="Q74" s="3">
        <f t="shared" ca="1" si="21"/>
        <v>25.205603112190705</v>
      </c>
      <c r="R74" s="3">
        <f t="shared" ca="1" si="21"/>
        <v>25.428841917788439</v>
      </c>
      <c r="S74" s="3">
        <f t="shared" ca="1" si="21"/>
        <v>25.630232393010509</v>
      </c>
      <c r="T74" s="3">
        <f t="shared" ca="1" si="21"/>
        <v>26.12923061517721</v>
      </c>
      <c r="U74" s="3">
        <f t="shared" ca="1" si="21"/>
        <v>26.557181882828456</v>
      </c>
      <c r="V74" s="3">
        <f t="shared" ca="1" si="21"/>
        <v>26.886433770146088</v>
      </c>
      <c r="W74" s="3">
        <f t="shared" ca="1" si="21"/>
        <v>27.194704277425895</v>
      </c>
      <c r="X74" s="3">
        <f t="shared" ca="1" si="21"/>
        <v>27.486703690588961</v>
      </c>
      <c r="Y74" s="3">
        <f t="shared" ca="1" si="21"/>
        <v>27.789268486818845</v>
      </c>
      <c r="Z74" s="3">
        <f t="shared" ca="1" si="21"/>
        <v>28.077853127161177</v>
      </c>
      <c r="AA74" s="3">
        <f t="shared" ca="1" si="21"/>
        <v>28.334306504036608</v>
      </c>
      <c r="AB74" s="3">
        <f t="shared" ca="1" si="21"/>
        <v>28.608102398945075</v>
      </c>
      <c r="AC74" s="3">
        <f t="shared" ca="1" si="21"/>
        <v>28.860589997980966</v>
      </c>
      <c r="AD74" s="3">
        <f t="shared" ca="1" si="21"/>
        <v>29.118414384985982</v>
      </c>
      <c r="AE74" s="3">
        <f t="shared" ca="1" si="21"/>
        <v>29.367678926448789</v>
      </c>
      <c r="AF74" s="3">
        <f t="shared" ca="1" si="21"/>
        <v>29.615264053097363</v>
      </c>
      <c r="AG74" s="3">
        <f t="shared" ca="1" si="21"/>
        <v>29.884210622885039</v>
      </c>
      <c r="AH74" s="3">
        <f t="shared" ca="1" si="21"/>
        <v>30.124939517816667</v>
      </c>
      <c r="AI74" s="3">
        <f t="shared" ca="1" si="21"/>
        <v>30.354009867487605</v>
      </c>
      <c r="AJ74" s="3">
        <f t="shared" ca="1" si="21"/>
        <v>30.588307238848991</v>
      </c>
      <c r="AK74" s="3">
        <f t="shared" ca="1" si="21"/>
        <v>30.777819851557833</v>
      </c>
      <c r="AL74" s="3">
        <f t="shared" ca="1" si="21"/>
        <v>31.019879241668416</v>
      </c>
      <c r="AM74" s="3">
        <f t="shared" ca="1" si="21"/>
        <v>31.955186910582562</v>
      </c>
      <c r="AN74" s="3">
        <f t="shared" ca="1" si="21"/>
        <v>32.796330286799574</v>
      </c>
      <c r="AO74" s="3">
        <f t="shared" ca="1" si="21"/>
        <v>32.796330286799574</v>
      </c>
      <c r="AP74" s="3">
        <f t="shared" ca="1" si="21"/>
        <v>32.796330286799574</v>
      </c>
    </row>
    <row r="75" spans="1:42">
      <c r="A75" t="s">
        <v>16</v>
      </c>
      <c r="C75" t="s">
        <v>549</v>
      </c>
      <c r="D75" s="3" t="s">
        <v>487</v>
      </c>
      <c r="E75" s="186">
        <f>IF(E78=1,0.2,IF(E78=2,0.13,IF(E78=3,0.2,0.2)))</f>
        <v>0.2</v>
      </c>
      <c r="F75" s="3"/>
      <c r="G75" s="3"/>
      <c r="H75" s="3"/>
      <c r="I75" s="3"/>
      <c r="J75"/>
      <c r="M75" s="170">
        <v>0</v>
      </c>
      <c r="N75" s="170">
        <v>0</v>
      </c>
      <c r="O75" s="170">
        <v>0</v>
      </c>
      <c r="P75" s="170">
        <v>0</v>
      </c>
      <c r="Q75" s="170">
        <v>0</v>
      </c>
      <c r="R75" s="170">
        <v>0</v>
      </c>
      <c r="S75" s="170">
        <f>(($AB$75-$R$75)/($AB$73-$R$73))*(S$73-$R$73)</f>
        <v>0.02</v>
      </c>
      <c r="T75" s="170">
        <f t="shared" ref="T75:AA75" si="22">(($AB$75-$R$75)/($AB$73-$R$73))*(T$73-$R$73)</f>
        <v>0.04</v>
      </c>
      <c r="U75" s="170">
        <f t="shared" si="22"/>
        <v>0.06</v>
      </c>
      <c r="V75" s="170">
        <f t="shared" si="22"/>
        <v>0.08</v>
      </c>
      <c r="W75" s="97">
        <f t="shared" si="22"/>
        <v>0.1</v>
      </c>
      <c r="X75" s="97">
        <f t="shared" si="22"/>
        <v>0.12</v>
      </c>
      <c r="Y75" s="97">
        <f t="shared" si="22"/>
        <v>0.14000000000000001</v>
      </c>
      <c r="Z75" s="97">
        <f t="shared" si="22"/>
        <v>0.16</v>
      </c>
      <c r="AA75" s="97">
        <f t="shared" si="22"/>
        <v>0.18</v>
      </c>
      <c r="AB75" s="24">
        <f>$E$75</f>
        <v>0.2</v>
      </c>
      <c r="AC75" s="170">
        <f t="shared" ref="AC75:AP75" si="23">AB75</f>
        <v>0.2</v>
      </c>
      <c r="AD75" s="170">
        <f t="shared" si="23"/>
        <v>0.2</v>
      </c>
      <c r="AE75" s="170">
        <f t="shared" si="23"/>
        <v>0.2</v>
      </c>
      <c r="AF75" s="170">
        <f t="shared" si="23"/>
        <v>0.2</v>
      </c>
      <c r="AG75" s="170">
        <f t="shared" si="23"/>
        <v>0.2</v>
      </c>
      <c r="AH75" s="170">
        <f t="shared" si="23"/>
        <v>0.2</v>
      </c>
      <c r="AI75" s="170">
        <f t="shared" si="23"/>
        <v>0.2</v>
      </c>
      <c r="AJ75" s="170">
        <f t="shared" si="23"/>
        <v>0.2</v>
      </c>
      <c r="AK75" s="170">
        <f t="shared" si="23"/>
        <v>0.2</v>
      </c>
      <c r="AL75" s="170">
        <f t="shared" si="23"/>
        <v>0.2</v>
      </c>
      <c r="AM75" s="170">
        <f t="shared" si="23"/>
        <v>0.2</v>
      </c>
      <c r="AN75" s="170">
        <f t="shared" si="23"/>
        <v>0.2</v>
      </c>
      <c r="AO75" s="170">
        <f t="shared" si="23"/>
        <v>0.2</v>
      </c>
      <c r="AP75" s="170">
        <f t="shared" si="23"/>
        <v>0.2</v>
      </c>
    </row>
    <row r="76" spans="1:42">
      <c r="A76" t="s">
        <v>16</v>
      </c>
      <c r="D76" t="s">
        <v>488</v>
      </c>
      <c r="E76" s="186">
        <f>IF(E78=1,0.2,IF(E78=2,0.13,IF(E78=3,0.2,0.2)))</f>
        <v>0.2</v>
      </c>
      <c r="F76" s="3"/>
      <c r="G76" s="3"/>
      <c r="H76" s="3"/>
      <c r="I76" s="3"/>
      <c r="J76"/>
      <c r="M76" s="170">
        <v>0</v>
      </c>
      <c r="N76" s="170">
        <v>0</v>
      </c>
      <c r="O76" s="170">
        <v>0</v>
      </c>
      <c r="P76" s="170">
        <v>0</v>
      </c>
      <c r="Q76" s="170">
        <v>0</v>
      </c>
      <c r="R76" s="170">
        <v>0</v>
      </c>
      <c r="S76" s="97">
        <f>(($AB$76-$R$76)/($AB$73-$R$73))*(S$73-$R$73)</f>
        <v>0.02</v>
      </c>
      <c r="T76" s="97">
        <f t="shared" ref="T76:AA76" si="24">(($AB$76-$R$76)/($AB$73-$R$73))*(T$73-$R$73)</f>
        <v>0.04</v>
      </c>
      <c r="U76" s="97">
        <f t="shared" si="24"/>
        <v>0.06</v>
      </c>
      <c r="V76" s="97">
        <f t="shared" si="24"/>
        <v>0.08</v>
      </c>
      <c r="W76" s="97">
        <f t="shared" si="24"/>
        <v>0.1</v>
      </c>
      <c r="X76" s="97">
        <f t="shared" si="24"/>
        <v>0.12</v>
      </c>
      <c r="Y76" s="97">
        <f t="shared" si="24"/>
        <v>0.14000000000000001</v>
      </c>
      <c r="Z76" s="97">
        <f t="shared" si="24"/>
        <v>0.16</v>
      </c>
      <c r="AA76" s="97">
        <f t="shared" si="24"/>
        <v>0.18</v>
      </c>
      <c r="AB76" s="24">
        <f>$E$76</f>
        <v>0.2</v>
      </c>
      <c r="AC76" s="170">
        <f t="shared" ref="AC76:AP76" si="25">AB76</f>
        <v>0.2</v>
      </c>
      <c r="AD76" s="170">
        <f t="shared" si="25"/>
        <v>0.2</v>
      </c>
      <c r="AE76" s="170">
        <f t="shared" si="25"/>
        <v>0.2</v>
      </c>
      <c r="AF76" s="170">
        <f t="shared" si="25"/>
        <v>0.2</v>
      </c>
      <c r="AG76" s="170">
        <f t="shared" si="25"/>
        <v>0.2</v>
      </c>
      <c r="AH76" s="170">
        <f t="shared" si="25"/>
        <v>0.2</v>
      </c>
      <c r="AI76" s="170">
        <f t="shared" si="25"/>
        <v>0.2</v>
      </c>
      <c r="AJ76" s="170">
        <f t="shared" si="25"/>
        <v>0.2</v>
      </c>
      <c r="AK76" s="170">
        <f t="shared" si="25"/>
        <v>0.2</v>
      </c>
      <c r="AL76" s="170">
        <f t="shared" si="25"/>
        <v>0.2</v>
      </c>
      <c r="AM76" s="170">
        <f t="shared" si="25"/>
        <v>0.2</v>
      </c>
      <c r="AN76" s="170">
        <f t="shared" si="25"/>
        <v>0.2</v>
      </c>
      <c r="AO76" s="170">
        <f t="shared" si="25"/>
        <v>0.2</v>
      </c>
      <c r="AP76" s="170">
        <f t="shared" si="25"/>
        <v>0.2</v>
      </c>
    </row>
    <row r="77" spans="1:42">
      <c r="A77" t="s">
        <v>16</v>
      </c>
      <c r="C77" t="s">
        <v>550</v>
      </c>
      <c r="E77" s="3"/>
      <c r="F77" s="3"/>
      <c r="G77" s="3"/>
      <c r="J77" s="3">
        <f>J$74</f>
        <v>35.820138900294964</v>
      </c>
      <c r="K77" s="3">
        <f>K$74</f>
        <v>33.524436823808017</v>
      </c>
      <c r="L77" s="3">
        <f>L$74</f>
        <v>31.22873474732107</v>
      </c>
      <c r="M77" s="3">
        <f>M$74</f>
        <v>28.933032670834123</v>
      </c>
      <c r="N77" s="3">
        <f t="shared" ref="N77:AP77" si="26">(($M$74*(1-N$75))+((N74-$M$74)*(1-N$76)))</f>
        <v>26.63733059434718</v>
      </c>
      <c r="O77" s="3">
        <f t="shared" si="26"/>
        <v>24.341628517860237</v>
      </c>
      <c r="P77" s="3">
        <f t="shared" ca="1" si="26"/>
        <v>24.762929800202013</v>
      </c>
      <c r="Q77" s="3">
        <f t="shared" ca="1" si="26"/>
        <v>25.205603112190705</v>
      </c>
      <c r="R77" s="3">
        <f t="shared" ca="1" si="26"/>
        <v>25.428841917788439</v>
      </c>
      <c r="S77" s="3">
        <f t="shared" ca="1" si="26"/>
        <v>25.117627745150298</v>
      </c>
      <c r="T77" s="3">
        <f t="shared" ca="1" si="26"/>
        <v>25.08406139057012</v>
      </c>
      <c r="U77" s="3">
        <f t="shared" ca="1" si="26"/>
        <v>24.963750969858747</v>
      </c>
      <c r="V77" s="3">
        <f t="shared" ca="1" si="26"/>
        <v>24.735519068534401</v>
      </c>
      <c r="W77" s="3">
        <f t="shared" ca="1" si="26"/>
        <v>24.475233849683306</v>
      </c>
      <c r="X77" s="3">
        <f t="shared" ca="1" si="26"/>
        <v>24.188299247718284</v>
      </c>
      <c r="Y77" s="3">
        <f t="shared" ca="1" si="26"/>
        <v>23.898770898664207</v>
      </c>
      <c r="Z77" s="3">
        <f t="shared" ca="1" si="26"/>
        <v>23.585396626815388</v>
      </c>
      <c r="AA77" s="3">
        <f t="shared" ca="1" si="26"/>
        <v>23.234131333310017</v>
      </c>
      <c r="AB77" s="3">
        <f t="shared" ca="1" si="26"/>
        <v>22.886481919156061</v>
      </c>
      <c r="AC77" s="3">
        <f t="shared" ca="1" si="26"/>
        <v>23.088471998384776</v>
      </c>
      <c r="AD77" s="3">
        <f t="shared" ca="1" si="26"/>
        <v>23.294731507988789</v>
      </c>
      <c r="AE77" s="3">
        <f t="shared" ca="1" si="26"/>
        <v>23.494143141159036</v>
      </c>
      <c r="AF77" s="3">
        <f t="shared" ca="1" si="26"/>
        <v>23.692211242477892</v>
      </c>
      <c r="AG77" s="3">
        <f t="shared" ca="1" si="26"/>
        <v>23.907368498308035</v>
      </c>
      <c r="AH77" s="3">
        <f t="shared" ca="1" si="26"/>
        <v>24.099951614253335</v>
      </c>
      <c r="AI77" s="3">
        <f t="shared" ca="1" si="26"/>
        <v>24.283207893990088</v>
      </c>
      <c r="AJ77" s="3">
        <f t="shared" ca="1" si="26"/>
        <v>24.470645791079196</v>
      </c>
      <c r="AK77" s="3">
        <f t="shared" ca="1" si="26"/>
        <v>24.622255881246268</v>
      </c>
      <c r="AL77" s="3">
        <f t="shared" ca="1" si="26"/>
        <v>24.815903393334736</v>
      </c>
      <c r="AM77" s="3">
        <f t="shared" ca="1" si="26"/>
        <v>25.564149528466054</v>
      </c>
      <c r="AN77" s="3">
        <f t="shared" ca="1" si="26"/>
        <v>26.23706422943966</v>
      </c>
      <c r="AO77" s="3">
        <f t="shared" ca="1" si="26"/>
        <v>26.23706422943966</v>
      </c>
      <c r="AP77" s="3">
        <f t="shared" ca="1" si="26"/>
        <v>26.23706422943966</v>
      </c>
    </row>
    <row r="78" spans="1:42">
      <c r="A78" t="s">
        <v>16</v>
      </c>
      <c r="D78" t="s">
        <v>551</v>
      </c>
      <c r="E78" s="187">
        <f>DriversGams!A164</f>
        <v>-1</v>
      </c>
      <c r="F78" s="289" t="s">
        <v>652</v>
      </c>
      <c r="G78" s="3" t="s">
        <v>41</v>
      </c>
    </row>
    <row r="79" spans="1:42">
      <c r="A79" t="s">
        <v>16</v>
      </c>
      <c r="B79" s="19"/>
      <c r="D79" s="3"/>
      <c r="F79" s="79">
        <v>1</v>
      </c>
      <c r="G79" s="79" t="s">
        <v>630</v>
      </c>
      <c r="O79" s="2"/>
    </row>
    <row r="80" spans="1:42">
      <c r="A80" t="s">
        <v>16</v>
      </c>
      <c r="B80" s="19"/>
      <c r="D80" s="3"/>
      <c r="F80" s="79">
        <v>2</v>
      </c>
      <c r="G80" s="79" t="s">
        <v>634</v>
      </c>
      <c r="J80" s="188">
        <f t="shared" ref="J80:AP80" si="27">J73</f>
        <v>2012</v>
      </c>
      <c r="K80" s="4">
        <f t="shared" si="27"/>
        <v>2013</v>
      </c>
      <c r="L80" s="4">
        <f t="shared" si="27"/>
        <v>2014</v>
      </c>
      <c r="M80" s="4">
        <f t="shared" si="27"/>
        <v>2015</v>
      </c>
      <c r="N80" s="4">
        <f t="shared" si="27"/>
        <v>2016</v>
      </c>
      <c r="O80" s="4">
        <f t="shared" si="27"/>
        <v>2017</v>
      </c>
      <c r="P80" s="4">
        <f t="shared" si="27"/>
        <v>2018</v>
      </c>
      <c r="Q80" s="4">
        <f t="shared" si="27"/>
        <v>2019</v>
      </c>
      <c r="R80" s="4">
        <f t="shared" si="27"/>
        <v>2020</v>
      </c>
      <c r="S80" s="4">
        <f t="shared" si="27"/>
        <v>2021</v>
      </c>
      <c r="T80" s="4">
        <f t="shared" si="27"/>
        <v>2022</v>
      </c>
      <c r="U80" s="4">
        <f t="shared" si="27"/>
        <v>2023</v>
      </c>
      <c r="V80" s="4">
        <f t="shared" si="27"/>
        <v>2024</v>
      </c>
      <c r="W80" s="4">
        <f t="shared" si="27"/>
        <v>2025</v>
      </c>
      <c r="X80" s="4">
        <f t="shared" si="27"/>
        <v>2026</v>
      </c>
      <c r="Y80" s="4">
        <f t="shared" si="27"/>
        <v>2027</v>
      </c>
      <c r="Z80" s="4">
        <f t="shared" si="27"/>
        <v>2028</v>
      </c>
      <c r="AA80" s="4">
        <f t="shared" si="27"/>
        <v>2029</v>
      </c>
      <c r="AB80" s="4">
        <f t="shared" si="27"/>
        <v>2030</v>
      </c>
      <c r="AC80" s="4">
        <f t="shared" si="27"/>
        <v>2031</v>
      </c>
      <c r="AD80" s="4">
        <f t="shared" si="27"/>
        <v>2032</v>
      </c>
      <c r="AE80" s="4">
        <f t="shared" si="27"/>
        <v>2033</v>
      </c>
      <c r="AF80" s="4">
        <f t="shared" si="27"/>
        <v>2034</v>
      </c>
      <c r="AG80" s="4">
        <f t="shared" si="27"/>
        <v>2035</v>
      </c>
      <c r="AH80" s="4">
        <f t="shared" si="27"/>
        <v>2036</v>
      </c>
      <c r="AI80" s="4">
        <f t="shared" si="27"/>
        <v>2037</v>
      </c>
      <c r="AJ80" s="4">
        <f t="shared" si="27"/>
        <v>2038</v>
      </c>
      <c r="AK80" s="4">
        <f t="shared" si="27"/>
        <v>2039</v>
      </c>
      <c r="AL80" s="4">
        <f t="shared" si="27"/>
        <v>2040</v>
      </c>
      <c r="AM80" s="4">
        <f t="shared" si="27"/>
        <v>2045</v>
      </c>
      <c r="AN80" s="4">
        <f t="shared" si="27"/>
        <v>2050</v>
      </c>
      <c r="AO80" s="4">
        <f t="shared" si="27"/>
        <v>2060</v>
      </c>
      <c r="AP80" s="4">
        <f t="shared" si="27"/>
        <v>2070</v>
      </c>
    </row>
    <row r="81" spans="1:54">
      <c r="A81" t="s">
        <v>16</v>
      </c>
      <c r="B81" s="19"/>
      <c r="C81" t="s">
        <v>552</v>
      </c>
      <c r="D81" s="3" t="str">
        <f>D102</f>
        <v>RLEH</v>
      </c>
      <c r="F81" s="79">
        <v>3</v>
      </c>
      <c r="G81" s="163" t="s">
        <v>630</v>
      </c>
      <c r="J81" s="36">
        <f t="shared" ref="J81:O81" si="28">J102</f>
        <v>14.790068346157758</v>
      </c>
      <c r="K81" s="36">
        <f t="shared" si="28"/>
        <v>13.766817038571885</v>
      </c>
      <c r="L81" s="36">
        <f t="shared" si="28"/>
        <v>12.743565730986013</v>
      </c>
      <c r="M81" s="36">
        <f t="shared" si="28"/>
        <v>11.72031442340014</v>
      </c>
      <c r="N81" s="36">
        <f t="shared" si="28"/>
        <v>10.697063115814267</v>
      </c>
      <c r="O81" s="36">
        <f t="shared" si="28"/>
        <v>9.673811808228395</v>
      </c>
      <c r="P81" s="18">
        <f t="shared" ref="P81:AP81" ca="1" si="29">OFFSET(P$33,$BB81,$J$96)/OFFSET(O$33,$BB81,$J$96)*O81</f>
        <v>9.6552862194228819</v>
      </c>
      <c r="Q81" s="18">
        <f t="shared" ca="1" si="29"/>
        <v>9.7456829172517097</v>
      </c>
      <c r="R81" s="18">
        <f t="shared" ca="1" si="29"/>
        <v>10.140651174998371</v>
      </c>
      <c r="S81" s="18">
        <f t="shared" ca="1" si="29"/>
        <v>11.772300837062295</v>
      </c>
      <c r="T81" s="18">
        <f t="shared" ca="1" si="29"/>
        <v>11.655155637225311</v>
      </c>
      <c r="U81" s="18">
        <f t="shared" ca="1" si="29"/>
        <v>11.591721723137717</v>
      </c>
      <c r="V81" s="18">
        <f t="shared" ca="1" si="29"/>
        <v>11.514304119968923</v>
      </c>
      <c r="W81" s="18">
        <f t="shared" ca="1" si="29"/>
        <v>11.423041382883062</v>
      </c>
      <c r="X81" s="18">
        <f t="shared" ca="1" si="29"/>
        <v>11.372700396042484</v>
      </c>
      <c r="Y81" s="18">
        <f t="shared" ca="1" si="29"/>
        <v>11.316388265319212</v>
      </c>
      <c r="Z81" s="18">
        <f t="shared" ca="1" si="29"/>
        <v>11.327358333002406</v>
      </c>
      <c r="AA81" s="18">
        <f t="shared" ca="1" si="29"/>
        <v>11.259838404812683</v>
      </c>
      <c r="AB81" s="18">
        <f t="shared" ca="1" si="29"/>
        <v>11.150391077427185</v>
      </c>
      <c r="AC81" s="18">
        <f t="shared" ca="1" si="29"/>
        <v>10.996570927014449</v>
      </c>
      <c r="AD81" s="18">
        <f t="shared" ca="1" si="29"/>
        <v>10.832812138038237</v>
      </c>
      <c r="AE81" s="18">
        <f t="shared" ca="1" si="29"/>
        <v>10.629727801725082</v>
      </c>
      <c r="AF81" s="18">
        <f t="shared" ca="1" si="29"/>
        <v>10.405220882160515</v>
      </c>
      <c r="AG81" s="18">
        <f t="shared" ca="1" si="29"/>
        <v>10.251529448291535</v>
      </c>
      <c r="AH81" s="18">
        <f t="shared" ca="1" si="29"/>
        <v>10.196777463704082</v>
      </c>
      <c r="AI81" s="18">
        <f t="shared" ca="1" si="29"/>
        <v>10.085689611940202</v>
      </c>
      <c r="AJ81" s="18">
        <f t="shared" ca="1" si="29"/>
        <v>9.9601366344275188</v>
      </c>
      <c r="AK81" s="18">
        <f t="shared" ca="1" si="29"/>
        <v>9.8066220294824209</v>
      </c>
      <c r="AL81" s="18">
        <f t="shared" ca="1" si="29"/>
        <v>9.6280992466291586</v>
      </c>
      <c r="AM81" s="18">
        <f t="shared" ca="1" si="29"/>
        <v>8.8226178896440359</v>
      </c>
      <c r="AN81" s="18">
        <f t="shared" ca="1" si="29"/>
        <v>8.3518800332138454</v>
      </c>
      <c r="AO81" s="18">
        <f t="shared" ca="1" si="29"/>
        <v>8.3518800332138454</v>
      </c>
      <c r="AP81" s="18">
        <f t="shared" ca="1" si="29"/>
        <v>8.3518800332138454</v>
      </c>
      <c r="BB81">
        <v>1</v>
      </c>
    </row>
    <row r="82" spans="1:54">
      <c r="A82" t="s">
        <v>16</v>
      </c>
      <c r="B82" s="19"/>
      <c r="D82" s="3" t="str">
        <f>D113</f>
        <v>RMEH</v>
      </c>
      <c r="H82" t="s">
        <v>647</v>
      </c>
      <c r="J82" s="36">
        <f t="shared" ref="J82:O82" si="30">J113</f>
        <v>13.489057936190237</v>
      </c>
      <c r="K82" s="36">
        <f t="shared" si="30"/>
        <v>12.842186247672119</v>
      </c>
      <c r="L82" s="36">
        <f t="shared" si="30"/>
        <v>12.195314559154001</v>
      </c>
      <c r="M82" s="36">
        <f t="shared" si="30"/>
        <v>11.548442870635881</v>
      </c>
      <c r="N82" s="36">
        <f t="shared" si="30"/>
        <v>10.901571182117763</v>
      </c>
      <c r="O82" s="36">
        <f t="shared" si="30"/>
        <v>10.254699493599645</v>
      </c>
      <c r="P82" s="18">
        <f t="shared" ref="P82:AP82" ca="1" si="31">OFFSET(P$33,$BB82,$J$96)/OFFSET(O$33,$BB82,$J$96)*O82</f>
        <v>10.531385776580256</v>
      </c>
      <c r="Q82" s="18">
        <f t="shared" ca="1" si="31"/>
        <v>10.815988765260034</v>
      </c>
      <c r="R82" s="18">
        <f t="shared" ca="1" si="31"/>
        <v>11.366243642428371</v>
      </c>
      <c r="S82" s="18">
        <f t="shared" ca="1" si="31"/>
        <v>9.8788005339404847</v>
      </c>
      <c r="T82" s="18">
        <f t="shared" ca="1" si="31"/>
        <v>10.441662908884386</v>
      </c>
      <c r="U82" s="18">
        <f t="shared" ca="1" si="31"/>
        <v>10.86239309930137</v>
      </c>
      <c r="V82" s="18">
        <f t="shared" ca="1" si="31"/>
        <v>11.097867403717753</v>
      </c>
      <c r="W82" s="18">
        <f t="shared" ca="1" si="31"/>
        <v>11.326896600543519</v>
      </c>
      <c r="X82" s="18">
        <f t="shared" ca="1" si="31"/>
        <v>11.518203541051413</v>
      </c>
      <c r="Y82" s="18">
        <f t="shared" ca="1" si="31"/>
        <v>11.746272322611578</v>
      </c>
      <c r="Z82" s="18">
        <f t="shared" ca="1" si="31"/>
        <v>11.9355280438989</v>
      </c>
      <c r="AA82" s="18">
        <f t="shared" ca="1" si="31"/>
        <v>12.084722439292566</v>
      </c>
      <c r="AB82" s="18">
        <f t="shared" ca="1" si="31"/>
        <v>12.297228021423813</v>
      </c>
      <c r="AC82" s="18">
        <f t="shared" ca="1" si="31"/>
        <v>12.482347366516207</v>
      </c>
      <c r="AD82" s="18">
        <f t="shared" ca="1" si="31"/>
        <v>12.691817124702263</v>
      </c>
      <c r="AE82" s="18">
        <f t="shared" ca="1" si="31"/>
        <v>12.902236421672789</v>
      </c>
      <c r="AF82" s="18">
        <f t="shared" ca="1" si="31"/>
        <v>13.124726601088799</v>
      </c>
      <c r="AG82" s="18">
        <f t="shared" ca="1" si="31"/>
        <v>13.387016611223212</v>
      </c>
      <c r="AH82" s="18">
        <f t="shared" ca="1" si="31"/>
        <v>13.567525682498095</v>
      </c>
      <c r="AI82" s="18">
        <f t="shared" ca="1" si="31"/>
        <v>13.746661091910342</v>
      </c>
      <c r="AJ82" s="18">
        <f t="shared" ca="1" si="31"/>
        <v>13.951799665785304</v>
      </c>
      <c r="AK82" s="18">
        <f t="shared" ca="1" si="31"/>
        <v>14.072715368984504</v>
      </c>
      <c r="AL82" s="18">
        <f t="shared" ca="1" si="31"/>
        <v>14.331012457025608</v>
      </c>
      <c r="AM82" s="18">
        <f t="shared" ca="1" si="31"/>
        <v>15.121397187709903</v>
      </c>
      <c r="AN82" s="18">
        <f t="shared" ca="1" si="31"/>
        <v>15.873159116442524</v>
      </c>
      <c r="AO82" s="18">
        <f t="shared" ca="1" si="31"/>
        <v>15.873159116442524</v>
      </c>
      <c r="AP82" s="18">
        <f t="shared" ca="1" si="31"/>
        <v>15.873159116442524</v>
      </c>
      <c r="BB82">
        <v>2</v>
      </c>
    </row>
    <row r="83" spans="1:54">
      <c r="A83" t="s">
        <v>16</v>
      </c>
      <c r="B83" s="19"/>
      <c r="D83" s="3" t="str">
        <f>D123</f>
        <v>RHEH</v>
      </c>
      <c r="H83" t="s">
        <v>646</v>
      </c>
      <c r="J83" s="36">
        <f t="shared" ref="J83:O83" si="32">J123</f>
        <v>7.5410126179469659</v>
      </c>
      <c r="K83" s="36">
        <f t="shared" si="32"/>
        <v>6.9154335375640121</v>
      </c>
      <c r="L83" s="36">
        <f t="shared" si="32"/>
        <v>6.2898544571810575</v>
      </c>
      <c r="M83" s="36">
        <f t="shared" si="32"/>
        <v>5.6642753767981038</v>
      </c>
      <c r="N83" s="36">
        <f t="shared" si="32"/>
        <v>5.03869629641515</v>
      </c>
      <c r="O83" s="36">
        <f t="shared" si="32"/>
        <v>4.4131172160321963</v>
      </c>
      <c r="P83" s="18">
        <f t="shared" ref="P83:AP83" ca="1" si="33">OFFSET(P$33,$BB83,$J$96)/OFFSET(O$33,$BB83,$J$96)*O83</f>
        <v>4.5762578041988755</v>
      </c>
      <c r="Q83" s="18">
        <f t="shared" ca="1" si="33"/>
        <v>4.6439314296789611</v>
      </c>
      <c r="R83" s="18">
        <f t="shared" ca="1" si="33"/>
        <v>3.9219471003616979</v>
      </c>
      <c r="S83" s="18">
        <f t="shared" ca="1" si="33"/>
        <v>3.9791310220077274</v>
      </c>
      <c r="T83" s="18">
        <f t="shared" ca="1" si="33"/>
        <v>4.032412069067516</v>
      </c>
      <c r="U83" s="18">
        <f t="shared" ca="1" si="33"/>
        <v>4.1030670603893684</v>
      </c>
      <c r="V83" s="18">
        <f t="shared" ca="1" si="33"/>
        <v>4.2742622464594122</v>
      </c>
      <c r="W83" s="18">
        <f t="shared" ca="1" si="33"/>
        <v>4.4447662939993151</v>
      </c>
      <c r="X83" s="18">
        <f t="shared" ca="1" si="33"/>
        <v>4.5957997534950641</v>
      </c>
      <c r="Y83" s="18">
        <f t="shared" ca="1" si="33"/>
        <v>4.7266078988880551</v>
      </c>
      <c r="Z83" s="18">
        <f t="shared" ca="1" si="33"/>
        <v>4.8149667502598703</v>
      </c>
      <c r="AA83" s="18">
        <f t="shared" ca="1" si="33"/>
        <v>4.9897456599313585</v>
      </c>
      <c r="AB83" s="18">
        <f t="shared" ca="1" si="33"/>
        <v>5.1604833000940751</v>
      </c>
      <c r="AC83" s="18">
        <f t="shared" ca="1" si="33"/>
        <v>5.3816717044503113</v>
      </c>
      <c r="AD83" s="18">
        <f t="shared" ca="1" si="33"/>
        <v>5.5937851222454826</v>
      </c>
      <c r="AE83" s="18">
        <f t="shared" ca="1" si="33"/>
        <v>5.8357147030509164</v>
      </c>
      <c r="AF83" s="18">
        <f t="shared" ca="1" si="33"/>
        <v>6.0853165698480458</v>
      </c>
      <c r="AG83" s="18">
        <f t="shared" ca="1" si="33"/>
        <v>6.2456645633702941</v>
      </c>
      <c r="AH83" s="18">
        <f t="shared" ca="1" si="33"/>
        <v>6.3606363716144889</v>
      </c>
      <c r="AI83" s="18">
        <f t="shared" ca="1" si="33"/>
        <v>6.52165916363706</v>
      </c>
      <c r="AJ83" s="18">
        <f t="shared" ca="1" si="33"/>
        <v>6.67637093863617</v>
      </c>
      <c r="AK83" s="18">
        <f t="shared" ca="1" si="33"/>
        <v>6.898482453090911</v>
      </c>
      <c r="AL83" s="18">
        <f t="shared" ca="1" si="33"/>
        <v>7.0607675380136499</v>
      </c>
      <c r="AM83" s="18">
        <f t="shared" ca="1" si="33"/>
        <v>8.011171833228623</v>
      </c>
      <c r="AN83" s="18">
        <f t="shared" ca="1" si="33"/>
        <v>8.5712911371432039</v>
      </c>
      <c r="AO83" s="18">
        <f t="shared" ca="1" si="33"/>
        <v>8.5712911371432039</v>
      </c>
      <c r="AP83" s="18">
        <f t="shared" ca="1" si="33"/>
        <v>8.5712911371432039</v>
      </c>
      <c r="BB83">
        <v>3</v>
      </c>
    </row>
    <row r="84" spans="1:54">
      <c r="A84" t="s">
        <v>16</v>
      </c>
      <c r="B84" s="19"/>
      <c r="D84" s="3" t="s">
        <v>377</v>
      </c>
      <c r="J84" s="36">
        <f t="shared" ref="J84:O84" si="34">J117</f>
        <v>6.2540671774629208</v>
      </c>
      <c r="K84" s="36">
        <f t="shared" si="34"/>
        <v>7.1143299872230452</v>
      </c>
      <c r="L84" s="36">
        <f t="shared" si="34"/>
        <v>7.9745927969831687</v>
      </c>
      <c r="M84" s="36">
        <f t="shared" si="34"/>
        <v>8.8348556067432931</v>
      </c>
      <c r="N84" s="36">
        <f t="shared" si="34"/>
        <v>9.6951184165034174</v>
      </c>
      <c r="O84" s="36">
        <f t="shared" si="34"/>
        <v>10.555381226263542</v>
      </c>
      <c r="P84" s="18">
        <f t="shared" ref="P84:AP84" ca="1" si="35">OFFSET(P$33,$BB117,$J$96)/OFFSET(O$33,$BB117,$J$96)*O84</f>
        <v>10.840180327276789</v>
      </c>
      <c r="Q84" s="18">
        <f t="shared" ca="1" si="35"/>
        <v>11.133128262564798</v>
      </c>
      <c r="R84" s="18">
        <f t="shared" ca="1" si="35"/>
        <v>11.699517360923819</v>
      </c>
      <c r="S84" s="18">
        <f t="shared" ca="1" si="35"/>
        <v>10.168460397990151</v>
      </c>
      <c r="T84" s="18">
        <f t="shared" ca="1" si="35"/>
        <v>10.747826663102172</v>
      </c>
      <c r="U84" s="18">
        <f t="shared" ca="1" si="35"/>
        <v>11.18089323477709</v>
      </c>
      <c r="V84" s="18">
        <f t="shared" ca="1" si="35"/>
        <v>11.423271965977888</v>
      </c>
      <c r="W84" s="18">
        <f t="shared" ca="1" si="35"/>
        <v>11.659016610269974</v>
      </c>
      <c r="X84" s="18">
        <f t="shared" ca="1" si="35"/>
        <v>11.855932930397277</v>
      </c>
      <c r="Y84" s="18">
        <f t="shared" ca="1" si="35"/>
        <v>12.09068899874228</v>
      </c>
      <c r="Z84" s="18">
        <f t="shared" ca="1" si="35"/>
        <v>12.285493955112379</v>
      </c>
      <c r="AA84" s="18">
        <f t="shared" ca="1" si="35"/>
        <v>12.439062933041468</v>
      </c>
      <c r="AB84" s="18">
        <f t="shared" ca="1" si="35"/>
        <v>12.657799467788719</v>
      </c>
      <c r="AC84" s="18">
        <f t="shared" ca="1" si="35"/>
        <v>12.848346763789547</v>
      </c>
      <c r="AD84" s="18">
        <f t="shared" ca="1" si="35"/>
        <v>13.063958460105665</v>
      </c>
      <c r="AE84" s="18">
        <f t="shared" ca="1" si="35"/>
        <v>13.28054753697452</v>
      </c>
      <c r="AF84" s="18">
        <f t="shared" ca="1" si="35"/>
        <v>13.50956143097517</v>
      </c>
      <c r="AG84" s="18">
        <f t="shared" ca="1" si="35"/>
        <v>13.779542140847481</v>
      </c>
      <c r="AH84" s="18">
        <f t="shared" ca="1" si="35"/>
        <v>13.965343983533788</v>
      </c>
      <c r="AI84" s="18">
        <f t="shared" ca="1" si="35"/>
        <v>14.149731886723853</v>
      </c>
      <c r="AJ84" s="18">
        <f t="shared" ca="1" si="35"/>
        <v>14.360885402515681</v>
      </c>
      <c r="AK84" s="18">
        <f t="shared" ca="1" si="35"/>
        <v>14.485346518544082</v>
      </c>
      <c r="AL84" s="18">
        <f t="shared" ca="1" si="35"/>
        <v>14.751217228418055</v>
      </c>
      <c r="AM84" s="18">
        <f t="shared" ca="1" si="35"/>
        <v>15.564777114107288</v>
      </c>
      <c r="AN84" s="18">
        <f t="shared" ca="1" si="35"/>
        <v>16.338581724775462</v>
      </c>
      <c r="AO84" s="18">
        <f t="shared" ca="1" si="35"/>
        <v>16.338581724775462</v>
      </c>
      <c r="AP84" s="18">
        <f t="shared" ca="1" si="35"/>
        <v>16.338581724775462</v>
      </c>
      <c r="BB84">
        <v>4</v>
      </c>
    </row>
    <row r="85" spans="1:54">
      <c r="A85" t="s">
        <v>16</v>
      </c>
      <c r="B85" s="19"/>
      <c r="D85" s="3" t="s">
        <v>365</v>
      </c>
      <c r="J85" s="36">
        <f t="shared" ref="J85:O85" si="36">J127</f>
        <v>12.567032680070476</v>
      </c>
      <c r="K85" s="36">
        <f t="shared" si="36"/>
        <v>12.568779819506284</v>
      </c>
      <c r="L85" s="36">
        <f t="shared" si="36"/>
        <v>12.570526958942095</v>
      </c>
      <c r="M85" s="36">
        <f t="shared" si="36"/>
        <v>12.572274098377903</v>
      </c>
      <c r="N85" s="36">
        <f t="shared" si="36"/>
        <v>12.574021237813714</v>
      </c>
      <c r="O85" s="36">
        <f t="shared" si="36"/>
        <v>12.575768377249522</v>
      </c>
      <c r="P85" s="18">
        <f t="shared" ref="P85:AP85" ca="1" si="37">OFFSET(P$33,$BB127,$J$96)/OFFSET(O$33,$BB127,$J$96)*O85</f>
        <v>13.040659326046256</v>
      </c>
      <c r="Q85" s="18">
        <f t="shared" ca="1" si="37"/>
        <v>13.2335043826413</v>
      </c>
      <c r="R85" s="18">
        <f t="shared" ca="1" si="37"/>
        <v>11.176113370113184</v>
      </c>
      <c r="S85" s="18">
        <f t="shared" ca="1" si="37"/>
        <v>11.339066611171626</v>
      </c>
      <c r="T85" s="18">
        <f t="shared" ca="1" si="37"/>
        <v>11.490898088542551</v>
      </c>
      <c r="U85" s="18">
        <f t="shared" ca="1" si="37"/>
        <v>11.692238946277364</v>
      </c>
      <c r="V85" s="18">
        <f t="shared" ca="1" si="37"/>
        <v>12.18008255022602</v>
      </c>
      <c r="W85" s="18">
        <f t="shared" ca="1" si="37"/>
        <v>12.665956662396828</v>
      </c>
      <c r="X85" s="18">
        <f t="shared" ca="1" si="37"/>
        <v>13.096346727028047</v>
      </c>
      <c r="Y85" s="18">
        <f t="shared" ca="1" si="37"/>
        <v>13.469102051165768</v>
      </c>
      <c r="Z85" s="18">
        <f t="shared" ca="1" si="37"/>
        <v>13.720892428474356</v>
      </c>
      <c r="AA85" s="18">
        <f t="shared" ca="1" si="37"/>
        <v>14.218948332648377</v>
      </c>
      <c r="AB85" s="18">
        <f t="shared" ca="1" si="37"/>
        <v>14.7054880982735</v>
      </c>
      <c r="AC85" s="18">
        <f t="shared" ca="1" si="37"/>
        <v>15.335794071296888</v>
      </c>
      <c r="AD85" s="18">
        <f t="shared" ca="1" si="37"/>
        <v>15.940239655068886</v>
      </c>
      <c r="AE85" s="18">
        <f t="shared" ca="1" si="37"/>
        <v>16.629650387410514</v>
      </c>
      <c r="AF85" s="18">
        <f t="shared" ca="1" si="37"/>
        <v>17.340924325924203</v>
      </c>
      <c r="AG85" s="18">
        <f t="shared" ca="1" si="37"/>
        <v>17.797857402382462</v>
      </c>
      <c r="AH85" s="18">
        <f t="shared" ca="1" si="37"/>
        <v>18.125484963495037</v>
      </c>
      <c r="AI85" s="18">
        <f t="shared" ca="1" si="37"/>
        <v>18.584340968628418</v>
      </c>
      <c r="AJ85" s="18">
        <f t="shared" ca="1" si="37"/>
        <v>19.025212885774376</v>
      </c>
      <c r="AK85" s="18">
        <f t="shared" ca="1" si="37"/>
        <v>19.658149384618227</v>
      </c>
      <c r="AL85" s="18">
        <f t="shared" ca="1" si="37"/>
        <v>20.120602462378429</v>
      </c>
      <c r="AM85" s="18">
        <f t="shared" ca="1" si="37"/>
        <v>22.828906750772699</v>
      </c>
      <c r="AN85" s="18">
        <f t="shared" ca="1" si="37"/>
        <v>24.425041701384579</v>
      </c>
      <c r="AO85" s="18">
        <f t="shared" ca="1" si="37"/>
        <v>24.425041701384579</v>
      </c>
      <c r="AP85" s="18">
        <f t="shared" ca="1" si="37"/>
        <v>24.425041701384579</v>
      </c>
      <c r="BB85">
        <v>5</v>
      </c>
    </row>
    <row r="86" spans="1:54">
      <c r="A86" t="s">
        <v>16</v>
      </c>
      <c r="B86" s="19"/>
      <c r="D86" s="3"/>
      <c r="J86" s="3"/>
      <c r="K86" s="3"/>
      <c r="L86" s="3"/>
      <c r="M86" s="3"/>
      <c r="N86" s="3"/>
      <c r="O86" s="3"/>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row>
    <row r="87" spans="1:54">
      <c r="A87" t="s">
        <v>16</v>
      </c>
      <c r="B87" s="19"/>
      <c r="D87" s="3"/>
      <c r="J87" s="3"/>
      <c r="K87" s="3"/>
      <c r="L87" s="3"/>
      <c r="M87" s="3"/>
      <c r="N87" s="3"/>
      <c r="O87" s="3"/>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row>
    <row r="88" spans="1:54">
      <c r="A88" t="s">
        <v>16</v>
      </c>
      <c r="B88" s="19"/>
      <c r="J88"/>
      <c r="AR88" t="s">
        <v>653</v>
      </c>
    </row>
    <row r="89" spans="1:54">
      <c r="A89" t="s">
        <v>16</v>
      </c>
      <c r="B89" s="19"/>
      <c r="C89" t="s">
        <v>654</v>
      </c>
      <c r="D89" s="3" t="str">
        <f>D81</f>
        <v>RLEH</v>
      </c>
      <c r="J89" s="36">
        <f t="shared" ref="J89:O93" si="38">J81</f>
        <v>14.790068346157758</v>
      </c>
      <c r="K89" s="36">
        <f t="shared" si="38"/>
        <v>13.766817038571885</v>
      </c>
      <c r="L89" s="36">
        <f t="shared" si="38"/>
        <v>12.743565730986013</v>
      </c>
      <c r="M89" s="36">
        <f t="shared" si="38"/>
        <v>11.72031442340014</v>
      </c>
      <c r="N89" s="36">
        <f t="shared" si="38"/>
        <v>10.697063115814267</v>
      </c>
      <c r="O89" s="36">
        <f t="shared" si="38"/>
        <v>9.673811808228395</v>
      </c>
      <c r="P89" s="3">
        <f t="shared" ref="P89:AP89" ca="1" si="39">(($M$81*(1-P$75))+((P81-$M$81)*(1-P$76)))</f>
        <v>9.6552862194228819</v>
      </c>
      <c r="Q89" s="3">
        <f t="shared" ca="1" si="39"/>
        <v>9.7456829172517097</v>
      </c>
      <c r="R89" s="3">
        <f t="shared" ca="1" si="39"/>
        <v>10.140651174998371</v>
      </c>
      <c r="S89" s="3">
        <f t="shared" ca="1" si="39"/>
        <v>11.536854820321048</v>
      </c>
      <c r="T89" s="3">
        <f t="shared" ca="1" si="39"/>
        <v>11.188949411736298</v>
      </c>
      <c r="U89" s="3">
        <f t="shared" ca="1" si="39"/>
        <v>10.896218419749452</v>
      </c>
      <c r="V89" s="3">
        <f t="shared" ca="1" si="39"/>
        <v>10.593159790371409</v>
      </c>
      <c r="W89" s="3">
        <f t="shared" ca="1" si="39"/>
        <v>10.280737244594755</v>
      </c>
      <c r="X89" s="3">
        <f t="shared" ca="1" si="39"/>
        <v>10.007976348517385</v>
      </c>
      <c r="Y89" s="3">
        <f t="shared" ca="1" si="39"/>
        <v>9.7320939081745212</v>
      </c>
      <c r="Z89" s="3">
        <f t="shared" ca="1" si="39"/>
        <v>9.5149809997220203</v>
      </c>
      <c r="AA89" s="3">
        <f t="shared" ca="1" si="39"/>
        <v>9.2330674919464002</v>
      </c>
      <c r="AB89" s="3">
        <f t="shared" ca="1" si="39"/>
        <v>8.9203128619417491</v>
      </c>
      <c r="AC89" s="3">
        <f t="shared" ca="1" si="39"/>
        <v>8.7972567416115588</v>
      </c>
      <c r="AD89" s="3">
        <f t="shared" ca="1" si="39"/>
        <v>8.6662497104305896</v>
      </c>
      <c r="AE89" s="3">
        <f t="shared" ca="1" si="39"/>
        <v>8.5037822413800654</v>
      </c>
      <c r="AF89" s="3">
        <f t="shared" ca="1" si="39"/>
        <v>8.3241767057284122</v>
      </c>
      <c r="AG89" s="3">
        <f t="shared" ca="1" si="39"/>
        <v>8.2012235586332274</v>
      </c>
      <c r="AH89" s="3">
        <f t="shared" ca="1" si="39"/>
        <v>8.1574219709632665</v>
      </c>
      <c r="AI89" s="3">
        <f t="shared" ca="1" si="39"/>
        <v>8.0685516895521623</v>
      </c>
      <c r="AJ89" s="3">
        <f t="shared" ca="1" si="39"/>
        <v>7.9681093075420151</v>
      </c>
      <c r="AK89" s="3">
        <f t="shared" ca="1" si="39"/>
        <v>7.8452976235859371</v>
      </c>
      <c r="AL89" s="3">
        <f t="shared" ca="1" si="39"/>
        <v>7.7024793973033265</v>
      </c>
      <c r="AM89" s="3">
        <f t="shared" ca="1" si="39"/>
        <v>7.0580943117152284</v>
      </c>
      <c r="AN89" s="3">
        <f ca="1">(($M$81*(1-AN$75))+((AN81-$M$81)*(1-AN$76)))</f>
        <v>6.6815040265710763</v>
      </c>
      <c r="AO89" s="3">
        <f t="shared" ca="1" si="39"/>
        <v>6.6815040265710763</v>
      </c>
      <c r="AP89" s="3">
        <f t="shared" ca="1" si="39"/>
        <v>6.6815040265710763</v>
      </c>
      <c r="AR89" s="3">
        <v>5.6509347274363675</v>
      </c>
    </row>
    <row r="90" spans="1:54">
      <c r="A90" t="s">
        <v>16</v>
      </c>
      <c r="B90" s="19"/>
      <c r="D90" s="3" t="str">
        <f>D82</f>
        <v>RMEH</v>
      </c>
      <c r="J90" s="36">
        <f t="shared" si="38"/>
        <v>13.489057936190237</v>
      </c>
      <c r="K90" s="36">
        <f t="shared" si="38"/>
        <v>12.842186247672119</v>
      </c>
      <c r="L90" s="36">
        <f t="shared" si="38"/>
        <v>12.195314559154001</v>
      </c>
      <c r="M90" s="36">
        <f t="shared" si="38"/>
        <v>11.548442870635881</v>
      </c>
      <c r="N90" s="36">
        <f t="shared" si="38"/>
        <v>10.901571182117763</v>
      </c>
      <c r="O90" s="36">
        <f t="shared" si="38"/>
        <v>10.254699493599645</v>
      </c>
      <c r="P90" s="3">
        <f t="shared" ref="P90:AP90" ca="1" si="40">(($M$82*(1-P$75))+((P82-$M$82)*(1-P$76)))</f>
        <v>10.531385776580256</v>
      </c>
      <c r="Q90" s="3">
        <f t="shared" ca="1" si="40"/>
        <v>10.815988765260034</v>
      </c>
      <c r="R90" s="3">
        <f t="shared" ca="1" si="40"/>
        <v>11.366243642428371</v>
      </c>
      <c r="S90" s="3">
        <f t="shared" ca="1" si="40"/>
        <v>9.681224523261676</v>
      </c>
      <c r="T90" s="3">
        <f t="shared" ca="1" si="40"/>
        <v>10.023996392529011</v>
      </c>
      <c r="U90" s="3">
        <f t="shared" ca="1" si="40"/>
        <v>10.210649513343288</v>
      </c>
      <c r="V90" s="3">
        <f t="shared" ca="1" si="40"/>
        <v>10.210038011420334</v>
      </c>
      <c r="W90" s="3">
        <f t="shared" ca="1" si="40"/>
        <v>10.194206940489167</v>
      </c>
      <c r="X90" s="3">
        <f t="shared" ca="1" si="40"/>
        <v>10.136019116125244</v>
      </c>
      <c r="Y90" s="3">
        <f t="shared" ca="1" si="40"/>
        <v>10.101794197445958</v>
      </c>
      <c r="Z90" s="3">
        <f t="shared" ca="1" si="40"/>
        <v>10.025843556875074</v>
      </c>
      <c r="AA90" s="3">
        <f t="shared" ca="1" si="40"/>
        <v>9.9094724002199044</v>
      </c>
      <c r="AB90" s="3">
        <f t="shared" ca="1" si="40"/>
        <v>9.8377824171390511</v>
      </c>
      <c r="AC90" s="3">
        <f t="shared" ca="1" si="40"/>
        <v>9.9858778932129653</v>
      </c>
      <c r="AD90" s="3">
        <f t="shared" ca="1" si="40"/>
        <v>10.153453699761812</v>
      </c>
      <c r="AE90" s="3">
        <f t="shared" ca="1" si="40"/>
        <v>10.321789137338232</v>
      </c>
      <c r="AF90" s="3">
        <f t="shared" ca="1" si="40"/>
        <v>10.499781280871041</v>
      </c>
      <c r="AG90" s="3">
        <f t="shared" ca="1" si="40"/>
        <v>10.70961328897857</v>
      </c>
      <c r="AH90" s="3">
        <f t="shared" ca="1" si="40"/>
        <v>10.854020545998477</v>
      </c>
      <c r="AI90" s="3">
        <f t="shared" ca="1" si="40"/>
        <v>10.997328873528275</v>
      </c>
      <c r="AJ90" s="3">
        <f t="shared" ca="1" si="40"/>
        <v>11.161439732628244</v>
      </c>
      <c r="AK90" s="3">
        <f t="shared" ca="1" si="40"/>
        <v>11.258172295187604</v>
      </c>
      <c r="AL90" s="3">
        <f t="shared" ca="1" si="40"/>
        <v>11.464809965620487</v>
      </c>
      <c r="AM90" s="3">
        <f t="shared" ca="1" si="40"/>
        <v>12.097117750167923</v>
      </c>
      <c r="AN90" s="3">
        <f t="shared" ca="1" si="40"/>
        <v>12.698527293154021</v>
      </c>
      <c r="AO90" s="3">
        <f t="shared" ca="1" si="40"/>
        <v>12.698527293154021</v>
      </c>
      <c r="AP90" s="3">
        <f t="shared" ca="1" si="40"/>
        <v>12.698527293154021</v>
      </c>
      <c r="AR90" s="3">
        <v>15.965795038638294</v>
      </c>
    </row>
    <row r="91" spans="1:54">
      <c r="A91" t="s">
        <v>16</v>
      </c>
      <c r="B91" s="19"/>
      <c r="D91" s="3" t="str">
        <f>D83</f>
        <v>RHEH</v>
      </c>
      <c r="J91" s="36">
        <f t="shared" si="38"/>
        <v>7.5410126179469659</v>
      </c>
      <c r="K91" s="36">
        <f t="shared" si="38"/>
        <v>6.9154335375640121</v>
      </c>
      <c r="L91" s="36">
        <f t="shared" si="38"/>
        <v>6.2898544571810575</v>
      </c>
      <c r="M91" s="36">
        <f t="shared" si="38"/>
        <v>5.6642753767981038</v>
      </c>
      <c r="N91" s="36">
        <f t="shared" si="38"/>
        <v>5.03869629641515</v>
      </c>
      <c r="O91" s="36">
        <f t="shared" si="38"/>
        <v>4.4131172160321963</v>
      </c>
      <c r="P91" s="3">
        <f t="shared" ref="P91:AP91" ca="1" si="41">(($M$83*(1-P$75))+((P83-$M$83)*(1-P$76)))</f>
        <v>4.5762578041988755</v>
      </c>
      <c r="Q91" s="3">
        <f t="shared" ca="1" si="41"/>
        <v>4.6439314296789611</v>
      </c>
      <c r="R91" s="3">
        <f t="shared" ca="1" si="41"/>
        <v>3.9219471003616979</v>
      </c>
      <c r="S91" s="3">
        <f t="shared" ca="1" si="41"/>
        <v>3.8995484015675732</v>
      </c>
      <c r="T91" s="3">
        <f t="shared" ca="1" si="41"/>
        <v>3.8711155863048159</v>
      </c>
      <c r="U91" s="3">
        <f t="shared" ca="1" si="41"/>
        <v>3.8568830367660056</v>
      </c>
      <c r="V91" s="3">
        <f t="shared" ca="1" si="41"/>
        <v>3.9323212667426595</v>
      </c>
      <c r="W91" s="3">
        <f t="shared" ca="1" si="41"/>
        <v>4.000289664599384</v>
      </c>
      <c r="X91" s="3">
        <f t="shared" ca="1" si="41"/>
        <v>4.044303783075657</v>
      </c>
      <c r="Y91" s="3">
        <f t="shared" ca="1" si="41"/>
        <v>4.0648827930437275</v>
      </c>
      <c r="Z91" s="3">
        <f t="shared" ca="1" si="41"/>
        <v>4.0445720702182903</v>
      </c>
      <c r="AA91" s="3">
        <f t="shared" ca="1" si="41"/>
        <v>4.0915914411437146</v>
      </c>
      <c r="AB91" s="3">
        <f t="shared" ca="1" si="41"/>
        <v>4.1283866400752602</v>
      </c>
      <c r="AC91" s="3">
        <f t="shared" ca="1" si="41"/>
        <v>4.3053373635602492</v>
      </c>
      <c r="AD91" s="3">
        <f t="shared" ca="1" si="41"/>
        <v>4.4750280977963861</v>
      </c>
      <c r="AE91" s="3">
        <f t="shared" ca="1" si="41"/>
        <v>4.6685717624407328</v>
      </c>
      <c r="AF91" s="3">
        <f t="shared" ca="1" si="41"/>
        <v>4.8682532558784368</v>
      </c>
      <c r="AG91" s="3">
        <f t="shared" ca="1" si="41"/>
        <v>4.9965316506962347</v>
      </c>
      <c r="AH91" s="3">
        <f t="shared" ca="1" si="41"/>
        <v>5.088509097291591</v>
      </c>
      <c r="AI91" s="3">
        <f t="shared" ca="1" si="41"/>
        <v>5.2173273309096482</v>
      </c>
      <c r="AJ91" s="3">
        <f t="shared" ca="1" si="41"/>
        <v>5.3410967509089362</v>
      </c>
      <c r="AK91" s="3">
        <f t="shared" ca="1" si="41"/>
        <v>5.5187859624727285</v>
      </c>
      <c r="AL91" s="3">
        <f t="shared" ca="1" si="41"/>
        <v>5.6486140304109203</v>
      </c>
      <c r="AM91" s="3">
        <f t="shared" ca="1" si="41"/>
        <v>6.4089374665828984</v>
      </c>
      <c r="AN91" s="3">
        <f t="shared" ca="1" si="41"/>
        <v>6.8570329097145635</v>
      </c>
      <c r="AO91" s="3">
        <f t="shared" ca="1" si="41"/>
        <v>6.8570329097145635</v>
      </c>
      <c r="AP91" s="3">
        <f t="shared" ca="1" si="41"/>
        <v>6.8570329097145635</v>
      </c>
      <c r="AR91" s="3">
        <v>15.624866478724483</v>
      </c>
    </row>
    <row r="92" spans="1:54">
      <c r="A92" t="s">
        <v>16</v>
      </c>
      <c r="B92" s="19"/>
      <c r="D92" s="3" t="str">
        <f>D84</f>
        <v>RMEO</v>
      </c>
      <c r="I92">
        <v>0.1</v>
      </c>
      <c r="J92" s="36">
        <f t="shared" si="38"/>
        <v>6.2540671774629208</v>
      </c>
      <c r="K92" s="36">
        <f t="shared" si="38"/>
        <v>7.1143299872230452</v>
      </c>
      <c r="L92" s="36">
        <f t="shared" si="38"/>
        <v>7.9745927969831687</v>
      </c>
      <c r="M92" s="36">
        <f t="shared" si="38"/>
        <v>8.8348556067432931</v>
      </c>
      <c r="N92" s="36">
        <f t="shared" si="38"/>
        <v>9.6951184165034174</v>
      </c>
      <c r="O92" s="36">
        <f t="shared" si="38"/>
        <v>10.555381226263542</v>
      </c>
      <c r="P92" s="3">
        <f ca="1">OFFSET(P$33,$BB117,$J$96)/OFFSET(O$33,$BB117,$J$96)*O117</f>
        <v>10.840180327276789</v>
      </c>
      <c r="Q92" s="3">
        <f t="shared" ref="Q92:AP92" ca="1" si="42">(($M$84*(1-Q$75*$I$92))+((Q84-$M$84)*(1-Q$76*$I$92)))</f>
        <v>11.133128262564798</v>
      </c>
      <c r="R92" s="3">
        <f t="shared" ca="1" si="42"/>
        <v>11.699517360923819</v>
      </c>
      <c r="S92" s="3">
        <f t="shared" ca="1" si="42"/>
        <v>10.14812347719417</v>
      </c>
      <c r="T92" s="3">
        <f t="shared" ca="1" si="42"/>
        <v>10.704835356449763</v>
      </c>
      <c r="U92" s="3">
        <f t="shared" ca="1" si="42"/>
        <v>11.113807875368426</v>
      </c>
      <c r="V92" s="3">
        <f t="shared" ca="1" si="42"/>
        <v>11.331885790250064</v>
      </c>
      <c r="W92" s="3">
        <f t="shared" ca="1" si="42"/>
        <v>11.542426444167274</v>
      </c>
      <c r="X92" s="3">
        <f t="shared" ca="1" si="42"/>
        <v>11.71366173523251</v>
      </c>
      <c r="Y92" s="3">
        <f t="shared" ca="1" si="42"/>
        <v>11.921419352759889</v>
      </c>
      <c r="Z92" s="3">
        <f t="shared" ca="1" si="42"/>
        <v>12.08892605183058</v>
      </c>
      <c r="AA92" s="3">
        <f t="shared" ca="1" si="42"/>
        <v>12.21515980024672</v>
      </c>
      <c r="AB92" s="3">
        <f t="shared" ca="1" si="42"/>
        <v>12.404643478432945</v>
      </c>
      <c r="AC92" s="3">
        <f t="shared" ca="1" si="42"/>
        <v>12.591379828513755</v>
      </c>
      <c r="AD92" s="3">
        <f t="shared" ca="1" si="42"/>
        <v>12.802679290903551</v>
      </c>
      <c r="AE92" s="3">
        <f t="shared" ca="1" si="42"/>
        <v>13.014936586235031</v>
      </c>
      <c r="AF92" s="3">
        <f t="shared" ca="1" si="42"/>
        <v>13.239370202355666</v>
      </c>
      <c r="AG92" s="3">
        <f t="shared" ca="1" si="42"/>
        <v>13.503951298030531</v>
      </c>
      <c r="AH92" s="3">
        <f t="shared" ca="1" si="42"/>
        <v>13.686037103863113</v>
      </c>
      <c r="AI92" s="3">
        <f t="shared" ca="1" si="42"/>
        <v>13.866737248989375</v>
      </c>
      <c r="AJ92" s="3">
        <f t="shared" ca="1" si="42"/>
        <v>14.073667694465367</v>
      </c>
      <c r="AK92" s="3">
        <f t="shared" ca="1" si="42"/>
        <v>14.195639588173201</v>
      </c>
      <c r="AL92" s="3">
        <f t="shared" ca="1" si="42"/>
        <v>14.456192883849694</v>
      </c>
      <c r="AM92" s="3">
        <f t="shared" ca="1" si="42"/>
        <v>15.253481571825143</v>
      </c>
      <c r="AN92" s="3">
        <f t="shared" ca="1" si="42"/>
        <v>16.011810090279951</v>
      </c>
      <c r="AO92" s="3">
        <f t="shared" ca="1" si="42"/>
        <v>16.011810090279951</v>
      </c>
      <c r="AP92" s="3">
        <f t="shared" ca="1" si="42"/>
        <v>16.011810090279951</v>
      </c>
      <c r="AR92" s="3">
        <v>12.91511152465643</v>
      </c>
    </row>
    <row r="93" spans="1:54">
      <c r="A93" t="s">
        <v>16</v>
      </c>
      <c r="B93" s="19"/>
      <c r="D93" s="3" t="str">
        <f>D85</f>
        <v>RHEO</v>
      </c>
      <c r="I93">
        <v>0.1</v>
      </c>
      <c r="J93" s="36">
        <f t="shared" si="38"/>
        <v>12.567032680070476</v>
      </c>
      <c r="K93" s="36">
        <f t="shared" si="38"/>
        <v>12.568779819506284</v>
      </c>
      <c r="L93" s="36">
        <f t="shared" si="38"/>
        <v>12.570526958942095</v>
      </c>
      <c r="M93" s="36">
        <f t="shared" si="38"/>
        <v>12.572274098377903</v>
      </c>
      <c r="N93" s="36">
        <f t="shared" si="38"/>
        <v>12.574021237813714</v>
      </c>
      <c r="O93" s="36">
        <f t="shared" si="38"/>
        <v>12.575768377249522</v>
      </c>
      <c r="P93" s="3">
        <f ca="1">(($M$85*(1-P$75))+((P85-$M$85)*(1-P$76)))</f>
        <v>13.040659326046256</v>
      </c>
      <c r="Q93" s="3">
        <f t="shared" ref="Q93:AP93" ca="1" si="43">(($M$85*(1-Q$75*$I$93))+((Q85-$M$85)*(1-Q$76*$I$93)))</f>
        <v>13.2335043826413</v>
      </c>
      <c r="R93" s="3">
        <f t="shared" ca="1" si="43"/>
        <v>11.176113370113184</v>
      </c>
      <c r="S93" s="3">
        <f t="shared" ca="1" si="43"/>
        <v>11.316388477949282</v>
      </c>
      <c r="T93" s="3">
        <f t="shared" ca="1" si="43"/>
        <v>11.444934496188381</v>
      </c>
      <c r="U93" s="3">
        <f t="shared" ca="1" si="43"/>
        <v>11.6220855125997</v>
      </c>
      <c r="V93" s="3">
        <f t="shared" ca="1" si="43"/>
        <v>12.082641889824211</v>
      </c>
      <c r="W93" s="3">
        <f t="shared" ca="1" si="43"/>
        <v>12.539297095772861</v>
      </c>
      <c r="X93" s="3">
        <f t="shared" ca="1" si="43"/>
        <v>12.93919056630371</v>
      </c>
      <c r="Y93" s="3">
        <f t="shared" ca="1" si="43"/>
        <v>13.280534622449448</v>
      </c>
      <c r="Z93" s="3">
        <f t="shared" ca="1" si="43"/>
        <v>13.501358149618765</v>
      </c>
      <c r="AA93" s="3">
        <f t="shared" ca="1" si="43"/>
        <v>13.963007262660707</v>
      </c>
      <c r="AB93" s="3">
        <f t="shared" ca="1" si="43"/>
        <v>14.411378336308031</v>
      </c>
      <c r="AC93" s="3">
        <f t="shared" ca="1" si="43"/>
        <v>15.029078189870951</v>
      </c>
      <c r="AD93" s="3">
        <f t="shared" ca="1" si="43"/>
        <v>15.621434861967508</v>
      </c>
      <c r="AE93" s="3">
        <f t="shared" ca="1" si="43"/>
        <v>16.297057379662306</v>
      </c>
      <c r="AF93" s="3">
        <f t="shared" ca="1" si="43"/>
        <v>16.994105839405719</v>
      </c>
      <c r="AG93" s="3">
        <f t="shared" ca="1" si="43"/>
        <v>17.441900254334811</v>
      </c>
      <c r="AH93" s="3">
        <f t="shared" ca="1" si="43"/>
        <v>17.762975264225137</v>
      </c>
      <c r="AI93" s="3">
        <f t="shared" ca="1" si="43"/>
        <v>18.212654149255847</v>
      </c>
      <c r="AJ93" s="3">
        <f t="shared" ca="1" si="43"/>
        <v>18.64470862805889</v>
      </c>
      <c r="AK93" s="3">
        <f t="shared" ca="1" si="43"/>
        <v>19.264986396925863</v>
      </c>
      <c r="AL93" s="3">
        <f t="shared" ca="1" si="43"/>
        <v>19.718190413130859</v>
      </c>
      <c r="AM93" s="3">
        <f t="shared" ca="1" si="43"/>
        <v>22.372328615757247</v>
      </c>
      <c r="AN93" s="3">
        <f t="shared" ca="1" si="43"/>
        <v>23.936540867356889</v>
      </c>
      <c r="AO93" s="3">
        <f t="shared" ca="1" si="43"/>
        <v>23.936540867356889</v>
      </c>
      <c r="AP93" s="3">
        <f t="shared" ca="1" si="43"/>
        <v>23.936540867356889</v>
      </c>
      <c r="AR93" s="3">
        <v>32.227542399636981</v>
      </c>
    </row>
    <row r="94" spans="1:54">
      <c r="A94" t="s">
        <v>16</v>
      </c>
      <c r="B94" s="19"/>
      <c r="D94" s="3"/>
      <c r="J94" s="36"/>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row>
    <row r="95" spans="1:54">
      <c r="A95" t="s">
        <v>16</v>
      </c>
      <c r="B95" s="19"/>
      <c r="D95" s="3"/>
    </row>
    <row r="96" spans="1:54" ht="18" thickBot="1">
      <c r="A96" t="s">
        <v>16</v>
      </c>
      <c r="B96" s="19"/>
      <c r="C96" s="31" t="s">
        <v>154</v>
      </c>
      <c r="D96" s="9"/>
      <c r="I96" s="121" t="s">
        <v>445</v>
      </c>
      <c r="J96" s="34">
        <f>J97-J3</f>
        <v>0</v>
      </c>
    </row>
    <row r="97" spans="1:54" ht="24" thickTop="1">
      <c r="A97" t="s">
        <v>16</v>
      </c>
      <c r="B97" s="10" t="s">
        <v>18</v>
      </c>
      <c r="C97" s="10" t="s">
        <v>19</v>
      </c>
      <c r="D97" s="10" t="s">
        <v>20</v>
      </c>
      <c r="E97" s="10" t="s">
        <v>21</v>
      </c>
      <c r="F97" s="10" t="s">
        <v>22</v>
      </c>
      <c r="G97" s="10" t="s">
        <v>23</v>
      </c>
      <c r="H97" s="10" t="s">
        <v>24</v>
      </c>
      <c r="I97" s="11" t="s">
        <v>25</v>
      </c>
      <c r="J97" s="12">
        <f>'[12]TS BYDem'!J7</f>
        <v>2012</v>
      </c>
      <c r="K97" s="12">
        <v>2013</v>
      </c>
      <c r="L97" s="12">
        <f t="shared" ref="L97:AL97" si="44">1+K97</f>
        <v>2014</v>
      </c>
      <c r="M97" s="12">
        <f>1+L97</f>
        <v>2015</v>
      </c>
      <c r="N97" s="12">
        <f t="shared" si="44"/>
        <v>2016</v>
      </c>
      <c r="O97" s="12">
        <f t="shared" si="44"/>
        <v>2017</v>
      </c>
      <c r="P97" s="12">
        <f t="shared" si="44"/>
        <v>2018</v>
      </c>
      <c r="Q97" s="12">
        <f t="shared" si="44"/>
        <v>2019</v>
      </c>
      <c r="R97" s="12">
        <f t="shared" si="44"/>
        <v>2020</v>
      </c>
      <c r="S97" s="12">
        <f t="shared" si="44"/>
        <v>2021</v>
      </c>
      <c r="T97" s="12">
        <f t="shared" si="44"/>
        <v>2022</v>
      </c>
      <c r="U97" s="12">
        <f t="shared" si="44"/>
        <v>2023</v>
      </c>
      <c r="V97" s="12">
        <f t="shared" si="44"/>
        <v>2024</v>
      </c>
      <c r="W97" s="12">
        <f t="shared" si="44"/>
        <v>2025</v>
      </c>
      <c r="X97" s="12">
        <f t="shared" si="44"/>
        <v>2026</v>
      </c>
      <c r="Y97" s="12">
        <f t="shared" si="44"/>
        <v>2027</v>
      </c>
      <c r="Z97" s="12">
        <f t="shared" si="44"/>
        <v>2028</v>
      </c>
      <c r="AA97" s="12">
        <f t="shared" si="44"/>
        <v>2029</v>
      </c>
      <c r="AB97" s="12">
        <f t="shared" si="44"/>
        <v>2030</v>
      </c>
      <c r="AC97" s="12">
        <f t="shared" si="44"/>
        <v>2031</v>
      </c>
      <c r="AD97" s="12">
        <f t="shared" si="44"/>
        <v>2032</v>
      </c>
      <c r="AE97" s="12">
        <f t="shared" si="44"/>
        <v>2033</v>
      </c>
      <c r="AF97" s="12">
        <f t="shared" si="44"/>
        <v>2034</v>
      </c>
      <c r="AG97" s="12">
        <f t="shared" si="44"/>
        <v>2035</v>
      </c>
      <c r="AH97" s="12">
        <f t="shared" si="44"/>
        <v>2036</v>
      </c>
      <c r="AI97" s="12">
        <f t="shared" si="44"/>
        <v>2037</v>
      </c>
      <c r="AJ97" s="12">
        <f t="shared" si="44"/>
        <v>2038</v>
      </c>
      <c r="AK97" s="12">
        <f t="shared" si="44"/>
        <v>2039</v>
      </c>
      <c r="AL97" s="12">
        <f t="shared" si="44"/>
        <v>2040</v>
      </c>
      <c r="AM97" s="12">
        <f>5+AL97</f>
        <v>2045</v>
      </c>
      <c r="AN97" s="12">
        <f>5+AM97</f>
        <v>2050</v>
      </c>
      <c r="AO97" s="12">
        <f>10+AN97</f>
        <v>2060</v>
      </c>
      <c r="AP97" s="12">
        <f>10+AO97</f>
        <v>2070</v>
      </c>
      <c r="AQ97" s="12"/>
      <c r="AR97" s="12"/>
      <c r="AS97" s="12"/>
      <c r="AT97" s="12"/>
      <c r="AU97" s="12"/>
      <c r="AV97" s="12"/>
    </row>
    <row r="98" spans="1:54">
      <c r="A98" t="s">
        <v>16</v>
      </c>
      <c r="B98" s="10"/>
      <c r="C98" s="2" t="str">
        <f>C34</f>
        <v>Low Income Electrified</v>
      </c>
      <c r="D98" s="10"/>
      <c r="E98" s="10"/>
      <c r="F98" s="10"/>
      <c r="G98" s="10"/>
      <c r="H98" s="10"/>
      <c r="I98" s="11"/>
      <c r="J98" s="3"/>
    </row>
    <row r="99" spans="1:54">
      <c r="A99" s="16" t="str">
        <f>'[12]TS BYDem'!A10</f>
        <v/>
      </c>
      <c r="B99" s="16" t="str">
        <f>'[12]TS BYDem'!B10</f>
        <v>COM_PROJ</v>
      </c>
      <c r="C99" s="16" t="str">
        <f>'[12]TS BYDem'!C10</f>
        <v>-</v>
      </c>
      <c r="D99" s="16" t="str">
        <f>'[12]TS BYDem'!D10</f>
        <v>RLEL</v>
      </c>
      <c r="E99" s="99" t="str">
        <f>'[12]TS BYDem'!E10</f>
        <v>-</v>
      </c>
      <c r="F99" s="99" t="str">
        <f>'[12]TS BYDem'!F10</f>
        <v>-</v>
      </c>
      <c r="G99" s="99" t="str">
        <f>'[12]TS BYDem'!G10</f>
        <v>-</v>
      </c>
      <c r="H99" s="99" t="str">
        <f>'[12]TS BYDem'!H10</f>
        <v>-</v>
      </c>
      <c r="I99" s="99">
        <f>'[12]TS BYDem'!I10</f>
        <v>0</v>
      </c>
      <c r="J99" s="18">
        <f>'[12]TS BYDem'!J10</f>
        <v>18.169455852795164</v>
      </c>
      <c r="K99" s="18">
        <f t="shared" ref="K99:N128" si="45">($O99-$J99)*(K$97-$J$97)/($O$97-$J$97)+$J99</f>
        <v>18.169455852795164</v>
      </c>
      <c r="L99" s="18">
        <f t="shared" si="45"/>
        <v>18.169455852795164</v>
      </c>
      <c r="M99" s="18">
        <f t="shared" si="45"/>
        <v>18.169455852795164</v>
      </c>
      <c r="N99" s="18">
        <f t="shared" si="45"/>
        <v>18.169455852795164</v>
      </c>
      <c r="O99" s="18">
        <f>'[12]TS BYDem'!O10</f>
        <v>18.169455852795164</v>
      </c>
      <c r="P99" s="18">
        <f t="shared" ref="P99:AP99" ca="1" si="46">OFFSET(P$21,$BB99,$J$96)/OFFSET(O$21,$BB99,$J$96)*O99</f>
        <v>18.134660895582694</v>
      </c>
      <c r="Q99" s="18">
        <f t="shared" ca="1" si="46"/>
        <v>18.304444931389789</v>
      </c>
      <c r="R99" s="18">
        <f t="shared" ca="1" si="46"/>
        <v>19.046278498617063</v>
      </c>
      <c r="S99" s="18">
        <f t="shared" ca="1" si="46"/>
        <v>22.110860184698861</v>
      </c>
      <c r="T99" s="18">
        <f t="shared" ca="1" si="46"/>
        <v>21.890836828962861</v>
      </c>
      <c r="U99" s="18">
        <f t="shared" ca="1" si="46"/>
        <v>21.771694579306505</v>
      </c>
      <c r="V99" s="18">
        <f t="shared" ca="1" si="46"/>
        <v>21.626288016630955</v>
      </c>
      <c r="W99" s="18">
        <f t="shared" ca="1" si="46"/>
        <v>21.454877376713775</v>
      </c>
      <c r="X99" s="18">
        <f t="shared" ca="1" si="46"/>
        <v>21.360326401760137</v>
      </c>
      <c r="Y99" s="18">
        <f t="shared" ca="1" si="46"/>
        <v>21.254560361089069</v>
      </c>
      <c r="Z99" s="18">
        <f t="shared" ca="1" si="46"/>
        <v>21.275164458462811</v>
      </c>
      <c r="AA99" s="18">
        <f t="shared" ca="1" si="46"/>
        <v>21.148347813819839</v>
      </c>
      <c r="AB99" s="18">
        <f t="shared" ca="1" si="46"/>
        <v>20.94278268369753</v>
      </c>
      <c r="AC99" s="18">
        <f t="shared" ca="1" si="46"/>
        <v>20.653876047141164</v>
      </c>
      <c r="AD99" s="18">
        <f t="shared" ca="1" si="46"/>
        <v>20.346302554313894</v>
      </c>
      <c r="AE99" s="18">
        <f t="shared" ca="1" si="46"/>
        <v>19.964867401740687</v>
      </c>
      <c r="AF99" s="18">
        <f t="shared" ca="1" si="46"/>
        <v>19.543196126286915</v>
      </c>
      <c r="AG99" s="18">
        <f t="shared" ca="1" si="46"/>
        <v>19.254531246507057</v>
      </c>
      <c r="AH99" s="18">
        <f t="shared" ca="1" si="46"/>
        <v>19.151695488841348</v>
      </c>
      <c r="AI99" s="18">
        <f t="shared" ca="1" si="46"/>
        <v>18.943049108446719</v>
      </c>
      <c r="AJ99" s="18">
        <f t="shared" ca="1" si="46"/>
        <v>18.707234175581959</v>
      </c>
      <c r="AK99" s="18">
        <f t="shared" ca="1" si="46"/>
        <v>18.418901417760814</v>
      </c>
      <c r="AL99" s="18">
        <f t="shared" ca="1" si="46"/>
        <v>18.083598035177801</v>
      </c>
      <c r="AM99" s="18">
        <f t="shared" ca="1" si="46"/>
        <v>16.570734414702745</v>
      </c>
      <c r="AN99" s="18">
        <f t="shared" ca="1" si="46"/>
        <v>15.686589584288257</v>
      </c>
      <c r="AO99" s="18">
        <f t="shared" ca="1" si="46"/>
        <v>15.686589584288257</v>
      </c>
      <c r="AP99" s="18">
        <f t="shared" ca="1" si="46"/>
        <v>15.686589584288257</v>
      </c>
      <c r="AQ99" s="3"/>
      <c r="AR99" s="3"/>
      <c r="AS99" s="3"/>
      <c r="AT99" s="3"/>
      <c r="AU99" s="3"/>
      <c r="AV99" s="3"/>
      <c r="BB99">
        <f>MATCH(MID(D99,2,2),$B$34:$B$38,0)</f>
        <v>1</v>
      </c>
    </row>
    <row r="100" spans="1:54">
      <c r="A100" s="16" t="str">
        <f>'[12]TS BYDem'!A11</f>
        <v/>
      </c>
      <c r="B100" s="16" t="str">
        <f>'[12]TS BYDem'!B11</f>
        <v>COM_PROJ</v>
      </c>
      <c r="C100" s="16" t="str">
        <f>'[12]TS BYDem'!C11</f>
        <v>-</v>
      </c>
      <c r="D100" s="16" t="str">
        <f>'[12]TS BYDem'!D11</f>
        <v>RLNL</v>
      </c>
      <c r="E100" s="99" t="s">
        <v>137</v>
      </c>
      <c r="F100" s="99" t="s">
        <v>137</v>
      </c>
      <c r="G100" s="99" t="s">
        <v>137</v>
      </c>
      <c r="H100" s="99" t="s">
        <v>137</v>
      </c>
      <c r="I100" s="99">
        <v>0</v>
      </c>
      <c r="J100" s="3">
        <f>'[12]TS BYDem'!J11</f>
        <v>4.742986727829742E-2</v>
      </c>
      <c r="K100" s="18">
        <f t="shared" si="45"/>
        <v>4.5708102885957093E-2</v>
      </c>
      <c r="L100" s="18">
        <f t="shared" si="45"/>
        <v>4.3986338493616758E-2</v>
      </c>
      <c r="M100" s="18">
        <f t="shared" si="45"/>
        <v>4.2264574101276431E-2</v>
      </c>
      <c r="N100" s="18">
        <f t="shared" si="45"/>
        <v>4.0542809708936096E-2</v>
      </c>
      <c r="O100" s="18">
        <f>'[12]TS BYDem'!O11</f>
        <v>3.8821045316595769E-2</v>
      </c>
      <c r="P100" s="18">
        <f t="shared" ref="P100:AP100" ca="1" si="47">OFFSET(P$21,$BB100,$J$96)/OFFSET(O$21,$BB100,$J$96)*O100</f>
        <v>3.874670205493301E-2</v>
      </c>
      <c r="Q100" s="18">
        <f t="shared" ca="1" si="47"/>
        <v>3.9109464363364377E-2</v>
      </c>
      <c r="R100" s="18">
        <f t="shared" ca="1" si="47"/>
        <v>4.0694473554835103E-2</v>
      </c>
      <c r="S100" s="18">
        <f t="shared" ca="1" si="47"/>
        <v>4.7242290147454125E-2</v>
      </c>
      <c r="T100" s="18">
        <f t="shared" ca="1" si="47"/>
        <v>4.6772185993926449E-2</v>
      </c>
      <c r="U100" s="18">
        <f t="shared" ca="1" si="47"/>
        <v>4.6517625444039701E-2</v>
      </c>
      <c r="V100" s="18">
        <f t="shared" ca="1" si="47"/>
        <v>4.6206948294173954E-2</v>
      </c>
      <c r="W100" s="18">
        <f t="shared" ca="1" si="47"/>
        <v>4.5840710566754733E-2</v>
      </c>
      <c r="X100" s="18">
        <f t="shared" ca="1" si="47"/>
        <v>4.5638691986058556E-2</v>
      </c>
      <c r="Y100" s="18">
        <f t="shared" ca="1" si="47"/>
        <v>4.5412711181178442E-2</v>
      </c>
      <c r="Z100" s="18">
        <f t="shared" ca="1" si="47"/>
        <v>4.5456734106484181E-2</v>
      </c>
      <c r="AA100" s="18">
        <f t="shared" ca="1" si="47"/>
        <v>4.5185776365731255E-2</v>
      </c>
      <c r="AB100" s="18">
        <f t="shared" ca="1" si="47"/>
        <v>4.4746563805011533E-2</v>
      </c>
      <c r="AC100" s="18">
        <f t="shared" ca="1" si="47"/>
        <v>4.4129282928749375E-2</v>
      </c>
      <c r="AD100" s="18">
        <f t="shared" ca="1" si="47"/>
        <v>4.3472118256347024E-2</v>
      </c>
      <c r="AE100" s="18">
        <f t="shared" ca="1" si="47"/>
        <v>4.2657140005850379E-2</v>
      </c>
      <c r="AF100" s="18">
        <f t="shared" ca="1" si="47"/>
        <v>4.1756192843441037E-2</v>
      </c>
      <c r="AG100" s="18">
        <f t="shared" ca="1" si="47"/>
        <v>4.1139428507181643E-2</v>
      </c>
      <c r="AH100" s="18">
        <f t="shared" ca="1" si="47"/>
        <v>4.0919708574958531E-2</v>
      </c>
      <c r="AI100" s="18">
        <f t="shared" ca="1" si="47"/>
        <v>4.0473912583374252E-2</v>
      </c>
      <c r="AJ100" s="18">
        <f t="shared" ca="1" si="47"/>
        <v>3.9970067984546352E-2</v>
      </c>
      <c r="AK100" s="18">
        <f t="shared" ca="1" si="47"/>
        <v>3.9354013263462793E-2</v>
      </c>
      <c r="AL100" s="18">
        <f t="shared" ca="1" si="47"/>
        <v>3.8637600624827802E-2</v>
      </c>
      <c r="AM100" s="18">
        <f t="shared" ca="1" si="47"/>
        <v>3.540520073106565E-2</v>
      </c>
      <c r="AN100" s="18">
        <f t="shared" ca="1" si="47"/>
        <v>3.3516127838292449E-2</v>
      </c>
      <c r="AO100" s="18">
        <f t="shared" ca="1" si="47"/>
        <v>3.3516127838292449E-2</v>
      </c>
      <c r="AP100" s="18">
        <f t="shared" ca="1" si="47"/>
        <v>3.3516127838292449E-2</v>
      </c>
      <c r="AQ100" s="3"/>
      <c r="AR100" s="3"/>
      <c r="AS100" s="3"/>
      <c r="AT100" s="3"/>
      <c r="AU100" s="3"/>
      <c r="AV100" s="3"/>
      <c r="BB100" s="189">
        <v>1</v>
      </c>
    </row>
    <row r="101" spans="1:54">
      <c r="A101" s="16" t="str">
        <f>'[12]TS BYDem'!A12</f>
        <v/>
      </c>
      <c r="B101" s="16" t="str">
        <f>'[12]TS BYDem'!B12</f>
        <v>COM_PROJ</v>
      </c>
      <c r="C101" s="16" t="str">
        <f>'[12]TS BYDem'!C12</f>
        <v>-</v>
      </c>
      <c r="D101" s="16" t="str">
        <f>'[12]TS BYDem'!D12</f>
        <v>RLEK</v>
      </c>
      <c r="E101" s="99" t="s">
        <v>137</v>
      </c>
      <c r="F101" s="99" t="s">
        <v>137</v>
      </c>
      <c r="G101" s="99" t="s">
        <v>137</v>
      </c>
      <c r="H101" s="99" t="s">
        <v>137</v>
      </c>
      <c r="I101" s="99">
        <v>0</v>
      </c>
      <c r="J101" s="3">
        <f>'[12]TS BYDem'!J12</f>
        <v>10.466936775855853</v>
      </c>
      <c r="K101" s="18">
        <f t="shared" si="45"/>
        <v>10.903761154858502</v>
      </c>
      <c r="L101" s="18">
        <f t="shared" si="45"/>
        <v>11.340585533861153</v>
      </c>
      <c r="M101" s="18">
        <f t="shared" si="45"/>
        <v>11.777409912863803</v>
      </c>
      <c r="N101" s="18">
        <f t="shared" si="45"/>
        <v>12.214234291866454</v>
      </c>
      <c r="O101" s="18">
        <f>'[12]TS BYDem'!O12</f>
        <v>12.651058670869103</v>
      </c>
      <c r="P101" s="18">
        <f t="shared" ref="P101:AP101" ca="1" si="48">OFFSET(P$21,$BB101,$J$96)/OFFSET(O$21,$BB101,$J$96)*O101</f>
        <v>12.626831580706817</v>
      </c>
      <c r="Q101" s="18">
        <f t="shared" ca="1" si="48"/>
        <v>12.745049089022679</v>
      </c>
      <c r="R101" s="18">
        <f t="shared" ca="1" si="48"/>
        <v>13.261574188015592</v>
      </c>
      <c r="S101" s="18">
        <f t="shared" ca="1" si="48"/>
        <v>15.395386175914362</v>
      </c>
      <c r="T101" s="18">
        <f t="shared" ca="1" si="48"/>
        <v>15.242187951106247</v>
      </c>
      <c r="U101" s="18">
        <f t="shared" ca="1" si="48"/>
        <v>15.159231389126985</v>
      </c>
      <c r="V101" s="18">
        <f t="shared" ca="1" si="48"/>
        <v>15.057987467985848</v>
      </c>
      <c r="W101" s="18">
        <f t="shared" ca="1" si="48"/>
        <v>14.938637385078998</v>
      </c>
      <c r="X101" s="18">
        <f t="shared" ca="1" si="48"/>
        <v>14.872803276384854</v>
      </c>
      <c r="Y101" s="18">
        <f t="shared" ca="1" si="48"/>
        <v>14.799160323246587</v>
      </c>
      <c r="Z101" s="18">
        <f t="shared" ca="1" si="48"/>
        <v>14.813506578128811</v>
      </c>
      <c r="AA101" s="18">
        <f t="shared" ca="1" si="48"/>
        <v>14.725206475758153</v>
      </c>
      <c r="AB101" s="18">
        <f t="shared" ca="1" si="48"/>
        <v>14.582075248112604</v>
      </c>
      <c r="AC101" s="18">
        <f t="shared" ca="1" si="48"/>
        <v>14.380914858990892</v>
      </c>
      <c r="AD101" s="18">
        <f t="shared" ca="1" si="48"/>
        <v>14.166757080415298</v>
      </c>
      <c r="AE101" s="18">
        <f t="shared" ca="1" si="48"/>
        <v>13.901170783641684</v>
      </c>
      <c r="AF101" s="18">
        <f t="shared" ca="1" si="48"/>
        <v>13.607568812905438</v>
      </c>
      <c r="AG101" s="18">
        <f t="shared" ca="1" si="48"/>
        <v>13.406576754590573</v>
      </c>
      <c r="AH101" s="18">
        <f t="shared" ca="1" si="48"/>
        <v>13.334974103733417</v>
      </c>
      <c r="AI101" s="18">
        <f t="shared" ca="1" si="48"/>
        <v>13.189697458069267</v>
      </c>
      <c r="AJ101" s="18">
        <f t="shared" ca="1" si="48"/>
        <v>13.025503847907839</v>
      </c>
      <c r="AK101" s="18">
        <f t="shared" ca="1" si="48"/>
        <v>12.824743040017841</v>
      </c>
      <c r="AL101" s="18">
        <f t="shared" ca="1" si="48"/>
        <v>12.591277448094459</v>
      </c>
      <c r="AM101" s="18">
        <f t="shared" ca="1" si="48"/>
        <v>11.53789827269615</v>
      </c>
      <c r="AN101" s="18">
        <f t="shared" ca="1" si="48"/>
        <v>10.922284452791986</v>
      </c>
      <c r="AO101" s="18">
        <f t="shared" ca="1" si="48"/>
        <v>10.922284452791986</v>
      </c>
      <c r="AP101" s="18">
        <f t="shared" ca="1" si="48"/>
        <v>10.922284452791986</v>
      </c>
      <c r="AQ101" s="3"/>
      <c r="AR101" s="3"/>
      <c r="AS101" s="3"/>
      <c r="AT101" s="3"/>
      <c r="AU101" s="3"/>
      <c r="AV101" s="3"/>
      <c r="BB101">
        <f t="shared" ref="BB101:BB110" si="49">MATCH(MID(D101,2,2),$B$34:$B$38,0)</f>
        <v>1</v>
      </c>
    </row>
    <row r="102" spans="1:54">
      <c r="A102" s="16" t="str">
        <f>'[12]TS BYDem'!A13</f>
        <v/>
      </c>
      <c r="B102" s="16" t="str">
        <f>'[12]TS BYDem'!B13</f>
        <v>COM_PROJ</v>
      </c>
      <c r="C102" s="16" t="str">
        <f>'[12]TS BYDem'!C13</f>
        <v>-</v>
      </c>
      <c r="D102" s="16" t="str">
        <f>'[12]TS BYDem'!D13</f>
        <v>RLEH</v>
      </c>
      <c r="E102" s="99" t="s">
        <v>137</v>
      </c>
      <c r="F102" s="99" t="s">
        <v>137</v>
      </c>
      <c r="G102" s="99" t="s">
        <v>137</v>
      </c>
      <c r="H102" s="99" t="s">
        <v>137</v>
      </c>
      <c r="I102" s="99">
        <v>0</v>
      </c>
      <c r="J102" s="3">
        <f>'[12]TS BYDem'!J13</f>
        <v>14.790068346157758</v>
      </c>
      <c r="K102" s="18">
        <f t="shared" si="45"/>
        <v>13.766817038571885</v>
      </c>
      <c r="L102" s="18">
        <f t="shared" si="45"/>
        <v>12.743565730986013</v>
      </c>
      <c r="M102" s="18">
        <f t="shared" si="45"/>
        <v>11.72031442340014</v>
      </c>
      <c r="N102" s="18">
        <f t="shared" si="45"/>
        <v>10.697063115814267</v>
      </c>
      <c r="O102" s="18">
        <f>'[12]TS BYDem'!O13</f>
        <v>9.673811808228395</v>
      </c>
      <c r="P102" s="18">
        <f ca="1">IF(OR($E$78=1,$E$78=2,$E$78=3), P89,P81)</f>
        <v>9.6552862194228819</v>
      </c>
      <c r="Q102" s="18">
        <f t="shared" ref="Q102:AN102" ca="1" si="50">IF(OR($E$78=1,$E$78=2,$E$78=3), Q89,Q81)</f>
        <v>9.7456829172517097</v>
      </c>
      <c r="R102" s="18">
        <f t="shared" ca="1" si="50"/>
        <v>10.140651174998371</v>
      </c>
      <c r="S102" s="18">
        <f t="shared" ca="1" si="50"/>
        <v>11.772300837062295</v>
      </c>
      <c r="T102" s="18">
        <f t="shared" ca="1" si="50"/>
        <v>11.655155637225311</v>
      </c>
      <c r="U102" s="18">
        <f t="shared" ca="1" si="50"/>
        <v>11.591721723137717</v>
      </c>
      <c r="V102" s="18">
        <f t="shared" ca="1" si="50"/>
        <v>11.514304119968923</v>
      </c>
      <c r="W102" s="18">
        <f t="shared" ca="1" si="50"/>
        <v>11.423041382883062</v>
      </c>
      <c r="X102" s="18">
        <f t="shared" ca="1" si="50"/>
        <v>11.372700396042484</v>
      </c>
      <c r="Y102" s="18">
        <f t="shared" ca="1" si="50"/>
        <v>11.316388265319212</v>
      </c>
      <c r="Z102" s="18">
        <f t="shared" ca="1" si="50"/>
        <v>11.327358333002406</v>
      </c>
      <c r="AA102" s="18">
        <f t="shared" ca="1" si="50"/>
        <v>11.259838404812683</v>
      </c>
      <c r="AB102" s="18">
        <f t="shared" ca="1" si="50"/>
        <v>11.150391077427185</v>
      </c>
      <c r="AC102" s="18">
        <f t="shared" ca="1" si="50"/>
        <v>10.996570927014449</v>
      </c>
      <c r="AD102" s="18">
        <f t="shared" ca="1" si="50"/>
        <v>10.832812138038237</v>
      </c>
      <c r="AE102" s="18">
        <f t="shared" ca="1" si="50"/>
        <v>10.629727801725082</v>
      </c>
      <c r="AF102" s="18">
        <f t="shared" ca="1" si="50"/>
        <v>10.405220882160515</v>
      </c>
      <c r="AG102" s="18">
        <f t="shared" ca="1" si="50"/>
        <v>10.251529448291535</v>
      </c>
      <c r="AH102" s="18">
        <f t="shared" ca="1" si="50"/>
        <v>10.196777463704082</v>
      </c>
      <c r="AI102" s="18">
        <f t="shared" ca="1" si="50"/>
        <v>10.085689611940202</v>
      </c>
      <c r="AJ102" s="18">
        <f t="shared" ca="1" si="50"/>
        <v>9.9601366344275188</v>
      </c>
      <c r="AK102" s="18">
        <f t="shared" ca="1" si="50"/>
        <v>9.8066220294824209</v>
      </c>
      <c r="AL102" s="18">
        <f t="shared" ca="1" si="50"/>
        <v>9.6280992466291586</v>
      </c>
      <c r="AM102" s="18">
        <f t="shared" ca="1" si="50"/>
        <v>8.8226178896440359</v>
      </c>
      <c r="AN102" s="18">
        <f t="shared" ca="1" si="50"/>
        <v>8.3518800332138454</v>
      </c>
      <c r="AO102" s="18">
        <f t="shared" ref="AO102:AP102" ca="1" si="51">IF($E$78=1, AO89,AO81)</f>
        <v>8.3518800332138454</v>
      </c>
      <c r="AP102" s="18">
        <f t="shared" ca="1" si="51"/>
        <v>8.3518800332138454</v>
      </c>
      <c r="AQ102" s="3"/>
      <c r="AR102" s="3"/>
      <c r="AS102" s="3"/>
      <c r="AT102" s="3"/>
      <c r="AU102" s="3"/>
      <c r="AV102" s="3"/>
      <c r="BB102">
        <f t="shared" si="49"/>
        <v>1</v>
      </c>
    </row>
    <row r="103" spans="1:54">
      <c r="A103" s="16" t="str">
        <f>'[12]TS BYDem'!A14</f>
        <v/>
      </c>
      <c r="B103" s="16" t="str">
        <f>'[12]TS BYDem'!B14</f>
        <v>COM_PROJ</v>
      </c>
      <c r="C103" s="16" t="str">
        <f>'[12]TS BYDem'!C14</f>
        <v>-</v>
      </c>
      <c r="D103" s="16" t="str">
        <f>'[12]TS BYDem'!D14</f>
        <v>RLEWG</v>
      </c>
      <c r="E103" s="99" t="s">
        <v>137</v>
      </c>
      <c r="F103" s="99" t="s">
        <v>137</v>
      </c>
      <c r="G103" s="99" t="s">
        <v>137</v>
      </c>
      <c r="H103" s="99" t="s">
        <v>137</v>
      </c>
      <c r="I103" s="99">
        <v>0</v>
      </c>
      <c r="J103" s="3">
        <f>'[12]TS BYDem'!J14</f>
        <v>0</v>
      </c>
      <c r="K103" s="18">
        <f t="shared" si="45"/>
        <v>0</v>
      </c>
      <c r="L103" s="18">
        <f t="shared" si="45"/>
        <v>0</v>
      </c>
      <c r="M103" s="18">
        <f t="shared" si="45"/>
        <v>0</v>
      </c>
      <c r="N103" s="18">
        <f t="shared" si="45"/>
        <v>0</v>
      </c>
      <c r="O103" s="18">
        <f>'[12]TS BYDem'!O14</f>
        <v>0</v>
      </c>
      <c r="P103" s="18">
        <f t="shared" ref="P103:AP103" ca="1" si="52">OFFSET(P$21,$BB103,$J$96)/OFFSET(O$21,$BB103,$J$96)*O103</f>
        <v>0</v>
      </c>
      <c r="Q103" s="18">
        <f t="shared" ca="1" si="52"/>
        <v>0</v>
      </c>
      <c r="R103" s="18">
        <f t="shared" ca="1" si="52"/>
        <v>0</v>
      </c>
      <c r="S103" s="18">
        <f t="shared" ca="1" si="52"/>
        <v>0</v>
      </c>
      <c r="T103" s="18">
        <f t="shared" ca="1" si="52"/>
        <v>0</v>
      </c>
      <c r="U103" s="18">
        <f t="shared" ca="1" si="52"/>
        <v>0</v>
      </c>
      <c r="V103" s="18">
        <f t="shared" ca="1" si="52"/>
        <v>0</v>
      </c>
      <c r="W103" s="18">
        <f t="shared" ca="1" si="52"/>
        <v>0</v>
      </c>
      <c r="X103" s="18">
        <f t="shared" ca="1" si="52"/>
        <v>0</v>
      </c>
      <c r="Y103" s="18">
        <f t="shared" ca="1" si="52"/>
        <v>0</v>
      </c>
      <c r="Z103" s="18">
        <f t="shared" ca="1" si="52"/>
        <v>0</v>
      </c>
      <c r="AA103" s="18">
        <f t="shared" ca="1" si="52"/>
        <v>0</v>
      </c>
      <c r="AB103" s="18">
        <f t="shared" ca="1" si="52"/>
        <v>0</v>
      </c>
      <c r="AC103" s="18">
        <f t="shared" ca="1" si="52"/>
        <v>0</v>
      </c>
      <c r="AD103" s="18">
        <f t="shared" ca="1" si="52"/>
        <v>0</v>
      </c>
      <c r="AE103" s="18">
        <f t="shared" ca="1" si="52"/>
        <v>0</v>
      </c>
      <c r="AF103" s="18">
        <f t="shared" ca="1" si="52"/>
        <v>0</v>
      </c>
      <c r="AG103" s="18">
        <f t="shared" ca="1" si="52"/>
        <v>0</v>
      </c>
      <c r="AH103" s="18">
        <f t="shared" ca="1" si="52"/>
        <v>0</v>
      </c>
      <c r="AI103" s="18">
        <f t="shared" ca="1" si="52"/>
        <v>0</v>
      </c>
      <c r="AJ103" s="18">
        <f t="shared" ca="1" si="52"/>
        <v>0</v>
      </c>
      <c r="AK103" s="18">
        <f t="shared" ca="1" si="52"/>
        <v>0</v>
      </c>
      <c r="AL103" s="18">
        <f t="shared" ca="1" si="52"/>
        <v>0</v>
      </c>
      <c r="AM103" s="18">
        <f t="shared" ca="1" si="52"/>
        <v>0</v>
      </c>
      <c r="AN103" s="18">
        <f t="shared" ca="1" si="52"/>
        <v>0</v>
      </c>
      <c r="AO103" s="18">
        <f t="shared" ca="1" si="52"/>
        <v>0</v>
      </c>
      <c r="AP103" s="18">
        <f t="shared" ca="1" si="52"/>
        <v>0</v>
      </c>
      <c r="AQ103" s="3"/>
      <c r="AR103" s="3"/>
      <c r="AS103" s="3"/>
      <c r="AT103" s="3"/>
      <c r="AU103" s="3"/>
      <c r="AV103" s="3"/>
      <c r="BB103">
        <f t="shared" si="49"/>
        <v>1</v>
      </c>
    </row>
    <row r="104" spans="1:54">
      <c r="A104" s="16" t="str">
        <f>'[12]TS BYDem'!A15</f>
        <v/>
      </c>
      <c r="B104" s="16" t="str">
        <f>'[12]TS BYDem'!B15</f>
        <v>COM_PROJ</v>
      </c>
      <c r="C104" s="16" t="str">
        <f>'[12]TS BYDem'!C15</f>
        <v>-</v>
      </c>
      <c r="D104" s="16" t="str">
        <f>'[12]TS BYDem'!D15</f>
        <v>RLEW</v>
      </c>
      <c r="E104" s="99" t="s">
        <v>137</v>
      </c>
      <c r="F104" s="99" t="s">
        <v>137</v>
      </c>
      <c r="G104" s="99" t="s">
        <v>137</v>
      </c>
      <c r="H104" s="99" t="s">
        <v>137</v>
      </c>
      <c r="I104" s="99">
        <v>0</v>
      </c>
      <c r="J104" s="3">
        <f>'[12]TS BYDem'!J15</f>
        <v>5.8283293691780411</v>
      </c>
      <c r="K104" s="18">
        <f t="shared" si="45"/>
        <v>5.6872514332332225</v>
      </c>
      <c r="L104" s="18">
        <f t="shared" si="45"/>
        <v>5.5461734972884047</v>
      </c>
      <c r="M104" s="18">
        <f t="shared" si="45"/>
        <v>5.405095561343586</v>
      </c>
      <c r="N104" s="18">
        <f t="shared" si="45"/>
        <v>5.2640176253987683</v>
      </c>
      <c r="O104" s="18">
        <f>'[12]TS BYDem'!O15</f>
        <v>5.1229396894539496</v>
      </c>
      <c r="P104" s="18">
        <f t="shared" ref="P104:AP104" ca="1" si="53">OFFSET(P$21,$BB104,$J$96)/OFFSET(O$21,$BB104,$J$96)*O104</f>
        <v>5.1131291332798527</v>
      </c>
      <c r="Q104" s="18">
        <f t="shared" ca="1" si="53"/>
        <v>5.1610003179052324</v>
      </c>
      <c r="R104" s="18">
        <f t="shared" ca="1" si="53"/>
        <v>5.3701628077072137</v>
      </c>
      <c r="S104" s="18">
        <f t="shared" ca="1" si="53"/>
        <v>6.2342320059483347</v>
      </c>
      <c r="T104" s="18">
        <f t="shared" ca="1" si="53"/>
        <v>6.1721956747098625</v>
      </c>
      <c r="U104" s="18">
        <f t="shared" ca="1" si="53"/>
        <v>6.1386031134135663</v>
      </c>
      <c r="V104" s="18">
        <f t="shared" ca="1" si="53"/>
        <v>6.0976052400004752</v>
      </c>
      <c r="W104" s="18">
        <f t="shared" ca="1" si="53"/>
        <v>6.0492754288305202</v>
      </c>
      <c r="X104" s="18">
        <f t="shared" ca="1" si="53"/>
        <v>6.0226164608244943</v>
      </c>
      <c r="Y104" s="18">
        <f t="shared" ca="1" si="53"/>
        <v>5.9927953670096867</v>
      </c>
      <c r="Z104" s="18">
        <f t="shared" ca="1" si="53"/>
        <v>5.9986047621317251</v>
      </c>
      <c r="AA104" s="18">
        <f t="shared" ca="1" si="53"/>
        <v>5.962848379145445</v>
      </c>
      <c r="AB104" s="18">
        <f t="shared" ca="1" si="53"/>
        <v>5.9048885936459063</v>
      </c>
      <c r="AC104" s="18">
        <f t="shared" ca="1" si="53"/>
        <v>5.8234303878002116</v>
      </c>
      <c r="AD104" s="18">
        <f t="shared" ca="1" si="53"/>
        <v>5.7367089985305162</v>
      </c>
      <c r="AE104" s="18">
        <f t="shared" ca="1" si="53"/>
        <v>5.6291620638340873</v>
      </c>
      <c r="AF104" s="18">
        <f t="shared" ca="1" si="53"/>
        <v>5.51027041785271</v>
      </c>
      <c r="AG104" s="18">
        <f t="shared" ca="1" si="53"/>
        <v>5.4288803761499365</v>
      </c>
      <c r="AH104" s="18">
        <f t="shared" ca="1" si="53"/>
        <v>5.3998854855649387</v>
      </c>
      <c r="AI104" s="18">
        <f t="shared" ca="1" si="53"/>
        <v>5.3410569311027469</v>
      </c>
      <c r="AJ104" s="18">
        <f t="shared" ca="1" si="53"/>
        <v>5.2745681111443359</v>
      </c>
      <c r="AK104" s="18">
        <f t="shared" ca="1" si="53"/>
        <v>5.193271712354032</v>
      </c>
      <c r="AL104" s="18">
        <f t="shared" ca="1" si="53"/>
        <v>5.0987317866369706</v>
      </c>
      <c r="AM104" s="18">
        <f t="shared" ca="1" si="53"/>
        <v>4.6721747587956353</v>
      </c>
      <c r="AN104" s="18">
        <f t="shared" ca="1" si="53"/>
        <v>4.4228871257673124</v>
      </c>
      <c r="AO104" s="18">
        <f t="shared" ca="1" si="53"/>
        <v>4.4228871257673124</v>
      </c>
      <c r="AP104" s="18">
        <f t="shared" ca="1" si="53"/>
        <v>4.4228871257673124</v>
      </c>
      <c r="AQ104" s="3"/>
      <c r="AR104" s="3"/>
      <c r="AS104" s="3"/>
      <c r="AT104" s="3"/>
      <c r="AU104" s="3"/>
      <c r="AV104" s="3"/>
      <c r="BB104">
        <f t="shared" si="49"/>
        <v>1</v>
      </c>
    </row>
    <row r="105" spans="1:54">
      <c r="A105" s="16" t="str">
        <f>'[12]TS BYDem'!A16</f>
        <v/>
      </c>
      <c r="B105" s="16" t="str">
        <f>'[12]TS BYDem'!B16</f>
        <v>COM_PROJ</v>
      </c>
      <c r="C105" s="16" t="str">
        <f>'[12]TS BYDem'!C16</f>
        <v>-</v>
      </c>
      <c r="D105" s="16" t="str">
        <f>'[12]TS BYDem'!D16</f>
        <v>RLER</v>
      </c>
      <c r="E105" s="99" t="s">
        <v>137</v>
      </c>
      <c r="F105" s="99" t="s">
        <v>137</v>
      </c>
      <c r="G105" s="99" t="s">
        <v>137</v>
      </c>
      <c r="H105" s="99" t="s">
        <v>137</v>
      </c>
      <c r="I105" s="99">
        <v>0</v>
      </c>
      <c r="J105" s="3">
        <f>'[12]TS BYDem'!J16</f>
        <v>1.5428416184807789</v>
      </c>
      <c r="K105" s="18">
        <f t="shared" si="45"/>
        <v>2.1642644802503535</v>
      </c>
      <c r="L105" s="18">
        <f t="shared" si="45"/>
        <v>2.7856873420199277</v>
      </c>
      <c r="M105" s="18">
        <f t="shared" si="45"/>
        <v>3.407110203789502</v>
      </c>
      <c r="N105" s="18">
        <f t="shared" si="45"/>
        <v>4.0285330655590768</v>
      </c>
      <c r="O105" s="18">
        <f>'[12]TS BYDem'!O16</f>
        <v>4.6499559273286506</v>
      </c>
      <c r="P105" s="18">
        <f t="shared" ref="P105:AP105" ca="1" si="54">OFFSET(P$21,$BB105,$J$96)/OFFSET(O$21,$BB105,$J$96)*O105</f>
        <v>4.6410511467539273</v>
      </c>
      <c r="Q105" s="18">
        <f t="shared" ca="1" si="54"/>
        <v>4.6845025461829053</v>
      </c>
      <c r="R105" s="18">
        <f t="shared" ca="1" si="54"/>
        <v>4.8743537679788052</v>
      </c>
      <c r="S105" s="18">
        <f t="shared" ca="1" si="54"/>
        <v>5.6586463682322501</v>
      </c>
      <c r="T105" s="18">
        <f t="shared" ca="1" si="54"/>
        <v>5.6023376424539846</v>
      </c>
      <c r="U105" s="18">
        <f t="shared" ca="1" si="54"/>
        <v>5.5718465691674055</v>
      </c>
      <c r="V105" s="18">
        <f t="shared" ca="1" si="54"/>
        <v>5.5346338912829633</v>
      </c>
      <c r="W105" s="18">
        <f t="shared" ca="1" si="54"/>
        <v>5.4907662087531381</v>
      </c>
      <c r="X105" s="18">
        <f t="shared" ca="1" si="54"/>
        <v>5.4665685734479101</v>
      </c>
      <c r="Y105" s="18">
        <f t="shared" ca="1" si="54"/>
        <v>5.4395007607564887</v>
      </c>
      <c r="Z105" s="18">
        <f t="shared" ca="1" si="54"/>
        <v>5.4447737939990084</v>
      </c>
      <c r="AA105" s="18">
        <f t="shared" ca="1" si="54"/>
        <v>5.4123186773890746</v>
      </c>
      <c r="AB105" s="18">
        <f t="shared" ca="1" si="54"/>
        <v>5.3597101236157227</v>
      </c>
      <c r="AC105" s="18">
        <f t="shared" ca="1" si="54"/>
        <v>5.2857726794795967</v>
      </c>
      <c r="AD105" s="18">
        <f t="shared" ca="1" si="54"/>
        <v>5.2070579839131188</v>
      </c>
      <c r="AE105" s="18">
        <f t="shared" ca="1" si="54"/>
        <v>5.1094404953670081</v>
      </c>
      <c r="AF105" s="18">
        <f t="shared" ca="1" si="54"/>
        <v>5.0015257145080723</v>
      </c>
      <c r="AG105" s="18">
        <f t="shared" ca="1" si="54"/>
        <v>4.9276501411491997</v>
      </c>
      <c r="AH105" s="18">
        <f t="shared" ca="1" si="54"/>
        <v>4.9013322511268944</v>
      </c>
      <c r="AI105" s="18">
        <f t="shared" ca="1" si="54"/>
        <v>4.8479351389022911</v>
      </c>
      <c r="AJ105" s="18">
        <f t="shared" ca="1" si="54"/>
        <v>4.7875850076869746</v>
      </c>
      <c r="AK105" s="18">
        <f t="shared" ca="1" si="54"/>
        <v>4.7137944315059501</v>
      </c>
      <c r="AL105" s="18">
        <f t="shared" ca="1" si="54"/>
        <v>4.6279830586213091</v>
      </c>
      <c r="AM105" s="18">
        <f t="shared" ca="1" si="54"/>
        <v>4.2408086040717716</v>
      </c>
      <c r="AN105" s="18">
        <f t="shared" ca="1" si="54"/>
        <v>4.0145368583403016</v>
      </c>
      <c r="AO105" s="18">
        <f t="shared" ca="1" si="54"/>
        <v>4.0145368583403016</v>
      </c>
      <c r="AP105" s="18">
        <f t="shared" ca="1" si="54"/>
        <v>4.0145368583403016</v>
      </c>
      <c r="AQ105" s="3"/>
      <c r="AR105" s="3"/>
      <c r="AS105" s="3"/>
      <c r="AT105" s="3"/>
      <c r="AU105" s="3"/>
      <c r="AV105" s="3"/>
      <c r="BB105">
        <f t="shared" si="49"/>
        <v>1</v>
      </c>
    </row>
    <row r="106" spans="1:54">
      <c r="A106" s="16" t="str">
        <f>'[12]TS BYDem'!A17</f>
        <v/>
      </c>
      <c r="B106" s="16" t="str">
        <f>'[12]TS BYDem'!B17</f>
        <v>COM_PROJ</v>
      </c>
      <c r="C106" s="16" t="str">
        <f>'[12]TS BYDem'!C17</f>
        <v>-</v>
      </c>
      <c r="D106" s="16" t="str">
        <f>'[12]TS BYDem'!D17</f>
        <v>RLEO</v>
      </c>
      <c r="E106" s="99" t="s">
        <v>137</v>
      </c>
      <c r="F106" s="99" t="s">
        <v>137</v>
      </c>
      <c r="G106" s="99" t="s">
        <v>137</v>
      </c>
      <c r="H106" s="99" t="s">
        <v>137</v>
      </c>
      <c r="I106" s="99">
        <v>0</v>
      </c>
      <c r="J106" s="3">
        <f>'[12]TS BYDem'!J17</f>
        <v>2.1367353578815207</v>
      </c>
      <c r="K106" s="18">
        <f t="shared" si="45"/>
        <v>2.9741097576269331</v>
      </c>
      <c r="L106" s="18">
        <f t="shared" si="45"/>
        <v>3.8114841573723459</v>
      </c>
      <c r="M106" s="306">
        <f>($O106-$J106)*(M$97-$J$97)/($O$97-$J$97)+$J106-0.52</f>
        <v>4.1288585571177592</v>
      </c>
      <c r="N106" s="18">
        <f t="shared" si="45"/>
        <v>5.4862329568631711</v>
      </c>
      <c r="O106" s="18">
        <f>'[12]TS BYDem'!O17</f>
        <v>6.3236073566085835</v>
      </c>
      <c r="P106" s="18">
        <f t="shared" ref="P106:AP106" ca="1" si="55">OFFSET(P$21,$BB106,$J$96)/OFFSET(O$21,$BB106,$J$96)*O106</f>
        <v>6.3114974921644151</v>
      </c>
      <c r="Q106" s="18">
        <f t="shared" ca="1" si="55"/>
        <v>6.3705882864382168</v>
      </c>
      <c r="R106" s="18">
        <f t="shared" ca="1" si="55"/>
        <v>6.6287723642170748</v>
      </c>
      <c r="S106" s="18">
        <f t="shared" ca="1" si="55"/>
        <v>7.6953541843904913</v>
      </c>
      <c r="T106" s="18">
        <f t="shared" ca="1" si="55"/>
        <v>7.6187783462239436</v>
      </c>
      <c r="U106" s="18">
        <f t="shared" ca="1" si="55"/>
        <v>7.5773126681918788</v>
      </c>
      <c r="V106" s="18">
        <f t="shared" ca="1" si="55"/>
        <v>7.5267060888378357</v>
      </c>
      <c r="W106" s="18">
        <f t="shared" ca="1" si="55"/>
        <v>7.4670491793319567</v>
      </c>
      <c r="X106" s="18">
        <f t="shared" ca="1" si="55"/>
        <v>7.4341421266587551</v>
      </c>
      <c r="Y106" s="18">
        <f t="shared" ca="1" si="55"/>
        <v>7.3973318381016533</v>
      </c>
      <c r="Z106" s="18">
        <f t="shared" ca="1" si="55"/>
        <v>7.404502786025712</v>
      </c>
      <c r="AA106" s="18">
        <f t="shared" ca="1" si="55"/>
        <v>7.3603661496012736</v>
      </c>
      <c r="AB106" s="18">
        <f t="shared" ca="1" si="55"/>
        <v>7.2888222806139327</v>
      </c>
      <c r="AC106" s="18">
        <f t="shared" ca="1" si="55"/>
        <v>7.1882726468162961</v>
      </c>
      <c r="AD106" s="18">
        <f t="shared" ca="1" si="55"/>
        <v>7.0812262928859386</v>
      </c>
      <c r="AE106" s="18">
        <f t="shared" ca="1" si="55"/>
        <v>6.9484734929989802</v>
      </c>
      <c r="AF106" s="18">
        <f t="shared" ca="1" si="55"/>
        <v>6.8017171123383129</v>
      </c>
      <c r="AG106" s="18">
        <f t="shared" ca="1" si="55"/>
        <v>6.7012516183708843</v>
      </c>
      <c r="AH106" s="18">
        <f t="shared" ca="1" si="55"/>
        <v>6.6654611709867781</v>
      </c>
      <c r="AI106" s="18">
        <f t="shared" ca="1" si="55"/>
        <v>6.5928449189271294</v>
      </c>
      <c r="AJ106" s="18">
        <f t="shared" ca="1" si="55"/>
        <v>6.5107730585289358</v>
      </c>
      <c r="AK106" s="18">
        <f t="shared" ca="1" si="55"/>
        <v>6.4104231546418289</v>
      </c>
      <c r="AL106" s="18">
        <f t="shared" ca="1" si="55"/>
        <v>6.2937258273263552</v>
      </c>
      <c r="AM106" s="18">
        <f t="shared" ca="1" si="55"/>
        <v>5.7671962714888414</v>
      </c>
      <c r="AN106" s="18">
        <f t="shared" ca="1" si="55"/>
        <v>5.4594828870477548</v>
      </c>
      <c r="AO106" s="18">
        <f t="shared" ca="1" si="55"/>
        <v>5.4594828870477548</v>
      </c>
      <c r="AP106" s="18">
        <f t="shared" ca="1" si="55"/>
        <v>5.4594828870477548</v>
      </c>
      <c r="AQ106" s="3"/>
      <c r="AR106" s="3"/>
      <c r="AS106" s="3"/>
      <c r="AT106" s="3"/>
      <c r="AU106" s="3"/>
      <c r="AV106" s="3"/>
      <c r="BB106">
        <f t="shared" si="49"/>
        <v>1</v>
      </c>
    </row>
    <row r="107" spans="1:54">
      <c r="A107" s="16" t="str">
        <f>'[12]TS BYDem'!A18</f>
        <v>*</v>
      </c>
      <c r="B107" s="16" t="str">
        <f>'[12]TS BYDem'!B18</f>
        <v>COM_PROJ</v>
      </c>
      <c r="C107" s="16" t="str">
        <f>'[12]TS BYDem'!C18</f>
        <v>-</v>
      </c>
      <c r="D107" s="16">
        <f>'[12]TS BYDem'!D18</f>
        <v>0</v>
      </c>
      <c r="E107" s="99" t="s">
        <v>137</v>
      </c>
      <c r="F107" s="99" t="s">
        <v>137</v>
      </c>
      <c r="G107" s="99" t="s">
        <v>137</v>
      </c>
      <c r="H107" s="99" t="s">
        <v>137</v>
      </c>
      <c r="I107" s="99">
        <v>0</v>
      </c>
      <c r="J107" s="3">
        <f>'[12]TS BYDem'!J18</f>
        <v>0</v>
      </c>
      <c r="K107" s="18">
        <f t="shared" si="45"/>
        <v>0</v>
      </c>
      <c r="L107" s="18">
        <f t="shared" si="45"/>
        <v>0</v>
      </c>
      <c r="M107" s="18">
        <f t="shared" si="45"/>
        <v>0</v>
      </c>
      <c r="N107" s="18">
        <f t="shared" si="45"/>
        <v>0</v>
      </c>
      <c r="O107" s="18">
        <f>'[12]TS BYDem'!O18</f>
        <v>0</v>
      </c>
      <c r="P107" s="18" t="e">
        <f t="shared" ref="P107:AP107" ca="1" si="56">OFFSET(P$33,$BB107,$J$96)/OFFSET(O$33,$BB107,$J$96)*O107</f>
        <v>#N/A</v>
      </c>
      <c r="Q107" s="18" t="e">
        <f t="shared" ca="1" si="56"/>
        <v>#N/A</v>
      </c>
      <c r="R107" s="18" t="e">
        <f t="shared" ca="1" si="56"/>
        <v>#N/A</v>
      </c>
      <c r="S107" s="18" t="e">
        <f t="shared" ca="1" si="56"/>
        <v>#N/A</v>
      </c>
      <c r="T107" s="18" t="e">
        <f t="shared" ca="1" si="56"/>
        <v>#N/A</v>
      </c>
      <c r="U107" s="18" t="e">
        <f t="shared" ca="1" si="56"/>
        <v>#N/A</v>
      </c>
      <c r="V107" s="18" t="e">
        <f t="shared" ca="1" si="56"/>
        <v>#N/A</v>
      </c>
      <c r="W107" s="18" t="e">
        <f t="shared" ca="1" si="56"/>
        <v>#N/A</v>
      </c>
      <c r="X107" s="18" t="e">
        <f t="shared" ca="1" si="56"/>
        <v>#N/A</v>
      </c>
      <c r="Y107" s="18" t="e">
        <f t="shared" ca="1" si="56"/>
        <v>#N/A</v>
      </c>
      <c r="Z107" s="18" t="e">
        <f t="shared" ca="1" si="56"/>
        <v>#N/A</v>
      </c>
      <c r="AA107" s="18" t="e">
        <f t="shared" ca="1" si="56"/>
        <v>#N/A</v>
      </c>
      <c r="AB107" s="18" t="e">
        <f t="shared" ca="1" si="56"/>
        <v>#N/A</v>
      </c>
      <c r="AC107" s="18" t="e">
        <f t="shared" ca="1" si="56"/>
        <v>#N/A</v>
      </c>
      <c r="AD107" s="18" t="e">
        <f t="shared" ca="1" si="56"/>
        <v>#N/A</v>
      </c>
      <c r="AE107" s="18" t="e">
        <f t="shared" ca="1" si="56"/>
        <v>#N/A</v>
      </c>
      <c r="AF107" s="18" t="e">
        <f t="shared" ca="1" si="56"/>
        <v>#N/A</v>
      </c>
      <c r="AG107" s="18" t="e">
        <f t="shared" ca="1" si="56"/>
        <v>#N/A</v>
      </c>
      <c r="AH107" s="18" t="e">
        <f t="shared" ca="1" si="56"/>
        <v>#N/A</v>
      </c>
      <c r="AI107" s="18" t="e">
        <f t="shared" ca="1" si="56"/>
        <v>#N/A</v>
      </c>
      <c r="AJ107" s="18" t="e">
        <f t="shared" ca="1" si="56"/>
        <v>#N/A</v>
      </c>
      <c r="AK107" s="18" t="e">
        <f t="shared" ca="1" si="56"/>
        <v>#N/A</v>
      </c>
      <c r="AL107" s="18" t="e">
        <f t="shared" ca="1" si="56"/>
        <v>#N/A</v>
      </c>
      <c r="AM107" s="18" t="e">
        <f t="shared" ca="1" si="56"/>
        <v>#N/A</v>
      </c>
      <c r="AN107" s="18" t="e">
        <f t="shared" ca="1" si="56"/>
        <v>#N/A</v>
      </c>
      <c r="AO107" s="18" t="e">
        <f t="shared" ca="1" si="56"/>
        <v>#N/A</v>
      </c>
      <c r="AP107" s="18" t="e">
        <f t="shared" ca="1" si="56"/>
        <v>#N/A</v>
      </c>
      <c r="AQ107" s="3"/>
      <c r="AR107" s="3"/>
      <c r="AS107" s="3"/>
      <c r="AT107" s="3"/>
      <c r="AU107" s="3"/>
      <c r="AV107" s="3"/>
      <c r="BB107" t="e">
        <f t="shared" si="49"/>
        <v>#N/A</v>
      </c>
    </row>
    <row r="108" spans="1:54">
      <c r="A108" s="16" t="str">
        <f>'[12]TS BYDem'!A19</f>
        <v>*</v>
      </c>
      <c r="B108" s="16" t="str">
        <f>'[12]TS BYDem'!B19</f>
        <v>COM_PROJ</v>
      </c>
      <c r="C108" s="16" t="str">
        <f>'[12]TS BYDem'!C19</f>
        <v>-</v>
      </c>
      <c r="D108" s="16">
        <f>'[12]TS BYDem'!D19</f>
        <v>0</v>
      </c>
      <c r="E108" s="99" t="s">
        <v>137</v>
      </c>
      <c r="F108" s="99" t="s">
        <v>137</v>
      </c>
      <c r="G108" s="99" t="s">
        <v>137</v>
      </c>
      <c r="H108" s="99" t="s">
        <v>137</v>
      </c>
      <c r="I108" s="99">
        <v>0</v>
      </c>
      <c r="J108" s="3">
        <f>'[12]TS BYDem'!J19</f>
        <v>0</v>
      </c>
      <c r="K108" s="18">
        <f t="shared" si="45"/>
        <v>0</v>
      </c>
      <c r="L108" s="18">
        <f t="shared" si="45"/>
        <v>0</v>
      </c>
      <c r="M108" s="18">
        <f t="shared" si="45"/>
        <v>0</v>
      </c>
      <c r="N108" s="18">
        <f t="shared" si="45"/>
        <v>0</v>
      </c>
      <c r="O108" s="18">
        <f>'[12]TS BYDem'!O19</f>
        <v>0</v>
      </c>
      <c r="P108" s="18" t="e">
        <f t="shared" ref="P108:AP108" ca="1" si="57">OFFSET(P$33,$BB108,$J$96)/OFFSET(O$33,$BB108,$J$96)*O108</f>
        <v>#N/A</v>
      </c>
      <c r="Q108" s="18" t="e">
        <f t="shared" ca="1" si="57"/>
        <v>#N/A</v>
      </c>
      <c r="R108" s="18" t="e">
        <f t="shared" ca="1" si="57"/>
        <v>#N/A</v>
      </c>
      <c r="S108" s="18" t="e">
        <f t="shared" ca="1" si="57"/>
        <v>#N/A</v>
      </c>
      <c r="T108" s="18" t="e">
        <f t="shared" ca="1" si="57"/>
        <v>#N/A</v>
      </c>
      <c r="U108" s="18" t="e">
        <f t="shared" ca="1" si="57"/>
        <v>#N/A</v>
      </c>
      <c r="V108" s="18" t="e">
        <f t="shared" ca="1" si="57"/>
        <v>#N/A</v>
      </c>
      <c r="W108" s="18" t="e">
        <f t="shared" ca="1" si="57"/>
        <v>#N/A</v>
      </c>
      <c r="X108" s="18" t="e">
        <f t="shared" ca="1" si="57"/>
        <v>#N/A</v>
      </c>
      <c r="Y108" s="18" t="e">
        <f t="shared" ca="1" si="57"/>
        <v>#N/A</v>
      </c>
      <c r="Z108" s="18" t="e">
        <f t="shared" ca="1" si="57"/>
        <v>#N/A</v>
      </c>
      <c r="AA108" s="18" t="e">
        <f t="shared" ca="1" si="57"/>
        <v>#N/A</v>
      </c>
      <c r="AB108" s="18" t="e">
        <f t="shared" ca="1" si="57"/>
        <v>#N/A</v>
      </c>
      <c r="AC108" s="18" t="e">
        <f t="shared" ca="1" si="57"/>
        <v>#N/A</v>
      </c>
      <c r="AD108" s="18" t="e">
        <f t="shared" ca="1" si="57"/>
        <v>#N/A</v>
      </c>
      <c r="AE108" s="18" t="e">
        <f t="shared" ca="1" si="57"/>
        <v>#N/A</v>
      </c>
      <c r="AF108" s="18" t="e">
        <f t="shared" ca="1" si="57"/>
        <v>#N/A</v>
      </c>
      <c r="AG108" s="18" t="e">
        <f t="shared" ca="1" si="57"/>
        <v>#N/A</v>
      </c>
      <c r="AH108" s="18" t="e">
        <f t="shared" ca="1" si="57"/>
        <v>#N/A</v>
      </c>
      <c r="AI108" s="18" t="e">
        <f t="shared" ca="1" si="57"/>
        <v>#N/A</v>
      </c>
      <c r="AJ108" s="18" t="e">
        <f t="shared" ca="1" si="57"/>
        <v>#N/A</v>
      </c>
      <c r="AK108" s="18" t="e">
        <f t="shared" ca="1" si="57"/>
        <v>#N/A</v>
      </c>
      <c r="AL108" s="18" t="e">
        <f t="shared" ca="1" si="57"/>
        <v>#N/A</v>
      </c>
      <c r="AM108" s="18" t="e">
        <f t="shared" ca="1" si="57"/>
        <v>#N/A</v>
      </c>
      <c r="AN108" s="18" t="e">
        <f t="shared" ca="1" si="57"/>
        <v>#N/A</v>
      </c>
      <c r="AO108" s="18" t="e">
        <f t="shared" ca="1" si="57"/>
        <v>#N/A</v>
      </c>
      <c r="AP108" s="18" t="e">
        <f t="shared" ca="1" si="57"/>
        <v>#N/A</v>
      </c>
      <c r="AQ108" s="3"/>
      <c r="AR108" s="3"/>
      <c r="AS108" s="3"/>
      <c r="AT108" s="3"/>
      <c r="AU108" s="3"/>
      <c r="AV108" s="3"/>
      <c r="BB108" t="e">
        <f t="shared" si="49"/>
        <v>#N/A</v>
      </c>
    </row>
    <row r="109" spans="1:54">
      <c r="A109" s="16" t="str">
        <f>'[12]TS BYDem'!A20</f>
        <v>*</v>
      </c>
      <c r="B109" s="16" t="str">
        <f>'[12]TS BYDem'!B20</f>
        <v>COM_PROJ</v>
      </c>
      <c r="C109" s="16" t="str">
        <f>'[12]TS BYDem'!C20</f>
        <v>-</v>
      </c>
      <c r="D109" s="16">
        <f>'[12]TS BYDem'!D20</f>
        <v>0</v>
      </c>
      <c r="E109" s="99" t="s">
        <v>137</v>
      </c>
      <c r="F109" s="99" t="s">
        <v>137</v>
      </c>
      <c r="G109" s="99" t="s">
        <v>137</v>
      </c>
      <c r="H109" s="99" t="s">
        <v>137</v>
      </c>
      <c r="I109" s="99">
        <v>0</v>
      </c>
      <c r="J109" s="3">
        <f>'[12]TS BYDem'!J20</f>
        <v>0</v>
      </c>
      <c r="K109" s="18">
        <f t="shared" si="45"/>
        <v>0</v>
      </c>
      <c r="L109" s="18">
        <f t="shared" si="45"/>
        <v>0</v>
      </c>
      <c r="M109" s="18">
        <f t="shared" si="45"/>
        <v>0</v>
      </c>
      <c r="N109" s="18">
        <f t="shared" si="45"/>
        <v>0</v>
      </c>
      <c r="O109" s="18">
        <f>'[12]TS BYDem'!O20</f>
        <v>0</v>
      </c>
      <c r="P109" s="18" t="e">
        <f t="shared" ref="P109:AP109" ca="1" si="58">OFFSET(P$33,$BB109,$J$96)/OFFSET(O$33,$BB109,$J$96)*O109</f>
        <v>#N/A</v>
      </c>
      <c r="Q109" s="18" t="e">
        <f t="shared" ca="1" si="58"/>
        <v>#N/A</v>
      </c>
      <c r="R109" s="18" t="e">
        <f t="shared" ca="1" si="58"/>
        <v>#N/A</v>
      </c>
      <c r="S109" s="18" t="e">
        <f t="shared" ca="1" si="58"/>
        <v>#N/A</v>
      </c>
      <c r="T109" s="18" t="e">
        <f t="shared" ca="1" si="58"/>
        <v>#N/A</v>
      </c>
      <c r="U109" s="18" t="e">
        <f t="shared" ca="1" si="58"/>
        <v>#N/A</v>
      </c>
      <c r="V109" s="18" t="e">
        <f t="shared" ca="1" si="58"/>
        <v>#N/A</v>
      </c>
      <c r="W109" s="18" t="e">
        <f t="shared" ca="1" si="58"/>
        <v>#N/A</v>
      </c>
      <c r="X109" s="18" t="e">
        <f t="shared" ca="1" si="58"/>
        <v>#N/A</v>
      </c>
      <c r="Y109" s="18" t="e">
        <f t="shared" ca="1" si="58"/>
        <v>#N/A</v>
      </c>
      <c r="Z109" s="18" t="e">
        <f t="shared" ca="1" si="58"/>
        <v>#N/A</v>
      </c>
      <c r="AA109" s="18" t="e">
        <f t="shared" ca="1" si="58"/>
        <v>#N/A</v>
      </c>
      <c r="AB109" s="18" t="e">
        <f t="shared" ca="1" si="58"/>
        <v>#N/A</v>
      </c>
      <c r="AC109" s="18" t="e">
        <f t="shared" ca="1" si="58"/>
        <v>#N/A</v>
      </c>
      <c r="AD109" s="18" t="e">
        <f t="shared" ca="1" si="58"/>
        <v>#N/A</v>
      </c>
      <c r="AE109" s="18" t="e">
        <f t="shared" ca="1" si="58"/>
        <v>#N/A</v>
      </c>
      <c r="AF109" s="18" t="e">
        <f t="shared" ca="1" si="58"/>
        <v>#N/A</v>
      </c>
      <c r="AG109" s="18" t="e">
        <f t="shared" ca="1" si="58"/>
        <v>#N/A</v>
      </c>
      <c r="AH109" s="18" t="e">
        <f t="shared" ca="1" si="58"/>
        <v>#N/A</v>
      </c>
      <c r="AI109" s="18" t="e">
        <f t="shared" ca="1" si="58"/>
        <v>#N/A</v>
      </c>
      <c r="AJ109" s="18" t="e">
        <f t="shared" ca="1" si="58"/>
        <v>#N/A</v>
      </c>
      <c r="AK109" s="18" t="e">
        <f t="shared" ca="1" si="58"/>
        <v>#N/A</v>
      </c>
      <c r="AL109" s="18" t="e">
        <f t="shared" ca="1" si="58"/>
        <v>#N/A</v>
      </c>
      <c r="AM109" s="18" t="e">
        <f t="shared" ca="1" si="58"/>
        <v>#N/A</v>
      </c>
      <c r="AN109" s="18" t="e">
        <f t="shared" ca="1" si="58"/>
        <v>#N/A</v>
      </c>
      <c r="AO109" s="18" t="e">
        <f t="shared" ca="1" si="58"/>
        <v>#N/A</v>
      </c>
      <c r="AP109" s="18" t="e">
        <f t="shared" ca="1" si="58"/>
        <v>#N/A</v>
      </c>
      <c r="AQ109" s="3"/>
      <c r="AR109" s="3"/>
      <c r="AS109" s="3"/>
      <c r="AT109" s="3"/>
      <c r="AU109" s="3"/>
      <c r="AV109" s="3"/>
      <c r="BB109" t="e">
        <f t="shared" si="49"/>
        <v>#N/A</v>
      </c>
    </row>
    <row r="110" spans="1:54">
      <c r="A110" s="16" t="str">
        <f>'[12]TS BYDem'!A21</f>
        <v/>
      </c>
      <c r="B110" s="16" t="str">
        <f>'[12]TS BYDem'!B21</f>
        <v>COM_PROJ</v>
      </c>
      <c r="C110" s="16" t="str">
        <f>'[12]TS BYDem'!C21</f>
        <v>-</v>
      </c>
      <c r="D110" s="16" t="str">
        <f>'[12]TS BYDem'!D21</f>
        <v>RMEL</v>
      </c>
      <c r="E110" s="99" t="s">
        <v>137</v>
      </c>
      <c r="F110" s="99" t="s">
        <v>137</v>
      </c>
      <c r="G110" s="99" t="s">
        <v>137</v>
      </c>
      <c r="H110" s="99" t="s">
        <v>137</v>
      </c>
      <c r="I110" s="99">
        <v>0</v>
      </c>
      <c r="J110" s="3">
        <f>'[12]TS BYDem'!J21</f>
        <v>17.255151562670893</v>
      </c>
      <c r="K110" s="18">
        <f t="shared" si="45"/>
        <v>17.315139453434956</v>
      </c>
      <c r="L110" s="18">
        <f t="shared" si="45"/>
        <v>17.375127344199019</v>
      </c>
      <c r="M110" s="18">
        <f t="shared" si="45"/>
        <v>17.435115234963078</v>
      </c>
      <c r="N110" s="18">
        <f t="shared" si="45"/>
        <v>17.495103125727141</v>
      </c>
      <c r="O110" s="18">
        <f>'[12]TS BYDem'!O21</f>
        <v>17.555091016491204</v>
      </c>
      <c r="P110" s="18">
        <f t="shared" ref="P110:AP110" ca="1" si="59">OFFSET(P$33,$BB110,$J$96)/OFFSET(O$33,$BB110,$J$96)*O110</f>
        <v>18.02875217874865</v>
      </c>
      <c r="Q110" s="18">
        <f t="shared" ca="1" si="59"/>
        <v>18.51596600426906</v>
      </c>
      <c r="R110" s="18">
        <f t="shared" ca="1" si="59"/>
        <v>19.457951135767782</v>
      </c>
      <c r="S110" s="18">
        <f t="shared" ca="1" si="59"/>
        <v>16.911586986564281</v>
      </c>
      <c r="T110" s="18">
        <f t="shared" ca="1" si="59"/>
        <v>17.875154980737658</v>
      </c>
      <c r="U110" s="18">
        <f t="shared" ca="1" si="59"/>
        <v>18.595405904791132</v>
      </c>
      <c r="V110" s="18">
        <f t="shared" ca="1" si="59"/>
        <v>18.998515995794246</v>
      </c>
      <c r="W110" s="18">
        <f t="shared" ca="1" si="59"/>
        <v>19.390592662518571</v>
      </c>
      <c r="X110" s="18">
        <f t="shared" ca="1" si="59"/>
        <v>19.718092337647878</v>
      </c>
      <c r="Y110" s="18">
        <f t="shared" ca="1" si="59"/>
        <v>20.108524862833804</v>
      </c>
      <c r="Z110" s="18">
        <f t="shared" ca="1" si="59"/>
        <v>20.432513041586802</v>
      </c>
      <c r="AA110" s="18">
        <f t="shared" ca="1" si="59"/>
        <v>20.68791995935371</v>
      </c>
      <c r="AB110" s="18">
        <f t="shared" ca="1" si="59"/>
        <v>21.051709735753779</v>
      </c>
      <c r="AC110" s="18">
        <f t="shared" ca="1" si="59"/>
        <v>21.368616823478636</v>
      </c>
      <c r="AD110" s="18">
        <f t="shared" ca="1" si="59"/>
        <v>21.72720955186173</v>
      </c>
      <c r="AE110" s="18">
        <f t="shared" ca="1" si="59"/>
        <v>22.087427802259921</v>
      </c>
      <c r="AF110" s="18">
        <f t="shared" ca="1" si="59"/>
        <v>22.468310279836302</v>
      </c>
      <c r="AG110" s="18">
        <f t="shared" ca="1" si="59"/>
        <v>22.917326362998942</v>
      </c>
      <c r="AH110" s="18">
        <f t="shared" ca="1" si="59"/>
        <v>23.226341091076609</v>
      </c>
      <c r="AI110" s="18">
        <f t="shared" ca="1" si="59"/>
        <v>23.533004237907107</v>
      </c>
      <c r="AJ110" s="18">
        <f t="shared" ca="1" si="59"/>
        <v>23.884182381900096</v>
      </c>
      <c r="AK110" s="18">
        <f t="shared" ca="1" si="59"/>
        <v>24.091178810835906</v>
      </c>
      <c r="AL110" s="18">
        <f t="shared" ca="1" si="59"/>
        <v>24.533359383039542</v>
      </c>
      <c r="AM110" s="18">
        <f t="shared" ca="1" si="59"/>
        <v>25.8864244722572</v>
      </c>
      <c r="AN110" s="18">
        <f t="shared" ca="1" si="59"/>
        <v>27.173370919578357</v>
      </c>
      <c r="AO110" s="18">
        <f t="shared" ca="1" si="59"/>
        <v>27.173370919578357</v>
      </c>
      <c r="AP110" s="18">
        <f t="shared" ca="1" si="59"/>
        <v>27.173370919578357</v>
      </c>
      <c r="AQ110" s="3"/>
      <c r="AR110" s="3"/>
      <c r="AS110" s="3"/>
      <c r="AT110" s="3"/>
      <c r="AU110" s="3"/>
      <c r="AV110" s="3"/>
      <c r="BB110">
        <f t="shared" si="49"/>
        <v>2</v>
      </c>
    </row>
    <row r="111" spans="1:54" s="270" customFormat="1">
      <c r="A111" s="274" t="str">
        <f>'[12]TS BYDem'!A22</f>
        <v/>
      </c>
      <c r="B111" s="274" t="str">
        <f>'[12]TS BYDem'!B22</f>
        <v>COM_PROJ</v>
      </c>
      <c r="C111" s="274" t="str">
        <f>'[12]TS BYDem'!C22</f>
        <v>-</v>
      </c>
      <c r="D111" s="274" t="str">
        <f>'[12]TS BYDem'!D22</f>
        <v>RMNL</v>
      </c>
      <c r="E111" s="273" t="s">
        <v>137</v>
      </c>
      <c r="F111" s="273" t="s">
        <v>137</v>
      </c>
      <c r="G111" s="273" t="s">
        <v>137</v>
      </c>
      <c r="H111" s="273" t="s">
        <v>137</v>
      </c>
      <c r="I111" s="273">
        <v>0</v>
      </c>
      <c r="J111" s="271">
        <f>'[12]TS BYDem'!J22</f>
        <v>3.3422499241462768E-2</v>
      </c>
      <c r="K111" s="272">
        <f t="shared" si="45"/>
        <v>4.0888581808950081E-2</v>
      </c>
      <c r="L111" s="272">
        <f t="shared" si="45"/>
        <v>4.8354664376437387E-2</v>
      </c>
      <c r="M111" s="272">
        <f t="shared" si="45"/>
        <v>5.58207469439247E-2</v>
      </c>
      <c r="N111" s="272">
        <f t="shared" si="45"/>
        <v>6.3286829511412013E-2</v>
      </c>
      <c r="O111" s="272">
        <f>'[12]TS BYDem'!O22</f>
        <v>7.0752912078899319E-2</v>
      </c>
      <c r="P111" s="18">
        <f t="shared" ref="P111:AP111" ca="1" si="60">OFFSET(P$33,$BB111,$J$96)/OFFSET(O$33,$BB111,$J$96)*O111</f>
        <v>7.2661925625847515E-2</v>
      </c>
      <c r="Q111" s="18">
        <f t="shared" ca="1" si="60"/>
        <v>7.4625560956948167E-2</v>
      </c>
      <c r="R111" s="18">
        <f t="shared" ca="1" si="60"/>
        <v>7.8422077370673984E-2</v>
      </c>
      <c r="S111" s="18">
        <f t="shared" ca="1" si="60"/>
        <v>6.8159374739271375E-2</v>
      </c>
      <c r="T111" s="18">
        <f t="shared" ca="1" si="60"/>
        <v>7.2042877337449115E-2</v>
      </c>
      <c r="U111" s="18">
        <f t="shared" ca="1" si="60"/>
        <v>7.4945730433250771E-2</v>
      </c>
      <c r="V111" s="18">
        <f t="shared" ca="1" si="60"/>
        <v>7.6570399470857461E-2</v>
      </c>
      <c r="W111" s="18">
        <f t="shared" ca="1" si="60"/>
        <v>7.8150600103418968E-2</v>
      </c>
      <c r="X111" s="18">
        <f t="shared" ca="1" si="60"/>
        <v>7.9470533773858196E-2</v>
      </c>
      <c r="Y111" s="18">
        <f t="shared" ca="1" si="60"/>
        <v>8.1044107963890721E-2</v>
      </c>
      <c r="Z111" s="18">
        <f t="shared" ca="1" si="60"/>
        <v>8.2349889124716358E-2</v>
      </c>
      <c r="AA111" s="18">
        <f t="shared" ca="1" si="60"/>
        <v>8.3379264773075529E-2</v>
      </c>
      <c r="AB111" s="18">
        <f t="shared" ca="1" si="60"/>
        <v>8.4845459738436685E-2</v>
      </c>
      <c r="AC111" s="18">
        <f t="shared" ca="1" si="60"/>
        <v>8.6122701724474449E-2</v>
      </c>
      <c r="AD111" s="18">
        <f t="shared" ca="1" si="60"/>
        <v>8.7567950841074743E-2</v>
      </c>
      <c r="AE111" s="18">
        <f t="shared" ca="1" si="60"/>
        <v>8.9019751357272359E-2</v>
      </c>
      <c r="AF111" s="18">
        <f t="shared" ca="1" si="60"/>
        <v>9.0554835648378545E-2</v>
      </c>
      <c r="AG111" s="18">
        <f t="shared" ca="1" si="60"/>
        <v>9.2364521250359988E-2</v>
      </c>
      <c r="AH111" s="18">
        <f t="shared" ca="1" si="60"/>
        <v>9.3609954376638022E-2</v>
      </c>
      <c r="AI111" s="18">
        <f t="shared" ca="1" si="60"/>
        <v>9.4845909840791096E-2</v>
      </c>
      <c r="AJ111" s="18">
        <f t="shared" ca="1" si="60"/>
        <v>9.6261275692362355E-2</v>
      </c>
      <c r="AK111" s="18">
        <f t="shared" ca="1" si="60"/>
        <v>9.7095540813709968E-2</v>
      </c>
      <c r="AL111" s="18">
        <f t="shared" ca="1" si="60"/>
        <v>9.8877677011051907E-2</v>
      </c>
      <c r="AM111" s="18">
        <f t="shared" ca="1" si="60"/>
        <v>0.10433098370165883</v>
      </c>
      <c r="AN111" s="18">
        <f t="shared" ca="1" si="60"/>
        <v>0.1095178100617175</v>
      </c>
      <c r="AO111" s="18">
        <f t="shared" ca="1" si="60"/>
        <v>0.1095178100617175</v>
      </c>
      <c r="AP111" s="18">
        <f t="shared" ca="1" si="60"/>
        <v>0.1095178100617175</v>
      </c>
      <c r="AQ111" s="271"/>
      <c r="AR111" s="271"/>
      <c r="AS111" s="271"/>
      <c r="AT111" s="271"/>
      <c r="AU111" s="271"/>
      <c r="AV111" s="271"/>
      <c r="BB111" s="275">
        <v>2</v>
      </c>
    </row>
    <row r="112" spans="1:54">
      <c r="A112" s="16" t="str">
        <f>'[12]TS BYDem'!A23</f>
        <v/>
      </c>
      <c r="B112" s="16" t="str">
        <f>'[12]TS BYDem'!B23</f>
        <v>COM_PROJ</v>
      </c>
      <c r="C112" s="16" t="str">
        <f>'[12]TS BYDem'!C23</f>
        <v>-</v>
      </c>
      <c r="D112" s="16" t="str">
        <f>'[12]TS BYDem'!D23</f>
        <v>RMEK</v>
      </c>
      <c r="E112" s="99" t="s">
        <v>137</v>
      </c>
      <c r="F112" s="99" t="s">
        <v>137</v>
      </c>
      <c r="G112" s="99" t="s">
        <v>137</v>
      </c>
      <c r="H112" s="99" t="s">
        <v>137</v>
      </c>
      <c r="I112" s="99">
        <v>0</v>
      </c>
      <c r="J112" s="3">
        <f>'[12]TS BYDem'!J23</f>
        <v>9.253140976110279</v>
      </c>
      <c r="K112" s="18">
        <f t="shared" si="45"/>
        <v>9.4719495219741479</v>
      </c>
      <c r="L112" s="18">
        <f t="shared" si="45"/>
        <v>9.690758067838015</v>
      </c>
      <c r="M112" s="18">
        <f t="shared" si="45"/>
        <v>9.9095666137018839</v>
      </c>
      <c r="N112" s="18">
        <f t="shared" si="45"/>
        <v>10.128375159565751</v>
      </c>
      <c r="O112" s="18">
        <f>'[12]TS BYDem'!O23</f>
        <v>10.34718370542962</v>
      </c>
      <c r="P112" s="18">
        <f t="shared" ref="P112:AP112" ca="1" si="61">OFFSET(P$33,$BB112,$J$96)/OFFSET(O$33,$BB112,$J$96)*O112</f>
        <v>10.626365343132385</v>
      </c>
      <c r="Q112" s="18">
        <f t="shared" ca="1" si="61"/>
        <v>10.913535085046513</v>
      </c>
      <c r="R112" s="18">
        <f t="shared" ca="1" si="61"/>
        <v>11.468752554112573</v>
      </c>
      <c r="S112" s="18">
        <f t="shared" ca="1" si="61"/>
        <v>9.9678946201959864</v>
      </c>
      <c r="T112" s="18">
        <f t="shared" ca="1" si="61"/>
        <v>10.535833290466524</v>
      </c>
      <c r="U112" s="18">
        <f t="shared" ca="1" si="61"/>
        <v>10.960357926549914</v>
      </c>
      <c r="V112" s="18">
        <f t="shared" ca="1" si="61"/>
        <v>11.197955906600454</v>
      </c>
      <c r="W112" s="18">
        <f t="shared" ca="1" si="61"/>
        <v>11.429050652472069</v>
      </c>
      <c r="X112" s="18">
        <f t="shared" ca="1" si="61"/>
        <v>11.622082935748081</v>
      </c>
      <c r="Y112" s="18">
        <f t="shared" ca="1" si="61"/>
        <v>11.852208604642561</v>
      </c>
      <c r="Z112" s="18">
        <f t="shared" ca="1" si="61"/>
        <v>12.043171169336508</v>
      </c>
      <c r="AA112" s="18">
        <f t="shared" ca="1" si="61"/>
        <v>12.193711106457267</v>
      </c>
      <c r="AB112" s="18">
        <f t="shared" ca="1" si="61"/>
        <v>12.408133215863169</v>
      </c>
      <c r="AC112" s="18">
        <f t="shared" ca="1" si="61"/>
        <v>12.594922099564281</v>
      </c>
      <c r="AD112" s="18">
        <f t="shared" ca="1" si="61"/>
        <v>12.806281005794133</v>
      </c>
      <c r="AE112" s="18">
        <f t="shared" ca="1" si="61"/>
        <v>13.018598014428104</v>
      </c>
      <c r="AF112" s="18">
        <f t="shared" ca="1" si="61"/>
        <v>13.243094769355764</v>
      </c>
      <c r="AG112" s="18">
        <f t="shared" ca="1" si="61"/>
        <v>13.507750298330908</v>
      </c>
      <c r="AH112" s="18">
        <f t="shared" ca="1" si="61"/>
        <v>13.689887329469016</v>
      </c>
      <c r="AI112" s="18">
        <f t="shared" ca="1" si="61"/>
        <v>13.870638310079684</v>
      </c>
      <c r="AJ112" s="18">
        <f t="shared" ca="1" si="61"/>
        <v>14.077626970281662</v>
      </c>
      <c r="AK112" s="18">
        <f t="shared" ca="1" si="61"/>
        <v>14.199633177743344</v>
      </c>
      <c r="AL112" s="18">
        <f t="shared" ca="1" si="61"/>
        <v>14.460259773598926</v>
      </c>
      <c r="AM112" s="18">
        <f t="shared" ca="1" si="61"/>
        <v>15.257772758885455</v>
      </c>
      <c r="AN112" s="18">
        <f t="shared" ca="1" si="61"/>
        <v>16.016314614178189</v>
      </c>
      <c r="AO112" s="18">
        <f t="shared" ca="1" si="61"/>
        <v>16.016314614178189</v>
      </c>
      <c r="AP112" s="18">
        <f t="shared" ca="1" si="61"/>
        <v>16.016314614178189</v>
      </c>
      <c r="AQ112" s="3"/>
      <c r="AR112" s="3"/>
      <c r="AS112" s="3"/>
      <c r="AT112" s="3"/>
      <c r="AU112" s="3"/>
      <c r="AV112" s="3"/>
      <c r="BB112">
        <f t="shared" ref="BB112:BB128" si="62">MATCH(MID(D112,2,2),$B$34:$B$38,0)</f>
        <v>2</v>
      </c>
    </row>
    <row r="113" spans="1:54">
      <c r="A113" s="16" t="str">
        <f>'[12]TS BYDem'!A24</f>
        <v/>
      </c>
      <c r="B113" s="16" t="str">
        <f>'[12]TS BYDem'!B24</f>
        <v>COM_PROJ</v>
      </c>
      <c r="C113" s="16" t="str">
        <f>'[12]TS BYDem'!C24</f>
        <v>-</v>
      </c>
      <c r="D113" s="16" t="str">
        <f>'[12]TS BYDem'!D24</f>
        <v>RMEH</v>
      </c>
      <c r="E113" s="99" t="s">
        <v>137</v>
      </c>
      <c r="F113" s="99" t="s">
        <v>137</v>
      </c>
      <c r="G113" s="99" t="s">
        <v>137</v>
      </c>
      <c r="H113" s="99" t="s">
        <v>137</v>
      </c>
      <c r="I113" s="99">
        <v>0</v>
      </c>
      <c r="J113" s="3">
        <f>'[12]TS BYDem'!J24</f>
        <v>13.489057936190237</v>
      </c>
      <c r="K113" s="18">
        <f t="shared" si="45"/>
        <v>12.842186247672119</v>
      </c>
      <c r="L113" s="18">
        <f t="shared" si="45"/>
        <v>12.195314559154001</v>
      </c>
      <c r="M113" s="18">
        <f t="shared" si="45"/>
        <v>11.548442870635881</v>
      </c>
      <c r="N113" s="18">
        <f t="shared" si="45"/>
        <v>10.901571182117763</v>
      </c>
      <c r="O113" s="18">
        <f>'[12]TS BYDem'!O24</f>
        <v>10.254699493599645</v>
      </c>
      <c r="P113" s="18">
        <f ca="1">IF(OR($E$78=1,$E$78=2,$E$78=3), P90,P82)</f>
        <v>10.531385776580256</v>
      </c>
      <c r="Q113" s="18">
        <f t="shared" ref="Q113:AN113" ca="1" si="63">IF(OR($E$78=1,$E$78=2,$E$78=3), Q90,Q82)</f>
        <v>10.815988765260034</v>
      </c>
      <c r="R113" s="18">
        <f t="shared" ca="1" si="63"/>
        <v>11.366243642428371</v>
      </c>
      <c r="S113" s="18">
        <f t="shared" ca="1" si="63"/>
        <v>9.8788005339404847</v>
      </c>
      <c r="T113" s="18">
        <f t="shared" ca="1" si="63"/>
        <v>10.441662908884386</v>
      </c>
      <c r="U113" s="18">
        <f t="shared" ca="1" si="63"/>
        <v>10.86239309930137</v>
      </c>
      <c r="V113" s="18">
        <f t="shared" ca="1" si="63"/>
        <v>11.097867403717753</v>
      </c>
      <c r="W113" s="18">
        <f t="shared" ca="1" si="63"/>
        <v>11.326896600543519</v>
      </c>
      <c r="X113" s="18">
        <f t="shared" ca="1" si="63"/>
        <v>11.518203541051413</v>
      </c>
      <c r="Y113" s="18">
        <f t="shared" ca="1" si="63"/>
        <v>11.746272322611578</v>
      </c>
      <c r="Z113" s="18">
        <f t="shared" ca="1" si="63"/>
        <v>11.9355280438989</v>
      </c>
      <c r="AA113" s="18">
        <f t="shared" ca="1" si="63"/>
        <v>12.084722439292566</v>
      </c>
      <c r="AB113" s="18">
        <f t="shared" ca="1" si="63"/>
        <v>12.297228021423813</v>
      </c>
      <c r="AC113" s="18">
        <f t="shared" ca="1" si="63"/>
        <v>12.482347366516207</v>
      </c>
      <c r="AD113" s="18">
        <f t="shared" ca="1" si="63"/>
        <v>12.691817124702263</v>
      </c>
      <c r="AE113" s="18">
        <f t="shared" ca="1" si="63"/>
        <v>12.902236421672789</v>
      </c>
      <c r="AF113" s="18">
        <f t="shared" ca="1" si="63"/>
        <v>13.124726601088799</v>
      </c>
      <c r="AG113" s="18">
        <f t="shared" ca="1" si="63"/>
        <v>13.387016611223212</v>
      </c>
      <c r="AH113" s="18">
        <f t="shared" ca="1" si="63"/>
        <v>13.567525682498095</v>
      </c>
      <c r="AI113" s="18">
        <f t="shared" ca="1" si="63"/>
        <v>13.746661091910342</v>
      </c>
      <c r="AJ113" s="18">
        <f t="shared" ca="1" si="63"/>
        <v>13.951799665785304</v>
      </c>
      <c r="AK113" s="18">
        <f t="shared" ca="1" si="63"/>
        <v>14.072715368984504</v>
      </c>
      <c r="AL113" s="18">
        <f t="shared" ca="1" si="63"/>
        <v>14.331012457025608</v>
      </c>
      <c r="AM113" s="18">
        <f t="shared" ca="1" si="63"/>
        <v>15.121397187709903</v>
      </c>
      <c r="AN113" s="18">
        <f t="shared" ca="1" si="63"/>
        <v>15.873159116442524</v>
      </c>
      <c r="AO113" s="18">
        <f t="shared" ref="AO113:AP113" ca="1" si="64">IF($E$78=1, AO90,AO82)</f>
        <v>15.873159116442524</v>
      </c>
      <c r="AP113" s="18">
        <f t="shared" ca="1" si="64"/>
        <v>15.873159116442524</v>
      </c>
      <c r="AQ113" s="3"/>
      <c r="AR113" s="3"/>
      <c r="AS113" s="3"/>
      <c r="AT113" s="3"/>
      <c r="AU113" s="3"/>
      <c r="AV113" s="3"/>
      <c r="BB113">
        <f t="shared" si="62"/>
        <v>2</v>
      </c>
    </row>
    <row r="114" spans="1:54">
      <c r="A114" s="16" t="str">
        <f>'[12]TS BYDem'!A25</f>
        <v/>
      </c>
      <c r="B114" s="16" t="str">
        <f>'[12]TS BYDem'!B25</f>
        <v>COM_PROJ</v>
      </c>
      <c r="C114" s="16" t="str">
        <f>'[12]TS BYDem'!C25</f>
        <v>-</v>
      </c>
      <c r="D114" s="16" t="str">
        <f>'[12]TS BYDem'!D25</f>
        <v>RMEWG</v>
      </c>
      <c r="E114" s="99" t="s">
        <v>137</v>
      </c>
      <c r="F114" s="99" t="s">
        <v>137</v>
      </c>
      <c r="G114" s="99" t="s">
        <v>137</v>
      </c>
      <c r="H114" s="99" t="s">
        <v>137</v>
      </c>
      <c r="I114" s="99">
        <v>0</v>
      </c>
      <c r="J114" s="3">
        <f>'[12]TS BYDem'!J25</f>
        <v>9.3726694794443084</v>
      </c>
      <c r="K114" s="18">
        <f t="shared" si="45"/>
        <v>8.3655450914408522</v>
      </c>
      <c r="L114" s="18">
        <f t="shared" si="45"/>
        <v>7.358420703437397</v>
      </c>
      <c r="M114" s="18">
        <f t="shared" si="45"/>
        <v>6.3512963154339417</v>
      </c>
      <c r="N114" s="18">
        <f t="shared" si="45"/>
        <v>5.3441719274304855</v>
      </c>
      <c r="O114" s="18">
        <f>'[12]TS BYDem'!O25</f>
        <v>4.3370475394270303</v>
      </c>
      <c r="P114" s="18">
        <f t="shared" ref="P114:AP114" ca="1" si="65">OFFSET(P$33,$BB114,$J$96)/OFFSET(O$33,$BB114,$J$96)*O114</f>
        <v>4.4540672106073735</v>
      </c>
      <c r="Q114" s="18">
        <f t="shared" ca="1" si="65"/>
        <v>4.5744351153458398</v>
      </c>
      <c r="R114" s="18">
        <f t="shared" ca="1" si="65"/>
        <v>4.8071558852299452</v>
      </c>
      <c r="S114" s="18">
        <f t="shared" ca="1" si="65"/>
        <v>4.1780675850090114</v>
      </c>
      <c r="T114" s="18">
        <f t="shared" ca="1" si="65"/>
        <v>4.4161204777154355</v>
      </c>
      <c r="U114" s="18">
        <f t="shared" ca="1" si="65"/>
        <v>4.5940610247055762</v>
      </c>
      <c r="V114" s="18">
        <f t="shared" ca="1" si="65"/>
        <v>4.6936508033436315</v>
      </c>
      <c r="W114" s="18">
        <f t="shared" ca="1" si="65"/>
        <v>4.7905147353554955</v>
      </c>
      <c r="X114" s="18">
        <f t="shared" ca="1" si="65"/>
        <v>4.8714246924071798</v>
      </c>
      <c r="Y114" s="18">
        <f t="shared" ca="1" si="65"/>
        <v>4.9678824334168503</v>
      </c>
      <c r="Z114" s="18">
        <f t="shared" ca="1" si="65"/>
        <v>5.0479248628263091</v>
      </c>
      <c r="AA114" s="18">
        <f t="shared" ca="1" si="65"/>
        <v>5.1110240483111937</v>
      </c>
      <c r="AB114" s="18">
        <f t="shared" ca="1" si="65"/>
        <v>5.2008996036770112</v>
      </c>
      <c r="AC114" s="18">
        <f t="shared" ca="1" si="65"/>
        <v>5.2791926244168597</v>
      </c>
      <c r="AD114" s="18">
        <f t="shared" ca="1" si="65"/>
        <v>5.3677842306255279</v>
      </c>
      <c r="AE114" s="18">
        <f t="shared" ca="1" si="65"/>
        <v>5.4567774278170758</v>
      </c>
      <c r="AF114" s="18">
        <f t="shared" ca="1" si="65"/>
        <v>5.5508757956712627</v>
      </c>
      <c r="AG114" s="18">
        <f t="shared" ca="1" si="65"/>
        <v>5.6618068125947465</v>
      </c>
      <c r="AH114" s="18">
        <f t="shared" ca="1" si="65"/>
        <v>5.7381499978734194</v>
      </c>
      <c r="AI114" s="18">
        <f t="shared" ca="1" si="65"/>
        <v>5.8139122166591131</v>
      </c>
      <c r="AJ114" s="18">
        <f t="shared" ca="1" si="65"/>
        <v>5.9006720234795145</v>
      </c>
      <c r="AK114" s="18">
        <f t="shared" ca="1" si="65"/>
        <v>5.9518112258876874</v>
      </c>
      <c r="AL114" s="18">
        <f t="shared" ca="1" si="65"/>
        <v>6.0610535055692152</v>
      </c>
      <c r="AM114" s="18">
        <f t="shared" ca="1" si="65"/>
        <v>6.3953330379489328</v>
      </c>
      <c r="AN114" s="18">
        <f t="shared" ca="1" si="65"/>
        <v>6.7132777251901041</v>
      </c>
      <c r="AO114" s="18">
        <f t="shared" ca="1" si="65"/>
        <v>6.7132777251901041</v>
      </c>
      <c r="AP114" s="18">
        <f t="shared" ca="1" si="65"/>
        <v>6.7132777251901041</v>
      </c>
      <c r="AQ114" s="3"/>
      <c r="AR114" s="3"/>
      <c r="AS114" s="3"/>
      <c r="AT114" s="3"/>
      <c r="AU114" s="3"/>
      <c r="AV114" s="3"/>
      <c r="BB114">
        <f t="shared" si="62"/>
        <v>2</v>
      </c>
    </row>
    <row r="115" spans="1:54">
      <c r="A115" s="16" t="str">
        <f>'[12]TS BYDem'!A26</f>
        <v/>
      </c>
      <c r="B115" s="16" t="str">
        <f>'[12]TS BYDem'!B26</f>
        <v>COM_PROJ</v>
      </c>
      <c r="C115" s="16" t="str">
        <f>'[12]TS BYDem'!C26</f>
        <v>-</v>
      </c>
      <c r="D115" s="16" t="str">
        <f>'[12]TS BYDem'!D26</f>
        <v>RMEW</v>
      </c>
      <c r="E115" s="99" t="s">
        <v>137</v>
      </c>
      <c r="F115" s="99" t="s">
        <v>137</v>
      </c>
      <c r="G115" s="99" t="s">
        <v>137</v>
      </c>
      <c r="H115" s="99" t="s">
        <v>137</v>
      </c>
      <c r="I115" s="99">
        <v>0</v>
      </c>
      <c r="J115" s="3">
        <f>'[12]TS BYDem'!J26</f>
        <v>6.1812621863565074</v>
      </c>
      <c r="K115" s="18">
        <f t="shared" si="45"/>
        <v>6.0657182368398672</v>
      </c>
      <c r="L115" s="18">
        <f t="shared" si="45"/>
        <v>5.9501742873232271</v>
      </c>
      <c r="M115" s="18">
        <f t="shared" si="45"/>
        <v>5.834630337806586</v>
      </c>
      <c r="N115" s="18">
        <f t="shared" si="45"/>
        <v>5.7190863882899459</v>
      </c>
      <c r="O115" s="18">
        <f>'[12]TS BYDem'!O26</f>
        <v>5.6035424387733057</v>
      </c>
      <c r="P115" s="18">
        <f t="shared" ref="P115:AP115" ca="1" si="66">OFFSET(P$33,$BB115,$J$96)/OFFSET(O$33,$BB115,$J$96)*O115</f>
        <v>5.7547339319882918</v>
      </c>
      <c r="Q115" s="18">
        <f t="shared" ca="1" si="66"/>
        <v>5.9102514024187238</v>
      </c>
      <c r="R115" s="18">
        <f t="shared" ca="1" si="66"/>
        <v>6.2109307697935767</v>
      </c>
      <c r="S115" s="18">
        <f t="shared" ca="1" si="66"/>
        <v>5.3981375144792771</v>
      </c>
      <c r="T115" s="18">
        <f t="shared" ca="1" si="66"/>
        <v>5.7057060792290706</v>
      </c>
      <c r="U115" s="18">
        <f t="shared" ca="1" si="66"/>
        <v>5.9356084258308597</v>
      </c>
      <c r="V115" s="18">
        <f t="shared" ca="1" si="66"/>
        <v>6.0642801883589934</v>
      </c>
      <c r="W115" s="18">
        <f t="shared" ca="1" si="66"/>
        <v>6.1894301086401624</v>
      </c>
      <c r="X115" s="18">
        <f t="shared" ca="1" si="66"/>
        <v>6.2939672099600932</v>
      </c>
      <c r="Y115" s="18">
        <f t="shared" ca="1" si="66"/>
        <v>6.418592324253237</v>
      </c>
      <c r="Z115" s="18">
        <f t="shared" ca="1" si="66"/>
        <v>6.5220085644537482</v>
      </c>
      <c r="AA115" s="18">
        <f t="shared" ca="1" si="66"/>
        <v>6.6035338326234614</v>
      </c>
      <c r="AB115" s="18">
        <f t="shared" ca="1" si="66"/>
        <v>6.71965464617747</v>
      </c>
      <c r="AC115" s="18">
        <f t="shared" ca="1" si="66"/>
        <v>6.8208106193106257</v>
      </c>
      <c r="AD115" s="18">
        <f t="shared" ca="1" si="66"/>
        <v>6.9352725477530681</v>
      </c>
      <c r="AE115" s="18">
        <f t="shared" ca="1" si="66"/>
        <v>7.0502533388768942</v>
      </c>
      <c r="AF115" s="18">
        <f t="shared" ca="1" si="66"/>
        <v>7.1718301011551091</v>
      </c>
      <c r="AG115" s="18">
        <f t="shared" ca="1" si="66"/>
        <v>7.3151549449471469</v>
      </c>
      <c r="AH115" s="18">
        <f t="shared" ca="1" si="66"/>
        <v>7.4137916960390413</v>
      </c>
      <c r="AI115" s="18">
        <f t="shared" ca="1" si="66"/>
        <v>7.51167782810513</v>
      </c>
      <c r="AJ115" s="18">
        <f t="shared" ca="1" si="66"/>
        <v>7.6237730392086078</v>
      </c>
      <c r="AK115" s="18">
        <f t="shared" ca="1" si="66"/>
        <v>7.6898457968563303</v>
      </c>
      <c r="AL115" s="18">
        <f t="shared" ca="1" si="66"/>
        <v>7.8309887621429537</v>
      </c>
      <c r="AM115" s="18">
        <f t="shared" ca="1" si="66"/>
        <v>8.2628838541553655</v>
      </c>
      <c r="AN115" s="18">
        <f t="shared" ca="1" si="66"/>
        <v>8.6736740361725495</v>
      </c>
      <c r="AO115" s="18">
        <f t="shared" ca="1" si="66"/>
        <v>8.6736740361725495</v>
      </c>
      <c r="AP115" s="18">
        <f t="shared" ca="1" si="66"/>
        <v>8.6736740361725495</v>
      </c>
      <c r="AQ115" s="3"/>
      <c r="AR115" s="3"/>
      <c r="AS115" s="3"/>
      <c r="AT115" s="3"/>
      <c r="AU115" s="3"/>
      <c r="AV115" s="3"/>
      <c r="BB115">
        <f t="shared" si="62"/>
        <v>2</v>
      </c>
    </row>
    <row r="116" spans="1:54">
      <c r="A116" s="16" t="str">
        <f>'[12]TS BYDem'!A27</f>
        <v/>
      </c>
      <c r="B116" s="16" t="str">
        <f>'[12]TS BYDem'!B27</f>
        <v>COM_PROJ</v>
      </c>
      <c r="C116" s="16" t="str">
        <f>'[12]TS BYDem'!C27</f>
        <v>-</v>
      </c>
      <c r="D116" s="16" t="str">
        <f>'[12]TS BYDem'!D27</f>
        <v>RMER</v>
      </c>
      <c r="E116" s="99" t="s">
        <v>137</v>
      </c>
      <c r="F116" s="99" t="s">
        <v>137</v>
      </c>
      <c r="G116" s="99" t="s">
        <v>137</v>
      </c>
      <c r="H116" s="99" t="s">
        <v>137</v>
      </c>
      <c r="I116" s="99">
        <v>0</v>
      </c>
      <c r="J116" s="3">
        <f>'[12]TS BYDem'!J27</f>
        <v>3.4996903643039099</v>
      </c>
      <c r="K116" s="18">
        <f t="shared" si="45"/>
        <v>4.2219545382302819</v>
      </c>
      <c r="L116" s="18">
        <f t="shared" si="45"/>
        <v>4.944218712156653</v>
      </c>
      <c r="M116" s="18">
        <f t="shared" si="45"/>
        <v>5.6664828860830259</v>
      </c>
      <c r="N116" s="18">
        <f t="shared" si="45"/>
        <v>6.388747060009397</v>
      </c>
      <c r="O116" s="18">
        <f>'[12]TS BYDem'!O27</f>
        <v>7.1110112339357689</v>
      </c>
      <c r="P116" s="18">
        <f t="shared" ref="P116:AP116" ca="1" si="67">OFFSET(P$33,$BB116,$J$96)/OFFSET(O$33,$BB116,$J$96)*O116</f>
        <v>7.3028763654083253</v>
      </c>
      <c r="Q116" s="18">
        <f t="shared" ca="1" si="67"/>
        <v>7.5002312514268503</v>
      </c>
      <c r="R116" s="18">
        <f t="shared" ca="1" si="67"/>
        <v>7.8817995865608212</v>
      </c>
      <c r="S116" s="18">
        <f t="shared" ca="1" si="67"/>
        <v>6.8503481373107142</v>
      </c>
      <c r="T116" s="18">
        <f t="shared" ca="1" si="67"/>
        <v>7.2406590063794738</v>
      </c>
      <c r="U116" s="18">
        <f t="shared" ca="1" si="67"/>
        <v>7.5324098385104801</v>
      </c>
      <c r="V116" s="18">
        <f t="shared" ca="1" si="67"/>
        <v>7.6956969660419308</v>
      </c>
      <c r="W116" s="18">
        <f t="shared" ca="1" si="67"/>
        <v>7.8545148029316216</v>
      </c>
      <c r="X116" s="18">
        <f t="shared" ca="1" si="67"/>
        <v>7.9871745462942227</v>
      </c>
      <c r="Y116" s="18">
        <f t="shared" ca="1" si="67"/>
        <v>8.1453263935323204</v>
      </c>
      <c r="Z116" s="18">
        <f t="shared" ca="1" si="67"/>
        <v>8.2765637409553943</v>
      </c>
      <c r="AA116" s="18">
        <f t="shared" ca="1" si="67"/>
        <v>8.3800209921743871</v>
      </c>
      <c r="AB116" s="18">
        <f t="shared" ca="1" si="67"/>
        <v>8.5273807059088078</v>
      </c>
      <c r="AC116" s="18">
        <f t="shared" ca="1" si="67"/>
        <v>8.6557497276819433</v>
      </c>
      <c r="AD116" s="18">
        <f t="shared" ca="1" si="67"/>
        <v>8.8010042819046728</v>
      </c>
      <c r="AE116" s="18">
        <f t="shared" ca="1" si="67"/>
        <v>8.9469172835999604</v>
      </c>
      <c r="AF116" s="18">
        <f t="shared" ca="1" si="67"/>
        <v>9.1012007090923497</v>
      </c>
      <c r="AG116" s="18">
        <f t="shared" ca="1" si="67"/>
        <v>9.2830828997678587</v>
      </c>
      <c r="AH116" s="18">
        <f t="shared" ca="1" si="67"/>
        <v>9.4082549766740762</v>
      </c>
      <c r="AI116" s="18">
        <f t="shared" ca="1" si="67"/>
        <v>9.5324745025140309</v>
      </c>
      <c r="AJ116" s="18">
        <f t="shared" ca="1" si="67"/>
        <v>9.6747256434907971</v>
      </c>
      <c r="AK116" s="18">
        <f t="shared" ca="1" si="67"/>
        <v>9.7585733393053271</v>
      </c>
      <c r="AL116" s="18">
        <f t="shared" ca="1" si="67"/>
        <v>9.9376866810370448</v>
      </c>
      <c r="AM116" s="18">
        <f t="shared" ca="1" si="67"/>
        <v>10.485770484227499</v>
      </c>
      <c r="AN116" s="18">
        <f t="shared" ca="1" si="67"/>
        <v>11.007071720192474</v>
      </c>
      <c r="AO116" s="18">
        <f t="shared" ca="1" si="67"/>
        <v>11.007071720192474</v>
      </c>
      <c r="AP116" s="18">
        <f t="shared" ca="1" si="67"/>
        <v>11.007071720192474</v>
      </c>
      <c r="AQ116" s="3"/>
      <c r="AR116" s="3"/>
      <c r="AS116" s="3"/>
      <c r="AT116" s="3"/>
      <c r="AU116" s="3"/>
      <c r="AV116" s="3"/>
      <c r="BB116">
        <f t="shared" si="62"/>
        <v>2</v>
      </c>
    </row>
    <row r="117" spans="1:54">
      <c r="A117" s="16" t="str">
        <f>'[12]TS BYDem'!A28</f>
        <v/>
      </c>
      <c r="B117" s="16" t="str">
        <f>'[12]TS BYDem'!B28</f>
        <v>COM_PROJ</v>
      </c>
      <c r="C117" s="16" t="str">
        <f>'[12]TS BYDem'!C28</f>
        <v>-</v>
      </c>
      <c r="D117" s="16" t="str">
        <f>'[12]TS BYDem'!D28</f>
        <v>RMEO</v>
      </c>
      <c r="E117" s="99" t="s">
        <v>137</v>
      </c>
      <c r="F117" s="99" t="s">
        <v>137</v>
      </c>
      <c r="G117" s="99" t="s">
        <v>137</v>
      </c>
      <c r="H117" s="99" t="s">
        <v>137</v>
      </c>
      <c r="I117" s="99">
        <v>0</v>
      </c>
      <c r="J117" s="3">
        <f>'[12]TS BYDem'!J28</f>
        <v>6.2540671774629208</v>
      </c>
      <c r="K117" s="18">
        <f t="shared" si="45"/>
        <v>7.1143299872230452</v>
      </c>
      <c r="L117" s="18">
        <f t="shared" si="45"/>
        <v>7.9745927969831687</v>
      </c>
      <c r="M117" s="18">
        <f t="shared" si="45"/>
        <v>8.8348556067432931</v>
      </c>
      <c r="N117" s="18">
        <f t="shared" si="45"/>
        <v>9.6951184165034174</v>
      </c>
      <c r="O117" s="18">
        <f>'[12]TS BYDem'!O28</f>
        <v>10.555381226263542</v>
      </c>
      <c r="P117" s="18">
        <f ca="1">IF(OR($E$78=1,$E$78=2,$E$78=3), P92,P84)</f>
        <v>10.840180327276789</v>
      </c>
      <c r="Q117" s="18">
        <f t="shared" ref="Q117:AN117" ca="1" si="68">IF(OR($E$78=1,$E$78=2,$E$78=3), Q92,Q84)</f>
        <v>11.133128262564798</v>
      </c>
      <c r="R117" s="18">
        <f t="shared" ca="1" si="68"/>
        <v>11.699517360923819</v>
      </c>
      <c r="S117" s="18">
        <f t="shared" ca="1" si="68"/>
        <v>10.168460397990151</v>
      </c>
      <c r="T117" s="18">
        <f t="shared" ca="1" si="68"/>
        <v>10.747826663102172</v>
      </c>
      <c r="U117" s="18">
        <f t="shared" ca="1" si="68"/>
        <v>11.18089323477709</v>
      </c>
      <c r="V117" s="18">
        <f t="shared" ca="1" si="68"/>
        <v>11.423271965977888</v>
      </c>
      <c r="W117" s="18">
        <f t="shared" ca="1" si="68"/>
        <v>11.659016610269974</v>
      </c>
      <c r="X117" s="18">
        <f t="shared" ca="1" si="68"/>
        <v>11.855932930397277</v>
      </c>
      <c r="Y117" s="18">
        <f t="shared" ca="1" si="68"/>
        <v>12.09068899874228</v>
      </c>
      <c r="Z117" s="18">
        <f t="shared" ca="1" si="68"/>
        <v>12.285493955112379</v>
      </c>
      <c r="AA117" s="18">
        <f t="shared" ca="1" si="68"/>
        <v>12.439062933041468</v>
      </c>
      <c r="AB117" s="18">
        <f t="shared" ca="1" si="68"/>
        <v>12.657799467788719</v>
      </c>
      <c r="AC117" s="18">
        <f t="shared" ca="1" si="68"/>
        <v>12.848346763789547</v>
      </c>
      <c r="AD117" s="18">
        <f t="shared" ca="1" si="68"/>
        <v>13.063958460105665</v>
      </c>
      <c r="AE117" s="18">
        <f t="shared" ca="1" si="68"/>
        <v>13.28054753697452</v>
      </c>
      <c r="AF117" s="18">
        <f t="shared" ca="1" si="68"/>
        <v>13.50956143097517</v>
      </c>
      <c r="AG117" s="18">
        <f t="shared" ca="1" si="68"/>
        <v>13.779542140847481</v>
      </c>
      <c r="AH117" s="18">
        <f t="shared" ca="1" si="68"/>
        <v>13.965343983533788</v>
      </c>
      <c r="AI117" s="18">
        <f t="shared" ca="1" si="68"/>
        <v>14.149731886723853</v>
      </c>
      <c r="AJ117" s="18">
        <f t="shared" ca="1" si="68"/>
        <v>14.360885402515681</v>
      </c>
      <c r="AK117" s="18">
        <f t="shared" ca="1" si="68"/>
        <v>14.485346518544082</v>
      </c>
      <c r="AL117" s="18">
        <f t="shared" ca="1" si="68"/>
        <v>14.751217228418055</v>
      </c>
      <c r="AM117" s="18">
        <f t="shared" ca="1" si="68"/>
        <v>15.564777114107288</v>
      </c>
      <c r="AN117" s="18">
        <f t="shared" ca="1" si="68"/>
        <v>16.338581724775462</v>
      </c>
      <c r="AO117" s="18">
        <f t="shared" ref="AO117:AP117" ca="1" si="69">IF($E$78=1, AO92,AO84)</f>
        <v>16.338581724775462</v>
      </c>
      <c r="AP117" s="18">
        <f t="shared" ca="1" si="69"/>
        <v>16.338581724775462</v>
      </c>
      <c r="AQ117" s="3"/>
      <c r="AR117" s="3"/>
      <c r="AS117" s="3"/>
      <c r="AT117" s="3"/>
      <c r="AU117" s="3"/>
      <c r="AV117" s="3"/>
      <c r="BB117">
        <f t="shared" si="62"/>
        <v>2</v>
      </c>
    </row>
    <row r="118" spans="1:54">
      <c r="A118" s="16" t="str">
        <f>'[12]TS BYDem'!A29</f>
        <v>*</v>
      </c>
      <c r="B118" s="16" t="str">
        <f>'[12]TS BYDem'!B29</f>
        <v>COM_PROJ</v>
      </c>
      <c r="C118" s="16" t="str">
        <f>'[12]TS BYDem'!C29</f>
        <v>-</v>
      </c>
      <c r="D118" s="16">
        <f>'[12]TS BYDem'!D29</f>
        <v>0</v>
      </c>
      <c r="E118" s="99" t="s">
        <v>137</v>
      </c>
      <c r="F118" s="99" t="s">
        <v>137</v>
      </c>
      <c r="G118" s="99" t="s">
        <v>137</v>
      </c>
      <c r="H118" s="99" t="s">
        <v>137</v>
      </c>
      <c r="I118" s="99">
        <v>0</v>
      </c>
      <c r="J118" s="3">
        <f>'[12]TS BYDem'!J29</f>
        <v>0</v>
      </c>
      <c r="K118" s="18">
        <f t="shared" si="45"/>
        <v>0</v>
      </c>
      <c r="L118" s="18">
        <f t="shared" si="45"/>
        <v>0</v>
      </c>
      <c r="M118" s="18">
        <f t="shared" si="45"/>
        <v>0</v>
      </c>
      <c r="N118" s="18">
        <f t="shared" si="45"/>
        <v>0</v>
      </c>
      <c r="O118" s="18">
        <f>'[12]TS BYDem'!O29</f>
        <v>0</v>
      </c>
      <c r="P118" s="18" t="e">
        <f t="shared" ref="P118:AP118" ca="1" si="70">OFFSET(P$33,$BB118,$J$96)/OFFSET(O$33,$BB118,$J$96)*O118</f>
        <v>#N/A</v>
      </c>
      <c r="Q118" s="18" t="e">
        <f t="shared" ca="1" si="70"/>
        <v>#N/A</v>
      </c>
      <c r="R118" s="18" t="e">
        <f t="shared" ca="1" si="70"/>
        <v>#N/A</v>
      </c>
      <c r="S118" s="18" t="e">
        <f t="shared" ca="1" si="70"/>
        <v>#N/A</v>
      </c>
      <c r="T118" s="18" t="e">
        <f t="shared" ca="1" si="70"/>
        <v>#N/A</v>
      </c>
      <c r="U118" s="18" t="e">
        <f t="shared" ca="1" si="70"/>
        <v>#N/A</v>
      </c>
      <c r="V118" s="18" t="e">
        <f t="shared" ca="1" si="70"/>
        <v>#N/A</v>
      </c>
      <c r="W118" s="18" t="e">
        <f t="shared" ca="1" si="70"/>
        <v>#N/A</v>
      </c>
      <c r="X118" s="18" t="e">
        <f t="shared" ca="1" si="70"/>
        <v>#N/A</v>
      </c>
      <c r="Y118" s="18" t="e">
        <f t="shared" ca="1" si="70"/>
        <v>#N/A</v>
      </c>
      <c r="Z118" s="18" t="e">
        <f t="shared" ca="1" si="70"/>
        <v>#N/A</v>
      </c>
      <c r="AA118" s="18" t="e">
        <f t="shared" ca="1" si="70"/>
        <v>#N/A</v>
      </c>
      <c r="AB118" s="18" t="e">
        <f t="shared" ca="1" si="70"/>
        <v>#N/A</v>
      </c>
      <c r="AC118" s="18" t="e">
        <f t="shared" ca="1" si="70"/>
        <v>#N/A</v>
      </c>
      <c r="AD118" s="18" t="e">
        <f t="shared" ca="1" si="70"/>
        <v>#N/A</v>
      </c>
      <c r="AE118" s="18" t="e">
        <f t="shared" ca="1" si="70"/>
        <v>#N/A</v>
      </c>
      <c r="AF118" s="18" t="e">
        <f t="shared" ca="1" si="70"/>
        <v>#N/A</v>
      </c>
      <c r="AG118" s="18" t="e">
        <f t="shared" ca="1" si="70"/>
        <v>#N/A</v>
      </c>
      <c r="AH118" s="18" t="e">
        <f t="shared" ca="1" si="70"/>
        <v>#N/A</v>
      </c>
      <c r="AI118" s="18" t="e">
        <f t="shared" ca="1" si="70"/>
        <v>#N/A</v>
      </c>
      <c r="AJ118" s="18" t="e">
        <f t="shared" ca="1" si="70"/>
        <v>#N/A</v>
      </c>
      <c r="AK118" s="18" t="e">
        <f t="shared" ca="1" si="70"/>
        <v>#N/A</v>
      </c>
      <c r="AL118" s="18" t="e">
        <f t="shared" ca="1" si="70"/>
        <v>#N/A</v>
      </c>
      <c r="AM118" s="18" t="e">
        <f t="shared" ca="1" si="70"/>
        <v>#N/A</v>
      </c>
      <c r="AN118" s="18" t="e">
        <f t="shared" ca="1" si="70"/>
        <v>#N/A</v>
      </c>
      <c r="AO118" s="18" t="e">
        <f t="shared" ca="1" si="70"/>
        <v>#N/A</v>
      </c>
      <c r="AP118" s="18" t="e">
        <f t="shared" ca="1" si="70"/>
        <v>#N/A</v>
      </c>
      <c r="AQ118" s="3"/>
      <c r="AR118" s="3"/>
      <c r="AS118" s="3"/>
      <c r="AT118" s="3"/>
      <c r="AU118" s="3"/>
      <c r="AV118" s="3"/>
      <c r="BB118" t="e">
        <f t="shared" si="62"/>
        <v>#N/A</v>
      </c>
    </row>
    <row r="119" spans="1:54">
      <c r="A119" s="16" t="str">
        <f>'[12]TS BYDem'!A30</f>
        <v>*</v>
      </c>
      <c r="B119" s="16" t="str">
        <f>'[12]TS BYDem'!B30</f>
        <v>COM_PROJ</v>
      </c>
      <c r="C119" s="16" t="str">
        <f>'[12]TS BYDem'!C30</f>
        <v>-</v>
      </c>
      <c r="D119" s="16">
        <f>'[12]TS BYDem'!D30</f>
        <v>0</v>
      </c>
      <c r="E119" s="99" t="s">
        <v>137</v>
      </c>
      <c r="F119" s="99" t="s">
        <v>137</v>
      </c>
      <c r="G119" s="99" t="s">
        <v>137</v>
      </c>
      <c r="H119" s="99" t="s">
        <v>137</v>
      </c>
      <c r="I119" s="99">
        <v>0</v>
      </c>
      <c r="J119" s="3">
        <f>'[12]TS BYDem'!J30</f>
        <v>0</v>
      </c>
      <c r="K119" s="18">
        <f t="shared" si="45"/>
        <v>0</v>
      </c>
      <c r="L119" s="18">
        <f t="shared" si="45"/>
        <v>0</v>
      </c>
      <c r="M119" s="18">
        <f t="shared" si="45"/>
        <v>0</v>
      </c>
      <c r="N119" s="18">
        <f t="shared" si="45"/>
        <v>0</v>
      </c>
      <c r="O119" s="18">
        <f>'[12]TS BYDem'!O30</f>
        <v>0</v>
      </c>
      <c r="P119" s="18" t="e">
        <f t="shared" ref="P119:AP119" ca="1" si="71">OFFSET(P$33,$BB119,$J$96)/OFFSET(O$33,$BB119,$J$96)*O119</f>
        <v>#N/A</v>
      </c>
      <c r="Q119" s="18" t="e">
        <f t="shared" ca="1" si="71"/>
        <v>#N/A</v>
      </c>
      <c r="R119" s="18" t="e">
        <f t="shared" ca="1" si="71"/>
        <v>#N/A</v>
      </c>
      <c r="S119" s="18" t="e">
        <f t="shared" ca="1" si="71"/>
        <v>#N/A</v>
      </c>
      <c r="T119" s="18" t="e">
        <f t="shared" ca="1" si="71"/>
        <v>#N/A</v>
      </c>
      <c r="U119" s="18" t="e">
        <f t="shared" ca="1" si="71"/>
        <v>#N/A</v>
      </c>
      <c r="V119" s="18" t="e">
        <f t="shared" ca="1" si="71"/>
        <v>#N/A</v>
      </c>
      <c r="W119" s="18" t="e">
        <f t="shared" ca="1" si="71"/>
        <v>#N/A</v>
      </c>
      <c r="X119" s="18" t="e">
        <f t="shared" ca="1" si="71"/>
        <v>#N/A</v>
      </c>
      <c r="Y119" s="18" t="e">
        <f t="shared" ca="1" si="71"/>
        <v>#N/A</v>
      </c>
      <c r="Z119" s="18" t="e">
        <f t="shared" ca="1" si="71"/>
        <v>#N/A</v>
      </c>
      <c r="AA119" s="18" t="e">
        <f t="shared" ca="1" si="71"/>
        <v>#N/A</v>
      </c>
      <c r="AB119" s="18" t="e">
        <f t="shared" ca="1" si="71"/>
        <v>#N/A</v>
      </c>
      <c r="AC119" s="18" t="e">
        <f t="shared" ca="1" si="71"/>
        <v>#N/A</v>
      </c>
      <c r="AD119" s="18" t="e">
        <f t="shared" ca="1" si="71"/>
        <v>#N/A</v>
      </c>
      <c r="AE119" s="18" t="e">
        <f t="shared" ca="1" si="71"/>
        <v>#N/A</v>
      </c>
      <c r="AF119" s="18" t="e">
        <f t="shared" ca="1" si="71"/>
        <v>#N/A</v>
      </c>
      <c r="AG119" s="18" t="e">
        <f t="shared" ca="1" si="71"/>
        <v>#N/A</v>
      </c>
      <c r="AH119" s="18" t="e">
        <f t="shared" ca="1" si="71"/>
        <v>#N/A</v>
      </c>
      <c r="AI119" s="18" t="e">
        <f t="shared" ca="1" si="71"/>
        <v>#N/A</v>
      </c>
      <c r="AJ119" s="18" t="e">
        <f t="shared" ca="1" si="71"/>
        <v>#N/A</v>
      </c>
      <c r="AK119" s="18" t="e">
        <f t="shared" ca="1" si="71"/>
        <v>#N/A</v>
      </c>
      <c r="AL119" s="18" t="e">
        <f t="shared" ca="1" si="71"/>
        <v>#N/A</v>
      </c>
      <c r="AM119" s="18" t="e">
        <f t="shared" ca="1" si="71"/>
        <v>#N/A</v>
      </c>
      <c r="AN119" s="18" t="e">
        <f t="shared" ca="1" si="71"/>
        <v>#N/A</v>
      </c>
      <c r="AO119" s="18" t="e">
        <f t="shared" ca="1" si="71"/>
        <v>#N/A</v>
      </c>
      <c r="AP119" s="18" t="e">
        <f t="shared" ca="1" si="71"/>
        <v>#N/A</v>
      </c>
      <c r="AQ119" s="3"/>
      <c r="AR119" s="3"/>
      <c r="AS119" s="3"/>
      <c r="AT119" s="3"/>
      <c r="AU119" s="3"/>
      <c r="AV119" s="3"/>
      <c r="BB119" t="e">
        <f t="shared" si="62"/>
        <v>#N/A</v>
      </c>
    </row>
    <row r="120" spans="1:54">
      <c r="A120" s="16" t="str">
        <f>'[12]TS BYDem'!A31</f>
        <v>*</v>
      </c>
      <c r="B120" s="16" t="str">
        <f>'[12]TS BYDem'!B31</f>
        <v>COM_PROJ</v>
      </c>
      <c r="C120" s="16" t="str">
        <f>'[12]TS BYDem'!C31</f>
        <v>-</v>
      </c>
      <c r="D120" s="16">
        <f>'[12]TS BYDem'!D31</f>
        <v>0</v>
      </c>
      <c r="E120" s="99" t="s">
        <v>137</v>
      </c>
      <c r="F120" s="99" t="s">
        <v>137</v>
      </c>
      <c r="G120" s="99" t="s">
        <v>137</v>
      </c>
      <c r="H120" s="99" t="s">
        <v>137</v>
      </c>
      <c r="I120" s="99">
        <v>0</v>
      </c>
      <c r="J120" s="3">
        <f>'[12]TS BYDem'!J31</f>
        <v>0</v>
      </c>
      <c r="K120" s="18">
        <f t="shared" si="45"/>
        <v>0</v>
      </c>
      <c r="L120" s="18">
        <f t="shared" si="45"/>
        <v>0</v>
      </c>
      <c r="M120" s="18">
        <f t="shared" si="45"/>
        <v>0</v>
      </c>
      <c r="N120" s="18">
        <f t="shared" si="45"/>
        <v>0</v>
      </c>
      <c r="O120" s="18">
        <f>'[12]TS BYDem'!O31</f>
        <v>0</v>
      </c>
      <c r="P120" s="18" t="e">
        <f t="shared" ref="P120:AP120" ca="1" si="72">OFFSET(P$33,$BB120,$J$96)/OFFSET(O$33,$BB120,$J$96)*O120</f>
        <v>#N/A</v>
      </c>
      <c r="Q120" s="18" t="e">
        <f t="shared" ca="1" si="72"/>
        <v>#N/A</v>
      </c>
      <c r="R120" s="18" t="e">
        <f t="shared" ca="1" si="72"/>
        <v>#N/A</v>
      </c>
      <c r="S120" s="18" t="e">
        <f t="shared" ca="1" si="72"/>
        <v>#N/A</v>
      </c>
      <c r="T120" s="18" t="e">
        <f t="shared" ca="1" si="72"/>
        <v>#N/A</v>
      </c>
      <c r="U120" s="18" t="e">
        <f t="shared" ca="1" si="72"/>
        <v>#N/A</v>
      </c>
      <c r="V120" s="18" t="e">
        <f t="shared" ca="1" si="72"/>
        <v>#N/A</v>
      </c>
      <c r="W120" s="18" t="e">
        <f t="shared" ca="1" si="72"/>
        <v>#N/A</v>
      </c>
      <c r="X120" s="18" t="e">
        <f t="shared" ca="1" si="72"/>
        <v>#N/A</v>
      </c>
      <c r="Y120" s="18" t="e">
        <f t="shared" ca="1" si="72"/>
        <v>#N/A</v>
      </c>
      <c r="Z120" s="18" t="e">
        <f t="shared" ca="1" si="72"/>
        <v>#N/A</v>
      </c>
      <c r="AA120" s="18" t="e">
        <f t="shared" ca="1" si="72"/>
        <v>#N/A</v>
      </c>
      <c r="AB120" s="18" t="e">
        <f t="shared" ca="1" si="72"/>
        <v>#N/A</v>
      </c>
      <c r="AC120" s="18" t="e">
        <f t="shared" ca="1" si="72"/>
        <v>#N/A</v>
      </c>
      <c r="AD120" s="18" t="e">
        <f t="shared" ca="1" si="72"/>
        <v>#N/A</v>
      </c>
      <c r="AE120" s="18" t="e">
        <f t="shared" ca="1" si="72"/>
        <v>#N/A</v>
      </c>
      <c r="AF120" s="18" t="e">
        <f t="shared" ca="1" si="72"/>
        <v>#N/A</v>
      </c>
      <c r="AG120" s="18" t="e">
        <f t="shared" ca="1" si="72"/>
        <v>#N/A</v>
      </c>
      <c r="AH120" s="18" t="e">
        <f t="shared" ca="1" si="72"/>
        <v>#N/A</v>
      </c>
      <c r="AI120" s="18" t="e">
        <f t="shared" ca="1" si="72"/>
        <v>#N/A</v>
      </c>
      <c r="AJ120" s="18" t="e">
        <f t="shared" ca="1" si="72"/>
        <v>#N/A</v>
      </c>
      <c r="AK120" s="18" t="e">
        <f t="shared" ca="1" si="72"/>
        <v>#N/A</v>
      </c>
      <c r="AL120" s="18" t="e">
        <f t="shared" ca="1" si="72"/>
        <v>#N/A</v>
      </c>
      <c r="AM120" s="18" t="e">
        <f t="shared" ca="1" si="72"/>
        <v>#N/A</v>
      </c>
      <c r="AN120" s="18" t="e">
        <f t="shared" ca="1" si="72"/>
        <v>#N/A</v>
      </c>
      <c r="AO120" s="18" t="e">
        <f t="shared" ca="1" si="72"/>
        <v>#N/A</v>
      </c>
      <c r="AP120" s="18" t="e">
        <f t="shared" ca="1" si="72"/>
        <v>#N/A</v>
      </c>
      <c r="AQ120" s="3"/>
      <c r="AR120" s="3"/>
      <c r="AS120" s="3"/>
      <c r="AT120" s="3"/>
      <c r="AU120" s="3"/>
      <c r="AV120" s="3"/>
      <c r="BB120" t="e">
        <f t="shared" si="62"/>
        <v>#N/A</v>
      </c>
    </row>
    <row r="121" spans="1:54" s="270" customFormat="1">
      <c r="A121" s="274" t="str">
        <f>'[12]TS BYDem'!A32</f>
        <v/>
      </c>
      <c r="B121" s="274" t="str">
        <f>'[12]TS BYDem'!B32</f>
        <v>COM_PROJ</v>
      </c>
      <c r="C121" s="274" t="str">
        <f>'[12]TS BYDem'!C32</f>
        <v>-</v>
      </c>
      <c r="D121" s="274" t="str">
        <f>'[12]TS BYDem'!D32</f>
        <v>RHEL</v>
      </c>
      <c r="E121" s="273" t="s">
        <v>137</v>
      </c>
      <c r="F121" s="273" t="s">
        <v>137</v>
      </c>
      <c r="G121" s="273" t="s">
        <v>137</v>
      </c>
      <c r="H121" s="273" t="s">
        <v>137</v>
      </c>
      <c r="I121" s="273">
        <v>0</v>
      </c>
      <c r="J121" s="271">
        <f>'[12]TS BYDem'!J32</f>
        <v>19.26548276515534</v>
      </c>
      <c r="K121" s="272">
        <f t="shared" si="45"/>
        <v>19.332459613862554</v>
      </c>
      <c r="L121" s="272">
        <f t="shared" si="45"/>
        <v>19.399436462569771</v>
      </c>
      <c r="M121" s="272">
        <f t="shared" si="45"/>
        <v>19.466413311276984</v>
      </c>
      <c r="N121" s="272">
        <f t="shared" si="45"/>
        <v>19.533390159984201</v>
      </c>
      <c r="O121" s="272">
        <f>'[12]TS BYDem'!O32</f>
        <v>19.600367008691414</v>
      </c>
      <c r="P121" s="18">
        <f t="shared" ref="P121:AP121" ca="1" si="73">OFFSET(P$33,$BB121,$J$96)/OFFSET(O$33,$BB121,$J$96)*O121</f>
        <v>20.324937702273772</v>
      </c>
      <c r="Q121" s="18">
        <f t="shared" ca="1" si="73"/>
        <v>20.625502548228848</v>
      </c>
      <c r="R121" s="18">
        <f t="shared" ca="1" si="73"/>
        <v>17.418889821575398</v>
      </c>
      <c r="S121" s="18">
        <f t="shared" ca="1" si="73"/>
        <v>17.67286582003441</v>
      </c>
      <c r="T121" s="18">
        <f t="shared" ca="1" si="73"/>
        <v>17.909507637112217</v>
      </c>
      <c r="U121" s="18">
        <f t="shared" ca="1" si="73"/>
        <v>18.223313886326086</v>
      </c>
      <c r="V121" s="18">
        <f t="shared" ca="1" si="73"/>
        <v>18.983658176503578</v>
      </c>
      <c r="W121" s="18">
        <f t="shared" ca="1" si="73"/>
        <v>19.740932852124857</v>
      </c>
      <c r="X121" s="18">
        <f t="shared" ca="1" si="73"/>
        <v>20.411731086523581</v>
      </c>
      <c r="Y121" s="18">
        <f t="shared" ca="1" si="73"/>
        <v>20.992700848240915</v>
      </c>
      <c r="Z121" s="18">
        <f t="shared" ca="1" si="73"/>
        <v>21.385136813699162</v>
      </c>
      <c r="AA121" s="18">
        <f t="shared" ca="1" si="73"/>
        <v>22.161397811819704</v>
      </c>
      <c r="AB121" s="18">
        <f t="shared" ca="1" si="73"/>
        <v>22.919709962974387</v>
      </c>
      <c r="AC121" s="18">
        <f t="shared" ca="1" si="73"/>
        <v>23.902093546102272</v>
      </c>
      <c r="AD121" s="18">
        <f t="shared" ca="1" si="73"/>
        <v>24.844171590426516</v>
      </c>
      <c r="AE121" s="18">
        <f t="shared" ca="1" si="73"/>
        <v>25.918674791206843</v>
      </c>
      <c r="AF121" s="18">
        <f t="shared" ca="1" si="73"/>
        <v>27.027253592944827</v>
      </c>
      <c r="AG121" s="18">
        <f t="shared" ca="1" si="73"/>
        <v>27.739421289448725</v>
      </c>
      <c r="AH121" s="18">
        <f t="shared" ca="1" si="73"/>
        <v>28.250055729216722</v>
      </c>
      <c r="AI121" s="18">
        <f t="shared" ca="1" si="73"/>
        <v>28.965220467860174</v>
      </c>
      <c r="AJ121" s="18">
        <f t="shared" ca="1" si="73"/>
        <v>29.652355529564939</v>
      </c>
      <c r="AK121" s="18">
        <f t="shared" ca="1" si="73"/>
        <v>30.638839003050236</v>
      </c>
      <c r="AL121" s="18">
        <f t="shared" ca="1" si="73"/>
        <v>31.35961007456558</v>
      </c>
      <c r="AM121" s="18">
        <f t="shared" ca="1" si="73"/>
        <v>35.580724556903924</v>
      </c>
      <c r="AN121" s="18">
        <f t="shared" ca="1" si="73"/>
        <v>38.068431859464376</v>
      </c>
      <c r="AO121" s="18">
        <f t="shared" ca="1" si="73"/>
        <v>38.068431859464376</v>
      </c>
      <c r="AP121" s="18">
        <f t="shared" ca="1" si="73"/>
        <v>38.068431859464376</v>
      </c>
      <c r="AQ121" s="271"/>
      <c r="AR121" s="271"/>
      <c r="AS121" s="271"/>
      <c r="AU121" s="271"/>
      <c r="AV121" s="271"/>
      <c r="BB121" s="270">
        <f t="shared" si="62"/>
        <v>3</v>
      </c>
    </row>
    <row r="122" spans="1:54">
      <c r="A122" s="16" t="str">
        <f>'[12]TS BYDem'!A33</f>
        <v/>
      </c>
      <c r="B122" s="16" t="str">
        <f>'[12]TS BYDem'!B33</f>
        <v>COM_PROJ</v>
      </c>
      <c r="C122" s="16" t="str">
        <f>'[12]TS BYDem'!C33</f>
        <v>-</v>
      </c>
      <c r="D122" s="16" t="str">
        <f>'[12]TS BYDem'!D33</f>
        <v>RHEK</v>
      </c>
      <c r="E122" s="99" t="s">
        <v>137</v>
      </c>
      <c r="F122" s="99" t="s">
        <v>137</v>
      </c>
      <c r="G122" s="99" t="s">
        <v>137</v>
      </c>
      <c r="H122" s="99" t="s">
        <v>137</v>
      </c>
      <c r="I122" s="99">
        <v>0</v>
      </c>
      <c r="J122" s="3">
        <f>'[12]TS BYDem'!J33</f>
        <v>4.1434823331544619</v>
      </c>
      <c r="K122" s="18">
        <f t="shared" si="45"/>
        <v>4.7072467193450924</v>
      </c>
      <c r="L122" s="18">
        <f t="shared" si="45"/>
        <v>5.2710111055357238</v>
      </c>
      <c r="M122" s="18">
        <f t="shared" si="45"/>
        <v>5.8347754917263543</v>
      </c>
      <c r="N122" s="18">
        <f t="shared" si="45"/>
        <v>6.3985398779169849</v>
      </c>
      <c r="O122" s="18">
        <f>'[12]TS BYDem'!O33</f>
        <v>6.9623042641076154</v>
      </c>
      <c r="P122" s="18">
        <f t="shared" ref="P122:AP122" ca="1" si="74">OFFSET(P$33,$BB122,$J$96)/OFFSET(O$33,$BB122,$J$96)*O122</f>
        <v>7.2196811605370996</v>
      </c>
      <c r="Q122" s="18">
        <f t="shared" ca="1" si="74"/>
        <v>7.326445687329171</v>
      </c>
      <c r="R122" s="18">
        <f t="shared" ca="1" si="74"/>
        <v>6.1874153084479353</v>
      </c>
      <c r="S122" s="18">
        <f t="shared" ca="1" si="74"/>
        <v>6.2776308730987438</v>
      </c>
      <c r="T122" s="18">
        <f t="shared" ca="1" si="74"/>
        <v>6.3616891119764345</v>
      </c>
      <c r="U122" s="18">
        <f t="shared" ca="1" si="74"/>
        <v>6.4731571567348061</v>
      </c>
      <c r="V122" s="18">
        <f t="shared" ca="1" si="74"/>
        <v>6.7432412980850787</v>
      </c>
      <c r="W122" s="18">
        <f t="shared" ca="1" si="74"/>
        <v>7.012235072581281</v>
      </c>
      <c r="X122" s="18">
        <f t="shared" ca="1" si="74"/>
        <v>7.2505112949417674</v>
      </c>
      <c r="Y122" s="18">
        <f t="shared" ca="1" si="74"/>
        <v>7.4568792801702362</v>
      </c>
      <c r="Z122" s="18">
        <f t="shared" ca="1" si="74"/>
        <v>7.5962776187058143</v>
      </c>
      <c r="AA122" s="18">
        <f t="shared" ca="1" si="74"/>
        <v>7.87201558090206</v>
      </c>
      <c r="AB122" s="18">
        <f t="shared" ca="1" si="74"/>
        <v>8.1413778801471572</v>
      </c>
      <c r="AC122" s="18">
        <f t="shared" ca="1" si="74"/>
        <v>8.4903332546443639</v>
      </c>
      <c r="AD122" s="18">
        <f t="shared" ca="1" si="74"/>
        <v>8.8249715796416641</v>
      </c>
      <c r="AE122" s="18">
        <f t="shared" ca="1" si="74"/>
        <v>9.2066490356440358</v>
      </c>
      <c r="AF122" s="18">
        <f t="shared" ca="1" si="74"/>
        <v>9.6004305865209751</v>
      </c>
      <c r="AG122" s="18">
        <f t="shared" ca="1" si="74"/>
        <v>9.8534017777201051</v>
      </c>
      <c r="AH122" s="18">
        <f t="shared" ca="1" si="74"/>
        <v>10.034785745470325</v>
      </c>
      <c r="AI122" s="18">
        <f t="shared" ca="1" si="74"/>
        <v>10.288821524861026</v>
      </c>
      <c r="AJ122" s="18">
        <f t="shared" ca="1" si="74"/>
        <v>10.532900799907434</v>
      </c>
      <c r="AK122" s="18">
        <f t="shared" ca="1" si="74"/>
        <v>10.88331250856946</v>
      </c>
      <c r="AL122" s="18">
        <f t="shared" ca="1" si="74"/>
        <v>11.139339730020541</v>
      </c>
      <c r="AM122" s="18">
        <f t="shared" ca="1" si="74"/>
        <v>12.638734274349167</v>
      </c>
      <c r="AN122" s="18">
        <f t="shared" ca="1" si="74"/>
        <v>13.522400133911285</v>
      </c>
      <c r="AO122" s="18">
        <f t="shared" ca="1" si="74"/>
        <v>13.522400133911285</v>
      </c>
      <c r="AP122" s="18">
        <f t="shared" ca="1" si="74"/>
        <v>13.522400133911285</v>
      </c>
      <c r="AQ122" s="3"/>
      <c r="AR122" s="3"/>
      <c r="AS122" s="3"/>
      <c r="AU122" s="3"/>
      <c r="AV122" s="3"/>
      <c r="BB122">
        <f t="shared" si="62"/>
        <v>3</v>
      </c>
    </row>
    <row r="123" spans="1:54">
      <c r="A123" s="16" t="str">
        <f>'[12]TS BYDem'!A34</f>
        <v/>
      </c>
      <c r="B123" s="16" t="str">
        <f>'[12]TS BYDem'!B34</f>
        <v>COM_PROJ</v>
      </c>
      <c r="C123" s="16" t="str">
        <f>'[12]TS BYDem'!C34</f>
        <v>-</v>
      </c>
      <c r="D123" s="16" t="str">
        <f>'[12]TS BYDem'!D34</f>
        <v>RHEH</v>
      </c>
      <c r="E123" s="99" t="s">
        <v>137</v>
      </c>
      <c r="F123" s="99" t="s">
        <v>137</v>
      </c>
      <c r="G123" s="99" t="s">
        <v>137</v>
      </c>
      <c r="H123" s="99" t="s">
        <v>137</v>
      </c>
      <c r="I123" s="99">
        <v>0</v>
      </c>
      <c r="J123" s="3">
        <f>'[12]TS BYDem'!J34</f>
        <v>7.5410126179469659</v>
      </c>
      <c r="K123" s="18">
        <f t="shared" si="45"/>
        <v>6.9154335375640121</v>
      </c>
      <c r="L123" s="18">
        <f t="shared" si="45"/>
        <v>6.2898544571810575</v>
      </c>
      <c r="M123" s="18">
        <f t="shared" si="45"/>
        <v>5.6642753767981038</v>
      </c>
      <c r="N123" s="18">
        <f t="shared" si="45"/>
        <v>5.03869629641515</v>
      </c>
      <c r="O123" s="18">
        <f>'[12]TS BYDem'!O34</f>
        <v>4.4131172160321963</v>
      </c>
      <c r="P123" s="18">
        <f ca="1">IF(OR($E$78=1,$E$78=2,$E$78=3), P91,P83)</f>
        <v>4.5762578041988755</v>
      </c>
      <c r="Q123" s="18">
        <f t="shared" ref="Q123:AP123" ca="1" si="75">IF(OR($E$78=1,$E$78=2,$E$78=3), Q91,Q83)</f>
        <v>4.6439314296789611</v>
      </c>
      <c r="R123" s="18">
        <f t="shared" ca="1" si="75"/>
        <v>3.9219471003616979</v>
      </c>
      <c r="S123" s="18">
        <f t="shared" ca="1" si="75"/>
        <v>3.9791310220077274</v>
      </c>
      <c r="T123" s="18">
        <f t="shared" ca="1" si="75"/>
        <v>4.032412069067516</v>
      </c>
      <c r="U123" s="18">
        <f t="shared" ca="1" si="75"/>
        <v>4.1030670603893684</v>
      </c>
      <c r="V123" s="18">
        <f t="shared" ca="1" si="75"/>
        <v>4.2742622464594122</v>
      </c>
      <c r="W123" s="18">
        <f t="shared" ca="1" si="75"/>
        <v>4.4447662939993151</v>
      </c>
      <c r="X123" s="18">
        <f t="shared" ca="1" si="75"/>
        <v>4.5957997534950641</v>
      </c>
      <c r="Y123" s="18">
        <f t="shared" ca="1" si="75"/>
        <v>4.7266078988880551</v>
      </c>
      <c r="Z123" s="18">
        <f t="shared" ca="1" si="75"/>
        <v>4.8149667502598703</v>
      </c>
      <c r="AA123" s="18">
        <f t="shared" ca="1" si="75"/>
        <v>4.9897456599313585</v>
      </c>
      <c r="AB123" s="18">
        <f t="shared" ca="1" si="75"/>
        <v>5.1604833000940751</v>
      </c>
      <c r="AC123" s="18">
        <f t="shared" ca="1" si="75"/>
        <v>5.3816717044503113</v>
      </c>
      <c r="AD123" s="18">
        <f t="shared" ca="1" si="75"/>
        <v>5.5937851222454826</v>
      </c>
      <c r="AE123" s="18">
        <f t="shared" ca="1" si="75"/>
        <v>5.8357147030509164</v>
      </c>
      <c r="AF123" s="18">
        <f t="shared" ca="1" si="75"/>
        <v>6.0853165698480458</v>
      </c>
      <c r="AG123" s="18">
        <f t="shared" ca="1" si="75"/>
        <v>6.2456645633702941</v>
      </c>
      <c r="AH123" s="18">
        <f t="shared" ca="1" si="75"/>
        <v>6.3606363716144889</v>
      </c>
      <c r="AI123" s="18">
        <f t="shared" ca="1" si="75"/>
        <v>6.52165916363706</v>
      </c>
      <c r="AJ123" s="18">
        <f t="shared" ca="1" si="75"/>
        <v>6.67637093863617</v>
      </c>
      <c r="AK123" s="18">
        <f t="shared" ca="1" si="75"/>
        <v>6.898482453090911</v>
      </c>
      <c r="AL123" s="18">
        <f t="shared" ca="1" si="75"/>
        <v>7.0607675380136499</v>
      </c>
      <c r="AM123" s="18">
        <f t="shared" ca="1" si="75"/>
        <v>8.011171833228623</v>
      </c>
      <c r="AN123" s="18">
        <f t="shared" ca="1" si="75"/>
        <v>8.5712911371432039</v>
      </c>
      <c r="AO123" s="18">
        <f t="shared" ca="1" si="75"/>
        <v>8.5712911371432039</v>
      </c>
      <c r="AP123" s="18">
        <f t="shared" ca="1" si="75"/>
        <v>8.5712911371432039</v>
      </c>
      <c r="AQ123" s="3"/>
      <c r="AR123" s="3"/>
      <c r="AS123" s="3"/>
      <c r="AU123" s="3"/>
      <c r="AV123" s="3"/>
      <c r="BB123">
        <f t="shared" si="62"/>
        <v>3</v>
      </c>
    </row>
    <row r="124" spans="1:54">
      <c r="A124" s="16" t="str">
        <f>'[12]TS BYDem'!A35</f>
        <v/>
      </c>
      <c r="B124" s="16" t="str">
        <f>'[12]TS BYDem'!B35</f>
        <v>COM_PROJ</v>
      </c>
      <c r="C124" s="16" t="str">
        <f>'[12]TS BYDem'!C35</f>
        <v>-</v>
      </c>
      <c r="D124" s="16" t="str">
        <f>'[12]TS BYDem'!D35</f>
        <v>RHEWG</v>
      </c>
      <c r="E124" s="99" t="s">
        <v>137</v>
      </c>
      <c r="F124" s="99" t="s">
        <v>137</v>
      </c>
      <c r="G124" s="99" t="s">
        <v>137</v>
      </c>
      <c r="H124" s="99" t="s">
        <v>137</v>
      </c>
      <c r="I124" s="99">
        <v>0</v>
      </c>
      <c r="J124" s="3">
        <f>'[12]TS BYDem'!J35</f>
        <v>31.73694672752956</v>
      </c>
      <c r="K124" s="18">
        <f t="shared" si="45"/>
        <v>31.370682009456175</v>
      </c>
      <c r="L124" s="18">
        <f t="shared" si="45"/>
        <v>31.004417291382794</v>
      </c>
      <c r="M124" s="18">
        <f t="shared" si="45"/>
        <v>30.638152573309409</v>
      </c>
      <c r="N124" s="18">
        <f t="shared" si="45"/>
        <v>30.271887855236027</v>
      </c>
      <c r="O124" s="18">
        <f>'[12]TS BYDem'!O35</f>
        <v>29.905623137162642</v>
      </c>
      <c r="P124" s="18">
        <f t="shared" ref="P124:AP124" ca="1" si="76">OFFSET(P$33,$BB124,$J$96)/OFFSET(O$33,$BB124,$J$96)*O124</f>
        <v>31.011150298409056</v>
      </c>
      <c r="Q124" s="18">
        <f t="shared" ca="1" si="76"/>
        <v>31.469742681267295</v>
      </c>
      <c r="R124" s="18">
        <f t="shared" ca="1" si="76"/>
        <v>26.577193898501932</v>
      </c>
      <c r="S124" s="18">
        <f t="shared" ca="1" si="76"/>
        <v>26.96470248405198</v>
      </c>
      <c r="T124" s="18">
        <f t="shared" ca="1" si="76"/>
        <v>27.325763121175974</v>
      </c>
      <c r="U124" s="18">
        <f t="shared" ca="1" si="76"/>
        <v>27.804558820405234</v>
      </c>
      <c r="V124" s="18">
        <f t="shared" ca="1" si="76"/>
        <v>28.964668209502822</v>
      </c>
      <c r="W124" s="18">
        <f t="shared" ca="1" si="76"/>
        <v>30.120094077314622</v>
      </c>
      <c r="X124" s="18">
        <f t="shared" ca="1" si="76"/>
        <v>31.143576912615963</v>
      </c>
      <c r="Y124" s="18">
        <f t="shared" ca="1" si="76"/>
        <v>32.030002291298999</v>
      </c>
      <c r="Z124" s="18">
        <f t="shared" ca="1" si="76"/>
        <v>32.628768737011917</v>
      </c>
      <c r="AA124" s="18">
        <f t="shared" ca="1" si="76"/>
        <v>33.813163338173041</v>
      </c>
      <c r="AB124" s="18">
        <f t="shared" ca="1" si="76"/>
        <v>34.970172153503235</v>
      </c>
      <c r="AC124" s="18">
        <f t="shared" ca="1" si="76"/>
        <v>36.469062107968405</v>
      </c>
      <c r="AD124" s="18">
        <f t="shared" ca="1" si="76"/>
        <v>37.90645513978577</v>
      </c>
      <c r="AE124" s="18">
        <f t="shared" ca="1" si="76"/>
        <v>39.54589830776127</v>
      </c>
      <c r="AF124" s="18">
        <f t="shared" ca="1" si="76"/>
        <v>41.237332955282035</v>
      </c>
      <c r="AG124" s="18">
        <f t="shared" ca="1" si="76"/>
        <v>42.323936013921838</v>
      </c>
      <c r="AH124" s="18">
        <f t="shared" ca="1" si="76"/>
        <v>43.10304597190305</v>
      </c>
      <c r="AI124" s="18">
        <f t="shared" ca="1" si="76"/>
        <v>44.194221823119236</v>
      </c>
      <c r="AJ124" s="18">
        <f t="shared" ca="1" si="76"/>
        <v>45.242630875386546</v>
      </c>
      <c r="AK124" s="18">
        <f t="shared" ca="1" si="76"/>
        <v>46.747776313531077</v>
      </c>
      <c r="AL124" s="18">
        <f t="shared" ca="1" si="76"/>
        <v>47.847506131005851</v>
      </c>
      <c r="AM124" s="18">
        <f t="shared" ca="1" si="76"/>
        <v>54.287949765130321</v>
      </c>
      <c r="AN124" s="18">
        <f t="shared" ca="1" si="76"/>
        <v>58.083615276543988</v>
      </c>
      <c r="AO124" s="18">
        <f t="shared" ca="1" si="76"/>
        <v>58.083615276543988</v>
      </c>
      <c r="AP124" s="18">
        <f t="shared" ca="1" si="76"/>
        <v>58.083615276543988</v>
      </c>
      <c r="AQ124" s="3"/>
      <c r="AR124" s="3"/>
      <c r="AS124" s="3"/>
      <c r="AU124" s="3"/>
      <c r="AV124" s="3"/>
      <c r="BB124">
        <f t="shared" si="62"/>
        <v>3</v>
      </c>
    </row>
    <row r="125" spans="1:54">
      <c r="A125" s="16"/>
      <c r="B125" s="16" t="str">
        <f>'[12]TS BYDem'!B36</f>
        <v>COM_PROJ</v>
      </c>
      <c r="C125" s="16" t="str">
        <f>'[12]TS BYDem'!C36</f>
        <v>-</v>
      </c>
      <c r="D125" s="16" t="str">
        <f>'[12]TS BYDem'!D36</f>
        <v>RHEW</v>
      </c>
      <c r="E125" s="99" t="s">
        <v>137</v>
      </c>
      <c r="F125" s="99" t="s">
        <v>137</v>
      </c>
      <c r="G125" s="99" t="s">
        <v>137</v>
      </c>
      <c r="H125" s="99" t="s">
        <v>137</v>
      </c>
      <c r="I125" s="99">
        <v>0</v>
      </c>
      <c r="J125" s="3">
        <f>'[12]TS BYDem'!J36</f>
        <v>0.56043977372187515</v>
      </c>
      <c r="K125" s="18">
        <f t="shared" si="45"/>
        <v>1.5265636940029812</v>
      </c>
      <c r="L125" s="18">
        <f t="shared" si="45"/>
        <v>2.4926876142840872</v>
      </c>
      <c r="M125" s="18">
        <f t="shared" si="45"/>
        <v>3.4588115345651933</v>
      </c>
      <c r="N125" s="18">
        <f t="shared" si="45"/>
        <v>4.4249354548462989</v>
      </c>
      <c r="O125" s="18">
        <f>'[12]TS BYDem'!O36</f>
        <v>5.391059375127405</v>
      </c>
      <c r="P125" s="18">
        <f t="shared" ref="P125:AP125" ca="1" si="77">OFFSET(P$33,$BB125,$J$96)/OFFSET(O$33,$BB125,$J$96)*O125</f>
        <v>5.5903517469920541</v>
      </c>
      <c r="Q125" s="18">
        <f t="shared" ca="1" si="77"/>
        <v>5.6730217770941085</v>
      </c>
      <c r="R125" s="18">
        <f t="shared" ca="1" si="77"/>
        <v>4.7910464755723403</v>
      </c>
      <c r="S125" s="18">
        <f t="shared" ca="1" si="77"/>
        <v>4.8609022944426021</v>
      </c>
      <c r="T125" s="18">
        <f t="shared" ca="1" si="77"/>
        <v>4.9259903658005921</v>
      </c>
      <c r="U125" s="18">
        <f t="shared" ca="1" si="77"/>
        <v>5.012302429296537</v>
      </c>
      <c r="V125" s="18">
        <f t="shared" ca="1" si="77"/>
        <v>5.2214342895350887</v>
      </c>
      <c r="W125" s="18">
        <f t="shared" ca="1" si="77"/>
        <v>5.4297218556681281</v>
      </c>
      <c r="X125" s="18">
        <f t="shared" ca="1" si="77"/>
        <v>5.6142241718120331</v>
      </c>
      <c r="Y125" s="18">
        <f t="shared" ca="1" si="77"/>
        <v>5.774019265403032</v>
      </c>
      <c r="Z125" s="18">
        <f t="shared" ca="1" si="77"/>
        <v>5.8819583458183482</v>
      </c>
      <c r="AA125" s="18">
        <f t="shared" ca="1" si="77"/>
        <v>6.095468079059966</v>
      </c>
      <c r="AB125" s="18">
        <f t="shared" ca="1" si="77"/>
        <v>6.3040410016967048</v>
      </c>
      <c r="AC125" s="18">
        <f t="shared" ca="1" si="77"/>
        <v>6.5742445251023831</v>
      </c>
      <c r="AD125" s="18">
        <f t="shared" ca="1" si="77"/>
        <v>6.8333620544172069</v>
      </c>
      <c r="AE125" s="18">
        <f t="shared" ca="1" si="77"/>
        <v>7.128902977278627</v>
      </c>
      <c r="AF125" s="18">
        <f t="shared" ca="1" si="77"/>
        <v>7.4338163566825406</v>
      </c>
      <c r="AG125" s="18">
        <f t="shared" ca="1" si="77"/>
        <v>7.6296972978505169</v>
      </c>
      <c r="AH125" s="18">
        <f t="shared" ca="1" si="77"/>
        <v>7.7701467385448417</v>
      </c>
      <c r="AI125" s="18">
        <f t="shared" ca="1" si="77"/>
        <v>7.9668520128549956</v>
      </c>
      <c r="AJ125" s="18">
        <f t="shared" ca="1" si="77"/>
        <v>8.1558477553704076</v>
      </c>
      <c r="AK125" s="18">
        <f t="shared" ca="1" si="77"/>
        <v>8.4271789491068763</v>
      </c>
      <c r="AL125" s="18">
        <f t="shared" ca="1" si="77"/>
        <v>8.6254262391035574</v>
      </c>
      <c r="AM125" s="18">
        <f t="shared" ca="1" si="77"/>
        <v>9.7864391320460893</v>
      </c>
      <c r="AN125" s="18">
        <f t="shared" ca="1" si="77"/>
        <v>10.470680287841509</v>
      </c>
      <c r="AO125" s="18">
        <f t="shared" ca="1" si="77"/>
        <v>10.470680287841509</v>
      </c>
      <c r="AP125" s="18">
        <f t="shared" ca="1" si="77"/>
        <v>10.470680287841509</v>
      </c>
      <c r="AQ125" s="3"/>
      <c r="AR125" s="3"/>
      <c r="AS125" s="3"/>
      <c r="AU125" s="3"/>
      <c r="AV125" s="3"/>
      <c r="BB125">
        <f t="shared" si="62"/>
        <v>3</v>
      </c>
    </row>
    <row r="126" spans="1:54">
      <c r="A126" s="16" t="str">
        <f>'[12]TS BYDem'!A37</f>
        <v/>
      </c>
      <c r="B126" s="16" t="str">
        <f>'[12]TS BYDem'!B37</f>
        <v>COM_PROJ</v>
      </c>
      <c r="C126" s="16" t="str">
        <f>'[12]TS BYDem'!C37</f>
        <v>-</v>
      </c>
      <c r="D126" s="16" t="str">
        <f>'[12]TS BYDem'!D37</f>
        <v>RHER</v>
      </c>
      <c r="E126" s="99" t="s">
        <v>137</v>
      </c>
      <c r="F126" s="99" t="s">
        <v>137</v>
      </c>
      <c r="G126" s="99" t="s">
        <v>137</v>
      </c>
      <c r="H126" s="99" t="s">
        <v>137</v>
      </c>
      <c r="I126" s="99">
        <v>0</v>
      </c>
      <c r="J126" s="3">
        <f>'[12]TS BYDem'!J37</f>
        <v>5.6147013164057418</v>
      </c>
      <c r="K126" s="18">
        <f t="shared" si="45"/>
        <v>6.0452058663220871</v>
      </c>
      <c r="L126" s="18">
        <f t="shared" si="45"/>
        <v>6.4757104162384325</v>
      </c>
      <c r="M126" s="18">
        <f t="shared" si="45"/>
        <v>6.9062149661547778</v>
      </c>
      <c r="N126" s="18">
        <f t="shared" si="45"/>
        <v>7.3367195160711223</v>
      </c>
      <c r="O126" s="18">
        <f>'[12]TS BYDem'!O37</f>
        <v>7.7672240659874676</v>
      </c>
      <c r="P126" s="18">
        <f t="shared" ref="P126:AP126" ca="1" si="78">OFFSET(P$33,$BB126,$J$96)/OFFSET(O$33,$BB126,$J$96)*O126</f>
        <v>8.0543565939756689</v>
      </c>
      <c r="Q126" s="18">
        <f t="shared" ca="1" si="78"/>
        <v>8.1734642874110452</v>
      </c>
      <c r="R126" s="18">
        <f t="shared" ca="1" si="78"/>
        <v>6.9027493293839806</v>
      </c>
      <c r="S126" s="18">
        <f t="shared" ca="1" si="78"/>
        <v>7.0033948166107907</v>
      </c>
      <c r="T126" s="18">
        <f t="shared" ca="1" si="78"/>
        <v>7.0971711227284615</v>
      </c>
      <c r="U126" s="18">
        <f t="shared" ca="1" si="78"/>
        <v>7.2215261131156518</v>
      </c>
      <c r="V126" s="18">
        <f t="shared" ca="1" si="78"/>
        <v>7.5228349848568792</v>
      </c>
      <c r="W126" s="18">
        <f t="shared" ca="1" si="78"/>
        <v>7.8229274312095525</v>
      </c>
      <c r="X126" s="18">
        <f t="shared" ca="1" si="78"/>
        <v>8.0887510347845915</v>
      </c>
      <c r="Y126" s="18">
        <f t="shared" ca="1" si="78"/>
        <v>8.3189774541583148</v>
      </c>
      <c r="Z126" s="18">
        <f t="shared" ca="1" si="78"/>
        <v>8.4744917909008191</v>
      </c>
      <c r="AA126" s="18">
        <f t="shared" ca="1" si="78"/>
        <v>8.7821081280548992</v>
      </c>
      <c r="AB126" s="18">
        <f t="shared" ca="1" si="78"/>
        <v>9.0826117047158661</v>
      </c>
      <c r="AC126" s="18">
        <f t="shared" ca="1" si="78"/>
        <v>9.4719102012959731</v>
      </c>
      <c r="AD126" s="18">
        <f t="shared" ca="1" si="78"/>
        <v>9.8452364382316873</v>
      </c>
      <c r="AE126" s="18">
        <f t="shared" ca="1" si="78"/>
        <v>10.271040052846693</v>
      </c>
      <c r="AF126" s="18">
        <f t="shared" ca="1" si="78"/>
        <v>10.710347130315428</v>
      </c>
      <c r="AG126" s="18">
        <f t="shared" ca="1" si="78"/>
        <v>10.992564604552062</v>
      </c>
      <c r="AH126" s="18">
        <f t="shared" ca="1" si="78"/>
        <v>11.194918576175617</v>
      </c>
      <c r="AI126" s="18">
        <f t="shared" ca="1" si="78"/>
        <v>11.478323716838231</v>
      </c>
      <c r="AJ126" s="18">
        <f t="shared" ca="1" si="78"/>
        <v>11.750621270526404</v>
      </c>
      <c r="AK126" s="18">
        <f t="shared" ca="1" si="78"/>
        <v>12.141544469696921</v>
      </c>
      <c r="AL126" s="18">
        <f t="shared" ca="1" si="78"/>
        <v>12.427171285269253</v>
      </c>
      <c r="AM126" s="18">
        <f t="shared" ca="1" si="78"/>
        <v>14.099912513939518</v>
      </c>
      <c r="AN126" s="18">
        <f t="shared" ca="1" si="78"/>
        <v>15.085739974262689</v>
      </c>
      <c r="AO126" s="18">
        <f t="shared" ca="1" si="78"/>
        <v>15.085739974262689</v>
      </c>
      <c r="AP126" s="18">
        <f t="shared" ca="1" si="78"/>
        <v>15.085739974262689</v>
      </c>
      <c r="AQ126" s="3"/>
      <c r="AR126" s="3"/>
      <c r="AS126" s="3"/>
      <c r="AU126" s="3"/>
      <c r="AV126" s="3"/>
      <c r="BB126">
        <f t="shared" si="62"/>
        <v>3</v>
      </c>
    </row>
    <row r="127" spans="1:54">
      <c r="A127" s="16" t="str">
        <f>'[12]TS BYDem'!A38</f>
        <v/>
      </c>
      <c r="B127" s="16" t="str">
        <f>'[12]TS BYDem'!B38</f>
        <v>COM_PROJ</v>
      </c>
      <c r="C127" s="16" t="str">
        <f>'[12]TS BYDem'!C38</f>
        <v>-</v>
      </c>
      <c r="D127" s="16" t="str">
        <f>'[12]TS BYDem'!D38</f>
        <v>RHEO</v>
      </c>
      <c r="E127" s="99" t="s">
        <v>137</v>
      </c>
      <c r="F127" s="99" t="s">
        <v>137</v>
      </c>
      <c r="G127" s="99" t="s">
        <v>137</v>
      </c>
      <c r="H127" s="99" t="s">
        <v>137</v>
      </c>
      <c r="I127" s="99">
        <v>0</v>
      </c>
      <c r="J127" s="3">
        <f>'[12]TS BYDem'!J38</f>
        <v>12.567032680070476</v>
      </c>
      <c r="K127" s="18">
        <f t="shared" si="45"/>
        <v>12.568779819506284</v>
      </c>
      <c r="L127" s="18">
        <f t="shared" si="45"/>
        <v>12.570526958942095</v>
      </c>
      <c r="M127" s="18">
        <f t="shared" si="45"/>
        <v>12.572274098377903</v>
      </c>
      <c r="N127" s="18">
        <f t="shared" si="45"/>
        <v>12.574021237813714</v>
      </c>
      <c r="O127" s="18">
        <f>'[12]TS BYDem'!O38</f>
        <v>12.575768377249522</v>
      </c>
      <c r="P127" s="18">
        <f ca="1">IF(OR($E$78=1,$E$78=2,$E$78=3), P93,P85)</f>
        <v>13.040659326046256</v>
      </c>
      <c r="Q127" s="18">
        <f t="shared" ref="Q127:AP127" ca="1" si="79">IF(OR($E$78=1,$E$78=2,$E$78=3), Q93,Q85)</f>
        <v>13.2335043826413</v>
      </c>
      <c r="R127" s="18">
        <f t="shared" ca="1" si="79"/>
        <v>11.176113370113184</v>
      </c>
      <c r="S127" s="18">
        <f t="shared" ca="1" si="79"/>
        <v>11.339066611171626</v>
      </c>
      <c r="T127" s="18">
        <f t="shared" ca="1" si="79"/>
        <v>11.490898088542551</v>
      </c>
      <c r="U127" s="18">
        <f t="shared" ca="1" si="79"/>
        <v>11.692238946277364</v>
      </c>
      <c r="V127" s="18">
        <f t="shared" ca="1" si="79"/>
        <v>12.18008255022602</v>
      </c>
      <c r="W127" s="18">
        <f t="shared" ca="1" si="79"/>
        <v>12.665956662396828</v>
      </c>
      <c r="X127" s="18">
        <f t="shared" ca="1" si="79"/>
        <v>13.096346727028047</v>
      </c>
      <c r="Y127" s="18">
        <f t="shared" ca="1" si="79"/>
        <v>13.469102051165768</v>
      </c>
      <c r="Z127" s="18">
        <f t="shared" ca="1" si="79"/>
        <v>13.720892428474356</v>
      </c>
      <c r="AA127" s="18">
        <f t="shared" ca="1" si="79"/>
        <v>14.218948332648377</v>
      </c>
      <c r="AB127" s="18">
        <f t="shared" ca="1" si="79"/>
        <v>14.7054880982735</v>
      </c>
      <c r="AC127" s="18">
        <f t="shared" ca="1" si="79"/>
        <v>15.335794071296888</v>
      </c>
      <c r="AD127" s="18">
        <f t="shared" ca="1" si="79"/>
        <v>15.940239655068886</v>
      </c>
      <c r="AE127" s="18">
        <f t="shared" ca="1" si="79"/>
        <v>16.629650387410514</v>
      </c>
      <c r="AF127" s="18">
        <f t="shared" ca="1" si="79"/>
        <v>17.340924325924203</v>
      </c>
      <c r="AG127" s="18">
        <f t="shared" ca="1" si="79"/>
        <v>17.797857402382462</v>
      </c>
      <c r="AH127" s="18">
        <f t="shared" ca="1" si="79"/>
        <v>18.125484963495037</v>
      </c>
      <c r="AI127" s="18">
        <f t="shared" ca="1" si="79"/>
        <v>18.584340968628418</v>
      </c>
      <c r="AJ127" s="18">
        <f t="shared" ca="1" si="79"/>
        <v>19.025212885774376</v>
      </c>
      <c r="AK127" s="18">
        <f t="shared" ca="1" si="79"/>
        <v>19.658149384618227</v>
      </c>
      <c r="AL127" s="18">
        <f t="shared" ca="1" si="79"/>
        <v>20.120602462378429</v>
      </c>
      <c r="AM127" s="18">
        <f t="shared" ca="1" si="79"/>
        <v>22.828906750772699</v>
      </c>
      <c r="AN127" s="18">
        <f t="shared" ca="1" si="79"/>
        <v>24.425041701384579</v>
      </c>
      <c r="AO127" s="18">
        <f t="shared" ca="1" si="79"/>
        <v>24.425041701384579</v>
      </c>
      <c r="AP127" s="18">
        <f t="shared" ca="1" si="79"/>
        <v>24.425041701384579</v>
      </c>
      <c r="AQ127" s="3"/>
      <c r="AR127" s="3"/>
      <c r="AS127" s="3"/>
      <c r="AU127" s="3"/>
      <c r="AV127" s="3"/>
      <c r="BB127">
        <f t="shared" si="62"/>
        <v>3</v>
      </c>
    </row>
    <row r="128" spans="1:54">
      <c r="A128" s="16" t="str">
        <f>'[12]TS BYDem'!A39</f>
        <v>*</v>
      </c>
      <c r="B128" s="16" t="str">
        <f>'[12]TS BYDem'!B39</f>
        <v>COM_PROJ</v>
      </c>
      <c r="C128" s="16" t="str">
        <f>'[12]TS BYDem'!C39</f>
        <v>-</v>
      </c>
      <c r="D128" s="16">
        <f>'[12]TS BYDem'!D39</f>
        <v>0</v>
      </c>
      <c r="E128" s="99" t="s">
        <v>137</v>
      </c>
      <c r="F128" s="99" t="s">
        <v>137</v>
      </c>
      <c r="G128" s="99" t="s">
        <v>137</v>
      </c>
      <c r="H128" s="99" t="s">
        <v>137</v>
      </c>
      <c r="I128" s="99">
        <v>0</v>
      </c>
      <c r="J128" s="3">
        <f>'[12]TS BYDem'!J39</f>
        <v>0</v>
      </c>
      <c r="K128" s="18">
        <f t="shared" si="45"/>
        <v>0</v>
      </c>
      <c r="L128" s="18">
        <f t="shared" si="45"/>
        <v>0</v>
      </c>
      <c r="M128" s="18">
        <f t="shared" si="45"/>
        <v>0</v>
      </c>
      <c r="N128" s="18">
        <f t="shared" si="45"/>
        <v>0</v>
      </c>
      <c r="O128" s="18">
        <f>'[12]TS BYDem'!O39</f>
        <v>0</v>
      </c>
      <c r="P128" s="18" t="e">
        <f t="shared" ref="P128:AP128" ca="1" si="80">OFFSET(P$33,$BB128,$J$96)/OFFSET(O$33,$BB128,$J$96)*O128</f>
        <v>#N/A</v>
      </c>
      <c r="Q128" s="18" t="e">
        <f t="shared" ca="1" si="80"/>
        <v>#N/A</v>
      </c>
      <c r="R128" s="18" t="e">
        <f t="shared" ca="1" si="80"/>
        <v>#N/A</v>
      </c>
      <c r="S128" s="18" t="e">
        <f t="shared" ca="1" si="80"/>
        <v>#N/A</v>
      </c>
      <c r="T128" s="18" t="e">
        <f t="shared" ca="1" si="80"/>
        <v>#N/A</v>
      </c>
      <c r="U128" s="18" t="e">
        <f t="shared" ca="1" si="80"/>
        <v>#N/A</v>
      </c>
      <c r="V128" s="18" t="e">
        <f t="shared" ca="1" si="80"/>
        <v>#N/A</v>
      </c>
      <c r="W128" s="18" t="e">
        <f t="shared" ca="1" si="80"/>
        <v>#N/A</v>
      </c>
      <c r="X128" s="18" t="e">
        <f t="shared" ca="1" si="80"/>
        <v>#N/A</v>
      </c>
      <c r="Y128" s="18" t="e">
        <f t="shared" ca="1" si="80"/>
        <v>#N/A</v>
      </c>
      <c r="Z128" s="18" t="e">
        <f t="shared" ca="1" si="80"/>
        <v>#N/A</v>
      </c>
      <c r="AA128" s="18" t="e">
        <f t="shared" ca="1" si="80"/>
        <v>#N/A</v>
      </c>
      <c r="AB128" s="18" t="e">
        <f t="shared" ca="1" si="80"/>
        <v>#N/A</v>
      </c>
      <c r="AC128" s="18" t="e">
        <f t="shared" ca="1" si="80"/>
        <v>#N/A</v>
      </c>
      <c r="AD128" s="18" t="e">
        <f t="shared" ca="1" si="80"/>
        <v>#N/A</v>
      </c>
      <c r="AE128" s="18" t="e">
        <f t="shared" ca="1" si="80"/>
        <v>#N/A</v>
      </c>
      <c r="AF128" s="18" t="e">
        <f t="shared" ca="1" si="80"/>
        <v>#N/A</v>
      </c>
      <c r="AG128" s="18" t="e">
        <f t="shared" ca="1" si="80"/>
        <v>#N/A</v>
      </c>
      <c r="AH128" s="18" t="e">
        <f t="shared" ca="1" si="80"/>
        <v>#N/A</v>
      </c>
      <c r="AI128" s="18" t="e">
        <f t="shared" ca="1" si="80"/>
        <v>#N/A</v>
      </c>
      <c r="AJ128" s="18" t="e">
        <f t="shared" ca="1" si="80"/>
        <v>#N/A</v>
      </c>
      <c r="AK128" s="18" t="e">
        <f t="shared" ca="1" si="80"/>
        <v>#N/A</v>
      </c>
      <c r="AL128" s="18" t="e">
        <f t="shared" ca="1" si="80"/>
        <v>#N/A</v>
      </c>
      <c r="AM128" s="18" t="e">
        <f t="shared" ca="1" si="80"/>
        <v>#N/A</v>
      </c>
      <c r="AN128" s="18" t="e">
        <f t="shared" ca="1" si="80"/>
        <v>#N/A</v>
      </c>
      <c r="AO128" s="18" t="e">
        <f t="shared" ca="1" si="80"/>
        <v>#N/A</v>
      </c>
      <c r="AP128" s="18" t="e">
        <f t="shared" ca="1" si="80"/>
        <v>#N/A</v>
      </c>
      <c r="AQ128" s="3"/>
      <c r="AR128" s="3"/>
      <c r="AS128" s="3"/>
      <c r="AT128" s="3"/>
      <c r="AU128" s="3"/>
      <c r="AV128" s="3"/>
      <c r="BB128" t="e">
        <f t="shared" si="62"/>
        <v>#N/A</v>
      </c>
    </row>
    <row r="129" spans="1:48">
      <c r="A129" s="16"/>
      <c r="B129" s="16"/>
      <c r="C129" s="16"/>
      <c r="D129" s="16"/>
      <c r="E129" s="99"/>
      <c r="F129" s="99"/>
      <c r="G129" s="99"/>
      <c r="H129" s="99"/>
      <c r="I129" s="99"/>
      <c r="J129" s="3"/>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3"/>
      <c r="AR129" s="3"/>
      <c r="AS129" s="3"/>
      <c r="AT129" s="3"/>
      <c r="AU129" s="3"/>
      <c r="AV129" s="3"/>
    </row>
    <row r="130" spans="1:48">
      <c r="A130" s="16"/>
      <c r="B130" s="16"/>
      <c r="C130" s="16"/>
      <c r="D130" s="16"/>
      <c r="E130" s="99"/>
      <c r="F130" s="99"/>
      <c r="G130" s="99"/>
      <c r="H130" s="99"/>
      <c r="I130" s="99"/>
      <c r="J130" s="3"/>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3"/>
      <c r="AR130" s="3"/>
      <c r="AS130" s="3"/>
      <c r="AT130" s="3"/>
      <c r="AU130" s="3"/>
      <c r="AV130" s="3"/>
    </row>
    <row r="131" spans="1:48">
      <c r="A131" s="16"/>
      <c r="B131" s="16"/>
      <c r="C131" s="16"/>
      <c r="D131" s="16"/>
      <c r="E131" s="99"/>
      <c r="F131" s="99"/>
      <c r="G131" s="99"/>
      <c r="H131" s="99"/>
      <c r="I131" s="99"/>
      <c r="J131" s="3"/>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3"/>
      <c r="AR131" s="3"/>
      <c r="AS131" s="3"/>
      <c r="AT131" s="3"/>
      <c r="AU131" s="3"/>
      <c r="AV131" s="3"/>
    </row>
    <row r="132" spans="1:48">
      <c r="A132" s="16"/>
      <c r="B132" s="16"/>
      <c r="C132" s="16"/>
      <c r="D132" s="16"/>
      <c r="E132" s="99"/>
      <c r="F132" s="99"/>
      <c r="G132" s="99"/>
      <c r="H132" s="99"/>
      <c r="I132" s="99"/>
      <c r="J132" s="3"/>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3"/>
      <c r="AR132" s="3"/>
      <c r="AS132" s="3"/>
      <c r="AT132" s="3"/>
      <c r="AU132" s="3"/>
      <c r="AV132" s="3"/>
    </row>
    <row r="133" spans="1:48">
      <c r="A133" s="16"/>
      <c r="B133" s="16"/>
      <c r="C133" s="16"/>
      <c r="D133" s="16"/>
      <c r="E133" s="99"/>
      <c r="F133" s="99"/>
      <c r="G133" s="99"/>
      <c r="H133" s="99"/>
      <c r="I133" s="99"/>
      <c r="J133" s="3"/>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3"/>
      <c r="AR133" s="3"/>
      <c r="AS133" s="3"/>
      <c r="AT133" s="3"/>
      <c r="AU133" s="3"/>
      <c r="AV133" s="3"/>
    </row>
    <row r="134" spans="1:48">
      <c r="A134" s="16"/>
      <c r="B134" s="16"/>
      <c r="C134" s="16"/>
      <c r="D134" s="16"/>
      <c r="E134" s="99"/>
      <c r="F134" s="99"/>
      <c r="G134" s="99"/>
      <c r="H134" s="99"/>
      <c r="I134" s="99"/>
      <c r="J134" s="3"/>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3"/>
      <c r="AR134" s="3"/>
      <c r="AS134" s="3"/>
      <c r="AT134" s="3"/>
      <c r="AU134" s="3"/>
      <c r="AV134" s="3"/>
    </row>
    <row r="135" spans="1:48">
      <c r="A135" s="16"/>
      <c r="B135" s="16"/>
      <c r="C135" s="16"/>
      <c r="D135" s="16"/>
      <c r="E135" s="99"/>
      <c r="F135" s="99"/>
      <c r="G135" s="99"/>
      <c r="H135" s="99"/>
      <c r="I135" s="99"/>
      <c r="J135" s="3"/>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3"/>
      <c r="AR135" s="3"/>
      <c r="AS135" s="3"/>
      <c r="AT135" s="3"/>
      <c r="AU135" s="3"/>
      <c r="AV135" s="3"/>
    </row>
    <row r="136" spans="1:48">
      <c r="A136" s="16"/>
      <c r="B136" s="16"/>
      <c r="C136" s="16"/>
      <c r="D136" s="16"/>
      <c r="E136" s="99"/>
      <c r="F136" s="99"/>
      <c r="G136" s="99"/>
      <c r="H136" s="99"/>
      <c r="I136" s="99"/>
      <c r="J136" s="3"/>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3"/>
      <c r="AR136" s="3"/>
      <c r="AS136" s="3"/>
      <c r="AT136" s="3"/>
      <c r="AU136" s="3"/>
      <c r="AV136" s="3"/>
    </row>
    <row r="137" spans="1:48">
      <c r="A137" s="16"/>
      <c r="B137" s="16"/>
      <c r="C137" s="16"/>
      <c r="D137" s="16"/>
      <c r="E137" s="99"/>
      <c r="F137" s="99"/>
      <c r="G137" s="99"/>
      <c r="H137" s="99"/>
      <c r="I137" s="99"/>
      <c r="J137" s="3"/>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3"/>
      <c r="AR137" s="3"/>
      <c r="AS137" s="3"/>
      <c r="AT137" s="3"/>
      <c r="AU137" s="3"/>
      <c r="AV137" s="3"/>
    </row>
    <row r="138" spans="1:48">
      <c r="A138" s="16"/>
      <c r="B138" s="16"/>
      <c r="C138" s="16"/>
      <c r="D138" s="16"/>
      <c r="E138" s="99"/>
      <c r="F138" s="99"/>
      <c r="G138" s="99"/>
      <c r="H138" s="99"/>
      <c r="I138" s="99"/>
      <c r="J138" s="3"/>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3"/>
      <c r="AR138" s="3"/>
      <c r="AS138" s="3"/>
      <c r="AT138" s="3"/>
      <c r="AU138" s="3"/>
      <c r="AV138" s="3"/>
    </row>
    <row r="139" spans="1:48">
      <c r="A139" s="16"/>
      <c r="B139" s="16"/>
      <c r="C139" s="16"/>
      <c r="D139" s="16"/>
      <c r="E139" s="99"/>
      <c r="F139" s="99"/>
      <c r="G139" s="99"/>
      <c r="H139" s="99"/>
      <c r="I139" s="99"/>
      <c r="J139" s="3"/>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3"/>
      <c r="AR139" s="3"/>
      <c r="AS139" s="3"/>
      <c r="AT139" s="3"/>
      <c r="AU139" s="3"/>
      <c r="AV139" s="3"/>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2" customWidth="1"/>
    <col min="2" max="2" width="26.42578125" style="12" customWidth="1"/>
    <col min="3" max="3" width="11" style="12" customWidth="1"/>
    <col min="4" max="4" width="27.42578125" style="12" customWidth="1"/>
    <col min="5" max="5" width="10.140625" style="12" customWidth="1"/>
    <col min="6" max="6" width="28.85546875" style="12" customWidth="1"/>
    <col min="7" max="16384" width="9.140625"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B9" s="13" t="s">
        <v>37</v>
      </c>
      <c r="C9" s="12" t="str">
        <f>COM!B70</f>
        <v>CEC</v>
      </c>
      <c r="D9" s="12" t="str">
        <f>COM!C70</f>
        <v>Commercial - Cooling</v>
      </c>
      <c r="E9" s="13" t="s">
        <v>38</v>
      </c>
      <c r="F9" s="13" t="s">
        <v>39</v>
      </c>
    </row>
    <row r="10" spans="1:7">
      <c r="B10" s="13" t="s">
        <v>37</v>
      </c>
      <c r="C10" s="12" t="str">
        <f>COM!B71</f>
        <v>CEH</v>
      </c>
      <c r="D10" s="12" t="str">
        <f>COM!C71</f>
        <v>Commercial - Space Heating</v>
      </c>
      <c r="E10" s="13" t="s">
        <v>38</v>
      </c>
      <c r="F10" s="13" t="s">
        <v>39</v>
      </c>
    </row>
    <row r="11" spans="1:7">
      <c r="B11" s="13" t="s">
        <v>37</v>
      </c>
      <c r="C11" s="12" t="str">
        <f>COM!B72</f>
        <v>CEK</v>
      </c>
      <c r="D11" s="12" t="str">
        <f>COM!C72</f>
        <v>Commercial - Cooking</v>
      </c>
      <c r="E11" s="13" t="s">
        <v>38</v>
      </c>
      <c r="F11" s="13" t="s">
        <v>39</v>
      </c>
    </row>
    <row r="12" spans="1:7">
      <c r="B12" s="13" t="s">
        <v>37</v>
      </c>
      <c r="C12" s="12" t="str">
        <f>COM!B73</f>
        <v>CEL</v>
      </c>
      <c r="D12" s="12" t="str">
        <f>COM!C73</f>
        <v>Commercial - Lighting</v>
      </c>
      <c r="E12" s="13" t="s">
        <v>38</v>
      </c>
      <c r="F12" s="13" t="s">
        <v>39</v>
      </c>
    </row>
    <row r="13" spans="1:7">
      <c r="B13" s="13" t="s">
        <v>37</v>
      </c>
      <c r="C13" s="12" t="str">
        <f>COM!B74</f>
        <v>CER</v>
      </c>
      <c r="D13" s="12" t="str">
        <f>COM!C74</f>
        <v>Commercial - Refrigeration</v>
      </c>
      <c r="E13" s="13" t="s">
        <v>38</v>
      </c>
      <c r="F13" s="13" t="s">
        <v>39</v>
      </c>
    </row>
    <row r="14" spans="1:7">
      <c r="B14" s="13" t="s">
        <v>37</v>
      </c>
      <c r="C14" s="12" t="str">
        <f>COM!B75</f>
        <v>CEW</v>
      </c>
      <c r="D14" s="12" t="str">
        <f>COM!C75</f>
        <v>Commercial - Water Heating</v>
      </c>
      <c r="E14" s="13" t="s">
        <v>38</v>
      </c>
      <c r="F14" s="13" t="s">
        <v>39</v>
      </c>
    </row>
    <row r="15" spans="1:7">
      <c r="B15" s="13" t="s">
        <v>37</v>
      </c>
      <c r="C15" s="12" t="str">
        <f>COM!B76</f>
        <v>CEG</v>
      </c>
      <c r="D15" s="12" t="str">
        <f>COM!C76</f>
        <v>Commercial - Public lights</v>
      </c>
      <c r="E15" s="13" t="s">
        <v>38</v>
      </c>
      <c r="F15" s="13" t="s">
        <v>39</v>
      </c>
    </row>
    <row r="16" spans="1:7">
      <c r="B16" s="13" t="s">
        <v>37</v>
      </c>
      <c r="C16" s="12" t="str">
        <f>COM!B77</f>
        <v>CET</v>
      </c>
      <c r="D16" s="12" t="str">
        <f>COM!C77</f>
        <v>Commercial - Public Water</v>
      </c>
      <c r="E16" s="13" t="s">
        <v>38</v>
      </c>
      <c r="F16" s="13" t="s">
        <v>39</v>
      </c>
    </row>
    <row r="17" spans="1:6">
      <c r="B17" s="13" t="s">
        <v>37</v>
      </c>
      <c r="C17" s="12" t="str">
        <f>COM!B78</f>
        <v>CEO</v>
      </c>
      <c r="D17" s="12" t="str">
        <f>COM!C78</f>
        <v>Commercial - Other</v>
      </c>
      <c r="E17" s="13" t="s">
        <v>38</v>
      </c>
      <c r="F17" s="13" t="s">
        <v>39</v>
      </c>
    </row>
    <row r="18" spans="1:6">
      <c r="A18" s="12" t="s">
        <v>16</v>
      </c>
    </row>
    <row r="19" spans="1:6">
      <c r="B19" s="13" t="s">
        <v>37</v>
      </c>
      <c r="C19" s="12" t="str">
        <f>COM!B81</f>
        <v>CNC</v>
      </c>
      <c r="D19" s="12" t="str">
        <f>COM!C81</f>
        <v>Commercial - Cooling</v>
      </c>
      <c r="E19" s="13" t="s">
        <v>38</v>
      </c>
      <c r="F19" s="13" t="s">
        <v>39</v>
      </c>
    </row>
    <row r="20" spans="1:6">
      <c r="B20" s="13" t="s">
        <v>37</v>
      </c>
      <c r="C20" s="12" t="str">
        <f>COM!B82</f>
        <v>CNH</v>
      </c>
      <c r="D20" s="12" t="str">
        <f>COM!C82</f>
        <v>Commercial - Space Heating</v>
      </c>
      <c r="E20" s="13" t="s">
        <v>38</v>
      </c>
      <c r="F20" s="13" t="s">
        <v>39</v>
      </c>
    </row>
    <row r="21" spans="1:6">
      <c r="B21" s="13" t="s">
        <v>37</v>
      </c>
      <c r="C21" s="12" t="str">
        <f>COM!B83</f>
        <v>CNK</v>
      </c>
      <c r="D21" s="12" t="str">
        <f>COM!C83</f>
        <v>Commercial - Cooking</v>
      </c>
      <c r="E21" s="13" t="s">
        <v>38</v>
      </c>
      <c r="F21" s="13" t="s">
        <v>39</v>
      </c>
    </row>
    <row r="22" spans="1:6">
      <c r="B22" s="13" t="s">
        <v>37</v>
      </c>
      <c r="C22" s="12" t="str">
        <f>COM!B84</f>
        <v>CNL</v>
      </c>
      <c r="D22" s="12" t="str">
        <f>COM!C84</f>
        <v>Commercial - Lighting</v>
      </c>
      <c r="E22" s="13" t="s">
        <v>38</v>
      </c>
      <c r="F22" s="13" t="s">
        <v>39</v>
      </c>
    </row>
    <row r="23" spans="1:6">
      <c r="B23" s="13" t="s">
        <v>37</v>
      </c>
      <c r="C23" s="12" t="str">
        <f>COM!B85</f>
        <v>CNR</v>
      </c>
      <c r="D23" s="12" t="str">
        <f>COM!C85</f>
        <v>Commercial - Refrigeration</v>
      </c>
      <c r="E23" s="13" t="s">
        <v>38</v>
      </c>
      <c r="F23" s="13" t="s">
        <v>39</v>
      </c>
    </row>
    <row r="24" spans="1:6">
      <c r="B24" s="13" t="s">
        <v>37</v>
      </c>
      <c r="C24" s="12" t="str">
        <f>COM!B86</f>
        <v>CNW</v>
      </c>
      <c r="D24" s="12" t="str">
        <f>COM!C86</f>
        <v>Commercial - Water Heating</v>
      </c>
      <c r="E24" s="13" t="s">
        <v>38</v>
      </c>
      <c r="F24" s="13" t="s">
        <v>39</v>
      </c>
    </row>
    <row r="25" spans="1:6">
      <c r="B25" s="13" t="s">
        <v>37</v>
      </c>
      <c r="C25" s="12" t="str">
        <f>COM!B87</f>
        <v>CNG</v>
      </c>
      <c r="D25" s="12" t="str">
        <f>COM!C87</f>
        <v>Commercial - Public lights</v>
      </c>
      <c r="E25" s="13" t="s">
        <v>38</v>
      </c>
      <c r="F25" s="13" t="s">
        <v>39</v>
      </c>
    </row>
    <row r="26" spans="1:6">
      <c r="B26" s="13" t="s">
        <v>37</v>
      </c>
      <c r="C26" s="12" t="str">
        <f>COM!B88</f>
        <v>CNT</v>
      </c>
      <c r="D26" s="12" t="str">
        <f>COM!C88</f>
        <v>Commercial - Public Water</v>
      </c>
      <c r="E26" s="13" t="s">
        <v>38</v>
      </c>
      <c r="F26" s="13" t="s">
        <v>39</v>
      </c>
    </row>
    <row r="27" spans="1:6">
      <c r="B27" s="13" t="s">
        <v>37</v>
      </c>
      <c r="C27" s="12" t="str">
        <f>COM!B89</f>
        <v>CNO</v>
      </c>
      <c r="D27" s="12" t="str">
        <f>COM!C89</f>
        <v>Commercial - Other</v>
      </c>
      <c r="E27" s="13" t="s">
        <v>38</v>
      </c>
      <c r="F27" s="13"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75"/>
    <col min="2" max="2" width="32.42578125" style="75" customWidth="1"/>
    <col min="3" max="3" width="31.85546875" style="75" customWidth="1"/>
    <col min="4" max="4" width="12" style="75" customWidth="1"/>
    <col min="5" max="5" width="13.42578125" style="75" customWidth="1"/>
    <col min="6" max="10" width="9.140625" style="75"/>
    <col min="11" max="11" width="6.85546875" style="74" customWidth="1"/>
    <col min="12" max="12" width="6.85546875" style="75" customWidth="1"/>
    <col min="13" max="13" width="8.42578125" style="75" customWidth="1"/>
    <col min="14" max="16" width="16.140625" style="75" customWidth="1"/>
    <col min="17" max="21" width="11.85546875" style="75" customWidth="1"/>
    <col min="22" max="40" width="6.85546875" style="75" customWidth="1"/>
    <col min="41" max="41" width="9.42578125" style="75" customWidth="1"/>
    <col min="42" max="47" width="6.85546875" style="75" customWidth="1"/>
    <col min="48" max="48" width="9.85546875" style="75" customWidth="1"/>
    <col min="49" max="49" width="17.85546875" style="75" bestFit="1" customWidth="1"/>
    <col min="50" max="16384" width="9.140625" style="75"/>
  </cols>
  <sheetData>
    <row r="1" spans="1:48" customFormat="1">
      <c r="A1" t="str">
        <f>IF(COM,"TS DATA","")</f>
        <v>TS DATA</v>
      </c>
      <c r="B1" t="s">
        <v>17</v>
      </c>
      <c r="J1" s="34"/>
    </row>
    <row r="2" spans="1:48" customFormat="1" ht="15.75" thickBot="1">
      <c r="A2" t="s">
        <v>16</v>
      </c>
      <c r="B2" s="311" t="s">
        <v>296</v>
      </c>
      <c r="C2" s="311"/>
      <c r="J2" s="34"/>
    </row>
    <row r="3" spans="1:48">
      <c r="A3" t="s">
        <v>16</v>
      </c>
      <c r="J3" s="74">
        <f>MATCH(J4,Drivers!$C$5:$AG$5,0)</f>
        <v>1</v>
      </c>
      <c r="K3" s="74">
        <f>MATCH(K4,Drivers!$C$5:$AG$5,0)</f>
        <v>2</v>
      </c>
      <c r="L3" s="74">
        <f>MATCH(L4,Drivers!$C$5:$AG$5,0)</f>
        <v>3</v>
      </c>
      <c r="M3" s="74">
        <f>MATCH(M4,Drivers!$C$5:$AG$5,0)</f>
        <v>4</v>
      </c>
      <c r="N3" s="74">
        <f>MATCH(N4,Drivers!$C$5:$AG$5,0)</f>
        <v>5</v>
      </c>
      <c r="O3" s="74">
        <f>MATCH(O4,Drivers!$C$5:$AG$5,0)</f>
        <v>6</v>
      </c>
      <c r="P3" s="74">
        <f>MATCH(P4,Drivers!$C$5:$AG$5,0)</f>
        <v>7</v>
      </c>
      <c r="Q3" s="74">
        <f>MATCH(Q4,Drivers!$C$5:$AG$5,0)</f>
        <v>8</v>
      </c>
      <c r="R3" s="74">
        <f>MATCH(R4,Drivers!$C$5:$AG$5,0)</f>
        <v>9</v>
      </c>
      <c r="S3" s="74">
        <f>MATCH(S4,Drivers!$C$5:$AG$5,0)</f>
        <v>10</v>
      </c>
      <c r="T3" s="74">
        <f>MATCH(T4,Drivers!$C$5:$AG$5,0)</f>
        <v>11</v>
      </c>
      <c r="U3" s="74">
        <f>MATCH(U4,Drivers!$C$5:$AG$5,0)</f>
        <v>12</v>
      </c>
      <c r="V3" s="74">
        <f>MATCH(V4,Drivers!$C$5:$AG$5,0)</f>
        <v>13</v>
      </c>
      <c r="W3" s="74">
        <f>MATCH(W4,Drivers!$C$5:$AG$5,0)</f>
        <v>14</v>
      </c>
      <c r="X3" s="74">
        <f>MATCH(X4,Drivers!$C$5:$AG$5,0)</f>
        <v>15</v>
      </c>
      <c r="Y3" s="74">
        <f>MATCH(Y4,Drivers!$C$5:$AG$5,0)</f>
        <v>16</v>
      </c>
      <c r="Z3" s="74">
        <f>MATCH(Z4,Drivers!$C$5:$AG$5,0)</f>
        <v>17</v>
      </c>
      <c r="AA3" s="74">
        <f>MATCH(AA4,Drivers!$C$5:$AG$5,0)</f>
        <v>18</v>
      </c>
      <c r="AB3" s="74">
        <f>MATCH(AB4,Drivers!$C$5:$AG$5,0)</f>
        <v>19</v>
      </c>
      <c r="AC3" s="74">
        <f>MATCH(AC4,Drivers!$C$5:$AG$5,0)</f>
        <v>20</v>
      </c>
      <c r="AD3" s="74">
        <f>MATCH(AD4,Drivers!$C$5:$AG$5,0)</f>
        <v>21</v>
      </c>
      <c r="AE3" s="74">
        <f>MATCH(AE4,Drivers!$C$5:$AG$5,0)</f>
        <v>22</v>
      </c>
      <c r="AF3" s="74">
        <f>MATCH(AF4,Drivers!$C$5:$AG$5,0)</f>
        <v>23</v>
      </c>
      <c r="AG3" s="74">
        <f>MATCH(AG4,Drivers!$C$5:$AG$5,0)</f>
        <v>24</v>
      </c>
      <c r="AH3" s="74">
        <f>MATCH(AH4,Drivers!$C$5:$AG$5,0)</f>
        <v>25</v>
      </c>
      <c r="AI3" s="74">
        <f>MATCH(AI4,Drivers!$C$5:$AG$5,0)</f>
        <v>26</v>
      </c>
      <c r="AJ3" s="74">
        <f>MATCH(AJ4,Drivers!$C$5:$AG$5,0)</f>
        <v>27</v>
      </c>
      <c r="AK3" s="74">
        <f>MATCH(AK4,Drivers!$C$5:$AG$5,0)</f>
        <v>28</v>
      </c>
      <c r="AL3" s="74">
        <f>MATCH(AL4,Drivers!$C$5:$AG$5,0)</f>
        <v>29</v>
      </c>
      <c r="AM3" s="74" t="e">
        <f>MATCH(AM4,Drivers!$C$5:$AG$5,0)</f>
        <v>#N/A</v>
      </c>
      <c r="AN3" s="74" t="e">
        <f>MATCH(AN4,Drivers!$C$5:$AG$5,0)</f>
        <v>#N/A</v>
      </c>
      <c r="AO3" s="74" t="e">
        <f>MATCH(AO4,Drivers!$C$5:$AG$5,0)</f>
        <v>#N/A</v>
      </c>
      <c r="AP3" s="74" t="e">
        <f>MATCH(AP4,Drivers!$C$5:$AG$5,0)</f>
        <v>#N/A</v>
      </c>
      <c r="AQ3" s="74">
        <f>MATCH(AQ4,Drivers!$C$5:$AG$5,0)</f>
        <v>30</v>
      </c>
      <c r="AR3" s="74" t="e">
        <f>MATCH(AR4,Drivers!$C$5:$AG$5,0)</f>
        <v>#N/A</v>
      </c>
      <c r="AS3" s="74" t="e">
        <f>MATCH(AS4,Drivers!$C$5:$AG$5,0)</f>
        <v>#N/A</v>
      </c>
      <c r="AT3" s="74" t="e">
        <f>MATCH(AT4,Drivers!$C$5:$AG$5,0)</f>
        <v>#N/A</v>
      </c>
      <c r="AU3" s="74" t="e">
        <f>MATCH(AU4,Drivers!$C$5:$AG$5,0)</f>
        <v>#N/A</v>
      </c>
      <c r="AV3" s="74">
        <f>MATCH(AV4,Drivers!$C$5:$AG$5,0)</f>
        <v>31</v>
      </c>
    </row>
    <row r="4" spans="1:48" ht="15.75" thickBot="1">
      <c r="A4" t="s">
        <v>16</v>
      </c>
      <c r="B4" s="72" t="s">
        <v>11</v>
      </c>
      <c r="C4" s="72"/>
      <c r="D4" s="72"/>
      <c r="E4" s="73"/>
      <c r="F4" s="73"/>
      <c r="G4" s="73"/>
      <c r="H4" s="73"/>
      <c r="I4" s="73"/>
      <c r="J4" s="74">
        <v>2012</v>
      </c>
      <c r="K4" s="75">
        <f>J4+1</f>
        <v>2013</v>
      </c>
      <c r="L4" s="75">
        <f>K4+1</f>
        <v>2014</v>
      </c>
      <c r="M4" s="75">
        <f t="shared" ref="M4:AR4" si="0">L4+1</f>
        <v>2015</v>
      </c>
      <c r="N4" s="75">
        <f t="shared" si="0"/>
        <v>2016</v>
      </c>
      <c r="O4" s="75">
        <f t="shared" si="0"/>
        <v>2017</v>
      </c>
      <c r="P4" s="75">
        <f t="shared" si="0"/>
        <v>2018</v>
      </c>
      <c r="Q4" s="75">
        <f t="shared" si="0"/>
        <v>2019</v>
      </c>
      <c r="R4" s="75">
        <f t="shared" si="0"/>
        <v>2020</v>
      </c>
      <c r="S4" s="75">
        <f t="shared" si="0"/>
        <v>2021</v>
      </c>
      <c r="T4" s="75">
        <f t="shared" si="0"/>
        <v>2022</v>
      </c>
      <c r="U4" s="75">
        <f t="shared" si="0"/>
        <v>2023</v>
      </c>
      <c r="V4" s="75">
        <f t="shared" si="0"/>
        <v>2024</v>
      </c>
      <c r="W4" s="75">
        <f t="shared" si="0"/>
        <v>2025</v>
      </c>
      <c r="X4" s="75">
        <f t="shared" si="0"/>
        <v>2026</v>
      </c>
      <c r="Y4" s="75">
        <f t="shared" si="0"/>
        <v>2027</v>
      </c>
      <c r="Z4" s="75">
        <f t="shared" si="0"/>
        <v>2028</v>
      </c>
      <c r="AA4" s="75">
        <f t="shared" si="0"/>
        <v>2029</v>
      </c>
      <c r="AB4" s="75">
        <f t="shared" si="0"/>
        <v>2030</v>
      </c>
      <c r="AC4" s="75">
        <f t="shared" si="0"/>
        <v>2031</v>
      </c>
      <c r="AD4" s="75">
        <f t="shared" si="0"/>
        <v>2032</v>
      </c>
      <c r="AE4" s="75">
        <f t="shared" si="0"/>
        <v>2033</v>
      </c>
      <c r="AF4" s="75">
        <f t="shared" si="0"/>
        <v>2034</v>
      </c>
      <c r="AG4" s="75">
        <f t="shared" si="0"/>
        <v>2035</v>
      </c>
      <c r="AH4" s="75">
        <f t="shared" si="0"/>
        <v>2036</v>
      </c>
      <c r="AI4" s="75">
        <f t="shared" si="0"/>
        <v>2037</v>
      </c>
      <c r="AJ4" s="75">
        <f t="shared" si="0"/>
        <v>2038</v>
      </c>
      <c r="AK4" s="75">
        <f t="shared" si="0"/>
        <v>2039</v>
      </c>
      <c r="AL4" s="75">
        <f t="shared" si="0"/>
        <v>2040</v>
      </c>
      <c r="AM4" s="75">
        <f t="shared" si="0"/>
        <v>2041</v>
      </c>
      <c r="AN4" s="75">
        <f t="shared" si="0"/>
        <v>2042</v>
      </c>
      <c r="AO4" s="75">
        <f t="shared" si="0"/>
        <v>2043</v>
      </c>
      <c r="AP4" s="75">
        <f t="shared" si="0"/>
        <v>2044</v>
      </c>
      <c r="AQ4" s="75">
        <f t="shared" si="0"/>
        <v>2045</v>
      </c>
      <c r="AR4" s="75">
        <f t="shared" si="0"/>
        <v>2046</v>
      </c>
      <c r="AS4" s="75">
        <f>AR4+1</f>
        <v>2047</v>
      </c>
      <c r="AT4" s="75">
        <f>AS4+1</f>
        <v>2048</v>
      </c>
      <c r="AU4" s="75">
        <f>AT4+1</f>
        <v>2049</v>
      </c>
      <c r="AV4" s="75">
        <f>AU4+1</f>
        <v>2050</v>
      </c>
    </row>
    <row r="5" spans="1:48" customFormat="1">
      <c r="A5" t="s">
        <v>16</v>
      </c>
      <c r="C5">
        <v>1</v>
      </c>
      <c r="D5">
        <v>2012</v>
      </c>
      <c r="E5">
        <v>2017</v>
      </c>
      <c r="F5">
        <v>2020</v>
      </c>
      <c r="G5">
        <v>2030</v>
      </c>
      <c r="H5">
        <v>2050</v>
      </c>
      <c r="I5" t="s">
        <v>392</v>
      </c>
      <c r="J5">
        <f>MATCH(J$4,$D$5:$H$5,$C5)</f>
        <v>1</v>
      </c>
      <c r="K5">
        <f t="shared" ref="K5:AV6" si="1">MATCH(K$4,$D$5:$H$5,$C5)</f>
        <v>1</v>
      </c>
      <c r="L5">
        <f t="shared" si="1"/>
        <v>1</v>
      </c>
      <c r="M5">
        <f t="shared" si="1"/>
        <v>1</v>
      </c>
      <c r="N5">
        <f t="shared" si="1"/>
        <v>1</v>
      </c>
      <c r="O5">
        <f t="shared" si="1"/>
        <v>2</v>
      </c>
      <c r="P5">
        <f t="shared" si="1"/>
        <v>2</v>
      </c>
      <c r="Q5">
        <f t="shared" si="1"/>
        <v>2</v>
      </c>
      <c r="R5">
        <f t="shared" si="1"/>
        <v>3</v>
      </c>
      <c r="S5">
        <f t="shared" si="1"/>
        <v>3</v>
      </c>
      <c r="T5">
        <f t="shared" si="1"/>
        <v>3</v>
      </c>
      <c r="U5">
        <f t="shared" si="1"/>
        <v>3</v>
      </c>
      <c r="V5">
        <f t="shared" si="1"/>
        <v>3</v>
      </c>
      <c r="W5">
        <f t="shared" si="1"/>
        <v>3</v>
      </c>
      <c r="X5">
        <f t="shared" si="1"/>
        <v>3</v>
      </c>
      <c r="Y5">
        <f t="shared" si="1"/>
        <v>3</v>
      </c>
      <c r="Z5">
        <f t="shared" si="1"/>
        <v>3</v>
      </c>
      <c r="AA5">
        <f t="shared" si="1"/>
        <v>3</v>
      </c>
      <c r="AB5">
        <f t="shared" si="1"/>
        <v>4</v>
      </c>
      <c r="AC5">
        <f t="shared" si="1"/>
        <v>4</v>
      </c>
      <c r="AD5">
        <f t="shared" si="1"/>
        <v>4</v>
      </c>
      <c r="AE5">
        <f t="shared" si="1"/>
        <v>4</v>
      </c>
      <c r="AF5">
        <f t="shared" si="1"/>
        <v>4</v>
      </c>
      <c r="AG5">
        <f t="shared" si="1"/>
        <v>4</v>
      </c>
      <c r="AH5">
        <f t="shared" si="1"/>
        <v>4</v>
      </c>
      <c r="AI5">
        <f t="shared" si="1"/>
        <v>4</v>
      </c>
      <c r="AJ5">
        <f t="shared" si="1"/>
        <v>4</v>
      </c>
      <c r="AK5">
        <f t="shared" si="1"/>
        <v>4</v>
      </c>
      <c r="AL5">
        <f t="shared" si="1"/>
        <v>4</v>
      </c>
      <c r="AM5">
        <f t="shared" si="1"/>
        <v>4</v>
      </c>
      <c r="AN5">
        <f t="shared" si="1"/>
        <v>4</v>
      </c>
      <c r="AO5">
        <f t="shared" si="1"/>
        <v>4</v>
      </c>
      <c r="AP5">
        <f t="shared" si="1"/>
        <v>4</v>
      </c>
      <c r="AQ5">
        <f t="shared" si="1"/>
        <v>4</v>
      </c>
      <c r="AR5">
        <f t="shared" si="1"/>
        <v>4</v>
      </c>
      <c r="AS5">
        <f t="shared" si="1"/>
        <v>4</v>
      </c>
      <c r="AT5">
        <f t="shared" si="1"/>
        <v>4</v>
      </c>
      <c r="AU5">
        <f t="shared" si="1"/>
        <v>4</v>
      </c>
      <c r="AV5">
        <f t="shared" si="1"/>
        <v>5</v>
      </c>
    </row>
    <row r="6" spans="1:48" customFormat="1">
      <c r="A6" t="s">
        <v>16</v>
      </c>
      <c r="C6">
        <v>0</v>
      </c>
      <c r="D6" cm="1">
        <f t="array" ref="D6">INDEX($D5:$H5,0,COUNT($D5:$H5)-D7)</f>
        <v>2050</v>
      </c>
      <c r="E6" cm="1">
        <f t="array" ref="E6">INDEX($D5:$H5,0,COUNT($D5:$H5)-E7)</f>
        <v>2030</v>
      </c>
      <c r="F6" cm="1">
        <f t="array" ref="F6">INDEX($D5:$H5,0,COUNT($D5:$H5)-F7)</f>
        <v>2020</v>
      </c>
      <c r="G6" cm="1">
        <f t="array" ref="G6">INDEX($D5:$H5,0,COUNT($D5:$H5)-G7)</f>
        <v>2017</v>
      </c>
      <c r="H6" cm="1">
        <f t="array" ref="H6">INDEX($D5:$H5,0,COUNT($D5:$H5)-H7)</f>
        <v>2012</v>
      </c>
      <c r="I6" t="s">
        <v>393</v>
      </c>
      <c r="J6">
        <f>MATCH(J$4,$D$5:$H$5,$C6)</f>
        <v>1</v>
      </c>
      <c r="K6" t="e">
        <f t="shared" si="1"/>
        <v>#N/A</v>
      </c>
      <c r="L6" t="e">
        <f t="shared" si="1"/>
        <v>#N/A</v>
      </c>
      <c r="M6" t="e">
        <f t="shared" si="1"/>
        <v>#N/A</v>
      </c>
      <c r="N6" t="e">
        <f t="shared" si="1"/>
        <v>#N/A</v>
      </c>
      <c r="O6">
        <f t="shared" si="1"/>
        <v>2</v>
      </c>
      <c r="P6" t="e">
        <f t="shared" si="1"/>
        <v>#N/A</v>
      </c>
      <c r="Q6" t="e">
        <f t="shared" si="1"/>
        <v>#N/A</v>
      </c>
      <c r="R6">
        <f t="shared" si="1"/>
        <v>3</v>
      </c>
      <c r="S6" t="e">
        <f t="shared" si="1"/>
        <v>#N/A</v>
      </c>
      <c r="T6" t="e">
        <f t="shared" si="1"/>
        <v>#N/A</v>
      </c>
      <c r="U6" t="e">
        <f t="shared" si="1"/>
        <v>#N/A</v>
      </c>
      <c r="V6" t="e">
        <f t="shared" si="1"/>
        <v>#N/A</v>
      </c>
      <c r="W6" t="e">
        <f t="shared" si="1"/>
        <v>#N/A</v>
      </c>
      <c r="X6" t="e">
        <f t="shared" si="1"/>
        <v>#N/A</v>
      </c>
      <c r="Y6" t="e">
        <f t="shared" si="1"/>
        <v>#N/A</v>
      </c>
      <c r="Z6" t="e">
        <f t="shared" si="1"/>
        <v>#N/A</v>
      </c>
      <c r="AA6" t="e">
        <f t="shared" si="1"/>
        <v>#N/A</v>
      </c>
      <c r="AB6">
        <f t="shared" si="1"/>
        <v>4</v>
      </c>
      <c r="AC6" t="e">
        <f t="shared" si="1"/>
        <v>#N/A</v>
      </c>
      <c r="AD6" t="e">
        <f t="shared" si="1"/>
        <v>#N/A</v>
      </c>
      <c r="AE6" t="e">
        <f t="shared" si="1"/>
        <v>#N/A</v>
      </c>
      <c r="AF6" t="e">
        <f t="shared" si="1"/>
        <v>#N/A</v>
      </c>
      <c r="AG6" t="e">
        <f t="shared" si="1"/>
        <v>#N/A</v>
      </c>
      <c r="AH6" t="e">
        <f t="shared" si="1"/>
        <v>#N/A</v>
      </c>
      <c r="AI6" t="e">
        <f t="shared" si="1"/>
        <v>#N/A</v>
      </c>
      <c r="AJ6" t="e">
        <f t="shared" si="1"/>
        <v>#N/A</v>
      </c>
      <c r="AK6" t="e">
        <f t="shared" si="1"/>
        <v>#N/A</v>
      </c>
      <c r="AL6" t="e">
        <f t="shared" si="1"/>
        <v>#N/A</v>
      </c>
      <c r="AM6" t="e">
        <f t="shared" si="1"/>
        <v>#N/A</v>
      </c>
      <c r="AN6" t="e">
        <f t="shared" si="1"/>
        <v>#N/A</v>
      </c>
      <c r="AO6" t="e">
        <f t="shared" si="1"/>
        <v>#N/A</v>
      </c>
      <c r="AP6" t="e">
        <f t="shared" si="1"/>
        <v>#N/A</v>
      </c>
      <c r="AQ6" t="e">
        <f t="shared" si="1"/>
        <v>#N/A</v>
      </c>
      <c r="AR6" t="e">
        <f t="shared" si="1"/>
        <v>#N/A</v>
      </c>
      <c r="AS6" t="e">
        <f t="shared" si="1"/>
        <v>#N/A</v>
      </c>
      <c r="AT6" t="e">
        <f t="shared" si="1"/>
        <v>#N/A</v>
      </c>
      <c r="AU6" t="e">
        <f t="shared" si="1"/>
        <v>#N/A</v>
      </c>
      <c r="AV6">
        <f t="shared" si="1"/>
        <v>5</v>
      </c>
    </row>
    <row r="7" spans="1:48" customFormat="1">
      <c r="A7" t="s">
        <v>16</v>
      </c>
      <c r="C7">
        <v>-1</v>
      </c>
      <c r="D7">
        <v>0</v>
      </c>
      <c r="E7">
        <v>1</v>
      </c>
      <c r="F7">
        <v>2</v>
      </c>
      <c r="G7">
        <v>3</v>
      </c>
      <c r="H7">
        <v>4</v>
      </c>
      <c r="I7" t="s">
        <v>391</v>
      </c>
      <c r="J7">
        <f>MATCH(J$4,$D$6:$H$6,$C7)</f>
        <v>5</v>
      </c>
      <c r="K7">
        <f t="shared" ref="K7:AV7" si="2">MATCH(K$4,$D$6:$H$6,$C7)</f>
        <v>4</v>
      </c>
      <c r="L7">
        <f t="shared" si="2"/>
        <v>4</v>
      </c>
      <c r="M7">
        <f t="shared" si="2"/>
        <v>4</v>
      </c>
      <c r="N7">
        <f t="shared" si="2"/>
        <v>4</v>
      </c>
      <c r="O7">
        <f t="shared" si="2"/>
        <v>4</v>
      </c>
      <c r="P7">
        <f t="shared" si="2"/>
        <v>3</v>
      </c>
      <c r="Q7">
        <f t="shared" si="2"/>
        <v>3</v>
      </c>
      <c r="R7">
        <f t="shared" si="2"/>
        <v>3</v>
      </c>
      <c r="S7">
        <f t="shared" si="2"/>
        <v>2</v>
      </c>
      <c r="T7">
        <f t="shared" si="2"/>
        <v>2</v>
      </c>
      <c r="U7">
        <f t="shared" si="2"/>
        <v>2</v>
      </c>
      <c r="V7">
        <f t="shared" si="2"/>
        <v>2</v>
      </c>
      <c r="W7">
        <f t="shared" si="2"/>
        <v>2</v>
      </c>
      <c r="X7">
        <f t="shared" si="2"/>
        <v>2</v>
      </c>
      <c r="Y7">
        <f t="shared" si="2"/>
        <v>2</v>
      </c>
      <c r="Z7">
        <f t="shared" si="2"/>
        <v>2</v>
      </c>
      <c r="AA7">
        <f t="shared" si="2"/>
        <v>2</v>
      </c>
      <c r="AB7">
        <f t="shared" si="2"/>
        <v>2</v>
      </c>
      <c r="AC7">
        <f t="shared" si="2"/>
        <v>1</v>
      </c>
      <c r="AD7">
        <f t="shared" si="2"/>
        <v>1</v>
      </c>
      <c r="AE7">
        <f t="shared" si="2"/>
        <v>1</v>
      </c>
      <c r="AF7">
        <f t="shared" si="2"/>
        <v>1</v>
      </c>
      <c r="AG7">
        <f t="shared" si="2"/>
        <v>1</v>
      </c>
      <c r="AH7">
        <f t="shared" si="2"/>
        <v>1</v>
      </c>
      <c r="AI7">
        <f t="shared" si="2"/>
        <v>1</v>
      </c>
      <c r="AJ7">
        <f t="shared" si="2"/>
        <v>1</v>
      </c>
      <c r="AK7">
        <f t="shared" si="2"/>
        <v>1</v>
      </c>
      <c r="AL7">
        <f t="shared" si="2"/>
        <v>1</v>
      </c>
      <c r="AM7">
        <f t="shared" si="2"/>
        <v>1</v>
      </c>
      <c r="AN7">
        <f t="shared" si="2"/>
        <v>1</v>
      </c>
      <c r="AO7">
        <f t="shared" si="2"/>
        <v>1</v>
      </c>
      <c r="AP7">
        <f t="shared" si="2"/>
        <v>1</v>
      </c>
      <c r="AQ7">
        <f t="shared" si="2"/>
        <v>1</v>
      </c>
      <c r="AR7">
        <f t="shared" si="2"/>
        <v>1</v>
      </c>
      <c r="AS7">
        <f t="shared" si="2"/>
        <v>1</v>
      </c>
      <c r="AT7">
        <f t="shared" si="2"/>
        <v>1</v>
      </c>
      <c r="AU7">
        <f t="shared" si="2"/>
        <v>1</v>
      </c>
      <c r="AV7">
        <f t="shared" si="2"/>
        <v>1</v>
      </c>
    </row>
    <row r="8" spans="1:48" customFormat="1">
      <c r="A8" t="s">
        <v>16</v>
      </c>
      <c r="I8" t="s">
        <v>394</v>
      </c>
      <c r="J8" s="2">
        <f>IF(ISNA(J5),-1,IF(ISNA(J7),99,IF(ISNA(J6),J5,0)))</f>
        <v>0</v>
      </c>
      <c r="K8" s="2">
        <f t="shared" ref="K8:AV8" si="3">IF(ISNA(K5),-1,IF(ISNA(K7),99,IF(ISNA(K6),K5,0)))</f>
        <v>1</v>
      </c>
      <c r="L8" s="2">
        <f t="shared" si="3"/>
        <v>1</v>
      </c>
      <c r="M8" s="2">
        <v>1</v>
      </c>
      <c r="N8" s="2">
        <v>1</v>
      </c>
      <c r="O8" s="2">
        <v>0</v>
      </c>
      <c r="P8" s="2">
        <f t="shared" si="3"/>
        <v>2</v>
      </c>
      <c r="Q8" s="2">
        <f t="shared" si="3"/>
        <v>2</v>
      </c>
      <c r="R8" s="2">
        <f t="shared" si="3"/>
        <v>0</v>
      </c>
      <c r="S8" s="2">
        <f t="shared" si="3"/>
        <v>3</v>
      </c>
      <c r="T8" s="2">
        <f t="shared" si="3"/>
        <v>3</v>
      </c>
      <c r="U8" s="2">
        <f t="shared" si="3"/>
        <v>3</v>
      </c>
      <c r="V8" s="2">
        <f t="shared" si="3"/>
        <v>3</v>
      </c>
      <c r="W8" s="2">
        <f t="shared" si="3"/>
        <v>3</v>
      </c>
      <c r="X8" s="2">
        <f t="shared" si="3"/>
        <v>3</v>
      </c>
      <c r="Y8" s="2">
        <f t="shared" si="3"/>
        <v>3</v>
      </c>
      <c r="Z8" s="2">
        <f t="shared" si="3"/>
        <v>3</v>
      </c>
      <c r="AA8" s="2">
        <f t="shared" si="3"/>
        <v>3</v>
      </c>
      <c r="AB8" s="2">
        <f t="shared" si="3"/>
        <v>0</v>
      </c>
      <c r="AC8" s="2">
        <f t="shared" si="3"/>
        <v>4</v>
      </c>
      <c r="AD8" s="2">
        <f t="shared" si="3"/>
        <v>4</v>
      </c>
      <c r="AE8" s="2">
        <f t="shared" si="3"/>
        <v>4</v>
      </c>
      <c r="AF8" s="2">
        <f t="shared" si="3"/>
        <v>4</v>
      </c>
      <c r="AG8" s="2">
        <f t="shared" si="3"/>
        <v>4</v>
      </c>
      <c r="AH8" s="2">
        <f t="shared" si="3"/>
        <v>4</v>
      </c>
      <c r="AI8" s="2">
        <f t="shared" si="3"/>
        <v>4</v>
      </c>
      <c r="AJ8" s="2">
        <f t="shared" si="3"/>
        <v>4</v>
      </c>
      <c r="AK8" s="2">
        <f t="shared" si="3"/>
        <v>4</v>
      </c>
      <c r="AL8" s="2">
        <f t="shared" si="3"/>
        <v>4</v>
      </c>
      <c r="AM8" s="2">
        <f t="shared" si="3"/>
        <v>4</v>
      </c>
      <c r="AN8" s="2">
        <f t="shared" si="3"/>
        <v>4</v>
      </c>
      <c r="AO8" s="2">
        <f t="shared" si="3"/>
        <v>4</v>
      </c>
      <c r="AP8" s="2">
        <f t="shared" si="3"/>
        <v>4</v>
      </c>
      <c r="AQ8" s="2">
        <f t="shared" si="3"/>
        <v>4</v>
      </c>
      <c r="AR8" s="2">
        <f t="shared" si="3"/>
        <v>4</v>
      </c>
      <c r="AS8" s="2">
        <f t="shared" si="3"/>
        <v>4</v>
      </c>
      <c r="AT8" s="2">
        <f t="shared" si="3"/>
        <v>4</v>
      </c>
      <c r="AU8" s="2">
        <f t="shared" si="3"/>
        <v>4</v>
      </c>
      <c r="AV8" s="2">
        <f t="shared" si="3"/>
        <v>0</v>
      </c>
    </row>
    <row r="9" spans="1:48">
      <c r="A9" t="s">
        <v>16</v>
      </c>
      <c r="B9" s="75" t="s">
        <v>9</v>
      </c>
      <c r="C9" s="75" t="s">
        <v>10</v>
      </c>
      <c r="J9" s="74"/>
      <c r="K9" s="75"/>
    </row>
    <row r="10" spans="1:48">
      <c r="A10" t="s">
        <v>16</v>
      </c>
      <c r="B10" s="233" t="s">
        <v>4</v>
      </c>
      <c r="C10" s="75" t="s">
        <v>3</v>
      </c>
      <c r="E10" s="75">
        <f>MATCH(B10,Drivers!A7:A25,0)</f>
        <v>2</v>
      </c>
      <c r="J10" s="3" cm="1">
        <f t="array" ref="J10">INDEX(Drivers!$C$7:$AG$25,$E$10,J3)</f>
        <v>2420.5059603282948</v>
      </c>
      <c r="K10" s="3" cm="1">
        <f t="array" ref="K10">INDEX(Drivers!$C$7:$AG$25,$E$10,K3)</f>
        <v>2489.1047071827661</v>
      </c>
      <c r="L10" s="3" cm="1">
        <f t="array" ref="L10">INDEX(Drivers!$C$7:$AG$25,$E$10,L3)</f>
        <v>2551.5982527371866</v>
      </c>
      <c r="M10" s="3" cm="1">
        <f t="array" ref="M10">INDEX(Drivers!$C$7:$AG$25,$E$10,M3)</f>
        <v>2595.1630396206046</v>
      </c>
      <c r="N10" s="3" cm="1">
        <f t="array" ref="N10">INDEX(Drivers!$C$7:$AG$25,$E$10,N3)</f>
        <v>2628.6516711665686</v>
      </c>
      <c r="O10" s="3" cm="1">
        <f t="array" ref="O10">INDEX(Drivers!$C$7:$AG$25,$E$10,O3)</f>
        <v>2667.1308637985835</v>
      </c>
      <c r="P10" s="3" cm="1">
        <f t="array" ref="P10">INDEX(Drivers!$C$7:$AG$25,$E$10,P3)</f>
        <v>2710.4237502366891</v>
      </c>
      <c r="Q10" s="3" cm="1">
        <f t="array" ref="Q10">INDEX(Drivers!$C$7:$AG$25,$E$10,Q3)</f>
        <v>2746.44</v>
      </c>
      <c r="R10" s="3" cm="1">
        <f t="array" ref="R10">INDEX(Drivers!$C$7:$AG$25,$E$10,R3)</f>
        <v>2570.58</v>
      </c>
      <c r="S10" s="3" cm="1">
        <f t="array" ref="S10">INDEX(Drivers!$C$7:$AG$25,$E$10,S3)</f>
        <v>2663.8727023651581</v>
      </c>
      <c r="T10" s="3" cm="1">
        <f t="array" ref="T10">INDEX(Drivers!$C$7:$AG$25,$E$10,T3)</f>
        <v>2739.3329767374908</v>
      </c>
      <c r="U10" s="3" cm="1">
        <f t="array" ref="U10">INDEX(Drivers!$C$7:$AG$25,$E$10,U3)</f>
        <v>2813.3330522949309</v>
      </c>
      <c r="V10" s="3" cm="1">
        <f t="array" ref="V10">INDEX(Drivers!$C$7:$AG$25,$E$10,V3)</f>
        <v>2891.2336589332476</v>
      </c>
      <c r="W10" s="3" cm="1">
        <f t="array" ref="W10">INDEX(Drivers!$C$7:$AG$25,$E$10,W3)</f>
        <v>2964.3036078483251</v>
      </c>
      <c r="X10" s="3" cm="1">
        <f t="array" ref="X10">INDEX(Drivers!$C$7:$AG$25,$E$10,X3)</f>
        <v>3029.6525054956169</v>
      </c>
      <c r="Y10" s="3" cm="1">
        <f t="array" ref="Y10">INDEX(Drivers!$C$7:$AG$25,$E$10,Y3)</f>
        <v>3094.8613840784674</v>
      </c>
      <c r="Z10" s="3" cm="1">
        <f t="array" ref="Z10">INDEX(Drivers!$C$7:$AG$25,$E$10,Z3)</f>
        <v>3162.61060854476</v>
      </c>
      <c r="AA10" s="3" cm="1">
        <f t="array" ref="AA10">INDEX(Drivers!$C$7:$AG$25,$E$10,AA3)</f>
        <v>3245.4718906090111</v>
      </c>
      <c r="AB10" s="3" cm="1">
        <f t="array" ref="AB10">INDEX(Drivers!$C$7:$AG$25,$E$10,AB3)</f>
        <v>3323.6025285674814</v>
      </c>
      <c r="AC10" s="3" cm="1">
        <f t="array" ref="AC10">INDEX(Drivers!$C$7:$AG$25,$E$10,AC3)</f>
        <v>3414.0148387498389</v>
      </c>
      <c r="AD10" s="3" cm="1">
        <f t="array" ref="AD10">INDEX(Drivers!$C$7:$AG$25,$E$10,AD3)</f>
        <v>3507.2975397532509</v>
      </c>
      <c r="AE10" s="3" cm="1">
        <f t="array" ref="AE10">INDEX(Drivers!$C$7:$AG$25,$E$10,AE3)</f>
        <v>3618.7827191340839</v>
      </c>
      <c r="AF10" s="3" cm="1">
        <f t="array" ref="AF10">INDEX(Drivers!$C$7:$AG$25,$E$10,AF3)</f>
        <v>3735.7186406663977</v>
      </c>
      <c r="AG10" s="3" cm="1">
        <f t="array" ref="AG10">INDEX(Drivers!$C$7:$AG$25,$E$10,AG3)</f>
        <v>3847.5038608996065</v>
      </c>
      <c r="AH10" s="3" cm="1">
        <f t="array" ref="AH10">INDEX(Drivers!$C$7:$AG$25,$E$10,AH3)</f>
        <v>3953.2782627235674</v>
      </c>
      <c r="AI10" s="3" cm="1">
        <f t="array" ref="AI10">INDEX(Drivers!$C$7:$AG$25,$E$10,AI3)</f>
        <v>4037.4597245382688</v>
      </c>
      <c r="AJ10" s="3" cm="1">
        <f t="array" ref="AJ10">INDEX(Drivers!$C$7:$AG$25,$E$10,AJ3)</f>
        <v>4138.1634359570917</v>
      </c>
      <c r="AK10" s="3" cm="1">
        <f t="array" ref="AK10">INDEX(Drivers!$C$7:$AG$25,$E$10,AK3)</f>
        <v>4257.6797088198309</v>
      </c>
      <c r="AL10" s="3" cm="1">
        <f t="array" ref="AL10">INDEX(Drivers!$C$7:$AG$25,$E$10,AL3)</f>
        <v>4370.3550502484186</v>
      </c>
      <c r="AM10" s="3">
        <f>(AQ10-AL10)/5+AL10</f>
        <v>4500.9068256615137</v>
      </c>
      <c r="AN10" s="3">
        <f>(AQ10-AL10)/5+AM10</f>
        <v>4631.4586010746089</v>
      </c>
      <c r="AO10" s="3">
        <f>(AQ10-AL10)/5+AN10</f>
        <v>4762.010376487704</v>
      </c>
      <c r="AP10" s="3">
        <f>(AQ10-AL10)/5+AO10</f>
        <v>4892.5621519007991</v>
      </c>
      <c r="AQ10" s="3" cm="1">
        <f t="array" ref="AQ10">INDEX(Drivers!$C$7:$AG$25,$E$10,AQ3)</f>
        <v>5023.1139273138951</v>
      </c>
      <c r="AR10" s="3">
        <f>(AV10-AQ10)/5+AQ10</f>
        <v>5122.4734557140773</v>
      </c>
      <c r="AS10" s="3">
        <f>(AV10-AQ10)/5+AR10</f>
        <v>5221.8329841142595</v>
      </c>
      <c r="AT10" s="3">
        <f>(AV10-AQ10)/5+AS10</f>
        <v>5321.1925125144417</v>
      </c>
      <c r="AU10" s="3">
        <f>(AV10-AQ10)/5+AT10</f>
        <v>5420.5520409146238</v>
      </c>
      <c r="AV10" s="3" cm="1">
        <f t="array" ref="AV10">INDEX(Drivers!$C$7:$AG$25,$E$10,AV3)</f>
        <v>5519.9115693148042</v>
      </c>
    </row>
    <row r="11" spans="1:48">
      <c r="A11" t="s">
        <v>16</v>
      </c>
      <c r="B11" s="78" t="s">
        <v>227</v>
      </c>
      <c r="C11" s="79"/>
      <c r="D11" s="79"/>
      <c r="E11" s="79"/>
      <c r="F11" s="79"/>
      <c r="G11" s="79"/>
      <c r="H11" s="79"/>
      <c r="I11" s="79"/>
      <c r="J11" s="234" t="str">
        <f t="shared" ref="J11:AV11" si="4">INDEX($C$14:$C$18,MATCH(J$12,$B$14:$B$18,0))</f>
        <v>A</v>
      </c>
      <c r="K11" s="234" t="str">
        <f t="shared" si="4"/>
        <v>A</v>
      </c>
      <c r="L11" s="234" t="str">
        <f t="shared" si="4"/>
        <v>A</v>
      </c>
      <c r="M11" s="234" t="str">
        <f t="shared" si="4"/>
        <v>A</v>
      </c>
      <c r="N11" s="234" t="str">
        <f t="shared" si="4"/>
        <v>A</v>
      </c>
      <c r="O11" s="234" t="str">
        <f t="shared" si="4"/>
        <v>A</v>
      </c>
      <c r="P11" s="234" t="str">
        <f t="shared" si="4"/>
        <v>B</v>
      </c>
      <c r="Q11" s="234" t="str">
        <f t="shared" si="4"/>
        <v>B</v>
      </c>
      <c r="R11" s="234" t="str">
        <f t="shared" si="4"/>
        <v>B</v>
      </c>
      <c r="S11" s="234" t="str">
        <f t="shared" si="4"/>
        <v>B</v>
      </c>
      <c r="T11" s="234" t="str">
        <f t="shared" si="4"/>
        <v>B</v>
      </c>
      <c r="U11" s="234" t="str">
        <f t="shared" si="4"/>
        <v>B</v>
      </c>
      <c r="V11" s="234" t="str">
        <f t="shared" si="4"/>
        <v>B</v>
      </c>
      <c r="W11" s="234" t="str">
        <f t="shared" si="4"/>
        <v>B</v>
      </c>
      <c r="X11" s="234" t="str">
        <f t="shared" si="4"/>
        <v>B</v>
      </c>
      <c r="Y11" s="234" t="str">
        <f t="shared" si="4"/>
        <v>B</v>
      </c>
      <c r="Z11" s="234" t="str">
        <f t="shared" si="4"/>
        <v>B</v>
      </c>
      <c r="AA11" s="234" t="str">
        <f t="shared" si="4"/>
        <v>B</v>
      </c>
      <c r="AB11" s="234" t="str">
        <f t="shared" si="4"/>
        <v>B</v>
      </c>
      <c r="AC11" s="234" t="str">
        <f t="shared" si="4"/>
        <v>C</v>
      </c>
      <c r="AD11" s="234" t="str">
        <f t="shared" si="4"/>
        <v>C</v>
      </c>
      <c r="AE11" s="234" t="str">
        <f t="shared" si="4"/>
        <v>C</v>
      </c>
      <c r="AF11" s="234" t="str">
        <f t="shared" si="4"/>
        <v>C</v>
      </c>
      <c r="AG11" s="234" t="str">
        <f t="shared" si="4"/>
        <v>C</v>
      </c>
      <c r="AH11" s="234" t="str">
        <f t="shared" si="4"/>
        <v>C</v>
      </c>
      <c r="AI11" s="234" t="str">
        <f t="shared" si="4"/>
        <v>C</v>
      </c>
      <c r="AJ11" s="234" t="str">
        <f t="shared" si="4"/>
        <v>C</v>
      </c>
      <c r="AK11" s="234" t="str">
        <f t="shared" si="4"/>
        <v>C</v>
      </c>
      <c r="AL11" s="234" t="str">
        <f t="shared" si="4"/>
        <v>C</v>
      </c>
      <c r="AM11" s="234" t="str">
        <f t="shared" si="4"/>
        <v>D</v>
      </c>
      <c r="AN11" s="234" t="str">
        <f t="shared" si="4"/>
        <v>D</v>
      </c>
      <c r="AO11" s="234" t="str">
        <f t="shared" si="4"/>
        <v>D</v>
      </c>
      <c r="AP11" s="234" t="str">
        <f t="shared" si="4"/>
        <v>D</v>
      </c>
      <c r="AQ11" s="234" t="str">
        <f t="shared" si="4"/>
        <v>D</v>
      </c>
      <c r="AR11" s="234" t="str">
        <f t="shared" si="4"/>
        <v>D</v>
      </c>
      <c r="AS11" s="234" t="str">
        <f t="shared" si="4"/>
        <v>D</v>
      </c>
      <c r="AT11" s="234" t="str">
        <f t="shared" si="4"/>
        <v>D</v>
      </c>
      <c r="AU11" s="234" t="str">
        <f t="shared" si="4"/>
        <v>D</v>
      </c>
      <c r="AV11" s="234" t="str">
        <f t="shared" si="4"/>
        <v>D</v>
      </c>
    </row>
    <row r="12" spans="1:48">
      <c r="A12" t="s">
        <v>16</v>
      </c>
      <c r="B12" s="233"/>
      <c r="J12" s="74">
        <f t="array" ref="J12">SUM($B$14:$B$18*(J4&gt;=$D$14:$D$18)*(J4&lt;=$E$14:$E$18))</f>
        <v>1</v>
      </c>
      <c r="K12" s="74">
        <f t="array" ref="K12">SUM($B$14:$B$17*(K4&gt;=$D$14:$D$17)*(K4&lt;=$E$14:$E$17))</f>
        <v>1</v>
      </c>
      <c r="L12" s="74">
        <f t="array" ref="L12">SUM($B$14:$B$17*(L4&gt;=$D$14:$D$17)*(L4&lt;=$E$14:$E$17))</f>
        <v>1</v>
      </c>
      <c r="M12" s="74">
        <f t="array" ref="M12">SUM($B$14:$B$17*(M4&gt;=$D$14:$D$17)*(M4&lt;=$E$14:$E$17))</f>
        <v>1</v>
      </c>
      <c r="N12" s="74">
        <f t="array" ref="N12">SUM($B$14:$B$17*(N4&gt;=$D$14:$D$17)*(N4&lt;=$E$14:$E$17))</f>
        <v>1</v>
      </c>
      <c r="O12" s="74">
        <f t="array" ref="O12">SUM($B$14:$B$17*(O4&gt;=$D$14:$D$17)*(O4&lt;=$E$14:$E$17))</f>
        <v>1</v>
      </c>
      <c r="P12" s="74">
        <f t="array" ref="P12">SUM($B$14:$B$17*(P4&gt;=$D$14:$D$17)*(P4&lt;=$E$14:$E$17))</f>
        <v>2</v>
      </c>
      <c r="Q12" s="74">
        <f t="array" ref="Q12">SUM($B$14:$B$17*(Q4&gt;=$D$14:$D$17)*(Q4&lt;=$E$14:$E$17))</f>
        <v>2</v>
      </c>
      <c r="R12" s="74">
        <f t="array" ref="R12">SUM($B$14:$B$17*(R4&gt;=$D$14:$D$17)*(R4&lt;=$E$14:$E$17))</f>
        <v>2</v>
      </c>
      <c r="S12" s="74">
        <f t="array" ref="S12">SUM($B$14:$B$17*(S4&gt;=$D$14:$D$17)*(S4&lt;=$E$14:$E$17))</f>
        <v>2</v>
      </c>
      <c r="T12" s="74">
        <f t="array" ref="T12">SUM($B$14:$B$17*(T4&gt;=$D$14:$D$17)*(T4&lt;=$E$14:$E$17))</f>
        <v>2</v>
      </c>
      <c r="U12" s="74">
        <f t="array" ref="U12">SUM($B$14:$B$17*(U4&gt;=$D$14:$D$17)*(U4&lt;=$E$14:$E$17))</f>
        <v>2</v>
      </c>
      <c r="V12" s="74">
        <f t="array" ref="V12">SUM($B$14:$B$17*(V4&gt;=$D$14:$D$17)*(V4&lt;=$E$14:$E$17))</f>
        <v>2</v>
      </c>
      <c r="W12" s="74">
        <f t="array" ref="W12">SUM($B$14:$B$17*(W4&gt;=$D$14:$D$17)*(W4&lt;=$E$14:$E$17))</f>
        <v>2</v>
      </c>
      <c r="X12" s="74">
        <f t="array" ref="X12">SUM($B$14:$B$17*(X4&gt;=$D$14:$D$17)*(X4&lt;=$E$14:$E$17))</f>
        <v>2</v>
      </c>
      <c r="Y12" s="74">
        <f t="array" ref="Y12">SUM($B$14:$B$17*(Y4&gt;=$D$14:$D$17)*(Y4&lt;=$E$14:$E$17))</f>
        <v>2</v>
      </c>
      <c r="Z12" s="74">
        <f t="array" ref="Z12">SUM($B$14:$B$17*(Z4&gt;=$D$14:$D$17)*(Z4&lt;=$E$14:$E$17))</f>
        <v>2</v>
      </c>
      <c r="AA12" s="74">
        <f t="array" ref="AA12">SUM($B$14:$B$17*(AA4&gt;=$D$14:$D$17)*(AA4&lt;=$E$14:$E$17))</f>
        <v>2</v>
      </c>
      <c r="AB12" s="74">
        <f t="array" ref="AB12">SUM($B$14:$B$17*(AB4&gt;=$D$14:$D$17)*(AB4&lt;=$E$14:$E$17))</f>
        <v>2</v>
      </c>
      <c r="AC12" s="74">
        <f t="array" ref="AC12">SUM($B$14:$B$17*(AC4&gt;=$D$14:$D$17)*(AC4&lt;=$E$14:$E$17))</f>
        <v>3</v>
      </c>
      <c r="AD12" s="74">
        <f t="array" ref="AD12">SUM($B$14:$B$17*(AD4&gt;=$D$14:$D$17)*(AD4&lt;=$E$14:$E$17))</f>
        <v>3</v>
      </c>
      <c r="AE12" s="74">
        <f t="array" ref="AE12">SUM($B$14:$B$17*(AE4&gt;=$D$14:$D$17)*(AE4&lt;=$E$14:$E$17))</f>
        <v>3</v>
      </c>
      <c r="AF12" s="74">
        <f t="array" ref="AF12">SUM($B$14:$B$17*(AF4&gt;=$D$14:$D$17)*(AF4&lt;=$E$14:$E$17))</f>
        <v>3</v>
      </c>
      <c r="AG12" s="74">
        <f t="array" ref="AG12">SUM($B$14:$B$17*(AG4&gt;=$D$14:$D$17)*(AG4&lt;=$E$14:$E$17))</f>
        <v>3</v>
      </c>
      <c r="AH12" s="74">
        <f t="array" ref="AH12">SUM($B$14:$B$17*(AH4&gt;=$D$14:$D$17)*(AH4&lt;=$E$14:$E$17))</f>
        <v>3</v>
      </c>
      <c r="AI12" s="74">
        <f t="array" ref="AI12">SUM($B$14:$B$17*(AI4&gt;=$D$14:$D$17)*(AI4&lt;=$E$14:$E$17))</f>
        <v>3</v>
      </c>
      <c r="AJ12" s="74">
        <f t="array" ref="AJ12">SUM($B$14:$B$17*(AJ4&gt;=$D$14:$D$17)*(AJ4&lt;=$E$14:$E$17))</f>
        <v>3</v>
      </c>
      <c r="AK12" s="74">
        <f t="array" ref="AK12">SUM($B$14:$B$17*(AK4&gt;=$D$14:$D$17)*(AK4&lt;=$E$14:$E$17))</f>
        <v>3</v>
      </c>
      <c r="AL12" s="74">
        <f t="array" ref="AL12">SUM($B$14:$B$17*(AL4&gt;=$D$14:$D$17)*(AL4&lt;=$E$14:$E$17))</f>
        <v>3</v>
      </c>
      <c r="AM12" s="74">
        <f t="array" ref="AM12">SUM($B$14:$B$17*(AM4&gt;=$D$14:$D$17)*(AM4&lt;=$E$14:$E$17))</f>
        <v>4</v>
      </c>
      <c r="AN12" s="74">
        <f t="array" ref="AN12">SUM($B$14:$B$17*(AN4&gt;=$D$14:$D$17)*(AN4&lt;=$E$14:$E$17))</f>
        <v>4</v>
      </c>
      <c r="AO12" s="74">
        <f t="array" ref="AO12">SUM($B$14:$B$17*(AO4&gt;=$D$14:$D$17)*(AO4&lt;=$E$14:$E$17))</f>
        <v>4</v>
      </c>
      <c r="AP12" s="74">
        <f t="array" ref="AP12">SUM($B$14:$B$17*(AP4&gt;=$D$14:$D$17)*(AP4&lt;=$E$14:$E$17))</f>
        <v>4</v>
      </c>
      <c r="AQ12" s="74">
        <f t="array" ref="AQ12">SUM($B$14:$B$17*(AQ4&gt;=$D$14:$D$17)*(AQ4&lt;=$E$14:$E$17))</f>
        <v>4</v>
      </c>
      <c r="AR12" s="74">
        <f t="array" ref="AR12">SUM($B$14:$B$17*(AR4&gt;=$D$14:$D$17)*(AR4&lt;=$E$14:$E$17))</f>
        <v>4</v>
      </c>
      <c r="AS12" s="74">
        <f t="array" ref="AS12">SUM($B$14:$B$17*(AS4&gt;=$D$14:$D$17)*(AS4&lt;=$E$14:$E$17))</f>
        <v>4</v>
      </c>
      <c r="AT12" s="74">
        <f t="array" ref="AT12">SUM($B$14:$B$17*(AT4&gt;=$D$14:$D$17)*(AT4&lt;=$E$14:$E$17))</f>
        <v>4</v>
      </c>
      <c r="AU12" s="74">
        <f t="array" ref="AU12">SUM($B$14:$B$17*(AU4&gt;=$D$14:$D$17)*(AU4&lt;=$E$14:$E$17))</f>
        <v>4</v>
      </c>
      <c r="AV12" s="74">
        <f t="array" ref="AV12">SUM($B$14:$B$17*(AV4&gt;=$D$14:$D$17)*(AV4&lt;=$E$14:$E$17))</f>
        <v>4</v>
      </c>
    </row>
    <row r="13" spans="1:48">
      <c r="A13" t="s">
        <v>16</v>
      </c>
      <c r="B13" s="312" t="s">
        <v>228</v>
      </c>
      <c r="C13" s="313"/>
      <c r="D13" s="75" t="s">
        <v>229</v>
      </c>
      <c r="E13" s="75" t="s">
        <v>230</v>
      </c>
      <c r="J13" s="74"/>
      <c r="K13" s="75"/>
    </row>
    <row r="14" spans="1:48">
      <c r="A14" t="s">
        <v>16</v>
      </c>
      <c r="B14" s="233">
        <v>1</v>
      </c>
      <c r="C14" s="75" t="s">
        <v>109</v>
      </c>
      <c r="D14" s="80">
        <v>2012</v>
      </c>
      <c r="E14" s="80">
        <f>D14+5</f>
        <v>2017</v>
      </c>
      <c r="J14" s="74"/>
      <c r="K14" s="75"/>
      <c r="P14" s="75">
        <f>P10/O10</f>
        <v>1.016232006845156</v>
      </c>
      <c r="Q14" s="75">
        <f t="shared" ref="Q14:T14" si="5">Q10/P10</f>
        <v>1.0132880512724867</v>
      </c>
      <c r="R14" s="75">
        <f t="shared" si="5"/>
        <v>0.93596801677808361</v>
      </c>
      <c r="S14" s="75">
        <f t="shared" si="5"/>
        <v>1.0362924718799487</v>
      </c>
      <c r="T14" s="75">
        <f t="shared" si="5"/>
        <v>1.0283272824205654</v>
      </c>
    </row>
    <row r="15" spans="1:48">
      <c r="A15" t="s">
        <v>16</v>
      </c>
      <c r="B15" s="233">
        <v>2</v>
      </c>
      <c r="C15" s="75" t="s">
        <v>231</v>
      </c>
      <c r="D15" s="80">
        <f>E14+1</f>
        <v>2018</v>
      </c>
      <c r="E15" s="80">
        <v>2030</v>
      </c>
      <c r="J15" s="74"/>
      <c r="K15" s="75"/>
    </row>
    <row r="16" spans="1:48">
      <c r="A16" t="s">
        <v>16</v>
      </c>
      <c r="B16" s="233">
        <v>3</v>
      </c>
      <c r="C16" s="75" t="s">
        <v>112</v>
      </c>
      <c r="D16" s="80">
        <v>2031</v>
      </c>
      <c r="E16" s="80">
        <v>2040</v>
      </c>
      <c r="J16" s="74"/>
      <c r="K16" s="75"/>
    </row>
    <row r="17" spans="1:48">
      <c r="A17" t="s">
        <v>16</v>
      </c>
      <c r="B17" s="233">
        <v>4</v>
      </c>
      <c r="C17" s="75" t="s">
        <v>232</v>
      </c>
      <c r="D17" s="80">
        <v>2041</v>
      </c>
      <c r="E17" s="80">
        <v>2070</v>
      </c>
      <c r="J17" s="74"/>
      <c r="K17" s="75"/>
    </row>
    <row r="18" spans="1:48">
      <c r="A18" t="s">
        <v>16</v>
      </c>
      <c r="B18" s="233"/>
      <c r="J18" s="74"/>
      <c r="K18" s="75"/>
    </row>
    <row r="19" spans="1:48" ht="15.75" thickBot="1">
      <c r="A19" t="s">
        <v>16</v>
      </c>
      <c r="B19" s="72" t="s">
        <v>511</v>
      </c>
      <c r="C19" s="72" t="s">
        <v>233</v>
      </c>
      <c r="D19" s="72"/>
      <c r="E19" s="73"/>
      <c r="F19" s="73"/>
      <c r="G19" s="73"/>
      <c r="H19" s="73"/>
      <c r="I19" s="73"/>
      <c r="J19" s="74"/>
      <c r="K19" s="75"/>
    </row>
    <row r="20" spans="1:48">
      <c r="A20" t="s">
        <v>16</v>
      </c>
      <c r="B20" s="77">
        <f>'[13]SA GDP'!$I$30</f>
        <v>0.44318133021912642</v>
      </c>
      <c r="C20" s="81">
        <v>0.01</v>
      </c>
      <c r="J20" s="74"/>
      <c r="K20" s="75"/>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row>
    <row r="21" spans="1:48">
      <c r="A21" t="s">
        <v>16</v>
      </c>
      <c r="B21" s="233"/>
      <c r="J21" s="83"/>
      <c r="K21" s="84"/>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row>
    <row r="22" spans="1:48" ht="19.5" thickBot="1">
      <c r="A22" t="s">
        <v>16</v>
      </c>
      <c r="B22" s="152" t="s">
        <v>70</v>
      </c>
      <c r="C22" s="72"/>
      <c r="D22" s="72"/>
      <c r="E22" s="85">
        <v>2006</v>
      </c>
      <c r="F22" s="85">
        <v>2010</v>
      </c>
      <c r="G22" s="85">
        <v>2020</v>
      </c>
      <c r="H22" s="85">
        <v>2030</v>
      </c>
      <c r="I22" s="85">
        <v>2050</v>
      </c>
      <c r="J22" s="74">
        <f t="shared" ref="J22:AV22" si="6">J4</f>
        <v>2012</v>
      </c>
      <c r="K22" s="75">
        <f t="shared" si="6"/>
        <v>2013</v>
      </c>
      <c r="L22" s="75">
        <f t="shared" si="6"/>
        <v>2014</v>
      </c>
      <c r="M22" s="75">
        <f t="shared" si="6"/>
        <v>2015</v>
      </c>
      <c r="N22" s="75">
        <f t="shared" si="6"/>
        <v>2016</v>
      </c>
      <c r="O22" s="75">
        <f t="shared" si="6"/>
        <v>2017</v>
      </c>
      <c r="P22" s="75">
        <f t="shared" si="6"/>
        <v>2018</v>
      </c>
      <c r="Q22" s="75">
        <f t="shared" si="6"/>
        <v>2019</v>
      </c>
      <c r="R22" s="75">
        <f t="shared" si="6"/>
        <v>2020</v>
      </c>
      <c r="S22" s="75">
        <f t="shared" si="6"/>
        <v>2021</v>
      </c>
      <c r="T22" s="75">
        <f t="shared" si="6"/>
        <v>2022</v>
      </c>
      <c r="U22" s="75">
        <f t="shared" si="6"/>
        <v>2023</v>
      </c>
      <c r="V22" s="75">
        <f t="shared" si="6"/>
        <v>2024</v>
      </c>
      <c r="W22" s="75">
        <f t="shared" si="6"/>
        <v>2025</v>
      </c>
      <c r="X22" s="75">
        <f t="shared" si="6"/>
        <v>2026</v>
      </c>
      <c r="Y22" s="75">
        <f t="shared" si="6"/>
        <v>2027</v>
      </c>
      <c r="Z22" s="75">
        <f t="shared" si="6"/>
        <v>2028</v>
      </c>
      <c r="AA22" s="75">
        <f t="shared" si="6"/>
        <v>2029</v>
      </c>
      <c r="AB22" s="75">
        <f t="shared" si="6"/>
        <v>2030</v>
      </c>
      <c r="AC22" s="75">
        <f t="shared" si="6"/>
        <v>2031</v>
      </c>
      <c r="AD22" s="75">
        <f t="shared" si="6"/>
        <v>2032</v>
      </c>
      <c r="AE22" s="75">
        <f t="shared" si="6"/>
        <v>2033</v>
      </c>
      <c r="AF22" s="75">
        <f t="shared" si="6"/>
        <v>2034</v>
      </c>
      <c r="AG22" s="75">
        <f t="shared" si="6"/>
        <v>2035</v>
      </c>
      <c r="AH22" s="75">
        <f t="shared" si="6"/>
        <v>2036</v>
      </c>
      <c r="AI22" s="75">
        <f t="shared" si="6"/>
        <v>2037</v>
      </c>
      <c r="AJ22" s="75">
        <f t="shared" si="6"/>
        <v>2038</v>
      </c>
      <c r="AK22" s="75">
        <f t="shared" si="6"/>
        <v>2039</v>
      </c>
      <c r="AL22" s="75">
        <f t="shared" si="6"/>
        <v>2040</v>
      </c>
      <c r="AM22" s="75">
        <f t="shared" si="6"/>
        <v>2041</v>
      </c>
      <c r="AN22" s="75">
        <f t="shared" si="6"/>
        <v>2042</v>
      </c>
      <c r="AO22" s="75">
        <f t="shared" si="6"/>
        <v>2043</v>
      </c>
      <c r="AP22" s="75">
        <f t="shared" si="6"/>
        <v>2044</v>
      </c>
      <c r="AQ22" s="75">
        <f t="shared" si="6"/>
        <v>2045</v>
      </c>
      <c r="AR22" s="75">
        <f t="shared" si="6"/>
        <v>2046</v>
      </c>
      <c r="AS22" s="75">
        <f t="shared" si="6"/>
        <v>2047</v>
      </c>
      <c r="AT22" s="75">
        <f t="shared" si="6"/>
        <v>2048</v>
      </c>
      <c r="AU22" s="75">
        <f t="shared" si="6"/>
        <v>2049</v>
      </c>
      <c r="AV22" s="75">
        <f t="shared" si="6"/>
        <v>2050</v>
      </c>
    </row>
    <row r="23" spans="1:48">
      <c r="A23" t="s">
        <v>16</v>
      </c>
      <c r="B23" s="233" t="str">
        <f>B10</f>
        <v>COM</v>
      </c>
      <c r="C23" s="75" t="str">
        <f>C10</f>
        <v>Commercial</v>
      </c>
      <c r="D23" s="75" t="s">
        <v>71</v>
      </c>
      <c r="J23" s="193">
        <f>[13]Forecast!I$8</f>
        <v>132.81548999999998</v>
      </c>
      <c r="K23" s="193">
        <f>[13]Forecast!J$8</f>
        <v>134.00787499999998</v>
      </c>
      <c r="L23" s="193">
        <f>[13]Forecast!K$8</f>
        <v>135.598851</v>
      </c>
      <c r="M23" s="193">
        <f>[13]Forecast!L$8</f>
        <v>136.99421599999999</v>
      </c>
      <c r="N23" s="193">
        <f>[13]Forecast!M$8</f>
        <v>138.328236</v>
      </c>
      <c r="O23" s="194">
        <f>IF(O10/N10&lt;1,N23,(1+$B$20*(O10/N10-1))*N23)</f>
        <v>139.22563422464734</v>
      </c>
      <c r="P23" s="290">
        <f t="shared" ref="P23:AO23" si="7">IF(P10/O10&lt;1,O23,(1+$B$20*(P10/O10-1))*O23)</f>
        <v>140.22718478624111</v>
      </c>
      <c r="Q23" s="290">
        <f t="shared" si="7"/>
        <v>141.05298495459101</v>
      </c>
      <c r="R23" s="290">
        <f t="shared" si="7"/>
        <v>141.05298495459101</v>
      </c>
      <c r="S23" s="290">
        <f t="shared" si="7"/>
        <v>143.32170175335671</v>
      </c>
      <c r="T23" s="290">
        <f t="shared" si="7"/>
        <v>145.12097998340604</v>
      </c>
      <c r="U23" s="194">
        <f t="shared" si="7"/>
        <v>146.85837670089731</v>
      </c>
      <c r="V23" s="194">
        <f t="shared" si="7"/>
        <v>148.66056377843097</v>
      </c>
      <c r="W23" s="194">
        <f t="shared" si="7"/>
        <v>150.32563511508582</v>
      </c>
      <c r="X23" s="194">
        <f t="shared" si="7"/>
        <v>151.79432494468207</v>
      </c>
      <c r="Y23" s="194">
        <f t="shared" si="7"/>
        <v>153.24226607425092</v>
      </c>
      <c r="Z23" s="194">
        <f t="shared" si="7"/>
        <v>154.72896541278294</v>
      </c>
      <c r="AA23" s="194">
        <f t="shared" si="7"/>
        <v>156.52559688696951</v>
      </c>
      <c r="AB23" s="194">
        <f t="shared" si="7"/>
        <v>158.19557332525278</v>
      </c>
      <c r="AC23" s="194">
        <f t="shared" si="7"/>
        <v>160.10276467856036</v>
      </c>
      <c r="AD23" s="194">
        <f t="shared" si="7"/>
        <v>162.04148872210047</v>
      </c>
      <c r="AE23" s="194">
        <f t="shared" si="7"/>
        <v>164.32420642885143</v>
      </c>
      <c r="AF23" s="194">
        <f t="shared" si="7"/>
        <v>166.67745842144254</v>
      </c>
      <c r="AG23" s="194">
        <f t="shared" si="7"/>
        <v>168.8878466216467</v>
      </c>
      <c r="AH23" s="194">
        <f t="shared" si="7"/>
        <v>170.94554335773023</v>
      </c>
      <c r="AI23" s="194">
        <f t="shared" si="7"/>
        <v>172.55878089313279</v>
      </c>
      <c r="AJ23" s="194">
        <f t="shared" si="7"/>
        <v>174.46624245122064</v>
      </c>
      <c r="AK23" s="194">
        <f t="shared" si="7"/>
        <v>176.69936350647967</v>
      </c>
      <c r="AL23" s="194">
        <f t="shared" si="7"/>
        <v>178.77175755672471</v>
      </c>
      <c r="AM23" s="194">
        <f t="shared" si="7"/>
        <v>181.13847508963011</v>
      </c>
      <c r="AN23" s="194">
        <f t="shared" si="7"/>
        <v>183.4669680201753</v>
      </c>
      <c r="AO23" s="194">
        <f t="shared" si="7"/>
        <v>185.75891378453014</v>
      </c>
      <c r="AP23" s="86">
        <f t="shared" ref="AP23:AU23" si="8">(1+$B$20*(AP10/AO10-1))*AO23</f>
        <v>188.01587223753211</v>
      </c>
      <c r="AQ23" s="86">
        <f t="shared" si="8"/>
        <v>190.23929681223251</v>
      </c>
      <c r="AR23" s="86">
        <f t="shared" si="8"/>
        <v>191.90699778409223</v>
      </c>
      <c r="AS23" s="86">
        <f t="shared" si="8"/>
        <v>193.55668676271517</v>
      </c>
      <c r="AT23" s="86">
        <f t="shared" si="8"/>
        <v>195.1888973118937</v>
      </c>
      <c r="AU23" s="86">
        <f t="shared" si="8"/>
        <v>196.80413752202517</v>
      </c>
      <c r="AV23" s="86">
        <f t="shared" ref="AV23" si="9">(1+$B$20*(AT10/AS10-1))*AU23</f>
        <v>198.46373293439771</v>
      </c>
    </row>
    <row r="24" spans="1:48">
      <c r="A24" t="s">
        <v>16</v>
      </c>
      <c r="B24" s="233" t="str">
        <f>B23 &amp; "-" &amp; "indexed"</f>
        <v>COM-indexed</v>
      </c>
      <c r="C24" s="75" t="str">
        <f>C23 &amp;"-" &amp; "indexed"</f>
        <v>Commercial-indexed</v>
      </c>
      <c r="I24" s="137"/>
      <c r="J24" s="77">
        <f>K24*(1+((J23-K23)/K23))</f>
        <v>0.95395859203410593</v>
      </c>
      <c r="K24" s="77">
        <f>L24*(1+((K23-L23)/L23))</f>
        <v>0.96252299906044436</v>
      </c>
      <c r="L24" s="77">
        <f>M24*(1+((L23-M23)/M23))</f>
        <v>0.97395031996194503</v>
      </c>
      <c r="M24" s="77">
        <f>N24*(1+((M23-N23)/N23))</f>
        <v>0.98397264816156749</v>
      </c>
      <c r="N24" s="77">
        <f>O24*(1+((N23-O23)/O23))</f>
        <v>0.99355436066321423</v>
      </c>
      <c r="O24" s="77">
        <v>1</v>
      </c>
      <c r="P24" s="77">
        <f t="shared" ref="P24:AV24" si="10">O24*(1+((P23-O23)/O23))</f>
        <v>1.0071937223857621</v>
      </c>
      <c r="Q24" s="77">
        <f t="shared" si="10"/>
        <v>1.0131251025726711</v>
      </c>
      <c r="R24" s="77">
        <f t="shared" si="10"/>
        <v>1.0131251025726711</v>
      </c>
      <c r="S24" s="77">
        <f t="shared" si="10"/>
        <v>1.0294203546029475</v>
      </c>
      <c r="T24" s="77">
        <f t="shared" si="10"/>
        <v>1.0423438240492859</v>
      </c>
      <c r="U24" s="77">
        <f t="shared" si="10"/>
        <v>1.0548228242504121</v>
      </c>
      <c r="V24" s="77">
        <f t="shared" si="10"/>
        <v>1.0677671867420617</v>
      </c>
      <c r="W24" s="77">
        <f t="shared" si="10"/>
        <v>1.0797267037227363</v>
      </c>
      <c r="X24" s="77">
        <f t="shared" si="10"/>
        <v>1.0902756937688254</v>
      </c>
      <c r="Y24" s="77">
        <f t="shared" si="10"/>
        <v>1.1006756545061744</v>
      </c>
      <c r="Z24" s="77">
        <f t="shared" si="10"/>
        <v>1.1113539993872124</v>
      </c>
      <c r="AA24" s="77">
        <f t="shared" si="10"/>
        <v>1.1242584582836797</v>
      </c>
      <c r="AB24" s="77">
        <f t="shared" si="10"/>
        <v>1.1362532065754252</v>
      </c>
      <c r="AC24" s="77">
        <f t="shared" si="10"/>
        <v>1.1499517712393881</v>
      </c>
      <c r="AD24" s="77">
        <f t="shared" si="10"/>
        <v>1.1638768221420968</v>
      </c>
      <c r="AE24" s="77">
        <f t="shared" si="10"/>
        <v>1.1802726368888818</v>
      </c>
      <c r="AF24" s="77">
        <f t="shared" si="10"/>
        <v>1.1971750701634469</v>
      </c>
      <c r="AG24" s="77">
        <f t="shared" si="10"/>
        <v>1.2130513720565135</v>
      </c>
      <c r="AH24" s="77">
        <f t="shared" si="10"/>
        <v>1.2278309544771138</v>
      </c>
      <c r="AI24" s="77">
        <f t="shared" si="10"/>
        <v>1.2394181707565493</v>
      </c>
      <c r="AJ24" s="77">
        <f t="shared" si="10"/>
        <v>1.2531186761894071</v>
      </c>
      <c r="AK24" s="77">
        <f t="shared" si="10"/>
        <v>1.2691582587540358</v>
      </c>
      <c r="AL24" s="77">
        <f t="shared" si="10"/>
        <v>1.2840434058879402</v>
      </c>
      <c r="AM24" s="77">
        <f t="shared" si="10"/>
        <v>1.3010425565550263</v>
      </c>
      <c r="AN24" s="77">
        <f t="shared" si="10"/>
        <v>1.3177671557533899</v>
      </c>
      <c r="AO24" s="77">
        <f t="shared" si="10"/>
        <v>1.3342292518114813</v>
      </c>
      <c r="AP24" s="77">
        <f t="shared" si="10"/>
        <v>1.3504400485197963</v>
      </c>
      <c r="AQ24" s="77">
        <f t="shared" si="10"/>
        <v>1.3664099852852687</v>
      </c>
      <c r="AR24" s="77">
        <f t="shared" si="10"/>
        <v>1.3783883898452278</v>
      </c>
      <c r="AS24" s="77">
        <f t="shared" si="10"/>
        <v>1.3902374217265341</v>
      </c>
      <c r="AT24" s="77">
        <f t="shared" si="10"/>
        <v>1.4019609132966633</v>
      </c>
      <c r="AU24" s="77">
        <f t="shared" si="10"/>
        <v>1.413562513958257</v>
      </c>
      <c r="AV24" s="77">
        <f t="shared" si="10"/>
        <v>1.4254826996454324</v>
      </c>
    </row>
    <row r="25" spans="1:48">
      <c r="A25" t="s">
        <v>16</v>
      </c>
      <c r="B25" s="233" t="str">
        <f>B10 &amp; "-" &amp; "EXISTING"</f>
        <v>COM-EXISTING</v>
      </c>
      <c r="C25" s="75" t="str">
        <f>C10 &amp; "-" &amp; "existing"</f>
        <v>Commercial-existing</v>
      </c>
      <c r="D25" s="75" t="s">
        <v>53</v>
      </c>
      <c r="E25" s="87">
        <v>1</v>
      </c>
      <c r="I25" s="137"/>
      <c r="J25" s="192">
        <f>E25</f>
        <v>1</v>
      </c>
      <c r="K25" s="192">
        <v>1</v>
      </c>
      <c r="L25" s="192">
        <v>1</v>
      </c>
      <c r="M25" s="192">
        <v>1</v>
      </c>
      <c r="N25" s="192">
        <v>1</v>
      </c>
      <c r="O25" s="192">
        <f>E25</f>
        <v>1</v>
      </c>
      <c r="P25" s="77">
        <f t="shared" ref="P25:AV25" si="11">IF(O25-$C$20*(P22-O22)&lt;0,0,O25-$C$20*(P22-O22))</f>
        <v>0.99</v>
      </c>
      <c r="Q25" s="77">
        <f t="shared" si="11"/>
        <v>0.98</v>
      </c>
      <c r="R25" s="77">
        <f t="shared" si="11"/>
        <v>0.97</v>
      </c>
      <c r="S25" s="77">
        <f t="shared" si="11"/>
        <v>0.96</v>
      </c>
      <c r="T25" s="77">
        <f t="shared" si="11"/>
        <v>0.95</v>
      </c>
      <c r="U25" s="77">
        <f t="shared" si="11"/>
        <v>0.94</v>
      </c>
      <c r="V25" s="77">
        <f t="shared" si="11"/>
        <v>0.92999999999999994</v>
      </c>
      <c r="W25" s="77">
        <f t="shared" si="11"/>
        <v>0.91999999999999993</v>
      </c>
      <c r="X25" s="77">
        <f t="shared" si="11"/>
        <v>0.90999999999999992</v>
      </c>
      <c r="Y25" s="77">
        <f t="shared" si="11"/>
        <v>0.89999999999999991</v>
      </c>
      <c r="Z25" s="77">
        <f t="shared" si="11"/>
        <v>0.8899999999999999</v>
      </c>
      <c r="AA25" s="77">
        <f t="shared" si="11"/>
        <v>0.87999999999999989</v>
      </c>
      <c r="AB25" s="77">
        <f t="shared" si="11"/>
        <v>0.86999999999999988</v>
      </c>
      <c r="AC25" s="77">
        <f t="shared" si="11"/>
        <v>0.85999999999999988</v>
      </c>
      <c r="AD25" s="77">
        <f t="shared" si="11"/>
        <v>0.84999999999999987</v>
      </c>
      <c r="AE25" s="77">
        <f t="shared" si="11"/>
        <v>0.83999999999999986</v>
      </c>
      <c r="AF25" s="77">
        <f t="shared" si="11"/>
        <v>0.82999999999999985</v>
      </c>
      <c r="AG25" s="77">
        <f t="shared" si="11"/>
        <v>0.81999999999999984</v>
      </c>
      <c r="AH25" s="77">
        <f t="shared" si="11"/>
        <v>0.80999999999999983</v>
      </c>
      <c r="AI25" s="77">
        <f t="shared" si="11"/>
        <v>0.79999999999999982</v>
      </c>
      <c r="AJ25" s="77">
        <f t="shared" si="11"/>
        <v>0.78999999999999981</v>
      </c>
      <c r="AK25" s="77">
        <f t="shared" si="11"/>
        <v>0.7799999999999998</v>
      </c>
      <c r="AL25" s="77">
        <f t="shared" si="11"/>
        <v>0.7699999999999998</v>
      </c>
      <c r="AM25" s="77">
        <f t="shared" si="11"/>
        <v>0.75999999999999979</v>
      </c>
      <c r="AN25" s="77">
        <f t="shared" si="11"/>
        <v>0.74999999999999978</v>
      </c>
      <c r="AO25" s="77">
        <f t="shared" si="11"/>
        <v>0.73999999999999977</v>
      </c>
      <c r="AP25" s="77">
        <f t="shared" si="11"/>
        <v>0.72999999999999976</v>
      </c>
      <c r="AQ25" s="77">
        <f t="shared" si="11"/>
        <v>0.71999999999999975</v>
      </c>
      <c r="AR25" s="77">
        <f t="shared" si="11"/>
        <v>0.70999999999999974</v>
      </c>
      <c r="AS25" s="77">
        <f t="shared" si="11"/>
        <v>0.69999999999999973</v>
      </c>
      <c r="AT25" s="77">
        <f t="shared" si="11"/>
        <v>0.68999999999999972</v>
      </c>
      <c r="AU25" s="77">
        <f t="shared" si="11"/>
        <v>0.67999999999999972</v>
      </c>
      <c r="AV25" s="77">
        <f t="shared" si="11"/>
        <v>0.66999999999999971</v>
      </c>
    </row>
    <row r="26" spans="1:48">
      <c r="A26" t="s">
        <v>16</v>
      </c>
      <c r="B26" s="233"/>
      <c r="I26" s="137"/>
      <c r="J26" s="77"/>
      <c r="K26" s="77"/>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row>
    <row r="27" spans="1:48">
      <c r="A27" t="s">
        <v>16</v>
      </c>
      <c r="B27" s="233" t="s">
        <v>486</v>
      </c>
      <c r="C27" s="235">
        <v>0.2</v>
      </c>
      <c r="I27" s="137"/>
      <c r="J27" s="77"/>
      <c r="K27" s="77"/>
      <c r="L27" s="77"/>
      <c r="M27" s="77"/>
      <c r="N27" s="77"/>
      <c r="O27" s="77"/>
      <c r="P27" s="77"/>
      <c r="Q27" s="77"/>
      <c r="R27" s="77"/>
      <c r="S27" s="77"/>
      <c r="T27" s="77"/>
      <c r="U27" s="77"/>
      <c r="V27" s="77"/>
      <c r="W27" s="77"/>
      <c r="X27" s="77"/>
      <c r="Y27" s="77"/>
      <c r="Z27" s="77"/>
      <c r="AH27" s="77"/>
      <c r="AI27" s="77"/>
      <c r="AJ27" s="77"/>
      <c r="AK27" s="77"/>
      <c r="AL27" s="77"/>
      <c r="AM27" s="77"/>
      <c r="AN27" s="77"/>
      <c r="AO27" s="77"/>
      <c r="AP27" s="77"/>
      <c r="AQ27" s="77"/>
      <c r="AR27" s="77"/>
      <c r="AS27" s="77"/>
      <c r="AT27" s="77"/>
      <c r="AU27" s="77"/>
      <c r="AV27" s="77"/>
    </row>
    <row r="28" spans="1:48">
      <c r="A28" t="s">
        <v>16</v>
      </c>
      <c r="B28" s="233"/>
      <c r="I28" s="137"/>
      <c r="J28" s="77"/>
      <c r="K28" s="77"/>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row>
    <row r="29" spans="1:48">
      <c r="A29" t="s">
        <v>16</v>
      </c>
      <c r="B29" s="236" t="s">
        <v>490</v>
      </c>
      <c r="C29" s="150"/>
      <c r="D29" s="150"/>
      <c r="I29" s="137"/>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row>
    <row r="30" spans="1:48">
      <c r="A30" t="s">
        <v>16</v>
      </c>
      <c r="B30" s="233" t="s">
        <v>487</v>
      </c>
      <c r="D30" s="75" t="s">
        <v>71</v>
      </c>
      <c r="I30" s="137"/>
      <c r="J30" s="192">
        <f>J23</f>
        <v>132.81548999999998</v>
      </c>
      <c r="K30" s="192">
        <f t="shared" ref="K30:O30" si="12">K23</f>
        <v>134.00787499999998</v>
      </c>
      <c r="L30" s="192">
        <f t="shared" si="12"/>
        <v>135.598851</v>
      </c>
      <c r="M30" s="192">
        <f t="shared" si="12"/>
        <v>136.99421599999999</v>
      </c>
      <c r="N30" s="192">
        <f t="shared" si="12"/>
        <v>138.328236</v>
      </c>
      <c r="O30" s="192">
        <f t="shared" si="12"/>
        <v>139.22563422464734</v>
      </c>
      <c r="P30" s="77">
        <f>P25*$O$23</f>
        <v>137.83337788240087</v>
      </c>
      <c r="Q30" s="77">
        <f t="shared" ref="Q30:AV30" si="13">Q25*$O$23</f>
        <v>136.4411215401544</v>
      </c>
      <c r="R30" s="77">
        <f t="shared" si="13"/>
        <v>135.0488651979079</v>
      </c>
      <c r="S30" s="77">
        <f t="shared" si="13"/>
        <v>133.65660885566143</v>
      </c>
      <c r="T30" s="77">
        <f t="shared" si="13"/>
        <v>132.26435251341496</v>
      </c>
      <c r="U30" s="77">
        <f t="shared" si="13"/>
        <v>130.87209617116849</v>
      </c>
      <c r="V30" s="77">
        <f t="shared" si="13"/>
        <v>129.47983982892202</v>
      </c>
      <c r="W30" s="77">
        <f t="shared" si="13"/>
        <v>128.08758348667553</v>
      </c>
      <c r="X30" s="77">
        <f t="shared" si="13"/>
        <v>126.69532714442907</v>
      </c>
      <c r="Y30" s="77">
        <f t="shared" si="13"/>
        <v>125.30307080218259</v>
      </c>
      <c r="Z30" s="77">
        <f t="shared" si="13"/>
        <v>123.91081445993612</v>
      </c>
      <c r="AA30" s="77">
        <f t="shared" si="13"/>
        <v>122.51855811768964</v>
      </c>
      <c r="AB30" s="77">
        <f t="shared" si="13"/>
        <v>121.12630177544317</v>
      </c>
      <c r="AC30" s="77">
        <f t="shared" si="13"/>
        <v>119.7340454331967</v>
      </c>
      <c r="AD30" s="77">
        <f t="shared" si="13"/>
        <v>118.34178909095021</v>
      </c>
      <c r="AE30" s="77">
        <f t="shared" si="13"/>
        <v>116.94953274870375</v>
      </c>
      <c r="AF30" s="77">
        <f t="shared" si="13"/>
        <v>115.55727640645726</v>
      </c>
      <c r="AG30" s="77">
        <f t="shared" si="13"/>
        <v>114.16502006421079</v>
      </c>
      <c r="AH30" s="77">
        <f t="shared" si="13"/>
        <v>112.77276372196432</v>
      </c>
      <c r="AI30" s="77">
        <f t="shared" si="13"/>
        <v>111.38050737971784</v>
      </c>
      <c r="AJ30" s="77">
        <f t="shared" si="13"/>
        <v>109.98825103747137</v>
      </c>
      <c r="AK30" s="77">
        <f t="shared" si="13"/>
        <v>108.59599469522489</v>
      </c>
      <c r="AL30" s="77">
        <f t="shared" si="13"/>
        <v>107.20373835297842</v>
      </c>
      <c r="AM30" s="77">
        <f t="shared" si="13"/>
        <v>105.81148201073195</v>
      </c>
      <c r="AN30" s="77">
        <f t="shared" si="13"/>
        <v>104.41922566848547</v>
      </c>
      <c r="AO30" s="77">
        <f t="shared" si="13"/>
        <v>103.026969326239</v>
      </c>
      <c r="AP30" s="77">
        <f t="shared" si="13"/>
        <v>101.63471298399253</v>
      </c>
      <c r="AQ30" s="77">
        <f t="shared" si="13"/>
        <v>100.24245664174605</v>
      </c>
      <c r="AR30" s="77">
        <f t="shared" si="13"/>
        <v>98.850200299499576</v>
      </c>
      <c r="AS30" s="77">
        <f t="shared" si="13"/>
        <v>97.457943957253093</v>
      </c>
      <c r="AT30" s="77">
        <f t="shared" si="13"/>
        <v>96.065687615006624</v>
      </c>
      <c r="AU30" s="77">
        <f t="shared" si="13"/>
        <v>94.673431272760155</v>
      </c>
      <c r="AV30" s="77">
        <f t="shared" si="13"/>
        <v>93.281174930513671</v>
      </c>
    </row>
    <row r="31" spans="1:48">
      <c r="A31" t="s">
        <v>16</v>
      </c>
      <c r="B31" s="233" t="s">
        <v>488</v>
      </c>
      <c r="D31" s="75" t="s">
        <v>71</v>
      </c>
      <c r="I31" s="137"/>
      <c r="J31" s="77">
        <f>J23-J30</f>
        <v>0</v>
      </c>
      <c r="K31" s="77">
        <f t="shared" ref="K31:AV31" si="14">K23-K30</f>
        <v>0</v>
      </c>
      <c r="L31" s="77">
        <f t="shared" si="14"/>
        <v>0</v>
      </c>
      <c r="M31" s="77">
        <f t="shared" si="14"/>
        <v>0</v>
      </c>
      <c r="N31" s="77">
        <f t="shared" si="14"/>
        <v>0</v>
      </c>
      <c r="O31" s="77">
        <f t="shared" si="14"/>
        <v>0</v>
      </c>
      <c r="P31" s="77">
        <f t="shared" si="14"/>
        <v>2.3938069038402432</v>
      </c>
      <c r="Q31" s="77">
        <f t="shared" si="14"/>
        <v>4.6118634144366126</v>
      </c>
      <c r="R31" s="77">
        <f t="shared" si="14"/>
        <v>6.0041197566831102</v>
      </c>
      <c r="S31" s="77">
        <f t="shared" si="14"/>
        <v>9.6650928976952741</v>
      </c>
      <c r="T31" s="77">
        <f t="shared" si="14"/>
        <v>12.856627469991082</v>
      </c>
      <c r="U31" s="77">
        <f t="shared" si="14"/>
        <v>15.986280529728816</v>
      </c>
      <c r="V31" s="77">
        <f t="shared" si="14"/>
        <v>19.180723949508945</v>
      </c>
      <c r="W31" s="77">
        <f t="shared" si="14"/>
        <v>22.23805162841029</v>
      </c>
      <c r="X31" s="77">
        <f t="shared" si="14"/>
        <v>25.098997800253002</v>
      </c>
      <c r="Y31" s="77">
        <f t="shared" si="14"/>
        <v>27.939195272068332</v>
      </c>
      <c r="Z31" s="77">
        <f t="shared" si="14"/>
        <v>30.818150952846821</v>
      </c>
      <c r="AA31" s="77">
        <f t="shared" si="14"/>
        <v>34.007038769279873</v>
      </c>
      <c r="AB31" s="77">
        <f t="shared" si="14"/>
        <v>37.069271549809613</v>
      </c>
      <c r="AC31" s="77">
        <f t="shared" si="14"/>
        <v>40.368719245363664</v>
      </c>
      <c r="AD31" s="77">
        <f t="shared" si="14"/>
        <v>43.699699631150253</v>
      </c>
      <c r="AE31" s="77">
        <f t="shared" si="14"/>
        <v>47.37467368014768</v>
      </c>
      <c r="AF31" s="77">
        <f t="shared" si="14"/>
        <v>51.120182014985275</v>
      </c>
      <c r="AG31" s="77">
        <f t="shared" si="14"/>
        <v>54.722826557435909</v>
      </c>
      <c r="AH31" s="77">
        <f t="shared" si="14"/>
        <v>58.172779635765906</v>
      </c>
      <c r="AI31" s="77">
        <f t="shared" si="14"/>
        <v>61.17827351341495</v>
      </c>
      <c r="AJ31" s="77">
        <f t="shared" si="14"/>
        <v>64.477991413749265</v>
      </c>
      <c r="AK31" s="77">
        <f t="shared" si="14"/>
        <v>68.103368811254782</v>
      </c>
      <c r="AL31" s="77">
        <f t="shared" si="14"/>
        <v>71.568019203746289</v>
      </c>
      <c r="AM31" s="77">
        <f t="shared" si="14"/>
        <v>75.326993078898155</v>
      </c>
      <c r="AN31" s="77">
        <f t="shared" si="14"/>
        <v>79.047742351689834</v>
      </c>
      <c r="AO31" s="77">
        <f t="shared" si="14"/>
        <v>82.731944458291139</v>
      </c>
      <c r="AP31" s="77">
        <f t="shared" si="14"/>
        <v>86.381159253539579</v>
      </c>
      <c r="AQ31" s="77">
        <f t="shared" si="14"/>
        <v>89.996840170486465</v>
      </c>
      <c r="AR31" s="77">
        <f t="shared" si="14"/>
        <v>93.05679748459265</v>
      </c>
      <c r="AS31" s="77">
        <f t="shared" si="14"/>
        <v>96.098742805462081</v>
      </c>
      <c r="AT31" s="77">
        <f t="shared" si="14"/>
        <v>99.123209696887074</v>
      </c>
      <c r="AU31" s="77">
        <f t="shared" si="14"/>
        <v>102.13070624926502</v>
      </c>
      <c r="AV31" s="77">
        <f t="shared" si="14"/>
        <v>105.18255800388404</v>
      </c>
    </row>
    <row r="32" spans="1:48">
      <c r="A32" t="s">
        <v>16</v>
      </c>
      <c r="B32" s="233"/>
      <c r="I32" s="137"/>
      <c r="J32" s="77"/>
      <c r="K32" s="77"/>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row>
    <row r="33" spans="1:48">
      <c r="A33" t="s">
        <v>16</v>
      </c>
      <c r="B33" s="236" t="s">
        <v>495</v>
      </c>
      <c r="C33" s="150"/>
      <c r="D33" s="150"/>
      <c r="I33" s="137"/>
      <c r="J33" s="77"/>
      <c r="K33" s="77"/>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row>
    <row r="34" spans="1:48">
      <c r="A34" t="s">
        <v>16</v>
      </c>
      <c r="B34" s="233" t="s">
        <v>489</v>
      </c>
      <c r="D34" s="75" t="s">
        <v>71</v>
      </c>
      <c r="I34" s="137"/>
      <c r="J34" s="77">
        <f>SUM(J30:J31)*$C$27</f>
        <v>26.563097999999997</v>
      </c>
      <c r="K34" s="77">
        <f t="shared" ref="K34:AV34" si="15">SUM(K30:K31)*$C$27</f>
        <v>26.801575</v>
      </c>
      <c r="L34" s="77">
        <f t="shared" si="15"/>
        <v>27.119770200000001</v>
      </c>
      <c r="M34" s="77">
        <f t="shared" si="15"/>
        <v>27.398843200000002</v>
      </c>
      <c r="N34" s="77">
        <f t="shared" si="15"/>
        <v>27.665647200000002</v>
      </c>
      <c r="O34" s="77">
        <f t="shared" si="15"/>
        <v>27.845126844929467</v>
      </c>
      <c r="P34" s="195">
        <f t="shared" si="15"/>
        <v>28.045436957248224</v>
      </c>
      <c r="Q34" s="77">
        <f t="shared" si="15"/>
        <v>28.210596990918205</v>
      </c>
      <c r="R34" s="77">
        <f t="shared" si="15"/>
        <v>28.210596990918205</v>
      </c>
      <c r="S34" s="77">
        <f t="shared" si="15"/>
        <v>28.664340350671342</v>
      </c>
      <c r="T34" s="77">
        <f t="shared" si="15"/>
        <v>29.024195996681211</v>
      </c>
      <c r="U34" s="77">
        <f t="shared" si="15"/>
        <v>29.371675340179465</v>
      </c>
      <c r="V34" s="77">
        <f t="shared" si="15"/>
        <v>29.732112755686195</v>
      </c>
      <c r="W34" s="77">
        <f t="shared" si="15"/>
        <v>30.065127023017165</v>
      </c>
      <c r="X34" s="77">
        <f t="shared" si="15"/>
        <v>30.358864988936418</v>
      </c>
      <c r="Y34" s="77">
        <f t="shared" si="15"/>
        <v>30.648453214850186</v>
      </c>
      <c r="Z34" s="77">
        <f t="shared" si="15"/>
        <v>30.945793082556591</v>
      </c>
      <c r="AA34" s="77">
        <f t="shared" si="15"/>
        <v>31.305119377393904</v>
      </c>
      <c r="AB34" s="77">
        <f t="shared" si="15"/>
        <v>31.639114665050556</v>
      </c>
      <c r="AC34" s="77">
        <f t="shared" si="15"/>
        <v>32.020552935712075</v>
      </c>
      <c r="AD34" s="77">
        <f t="shared" si="15"/>
        <v>32.408297744420096</v>
      </c>
      <c r="AE34" s="77">
        <f t="shared" si="15"/>
        <v>32.864841285770289</v>
      </c>
      <c r="AF34" s="77">
        <f t="shared" si="15"/>
        <v>33.335491684288506</v>
      </c>
      <c r="AG34" s="77">
        <f t="shared" si="15"/>
        <v>33.777569324329342</v>
      </c>
      <c r="AH34" s="77">
        <f t="shared" si="15"/>
        <v>34.189108671546045</v>
      </c>
      <c r="AI34" s="77">
        <f t="shared" si="15"/>
        <v>34.511756178626563</v>
      </c>
      <c r="AJ34" s="77">
        <f t="shared" si="15"/>
        <v>34.893248490244126</v>
      </c>
      <c r="AK34" s="77">
        <f t="shared" si="15"/>
        <v>35.339872701295938</v>
      </c>
      <c r="AL34" s="77">
        <f t="shared" si="15"/>
        <v>35.754351511344943</v>
      </c>
      <c r="AM34" s="77">
        <f t="shared" si="15"/>
        <v>36.227695017926024</v>
      </c>
      <c r="AN34" s="77">
        <f t="shared" si="15"/>
        <v>36.693393604035059</v>
      </c>
      <c r="AO34" s="77">
        <f t="shared" si="15"/>
        <v>37.15178275690603</v>
      </c>
      <c r="AP34" s="77">
        <f t="shared" si="15"/>
        <v>37.603174447506426</v>
      </c>
      <c r="AQ34" s="77">
        <f t="shared" si="15"/>
        <v>38.047859362446502</v>
      </c>
      <c r="AR34" s="77">
        <f t="shared" si="15"/>
        <v>38.381399556818451</v>
      </c>
      <c r="AS34" s="77">
        <f t="shared" si="15"/>
        <v>38.71133735254304</v>
      </c>
      <c r="AT34" s="77">
        <f t="shared" si="15"/>
        <v>39.037779462378744</v>
      </c>
      <c r="AU34" s="77">
        <f t="shared" si="15"/>
        <v>39.360827504405037</v>
      </c>
      <c r="AV34" s="77">
        <f t="shared" si="15"/>
        <v>39.692746586879544</v>
      </c>
    </row>
    <row r="35" spans="1:48">
      <c r="A35" t="s">
        <v>16</v>
      </c>
      <c r="B35" s="233" t="s">
        <v>491</v>
      </c>
      <c r="C35" s="233"/>
      <c r="D35" s="75" t="s">
        <v>71</v>
      </c>
      <c r="E35" s="77"/>
      <c r="F35" s="77"/>
      <c r="G35" s="77"/>
      <c r="H35" s="77"/>
      <c r="I35" s="137"/>
      <c r="J35" s="77">
        <f>J30-J34*(J30/SUM(J30:J31))</f>
        <v>106.25239199999999</v>
      </c>
      <c r="K35" s="77">
        <f t="shared" ref="K35:AV35" si="16">K30-K34*(K30/SUM(K30:K31))</f>
        <v>107.20629999999998</v>
      </c>
      <c r="L35" s="77">
        <f t="shared" si="16"/>
        <v>108.47908079999999</v>
      </c>
      <c r="M35" s="77">
        <f t="shared" si="16"/>
        <v>109.59537279999999</v>
      </c>
      <c r="N35" s="77">
        <f t="shared" si="16"/>
        <v>110.66258880000001</v>
      </c>
      <c r="O35" s="77">
        <f t="shared" si="16"/>
        <v>111.38050737971787</v>
      </c>
      <c r="P35" s="195">
        <f t="shared" si="16"/>
        <v>110.26670230592069</v>
      </c>
      <c r="Q35" s="77">
        <f t="shared" si="16"/>
        <v>109.15289723212351</v>
      </c>
      <c r="R35" s="77">
        <f t="shared" si="16"/>
        <v>108.03909215832633</v>
      </c>
      <c r="S35" s="77">
        <f t="shared" si="16"/>
        <v>106.92528708452915</v>
      </c>
      <c r="T35" s="77">
        <f t="shared" si="16"/>
        <v>105.81148201073196</v>
      </c>
      <c r="U35" s="77">
        <f t="shared" si="16"/>
        <v>104.69767693693478</v>
      </c>
      <c r="V35" s="77">
        <f t="shared" si="16"/>
        <v>103.58387186313762</v>
      </c>
      <c r="W35" s="77">
        <f t="shared" si="16"/>
        <v>102.47006678934042</v>
      </c>
      <c r="X35" s="77">
        <f t="shared" si="16"/>
        <v>101.35626171554325</v>
      </c>
      <c r="Y35" s="77">
        <f t="shared" si="16"/>
        <v>100.24245664174607</v>
      </c>
      <c r="Z35" s="77">
        <f t="shared" si="16"/>
        <v>99.128651567948893</v>
      </c>
      <c r="AA35" s="77">
        <f t="shared" si="16"/>
        <v>98.014846494151698</v>
      </c>
      <c r="AB35" s="77">
        <f t="shared" si="16"/>
        <v>96.901041420354531</v>
      </c>
      <c r="AC35" s="77">
        <f t="shared" si="16"/>
        <v>95.787236346557364</v>
      </c>
      <c r="AD35" s="77">
        <f t="shared" si="16"/>
        <v>94.673431272760169</v>
      </c>
      <c r="AE35" s="77">
        <f t="shared" si="16"/>
        <v>93.559626198963002</v>
      </c>
      <c r="AF35" s="77">
        <f t="shared" si="16"/>
        <v>92.445821125165807</v>
      </c>
      <c r="AG35" s="77">
        <f t="shared" si="16"/>
        <v>91.33201605136864</v>
      </c>
      <c r="AH35" s="77">
        <f t="shared" si="16"/>
        <v>90.218210977571459</v>
      </c>
      <c r="AI35" s="77">
        <f t="shared" si="16"/>
        <v>89.104405903774264</v>
      </c>
      <c r="AJ35" s="77">
        <f t="shared" si="16"/>
        <v>87.990600829977097</v>
      </c>
      <c r="AK35" s="77">
        <f t="shared" si="16"/>
        <v>86.876795756179916</v>
      </c>
      <c r="AL35" s="77">
        <f t="shared" si="16"/>
        <v>85.762990682382735</v>
      </c>
      <c r="AM35" s="77">
        <f t="shared" si="16"/>
        <v>84.649185608585555</v>
      </c>
      <c r="AN35" s="77">
        <f t="shared" si="16"/>
        <v>83.535380534788374</v>
      </c>
      <c r="AO35" s="77">
        <f t="shared" si="16"/>
        <v>82.421575460991193</v>
      </c>
      <c r="AP35" s="77">
        <f t="shared" si="16"/>
        <v>81.307770387194012</v>
      </c>
      <c r="AQ35" s="77">
        <f t="shared" si="16"/>
        <v>80.193965313396831</v>
      </c>
      <c r="AR35" s="77">
        <f t="shared" si="16"/>
        <v>79.08016023959965</v>
      </c>
      <c r="AS35" s="77">
        <f t="shared" si="16"/>
        <v>77.966355165802469</v>
      </c>
      <c r="AT35" s="77">
        <f t="shared" si="16"/>
        <v>76.852550092005302</v>
      </c>
      <c r="AU35" s="77">
        <f t="shared" si="16"/>
        <v>75.738745018208121</v>
      </c>
      <c r="AV35" s="77">
        <f t="shared" si="16"/>
        <v>74.62493994441094</v>
      </c>
    </row>
    <row r="36" spans="1:48">
      <c r="A36" t="s">
        <v>16</v>
      </c>
      <c r="B36" s="233" t="s">
        <v>492</v>
      </c>
      <c r="C36" s="233"/>
      <c r="D36" s="75" t="s">
        <v>71</v>
      </c>
      <c r="E36" s="77"/>
      <c r="F36" s="77"/>
      <c r="G36" s="77"/>
      <c r="H36" s="77"/>
      <c r="I36" s="137"/>
      <c r="J36" s="77">
        <f>J23-J35-J34</f>
        <v>0</v>
      </c>
      <c r="K36" s="77">
        <f t="shared" ref="K36:AV36" si="17">K23-K35-K34</f>
        <v>0</v>
      </c>
      <c r="L36" s="77">
        <f t="shared" si="17"/>
        <v>0</v>
      </c>
      <c r="M36" s="77">
        <f t="shared" si="17"/>
        <v>0</v>
      </c>
      <c r="N36" s="77">
        <f t="shared" si="17"/>
        <v>0</v>
      </c>
      <c r="O36" s="77">
        <f t="shared" si="17"/>
        <v>0</v>
      </c>
      <c r="P36" s="195">
        <f t="shared" si="17"/>
        <v>1.9150455230721981</v>
      </c>
      <c r="Q36" s="77">
        <f t="shared" si="17"/>
        <v>3.6894907315492986</v>
      </c>
      <c r="R36" s="77">
        <f t="shared" si="17"/>
        <v>4.8032958053464796</v>
      </c>
      <c r="S36" s="77">
        <f t="shared" si="17"/>
        <v>7.7320743181562186</v>
      </c>
      <c r="T36" s="77">
        <f t="shared" si="17"/>
        <v>10.285301975992869</v>
      </c>
      <c r="U36" s="77">
        <f t="shared" si="17"/>
        <v>12.789024423783061</v>
      </c>
      <c r="V36" s="77">
        <f t="shared" si="17"/>
        <v>15.344579159607157</v>
      </c>
      <c r="W36" s="77">
        <f t="shared" si="17"/>
        <v>17.79044130272823</v>
      </c>
      <c r="X36" s="77">
        <f t="shared" si="17"/>
        <v>20.079198240202402</v>
      </c>
      <c r="Y36" s="77">
        <f t="shared" si="17"/>
        <v>22.351356217654661</v>
      </c>
      <c r="Z36" s="77">
        <f t="shared" si="17"/>
        <v>24.654520762277457</v>
      </c>
      <c r="AA36" s="77">
        <f t="shared" si="17"/>
        <v>27.205631015423908</v>
      </c>
      <c r="AB36" s="77">
        <f t="shared" si="17"/>
        <v>29.655417239847694</v>
      </c>
      <c r="AC36" s="77">
        <f t="shared" si="17"/>
        <v>32.294975396290923</v>
      </c>
      <c r="AD36" s="77">
        <f t="shared" si="17"/>
        <v>34.959759704920202</v>
      </c>
      <c r="AE36" s="77">
        <f t="shared" si="17"/>
        <v>37.899738944118134</v>
      </c>
      <c r="AF36" s="77">
        <f t="shared" si="17"/>
        <v>40.896145611988224</v>
      </c>
      <c r="AG36" s="77">
        <f t="shared" si="17"/>
        <v>43.77826124594872</v>
      </c>
      <c r="AH36" s="77">
        <f t="shared" si="17"/>
        <v>46.538223708612726</v>
      </c>
      <c r="AI36" s="77">
        <f t="shared" si="17"/>
        <v>48.942618810731965</v>
      </c>
      <c r="AJ36" s="77">
        <f t="shared" si="17"/>
        <v>51.582393130999414</v>
      </c>
      <c r="AK36" s="77">
        <f t="shared" si="17"/>
        <v>54.482695049003816</v>
      </c>
      <c r="AL36" s="77">
        <f t="shared" si="17"/>
        <v>57.25441536299703</v>
      </c>
      <c r="AM36" s="77">
        <f t="shared" si="17"/>
        <v>60.261594463118527</v>
      </c>
      <c r="AN36" s="77">
        <f t="shared" si="17"/>
        <v>63.238193881351869</v>
      </c>
      <c r="AO36" s="77">
        <f t="shared" si="17"/>
        <v>66.185555566632914</v>
      </c>
      <c r="AP36" s="77">
        <f t="shared" si="17"/>
        <v>69.104927402831663</v>
      </c>
      <c r="AQ36" s="77">
        <f t="shared" si="17"/>
        <v>71.997472136389177</v>
      </c>
      <c r="AR36" s="77">
        <f t="shared" si="17"/>
        <v>74.445437987674126</v>
      </c>
      <c r="AS36" s="77">
        <f t="shared" si="17"/>
        <v>76.878994244369665</v>
      </c>
      <c r="AT36" s="77">
        <f t="shared" si="17"/>
        <v>79.298567757509659</v>
      </c>
      <c r="AU36" s="77">
        <f t="shared" si="17"/>
        <v>81.704564999412014</v>
      </c>
      <c r="AV36" s="77">
        <f t="shared" si="17"/>
        <v>84.146046403107221</v>
      </c>
    </row>
    <row r="37" spans="1:48">
      <c r="A37" t="s">
        <v>16</v>
      </c>
      <c r="B37" s="233"/>
      <c r="C37" s="233"/>
      <c r="E37" s="77"/>
      <c r="F37" s="77"/>
      <c r="G37" s="77"/>
      <c r="H37" s="77"/>
      <c r="I37" s="137"/>
      <c r="J37" s="77"/>
      <c r="K37" s="77"/>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row>
    <row r="38" spans="1:48">
      <c r="A38" t="s">
        <v>16</v>
      </c>
      <c r="E38" s="77"/>
      <c r="F38" s="77"/>
      <c r="G38" s="77"/>
      <c r="H38" s="77"/>
      <c r="I38" s="137"/>
      <c r="J38" s="77"/>
      <c r="K38" s="77"/>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row>
    <row r="39" spans="1:48" ht="15.75">
      <c r="A39" t="s">
        <v>16</v>
      </c>
      <c r="B39" s="237" t="s">
        <v>493</v>
      </c>
      <c r="C39" s="233"/>
      <c r="E39" s="77"/>
      <c r="F39" s="77"/>
      <c r="G39" s="77"/>
      <c r="H39" s="77"/>
      <c r="I39" s="137"/>
      <c r="J39" s="77"/>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row>
    <row r="40" spans="1:48">
      <c r="A40" t="s">
        <v>16</v>
      </c>
      <c r="B40" s="238" t="s">
        <v>499</v>
      </c>
      <c r="C40" s="233"/>
      <c r="E40" s="77"/>
      <c r="F40" s="77"/>
      <c r="G40" s="77"/>
      <c r="H40" s="77"/>
      <c r="I40" s="77"/>
      <c r="J40" s="76"/>
      <c r="K40" s="77"/>
      <c r="L40" s="77"/>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row>
    <row r="41" spans="1:48">
      <c r="A41" t="s">
        <v>16</v>
      </c>
      <c r="B41" s="78" t="s">
        <v>234</v>
      </c>
      <c r="C41" s="78"/>
      <c r="D41" s="79" t="s">
        <v>235</v>
      </c>
      <c r="E41" s="88"/>
      <c r="F41" s="88"/>
      <c r="G41" s="88"/>
      <c r="H41" s="88"/>
      <c r="I41" s="88"/>
      <c r="J41" s="89">
        <v>0</v>
      </c>
      <c r="K41" s="88">
        <f t="shared" ref="K41:AV41" si="18">K36-J36</f>
        <v>0</v>
      </c>
      <c r="L41" s="88">
        <f t="shared" si="18"/>
        <v>0</v>
      </c>
      <c r="M41" s="88">
        <f t="shared" si="18"/>
        <v>0</v>
      </c>
      <c r="N41" s="88">
        <f t="shared" si="18"/>
        <v>0</v>
      </c>
      <c r="O41" s="88">
        <f t="shared" si="18"/>
        <v>0</v>
      </c>
      <c r="P41" s="88">
        <f t="shared" si="18"/>
        <v>1.9150455230721981</v>
      </c>
      <c r="Q41" s="88">
        <f t="shared" si="18"/>
        <v>1.7744452084771005</v>
      </c>
      <c r="R41" s="88">
        <f t="shared" si="18"/>
        <v>1.113805073797181</v>
      </c>
      <c r="S41" s="88">
        <f t="shared" si="18"/>
        <v>2.928778512809739</v>
      </c>
      <c r="T41" s="88">
        <f t="shared" si="18"/>
        <v>2.5532276578366506</v>
      </c>
      <c r="U41" s="88">
        <f t="shared" si="18"/>
        <v>2.5037224477901923</v>
      </c>
      <c r="V41" s="88">
        <f t="shared" si="18"/>
        <v>2.5555547358240958</v>
      </c>
      <c r="W41" s="88">
        <f t="shared" si="18"/>
        <v>2.4458621431210723</v>
      </c>
      <c r="X41" s="88">
        <f t="shared" si="18"/>
        <v>2.2887569374741723</v>
      </c>
      <c r="Y41" s="88">
        <f t="shared" si="18"/>
        <v>2.2721579774522596</v>
      </c>
      <c r="Z41" s="88">
        <f t="shared" si="18"/>
        <v>2.3031645446227955</v>
      </c>
      <c r="AA41" s="88">
        <f t="shared" si="18"/>
        <v>2.5511102531464509</v>
      </c>
      <c r="AB41" s="88">
        <f t="shared" si="18"/>
        <v>2.4497862244237858</v>
      </c>
      <c r="AC41" s="88">
        <f t="shared" si="18"/>
        <v>2.6395581564432291</v>
      </c>
      <c r="AD41" s="88">
        <f t="shared" si="18"/>
        <v>2.6647843086292795</v>
      </c>
      <c r="AE41" s="88">
        <f t="shared" si="18"/>
        <v>2.9399792391979318</v>
      </c>
      <c r="AF41" s="88">
        <f t="shared" si="18"/>
        <v>2.9964066678700902</v>
      </c>
      <c r="AG41" s="88">
        <f t="shared" si="18"/>
        <v>2.8821156339604954</v>
      </c>
      <c r="AH41" s="88">
        <f t="shared" si="18"/>
        <v>2.7599624626640065</v>
      </c>
      <c r="AI41" s="88">
        <f t="shared" si="18"/>
        <v>2.4043951021192385</v>
      </c>
      <c r="AJ41" s="88">
        <f t="shared" si="18"/>
        <v>2.6397743202674491</v>
      </c>
      <c r="AK41" s="88">
        <f t="shared" si="18"/>
        <v>2.9003019180044021</v>
      </c>
      <c r="AL41" s="88">
        <f t="shared" si="18"/>
        <v>2.7717203139932138</v>
      </c>
      <c r="AM41" s="88">
        <f t="shared" si="18"/>
        <v>3.0071791001214976</v>
      </c>
      <c r="AN41" s="88">
        <f t="shared" si="18"/>
        <v>2.9765994182333415</v>
      </c>
      <c r="AO41" s="88">
        <f t="shared" si="18"/>
        <v>2.9473616852810451</v>
      </c>
      <c r="AP41" s="88">
        <f t="shared" si="18"/>
        <v>2.9193718361987493</v>
      </c>
      <c r="AQ41" s="88">
        <f t="shared" si="18"/>
        <v>2.8925447335575143</v>
      </c>
      <c r="AR41" s="88">
        <f t="shared" si="18"/>
        <v>2.4479658512849483</v>
      </c>
      <c r="AS41" s="88">
        <f t="shared" si="18"/>
        <v>2.4335562566955389</v>
      </c>
      <c r="AT41" s="88">
        <f t="shared" si="18"/>
        <v>2.4195735131399942</v>
      </c>
      <c r="AU41" s="88">
        <f t="shared" si="18"/>
        <v>2.4059972419023552</v>
      </c>
      <c r="AV41" s="88">
        <f t="shared" si="18"/>
        <v>2.4414814036952066</v>
      </c>
    </row>
    <row r="42" spans="1:48">
      <c r="A42" t="s">
        <v>16</v>
      </c>
      <c r="B42" s="233" t="s">
        <v>236</v>
      </c>
      <c r="C42" s="233"/>
      <c r="E42" s="77"/>
      <c r="F42" s="77"/>
      <c r="G42" s="77"/>
      <c r="H42" s="77"/>
      <c r="I42" s="77"/>
      <c r="J42" s="76"/>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row>
    <row r="43" spans="1:48">
      <c r="A43" t="s">
        <v>16</v>
      </c>
      <c r="B43" s="238" t="str">
        <f>C14</f>
        <v>A</v>
      </c>
      <c r="C43" s="233"/>
      <c r="E43" s="77"/>
      <c r="F43" s="77"/>
      <c r="G43" s="77"/>
      <c r="H43" s="77"/>
      <c r="I43" s="151"/>
      <c r="J43" s="77" cm="1">
        <f t="array" ref="J43">SUM($J$41:$AV$41*(J$4=$J$4:$AV$4)*($B43=$J$11:$AV$11))</f>
        <v>0</v>
      </c>
      <c r="K43" s="77" cm="1">
        <f t="array" ref="K43">SUM($J$41:$AV$41*(K$4=$J$4:$AV$4)*($B43=$J$11:$AV$11))</f>
        <v>0</v>
      </c>
      <c r="L43" s="77" cm="1">
        <f t="array" ref="L43">SUM($J$41:$AV$41*(L$4=$J$4:$AV$4)*($B43=$J$11:$AV$11))</f>
        <v>0</v>
      </c>
      <c r="M43" s="77" cm="1">
        <f t="array" ref="M43">SUM($J$41:$AV$41*(M$4=$J$4:$AV$4)*($B43=$J$11:$AV$11))</f>
        <v>0</v>
      </c>
      <c r="N43" s="77" cm="1">
        <f t="array" ref="N43">SUM($J$41:$AV$41*(N$4=$J$4:$AV$4)*($B43=$J$11:$AV$11))</f>
        <v>0</v>
      </c>
      <c r="O43" s="77" cm="1">
        <f t="array" ref="O43">SUM($J$41:$AV$41*(O$4=$J$4:$AV$4)*($B43=$J$11:$AV$11))</f>
        <v>0</v>
      </c>
      <c r="P43" s="77" cm="1">
        <f t="array" ref="P43">SUM($J$41:$AV$41*(P$4=$J$4:$AV$4)*($B43=$J$11:$AV$11))</f>
        <v>0</v>
      </c>
      <c r="Q43" s="77" cm="1">
        <f t="array" ref="Q43">SUM($J$41:$AV$41*(Q$4=$J$4:$AV$4)*($B43=$J$11:$AV$11))</f>
        <v>0</v>
      </c>
      <c r="R43" s="77" cm="1">
        <f t="array" ref="R43">SUM($J$41:$AV$41*(R$4=$J$4:$AV$4)*($B43=$J$11:$AV$11))</f>
        <v>0</v>
      </c>
      <c r="S43" s="77" cm="1">
        <f t="array" ref="S43">SUM($J$41:$AV$41*(S$4=$J$4:$AV$4)*($B43=$J$11:$AV$11))</f>
        <v>0</v>
      </c>
      <c r="T43" s="77" cm="1">
        <f t="array" ref="T43">SUM($J$41:$AV$41*(T$4=$J$4:$AV$4)*($B43=$J$11:$AV$11))</f>
        <v>0</v>
      </c>
      <c r="U43" s="77" cm="1">
        <f t="array" ref="U43">SUM($J$41:$AV$41*(U$4=$J$4:$AV$4)*($B43=$J$11:$AV$11))</f>
        <v>0</v>
      </c>
      <c r="V43" s="77" cm="1">
        <f t="array" ref="V43">SUM($J$41:$AV$41*(V$4=$J$4:$AV$4)*($B43=$J$11:$AV$11))</f>
        <v>0</v>
      </c>
      <c r="W43" s="77" cm="1">
        <f t="array" ref="W43">SUM($J$41:$AV$41*(W$4=$J$4:$AV$4)*($B43=$J$11:$AV$11))</f>
        <v>0</v>
      </c>
      <c r="X43" s="77" cm="1">
        <f t="array" ref="X43">SUM($J$41:$AV$41*(X$4=$J$4:$AV$4)*($B43=$J$11:$AV$11))</f>
        <v>0</v>
      </c>
      <c r="Y43" s="77" cm="1">
        <f t="array" ref="Y43">SUM($J$41:$AV$41*(Y$4=$J$4:$AV$4)*($B43=$J$11:$AV$11))</f>
        <v>0</v>
      </c>
      <c r="Z43" s="77" cm="1">
        <f t="array" ref="Z43">SUM($J$41:$AV$41*(Z$4=$J$4:$AV$4)*($B43=$J$11:$AV$11))</f>
        <v>0</v>
      </c>
      <c r="AA43" s="77" cm="1">
        <f t="array" ref="AA43">SUM($J$41:$AV$41*(AA$4=$J$4:$AV$4)*($B43=$J$11:$AV$11))</f>
        <v>0</v>
      </c>
      <c r="AB43" s="77" cm="1">
        <f t="array" ref="AB43">SUM($J$41:$AV$41*(AB$4=$J$4:$AV$4)*($B43=$J$11:$AV$11))</f>
        <v>0</v>
      </c>
      <c r="AC43" s="77" cm="1">
        <f t="array" ref="AC43">SUM($J$41:$AV$41*(AC$4=$J$4:$AV$4)*($B43=$J$11:$AV$11))</f>
        <v>0</v>
      </c>
      <c r="AD43" s="77" cm="1">
        <f t="array" ref="AD43">SUM($J$41:$AV$41*(AD$4=$J$4:$AV$4)*($B43=$J$11:$AV$11))</f>
        <v>0</v>
      </c>
      <c r="AE43" s="77" cm="1">
        <f t="array" ref="AE43">SUM($J$41:$AV$41*(AE$4=$J$4:$AV$4)*($B43=$J$11:$AV$11))</f>
        <v>0</v>
      </c>
      <c r="AF43" s="77" cm="1">
        <f t="array" ref="AF43">SUM($J$41:$AV$41*(AF$4=$J$4:$AV$4)*($B43=$J$11:$AV$11))</f>
        <v>0</v>
      </c>
      <c r="AG43" s="77" cm="1">
        <f t="array" ref="AG43">SUM($J$41:$AV$41*(AG$4=$J$4:$AV$4)*($B43=$J$11:$AV$11))</f>
        <v>0</v>
      </c>
      <c r="AH43" s="77" cm="1">
        <f t="array" ref="AH43">SUM($J$41:$AV$41*(AH$4=$J$4:$AV$4)*($B43=$J$11:$AV$11))</f>
        <v>0</v>
      </c>
      <c r="AI43" s="77" cm="1">
        <f t="array" ref="AI43">SUM($J$41:$AV$41*(AI$4=$J$4:$AV$4)*($B43=$J$11:$AV$11))</f>
        <v>0</v>
      </c>
      <c r="AJ43" s="77" cm="1">
        <f t="array" ref="AJ43">SUM($J$41:$AV$41*(AJ$4=$J$4:$AV$4)*($B43=$J$11:$AV$11))</f>
        <v>0</v>
      </c>
      <c r="AK43" s="77" cm="1">
        <f t="array" ref="AK43">SUM($J$41:$AV$41*(AK$4=$J$4:$AV$4)*($B43=$J$11:$AV$11))</f>
        <v>0</v>
      </c>
      <c r="AL43" s="77" cm="1">
        <f t="array" ref="AL43">SUM($J$41:$AV$41*(AL$4=$J$4:$AV$4)*($B43=$J$11:$AV$11))</f>
        <v>0</v>
      </c>
      <c r="AM43" s="77" cm="1">
        <f t="array" ref="AM43">SUM($J$41:$AV$41*(AM$4=$J$4:$AV$4)*($B43=$J$11:$AV$11))</f>
        <v>0</v>
      </c>
      <c r="AN43" s="77" cm="1">
        <f t="array" ref="AN43">SUM($J$41:$AV$41*(AN$4=$J$4:$AV$4)*($B43=$J$11:$AV$11))</f>
        <v>0</v>
      </c>
      <c r="AO43" s="77" cm="1">
        <f t="array" ref="AO43">SUM($J$41:$AV$41*(AO$4=$J$4:$AV$4)*($B43=$J$11:$AV$11))</f>
        <v>0</v>
      </c>
      <c r="AP43" s="77" cm="1">
        <f t="array" ref="AP43">SUM($J$41:$AV$41*(AP$4=$J$4:$AV$4)*($B43=$J$11:$AV$11))</f>
        <v>0</v>
      </c>
      <c r="AQ43" s="77" cm="1">
        <f t="array" ref="AQ43">SUM($J$41:$AV$41*(AQ$4=$J$4:$AV$4)*($B43=$J$11:$AV$11))</f>
        <v>0</v>
      </c>
      <c r="AR43" s="77" cm="1">
        <f t="array" ref="AR43">SUM($J$41:$AV$41*(AR$4=$J$4:$AV$4)*($B43=$J$11:$AV$11))</f>
        <v>0</v>
      </c>
      <c r="AS43" s="77" cm="1">
        <f t="array" ref="AS43">SUM($J$41:$AV$41*(AS$4=$J$4:$AV$4)*($B43=$J$11:$AV$11))</f>
        <v>0</v>
      </c>
      <c r="AT43" s="77" cm="1">
        <f t="array" ref="AT43">SUM($J$41:$AV$41*(AT$4=$J$4:$AV$4)*($B43=$J$11:$AV$11))</f>
        <v>0</v>
      </c>
      <c r="AU43" s="77" cm="1">
        <f t="array" ref="AU43">SUM($J$41:$AV$41*(AU$4=$J$4:$AV$4)*($B43=$J$11:$AV$11))</f>
        <v>0</v>
      </c>
      <c r="AV43" s="77" cm="1">
        <f t="array" ref="AV43">SUM($J$41:$AV$41*(AV$4=$J$4:$AV$4)*($B43=$J$11:$AV$11))</f>
        <v>0</v>
      </c>
    </row>
    <row r="44" spans="1:48">
      <c r="A44" t="s">
        <v>16</v>
      </c>
      <c r="B44" s="238" t="str">
        <f>C15</f>
        <v>B</v>
      </c>
      <c r="C44" s="233"/>
      <c r="E44" s="77"/>
      <c r="F44" s="77"/>
      <c r="G44" s="77"/>
      <c r="H44" s="77"/>
      <c r="I44" s="151"/>
      <c r="J44" s="77" cm="1">
        <f t="array" ref="J44">SUM($J$41:$AV$41*(J$4=$J$4:$AV$4)*($B44=$J$11:$AV$11))</f>
        <v>0</v>
      </c>
      <c r="K44" s="77" cm="1">
        <f t="array" ref="K44">SUM($J$41:$AV$41*(K$4=$J$4:$AV$4)*($B44=$J$11:$AV$11))</f>
        <v>0</v>
      </c>
      <c r="L44" s="77" cm="1">
        <f t="array" ref="L44">SUM($J$41:$AV$41*(L$4=$J$4:$AV$4)*($B44=$J$11:$AV$11))</f>
        <v>0</v>
      </c>
      <c r="M44" s="77" cm="1">
        <f t="array" ref="M44">SUM($J$41:$AV$41*(M$4=$J$4:$AV$4)*($B44=$J$11:$AV$11))</f>
        <v>0</v>
      </c>
      <c r="N44" s="77" cm="1">
        <f t="array" ref="N44">SUM($J$41:$AV$41*(N$4=$J$4:$AV$4)*($B44=$J$11:$AV$11))</f>
        <v>0</v>
      </c>
      <c r="O44" s="77" cm="1">
        <f t="array" ref="O44">SUM($J$41:$AV$41*(O$4=$J$4:$AV$4)*($B44=$J$11:$AV$11))</f>
        <v>0</v>
      </c>
      <c r="P44" s="77" cm="1">
        <f t="array" ref="P44">SUM($J$41:$AV$41*(P$4=$J$4:$AV$4)*($B44=$J$11:$AV$11))</f>
        <v>1.9150455230721981</v>
      </c>
      <c r="Q44" s="77" cm="1">
        <f t="array" ref="Q44">SUM($J$41:$AV$41*(Q$4=$J$4:$AV$4)*($B44=$J$11:$AV$11))</f>
        <v>1.7744452084771005</v>
      </c>
      <c r="R44" s="77" cm="1">
        <f t="array" ref="R44">SUM($J$41:$AV$41*(R$4=$J$4:$AV$4)*($B44=$J$11:$AV$11))</f>
        <v>1.113805073797181</v>
      </c>
      <c r="S44" s="77" cm="1">
        <f t="array" ref="S44">SUM($J$41:$AV$41*(S$4=$J$4:$AV$4)*($B44=$J$11:$AV$11))</f>
        <v>2.928778512809739</v>
      </c>
      <c r="T44" s="77" cm="1">
        <f t="array" ref="T44">SUM($J$41:$AV$41*(T$4=$J$4:$AV$4)*($B44=$J$11:$AV$11))</f>
        <v>2.5532276578366506</v>
      </c>
      <c r="U44" s="77" cm="1">
        <f t="array" ref="U44">SUM($J$41:$AV$41*(U$4=$J$4:$AV$4)*($B44=$J$11:$AV$11))</f>
        <v>2.5037224477901923</v>
      </c>
      <c r="V44" s="77" cm="1">
        <f t="array" ref="V44">SUM($J$41:$AV$41*(V$4=$J$4:$AV$4)*($B44=$J$11:$AV$11))</f>
        <v>2.5555547358240958</v>
      </c>
      <c r="W44" s="77" cm="1">
        <f t="array" ref="W44">SUM($J$41:$AV$41*(W$4=$J$4:$AV$4)*($B44=$J$11:$AV$11))</f>
        <v>2.4458621431210723</v>
      </c>
      <c r="X44" s="77" cm="1">
        <f t="array" ref="X44">SUM($J$41:$AV$41*(X$4=$J$4:$AV$4)*($B44=$J$11:$AV$11))</f>
        <v>2.2887569374741723</v>
      </c>
      <c r="Y44" s="77" cm="1">
        <f t="array" ref="Y44">SUM($J$41:$AV$41*(Y$4=$J$4:$AV$4)*($B44=$J$11:$AV$11))</f>
        <v>2.2721579774522596</v>
      </c>
      <c r="Z44" s="77" cm="1">
        <f t="array" ref="Z44">SUM($J$41:$AV$41*(Z$4=$J$4:$AV$4)*($B44=$J$11:$AV$11))</f>
        <v>2.3031645446227955</v>
      </c>
      <c r="AA44" s="77" cm="1">
        <f t="array" ref="AA44">SUM($J$41:$AV$41*(AA$4=$J$4:$AV$4)*($B44=$J$11:$AV$11))</f>
        <v>2.5511102531464509</v>
      </c>
      <c r="AB44" s="77" cm="1">
        <f t="array" ref="AB44">SUM($J$41:$AV$41*(AB$4=$J$4:$AV$4)*($B44=$J$11:$AV$11))</f>
        <v>2.4497862244237858</v>
      </c>
      <c r="AC44" s="77" cm="1">
        <f t="array" ref="AC44">SUM($J$41:$AV$41*(AC$4=$J$4:$AV$4)*($B44=$J$11:$AV$11))</f>
        <v>0</v>
      </c>
      <c r="AD44" s="77" cm="1">
        <f t="array" ref="AD44">SUM($J$41:$AV$41*(AD$4=$J$4:$AV$4)*($B44=$J$11:$AV$11))</f>
        <v>0</v>
      </c>
      <c r="AE44" s="77" cm="1">
        <f t="array" ref="AE44">SUM($J$41:$AV$41*(AE$4=$J$4:$AV$4)*($B44=$J$11:$AV$11))</f>
        <v>0</v>
      </c>
      <c r="AF44" s="77" cm="1">
        <f t="array" ref="AF44">SUM($J$41:$AV$41*(AF$4=$J$4:$AV$4)*($B44=$J$11:$AV$11))</f>
        <v>0</v>
      </c>
      <c r="AG44" s="77" cm="1">
        <f t="array" ref="AG44">SUM($J$41:$AV$41*(AG$4=$J$4:$AV$4)*($B44=$J$11:$AV$11))</f>
        <v>0</v>
      </c>
      <c r="AH44" s="77" cm="1">
        <f t="array" ref="AH44">SUM($J$41:$AV$41*(AH$4=$J$4:$AV$4)*($B44=$J$11:$AV$11))</f>
        <v>0</v>
      </c>
      <c r="AI44" s="77" cm="1">
        <f t="array" ref="AI44">SUM($J$41:$AV$41*(AI$4=$J$4:$AV$4)*($B44=$J$11:$AV$11))</f>
        <v>0</v>
      </c>
      <c r="AJ44" s="77" cm="1">
        <f t="array" ref="AJ44">SUM($J$41:$AV$41*(AJ$4=$J$4:$AV$4)*($B44=$J$11:$AV$11))</f>
        <v>0</v>
      </c>
      <c r="AK44" s="77" cm="1">
        <f t="array" ref="AK44">SUM($J$41:$AV$41*(AK$4=$J$4:$AV$4)*($B44=$J$11:$AV$11))</f>
        <v>0</v>
      </c>
      <c r="AL44" s="77" cm="1">
        <f t="array" ref="AL44">SUM($J$41:$AV$41*(AL$4=$J$4:$AV$4)*($B44=$J$11:$AV$11))</f>
        <v>0</v>
      </c>
      <c r="AM44" s="77" cm="1">
        <f t="array" ref="AM44">SUM($J$41:$AV$41*(AM$4=$J$4:$AV$4)*($B44=$J$11:$AV$11))</f>
        <v>0</v>
      </c>
      <c r="AN44" s="77" cm="1">
        <f t="array" ref="AN44">SUM($J$41:$AV$41*(AN$4=$J$4:$AV$4)*($B44=$J$11:$AV$11))</f>
        <v>0</v>
      </c>
      <c r="AO44" s="77" cm="1">
        <f t="array" ref="AO44">SUM($J$41:$AV$41*(AO$4=$J$4:$AV$4)*($B44=$J$11:$AV$11))</f>
        <v>0</v>
      </c>
      <c r="AP44" s="77" cm="1">
        <f t="array" ref="AP44">SUM($J$41:$AV$41*(AP$4=$J$4:$AV$4)*($B44=$J$11:$AV$11))</f>
        <v>0</v>
      </c>
      <c r="AQ44" s="77" cm="1">
        <f t="array" ref="AQ44">SUM($J$41:$AV$41*(AQ$4=$J$4:$AV$4)*($B44=$J$11:$AV$11))</f>
        <v>0</v>
      </c>
      <c r="AR44" s="77" cm="1">
        <f t="array" ref="AR44">SUM($J$41:$AV$41*(AR$4=$J$4:$AV$4)*($B44=$J$11:$AV$11))</f>
        <v>0</v>
      </c>
      <c r="AS44" s="77" cm="1">
        <f t="array" ref="AS44">SUM($J$41:$AV$41*(AS$4=$J$4:$AV$4)*($B44=$J$11:$AV$11))</f>
        <v>0</v>
      </c>
      <c r="AT44" s="77" cm="1">
        <f t="array" ref="AT44">SUM($J$41:$AV$41*(AT$4=$J$4:$AV$4)*($B44=$J$11:$AV$11))</f>
        <v>0</v>
      </c>
      <c r="AU44" s="77" cm="1">
        <f t="array" ref="AU44">SUM($J$41:$AV$41*(AU$4=$J$4:$AV$4)*($B44=$J$11:$AV$11))</f>
        <v>0</v>
      </c>
      <c r="AV44" s="77" cm="1">
        <f t="array" ref="AV44">SUM($J$41:$AV$41*(AV$4=$J$4:$AV$4)*($B44=$J$11:$AV$11))</f>
        <v>0</v>
      </c>
    </row>
    <row r="45" spans="1:48">
      <c r="A45" t="s">
        <v>16</v>
      </c>
      <c r="B45" s="238" t="str">
        <f>C16</f>
        <v>C</v>
      </c>
      <c r="C45" s="233"/>
      <c r="E45" s="77"/>
      <c r="F45" s="77"/>
      <c r="G45" s="77"/>
      <c r="H45" s="77"/>
      <c r="I45" s="151"/>
      <c r="J45" s="77" cm="1">
        <f t="array" ref="J45">SUM($J$41:$AV$41*(J$4=$J$4:$AV$4)*($B45=$J$11:$AV$11))</f>
        <v>0</v>
      </c>
      <c r="K45" s="77" cm="1">
        <f t="array" ref="K45">SUM($J$41:$AV$41*(K$4=$J$4:$AV$4)*($B45=$J$11:$AV$11))</f>
        <v>0</v>
      </c>
      <c r="L45" s="77" cm="1">
        <f t="array" ref="L45">SUM($J$41:$AV$41*(L$4=$J$4:$AV$4)*($B45=$J$11:$AV$11))</f>
        <v>0</v>
      </c>
      <c r="M45" s="77" cm="1">
        <f t="array" ref="M45">SUM($J$41:$AV$41*(M$4=$J$4:$AV$4)*($B45=$J$11:$AV$11))</f>
        <v>0</v>
      </c>
      <c r="N45" s="77" cm="1">
        <f t="array" ref="N45">SUM($J$41:$AV$41*(N$4=$J$4:$AV$4)*($B45=$J$11:$AV$11))</f>
        <v>0</v>
      </c>
      <c r="O45" s="77" cm="1">
        <f t="array" ref="O45">SUM($J$41:$AV$41*(O$4=$J$4:$AV$4)*($B45=$J$11:$AV$11))</f>
        <v>0</v>
      </c>
      <c r="P45" s="77" cm="1">
        <f t="array" ref="P45">SUM($J$41:$AV$41*(P$4=$J$4:$AV$4)*($B45=$J$11:$AV$11))</f>
        <v>0</v>
      </c>
      <c r="Q45" s="77" cm="1">
        <f t="array" ref="Q45">SUM($J$41:$AV$41*(Q$4=$J$4:$AV$4)*($B45=$J$11:$AV$11))</f>
        <v>0</v>
      </c>
      <c r="R45" s="77" cm="1">
        <f t="array" ref="R45">SUM($J$41:$AV$41*(R$4=$J$4:$AV$4)*($B45=$J$11:$AV$11))</f>
        <v>0</v>
      </c>
      <c r="S45" s="77" cm="1">
        <f t="array" ref="S45">SUM($J$41:$AV$41*(S$4=$J$4:$AV$4)*($B45=$J$11:$AV$11))</f>
        <v>0</v>
      </c>
      <c r="T45" s="77" cm="1">
        <f t="array" ref="T45">SUM($J$41:$AV$41*(T$4=$J$4:$AV$4)*($B45=$J$11:$AV$11))</f>
        <v>0</v>
      </c>
      <c r="U45" s="77" cm="1">
        <f t="array" ref="U45">SUM($J$41:$AV$41*(U$4=$J$4:$AV$4)*($B45=$J$11:$AV$11))</f>
        <v>0</v>
      </c>
      <c r="V45" s="77" cm="1">
        <f t="array" ref="V45">SUM($J$41:$AV$41*(V$4=$J$4:$AV$4)*($B45=$J$11:$AV$11))</f>
        <v>0</v>
      </c>
      <c r="W45" s="77" cm="1">
        <f t="array" ref="W45">SUM($J$41:$AV$41*(W$4=$J$4:$AV$4)*($B45=$J$11:$AV$11))</f>
        <v>0</v>
      </c>
      <c r="X45" s="77" cm="1">
        <f t="array" ref="X45">SUM($J$41:$AV$41*(X$4=$J$4:$AV$4)*($B45=$J$11:$AV$11))</f>
        <v>0</v>
      </c>
      <c r="Y45" s="77" cm="1">
        <f t="array" ref="Y45">SUM($J$41:$AV$41*(Y$4=$J$4:$AV$4)*($B45=$J$11:$AV$11))</f>
        <v>0</v>
      </c>
      <c r="Z45" s="77" cm="1">
        <f t="array" ref="Z45">SUM($J$41:$AV$41*(Z$4=$J$4:$AV$4)*($B45=$J$11:$AV$11))</f>
        <v>0</v>
      </c>
      <c r="AA45" s="77" cm="1">
        <f t="array" ref="AA45">SUM($J$41:$AV$41*(AA$4=$J$4:$AV$4)*($B45=$J$11:$AV$11))</f>
        <v>0</v>
      </c>
      <c r="AB45" s="77" cm="1">
        <f t="array" ref="AB45">SUM($J$41:$AV$41*(AB$4=$J$4:$AV$4)*($B45=$J$11:$AV$11))</f>
        <v>0</v>
      </c>
      <c r="AC45" s="77" cm="1">
        <f t="array" ref="AC45">SUM($J$41:$AV$41*(AC$4=$J$4:$AV$4)*($B45=$J$11:$AV$11))</f>
        <v>2.6395581564432291</v>
      </c>
      <c r="AD45" s="77" cm="1">
        <f t="array" ref="AD45">SUM($J$41:$AV$41*(AD$4=$J$4:$AV$4)*($B45=$J$11:$AV$11))</f>
        <v>2.6647843086292795</v>
      </c>
      <c r="AE45" s="77" cm="1">
        <f t="array" ref="AE45">SUM($J$41:$AV$41*(AE$4=$J$4:$AV$4)*($B45=$J$11:$AV$11))</f>
        <v>2.9399792391979318</v>
      </c>
      <c r="AF45" s="77" cm="1">
        <f t="array" ref="AF45">SUM($J$41:$AV$41*(AF$4=$J$4:$AV$4)*($B45=$J$11:$AV$11))</f>
        <v>2.9964066678700902</v>
      </c>
      <c r="AG45" s="77" cm="1">
        <f t="array" ref="AG45">SUM($J$41:$AV$41*(AG$4=$J$4:$AV$4)*($B45=$J$11:$AV$11))</f>
        <v>2.8821156339604954</v>
      </c>
      <c r="AH45" s="77" cm="1">
        <f t="array" ref="AH45">SUM($J$41:$AV$41*(AH$4=$J$4:$AV$4)*($B45=$J$11:$AV$11))</f>
        <v>2.7599624626640065</v>
      </c>
      <c r="AI45" s="77" cm="1">
        <f t="array" ref="AI45">SUM($J$41:$AV$41*(AI$4=$J$4:$AV$4)*($B45=$J$11:$AV$11))</f>
        <v>2.4043951021192385</v>
      </c>
      <c r="AJ45" s="77" cm="1">
        <f t="array" ref="AJ45">SUM($J$41:$AV$41*(AJ$4=$J$4:$AV$4)*($B45=$J$11:$AV$11))</f>
        <v>2.6397743202674491</v>
      </c>
      <c r="AK45" s="77" cm="1">
        <f t="array" ref="AK45">SUM($J$41:$AV$41*(AK$4=$J$4:$AV$4)*($B45=$J$11:$AV$11))</f>
        <v>2.9003019180044021</v>
      </c>
      <c r="AL45" s="77" cm="1">
        <f t="array" ref="AL45">SUM($J$41:$AV$41*(AL$4=$J$4:$AV$4)*($B45=$J$11:$AV$11))</f>
        <v>2.7717203139932138</v>
      </c>
      <c r="AM45" s="77" cm="1">
        <f t="array" ref="AM45">SUM($J$41:$AV$41*(AM$4=$J$4:$AV$4)*($B45=$J$11:$AV$11))</f>
        <v>0</v>
      </c>
      <c r="AN45" s="77" cm="1">
        <f t="array" ref="AN45">SUM($J$41:$AV$41*(AN$4=$J$4:$AV$4)*($B45=$J$11:$AV$11))</f>
        <v>0</v>
      </c>
      <c r="AO45" s="77" cm="1">
        <f t="array" ref="AO45">SUM($J$41:$AV$41*(AO$4=$J$4:$AV$4)*($B45=$J$11:$AV$11))</f>
        <v>0</v>
      </c>
      <c r="AP45" s="77" cm="1">
        <f t="array" ref="AP45">SUM($J$41:$AV$41*(AP$4=$J$4:$AV$4)*($B45=$J$11:$AV$11))</f>
        <v>0</v>
      </c>
      <c r="AQ45" s="77" cm="1">
        <f t="array" ref="AQ45">SUM($J$41:$AV$41*(AQ$4=$J$4:$AV$4)*($B45=$J$11:$AV$11))</f>
        <v>0</v>
      </c>
      <c r="AR45" s="77" cm="1">
        <f t="array" ref="AR45">SUM($J$41:$AV$41*(AR$4=$J$4:$AV$4)*($B45=$J$11:$AV$11))</f>
        <v>0</v>
      </c>
      <c r="AS45" s="77" cm="1">
        <f t="array" ref="AS45">SUM($J$41:$AV$41*(AS$4=$J$4:$AV$4)*($B45=$J$11:$AV$11))</f>
        <v>0</v>
      </c>
      <c r="AT45" s="77" cm="1">
        <f t="array" ref="AT45">SUM($J$41:$AV$41*(AT$4=$J$4:$AV$4)*($B45=$J$11:$AV$11))</f>
        <v>0</v>
      </c>
      <c r="AU45" s="77" cm="1">
        <f t="array" ref="AU45">SUM($J$41:$AV$41*(AU$4=$J$4:$AV$4)*($B45=$J$11:$AV$11))</f>
        <v>0</v>
      </c>
      <c r="AV45" s="77" cm="1">
        <f t="array" ref="AV45">SUM($J$41:$AV$41*(AV$4=$J$4:$AV$4)*($B45=$J$11:$AV$11))</f>
        <v>0</v>
      </c>
    </row>
    <row r="46" spans="1:48">
      <c r="A46" t="s">
        <v>16</v>
      </c>
      <c r="B46" s="238" t="str">
        <f>C17</f>
        <v>D</v>
      </c>
      <c r="C46" s="233"/>
      <c r="E46" s="77"/>
      <c r="F46" s="77"/>
      <c r="G46" s="77"/>
      <c r="H46" s="77"/>
      <c r="I46" s="151"/>
      <c r="J46" s="77" cm="1">
        <f t="array" ref="J46">SUM($J$41:$AV$41*(J$4=$J$4:$AV$4)*($B46=$J$11:$AV$11))</f>
        <v>0</v>
      </c>
      <c r="K46" s="77" cm="1">
        <f t="array" ref="K46">SUM($J$41:$AV$41*(K$4=$J$4:$AV$4)*($B46=$J$11:$AV$11))</f>
        <v>0</v>
      </c>
      <c r="L46" s="77" cm="1">
        <f t="array" ref="L46">SUM($J$41:$AV$41*(L$4=$J$4:$AV$4)*($B46=$J$11:$AV$11))</f>
        <v>0</v>
      </c>
      <c r="M46" s="77" cm="1">
        <f t="array" ref="M46">SUM($J$41:$AV$41*(M$4=$J$4:$AV$4)*($B46=$J$11:$AV$11))</f>
        <v>0</v>
      </c>
      <c r="N46" s="77" cm="1">
        <f t="array" ref="N46">SUM($J$41:$AV$41*(N$4=$J$4:$AV$4)*($B46=$J$11:$AV$11))</f>
        <v>0</v>
      </c>
      <c r="O46" s="77" cm="1">
        <f t="array" ref="O46">SUM($J$41:$AV$41*(O$4=$J$4:$AV$4)*($B46=$J$11:$AV$11))</f>
        <v>0</v>
      </c>
      <c r="P46" s="77" cm="1">
        <f t="array" ref="P46">SUM($J$41:$AV$41*(P$4=$J$4:$AV$4)*($B46=$J$11:$AV$11))</f>
        <v>0</v>
      </c>
      <c r="Q46" s="77" cm="1">
        <f t="array" ref="Q46">SUM($J$41:$AV$41*(Q$4=$J$4:$AV$4)*($B46=$J$11:$AV$11))</f>
        <v>0</v>
      </c>
      <c r="R46" s="77" cm="1">
        <f t="array" ref="R46">SUM($J$41:$AV$41*(R$4=$J$4:$AV$4)*($B46=$J$11:$AV$11))</f>
        <v>0</v>
      </c>
      <c r="S46" s="77" cm="1">
        <f t="array" ref="S46">SUM($J$41:$AV$41*(S$4=$J$4:$AV$4)*($B46=$J$11:$AV$11))</f>
        <v>0</v>
      </c>
      <c r="T46" s="77" cm="1">
        <f t="array" ref="T46">SUM($J$41:$AV$41*(T$4=$J$4:$AV$4)*($B46=$J$11:$AV$11))</f>
        <v>0</v>
      </c>
      <c r="U46" s="77" cm="1">
        <f t="array" ref="U46">SUM($J$41:$AV$41*(U$4=$J$4:$AV$4)*($B46=$J$11:$AV$11))</f>
        <v>0</v>
      </c>
      <c r="V46" s="77" cm="1">
        <f t="array" ref="V46">SUM($J$41:$AV$41*(V$4=$J$4:$AV$4)*($B46=$J$11:$AV$11))</f>
        <v>0</v>
      </c>
      <c r="W46" s="77" cm="1">
        <f t="array" ref="W46">SUM($J$41:$AV$41*(W$4=$J$4:$AV$4)*($B46=$J$11:$AV$11))</f>
        <v>0</v>
      </c>
      <c r="X46" s="77" cm="1">
        <f t="array" ref="X46">SUM($J$41:$AV$41*(X$4=$J$4:$AV$4)*($B46=$J$11:$AV$11))</f>
        <v>0</v>
      </c>
      <c r="Y46" s="77" cm="1">
        <f t="array" ref="Y46">SUM($J$41:$AV$41*(Y$4=$J$4:$AV$4)*($B46=$J$11:$AV$11))</f>
        <v>0</v>
      </c>
      <c r="Z46" s="77" cm="1">
        <f t="array" ref="Z46">SUM($J$41:$AV$41*(Z$4=$J$4:$AV$4)*($B46=$J$11:$AV$11))</f>
        <v>0</v>
      </c>
      <c r="AA46" s="77" cm="1">
        <f t="array" ref="AA46">SUM($J$41:$AV$41*(AA$4=$J$4:$AV$4)*($B46=$J$11:$AV$11))</f>
        <v>0</v>
      </c>
      <c r="AB46" s="77" cm="1">
        <f t="array" ref="AB46">SUM($J$41:$AV$41*(AB$4=$J$4:$AV$4)*($B46=$J$11:$AV$11))</f>
        <v>0</v>
      </c>
      <c r="AC46" s="77" cm="1">
        <f t="array" ref="AC46">SUM($J$41:$AV$41*(AC$4=$J$4:$AV$4)*($B46=$J$11:$AV$11))</f>
        <v>0</v>
      </c>
      <c r="AD46" s="77" cm="1">
        <f t="array" ref="AD46">SUM($J$41:$AV$41*(AD$4=$J$4:$AV$4)*($B46=$J$11:$AV$11))</f>
        <v>0</v>
      </c>
      <c r="AE46" s="77" cm="1">
        <f t="array" ref="AE46">SUM($J$41:$AV$41*(AE$4=$J$4:$AV$4)*($B46=$J$11:$AV$11))</f>
        <v>0</v>
      </c>
      <c r="AF46" s="77" cm="1">
        <f t="array" ref="AF46">SUM($J$41:$AV$41*(AF$4=$J$4:$AV$4)*($B46=$J$11:$AV$11))</f>
        <v>0</v>
      </c>
      <c r="AG46" s="77" cm="1">
        <f t="array" ref="AG46">SUM($J$41:$AV$41*(AG$4=$J$4:$AV$4)*($B46=$J$11:$AV$11))</f>
        <v>0</v>
      </c>
      <c r="AH46" s="77" cm="1">
        <f t="array" ref="AH46">SUM($J$41:$AV$41*(AH$4=$J$4:$AV$4)*($B46=$J$11:$AV$11))</f>
        <v>0</v>
      </c>
      <c r="AI46" s="77" cm="1">
        <f t="array" ref="AI46">SUM($J$41:$AV$41*(AI$4=$J$4:$AV$4)*($B46=$J$11:$AV$11))</f>
        <v>0</v>
      </c>
      <c r="AJ46" s="77" cm="1">
        <f t="array" ref="AJ46">SUM($J$41:$AV$41*(AJ$4=$J$4:$AV$4)*($B46=$J$11:$AV$11))</f>
        <v>0</v>
      </c>
      <c r="AK46" s="77" cm="1">
        <f t="array" ref="AK46">SUM($J$41:$AV$41*(AK$4=$J$4:$AV$4)*($B46=$J$11:$AV$11))</f>
        <v>0</v>
      </c>
      <c r="AL46" s="77" cm="1">
        <f t="array" ref="AL46">SUM($J$41:$AV$41*(AL$4=$J$4:$AV$4)*($B46=$J$11:$AV$11))</f>
        <v>0</v>
      </c>
      <c r="AM46" s="77" cm="1">
        <f t="array" ref="AM46">SUM($J$41:$AV$41*(AM$4=$J$4:$AV$4)*($B46=$J$11:$AV$11))</f>
        <v>3.0071791001214976</v>
      </c>
      <c r="AN46" s="77" cm="1">
        <f t="array" ref="AN46">SUM($J$41:$AV$41*(AN$4=$J$4:$AV$4)*($B46=$J$11:$AV$11))</f>
        <v>2.9765994182333415</v>
      </c>
      <c r="AO46" s="77" cm="1">
        <f t="array" ref="AO46">SUM($J$41:$AV$41*(AO$4=$J$4:$AV$4)*($B46=$J$11:$AV$11))</f>
        <v>2.9473616852810451</v>
      </c>
      <c r="AP46" s="77" cm="1">
        <f t="array" ref="AP46">SUM($J$41:$AV$41*(AP$4=$J$4:$AV$4)*($B46=$J$11:$AV$11))</f>
        <v>2.9193718361987493</v>
      </c>
      <c r="AQ46" s="77" cm="1">
        <f t="array" ref="AQ46">SUM($J$41:$AV$41*(AQ$4=$J$4:$AV$4)*($B46=$J$11:$AV$11))</f>
        <v>2.8925447335575143</v>
      </c>
      <c r="AR46" s="77" cm="1">
        <f t="array" ref="AR46">SUM($J$41:$AV$41*(AR$4=$J$4:$AV$4)*($B46=$J$11:$AV$11))</f>
        <v>2.4479658512849483</v>
      </c>
      <c r="AS46" s="77" cm="1">
        <f t="array" ref="AS46">SUM($J$41:$AV$41*(AS$4=$J$4:$AV$4)*($B46=$J$11:$AV$11))</f>
        <v>2.4335562566955389</v>
      </c>
      <c r="AT46" s="77" cm="1">
        <f t="array" ref="AT46">SUM($J$41:$AV$41*(AT$4=$J$4:$AV$4)*($B46=$J$11:$AV$11))</f>
        <v>2.4195735131399942</v>
      </c>
      <c r="AU46" s="77" cm="1">
        <f t="array" ref="AU46">SUM($J$41:$AV$41*(AU$4=$J$4:$AV$4)*($B46=$J$11:$AV$11))</f>
        <v>2.4059972419023552</v>
      </c>
      <c r="AV46" s="77" cm="1">
        <f t="array" ref="AV46">SUM($J$41:$AV$41*(AV$4=$J$4:$AV$4)*($B46=$J$11:$AV$11))</f>
        <v>2.4414814036952066</v>
      </c>
    </row>
    <row r="47" spans="1:48">
      <c r="A47" t="s">
        <v>16</v>
      </c>
      <c r="B47" s="233"/>
      <c r="C47" s="233"/>
      <c r="E47" s="77"/>
      <c r="F47" s="77"/>
      <c r="G47" s="77"/>
      <c r="H47" s="77"/>
      <c r="I47" s="151"/>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row>
    <row r="48" spans="1:48">
      <c r="A48" t="s">
        <v>16</v>
      </c>
      <c r="B48" s="238" t="s">
        <v>237</v>
      </c>
      <c r="C48" s="233"/>
      <c r="E48" s="77"/>
      <c r="F48" s="77"/>
      <c r="G48" s="77"/>
      <c r="H48" s="77"/>
      <c r="I48" s="151"/>
      <c r="J48" s="77"/>
      <c r="K48" s="77"/>
      <c r="L48" s="77"/>
      <c r="M48" s="77"/>
      <c r="N48" s="77"/>
      <c r="O48" s="77"/>
      <c r="P48" s="77"/>
      <c r="Q48" s="77"/>
      <c r="R48" s="77"/>
      <c r="S48" s="77"/>
      <c r="T48" s="77"/>
      <c r="U48" s="77"/>
      <c r="V48" s="77"/>
      <c r="W48" s="77"/>
      <c r="X48" s="77"/>
      <c r="Y48" s="77"/>
      <c r="Z48" s="77"/>
      <c r="AA48" s="77"/>
      <c r="AB48" s="77"/>
      <c r="AC48" s="77"/>
      <c r="AD48" s="77"/>
      <c r="AE48" s="77"/>
      <c r="AF48" s="77"/>
      <c r="AG48" s="77"/>
      <c r="AH48" s="77"/>
      <c r="AI48" s="77"/>
      <c r="AJ48" s="77"/>
      <c r="AK48" s="77"/>
      <c r="AL48" s="77"/>
      <c r="AM48" s="77"/>
      <c r="AN48" s="77"/>
      <c r="AO48" s="77"/>
      <c r="AP48" s="77"/>
      <c r="AQ48" s="77"/>
      <c r="AR48" s="77"/>
      <c r="AS48" s="77"/>
      <c r="AT48" s="77"/>
      <c r="AU48" s="77"/>
      <c r="AV48" s="77"/>
    </row>
    <row r="49" spans="1:48">
      <c r="A49" t="s">
        <v>16</v>
      </c>
      <c r="B49" s="238" t="str">
        <f>B43</f>
        <v>A</v>
      </c>
      <c r="C49" s="233"/>
      <c r="E49" s="77"/>
      <c r="F49" s="77"/>
      <c r="G49" s="77"/>
      <c r="H49" s="77"/>
      <c r="I49" s="151" t="str">
        <f>B43</f>
        <v>A</v>
      </c>
      <c r="J49" s="77">
        <f>J36</f>
        <v>0</v>
      </c>
      <c r="K49" s="77">
        <f t="shared" ref="K49:AV52" si="19">J49+K43</f>
        <v>0</v>
      </c>
      <c r="L49" s="77">
        <f t="shared" si="19"/>
        <v>0</v>
      </c>
      <c r="M49" s="77">
        <f t="shared" si="19"/>
        <v>0</v>
      </c>
      <c r="N49" s="77">
        <f t="shared" si="19"/>
        <v>0</v>
      </c>
      <c r="O49" s="77">
        <f t="shared" si="19"/>
        <v>0</v>
      </c>
      <c r="P49" s="77">
        <f t="shared" si="19"/>
        <v>0</v>
      </c>
      <c r="Q49" s="77">
        <f t="shared" si="19"/>
        <v>0</v>
      </c>
      <c r="R49" s="77">
        <f t="shared" si="19"/>
        <v>0</v>
      </c>
      <c r="S49" s="77">
        <f t="shared" si="19"/>
        <v>0</v>
      </c>
      <c r="T49" s="77">
        <f t="shared" si="19"/>
        <v>0</v>
      </c>
      <c r="U49" s="77">
        <f t="shared" si="19"/>
        <v>0</v>
      </c>
      <c r="V49" s="77">
        <f t="shared" si="19"/>
        <v>0</v>
      </c>
      <c r="W49" s="77">
        <f t="shared" si="19"/>
        <v>0</v>
      </c>
      <c r="X49" s="77">
        <f t="shared" si="19"/>
        <v>0</v>
      </c>
      <c r="Y49" s="77">
        <f t="shared" si="19"/>
        <v>0</v>
      </c>
      <c r="Z49" s="77">
        <f t="shared" si="19"/>
        <v>0</v>
      </c>
      <c r="AA49" s="77">
        <f t="shared" si="19"/>
        <v>0</v>
      </c>
      <c r="AB49" s="77">
        <f t="shared" si="19"/>
        <v>0</v>
      </c>
      <c r="AC49" s="77">
        <f t="shared" si="19"/>
        <v>0</v>
      </c>
      <c r="AD49" s="77">
        <f t="shared" si="19"/>
        <v>0</v>
      </c>
      <c r="AE49" s="77">
        <f t="shared" si="19"/>
        <v>0</v>
      </c>
      <c r="AF49" s="77">
        <f t="shared" si="19"/>
        <v>0</v>
      </c>
      <c r="AG49" s="77">
        <f t="shared" si="19"/>
        <v>0</v>
      </c>
      <c r="AH49" s="77">
        <f t="shared" si="19"/>
        <v>0</v>
      </c>
      <c r="AI49" s="77">
        <f t="shared" si="19"/>
        <v>0</v>
      </c>
      <c r="AJ49" s="77">
        <f t="shared" si="19"/>
        <v>0</v>
      </c>
      <c r="AK49" s="77">
        <f t="shared" si="19"/>
        <v>0</v>
      </c>
      <c r="AL49" s="77">
        <f t="shared" si="19"/>
        <v>0</v>
      </c>
      <c r="AM49" s="77">
        <f t="shared" si="19"/>
        <v>0</v>
      </c>
      <c r="AN49" s="77">
        <f t="shared" si="19"/>
        <v>0</v>
      </c>
      <c r="AO49" s="77">
        <f t="shared" si="19"/>
        <v>0</v>
      </c>
      <c r="AP49" s="77">
        <f t="shared" si="19"/>
        <v>0</v>
      </c>
      <c r="AQ49" s="77">
        <f t="shared" si="19"/>
        <v>0</v>
      </c>
      <c r="AR49" s="77">
        <f t="shared" si="19"/>
        <v>0</v>
      </c>
      <c r="AS49" s="77">
        <f t="shared" si="19"/>
        <v>0</v>
      </c>
      <c r="AT49" s="77">
        <f t="shared" si="19"/>
        <v>0</v>
      </c>
      <c r="AU49" s="77">
        <f t="shared" si="19"/>
        <v>0</v>
      </c>
      <c r="AV49" s="77">
        <f t="shared" si="19"/>
        <v>0</v>
      </c>
    </row>
    <row r="50" spans="1:48">
      <c r="A50" t="s">
        <v>16</v>
      </c>
      <c r="B50" s="238" t="str">
        <f>B44</f>
        <v>B</v>
      </c>
      <c r="C50" s="233"/>
      <c r="E50" s="77"/>
      <c r="F50" s="77"/>
      <c r="G50" s="77"/>
      <c r="H50" s="77"/>
      <c r="I50" s="151" t="str">
        <f>B44</f>
        <v>B</v>
      </c>
      <c r="J50" s="77">
        <v>0</v>
      </c>
      <c r="K50" s="77">
        <f t="shared" si="19"/>
        <v>0</v>
      </c>
      <c r="L50" s="77">
        <f t="shared" si="19"/>
        <v>0</v>
      </c>
      <c r="M50" s="77">
        <f t="shared" si="19"/>
        <v>0</v>
      </c>
      <c r="N50" s="77">
        <f t="shared" si="19"/>
        <v>0</v>
      </c>
      <c r="O50" s="77">
        <f t="shared" si="19"/>
        <v>0</v>
      </c>
      <c r="P50" s="77">
        <f t="shared" si="19"/>
        <v>1.9150455230721981</v>
      </c>
      <c r="Q50" s="77">
        <f t="shared" si="19"/>
        <v>3.6894907315492986</v>
      </c>
      <c r="R50" s="77">
        <f t="shared" si="19"/>
        <v>4.8032958053464796</v>
      </c>
      <c r="S50" s="77">
        <f t="shared" si="19"/>
        <v>7.7320743181562186</v>
      </c>
      <c r="T50" s="77">
        <f t="shared" si="19"/>
        <v>10.285301975992869</v>
      </c>
      <c r="U50" s="77">
        <f t="shared" si="19"/>
        <v>12.789024423783061</v>
      </c>
      <c r="V50" s="77">
        <f t="shared" si="19"/>
        <v>15.344579159607157</v>
      </c>
      <c r="W50" s="77">
        <f t="shared" si="19"/>
        <v>17.79044130272823</v>
      </c>
      <c r="X50" s="77">
        <f t="shared" si="19"/>
        <v>20.079198240202402</v>
      </c>
      <c r="Y50" s="77">
        <f t="shared" si="19"/>
        <v>22.351356217654661</v>
      </c>
      <c r="Z50" s="77">
        <f t="shared" si="19"/>
        <v>24.654520762277457</v>
      </c>
      <c r="AA50" s="77">
        <f t="shared" si="19"/>
        <v>27.205631015423908</v>
      </c>
      <c r="AB50" s="77">
        <f t="shared" si="19"/>
        <v>29.655417239847694</v>
      </c>
      <c r="AC50" s="77">
        <f t="shared" si="19"/>
        <v>29.655417239847694</v>
      </c>
      <c r="AD50" s="77">
        <f t="shared" si="19"/>
        <v>29.655417239847694</v>
      </c>
      <c r="AE50" s="77">
        <f t="shared" si="19"/>
        <v>29.655417239847694</v>
      </c>
      <c r="AF50" s="77">
        <f t="shared" si="19"/>
        <v>29.655417239847694</v>
      </c>
      <c r="AG50" s="77">
        <f t="shared" si="19"/>
        <v>29.655417239847694</v>
      </c>
      <c r="AH50" s="77">
        <f t="shared" si="19"/>
        <v>29.655417239847694</v>
      </c>
      <c r="AI50" s="77">
        <f t="shared" si="19"/>
        <v>29.655417239847694</v>
      </c>
      <c r="AJ50" s="77">
        <f t="shared" si="19"/>
        <v>29.655417239847694</v>
      </c>
      <c r="AK50" s="77">
        <f t="shared" si="19"/>
        <v>29.655417239847694</v>
      </c>
      <c r="AL50" s="77">
        <f t="shared" si="19"/>
        <v>29.655417239847694</v>
      </c>
      <c r="AM50" s="77">
        <f t="shared" si="19"/>
        <v>29.655417239847694</v>
      </c>
      <c r="AN50" s="77">
        <f t="shared" si="19"/>
        <v>29.655417239847694</v>
      </c>
      <c r="AO50" s="77">
        <f t="shared" si="19"/>
        <v>29.655417239847694</v>
      </c>
      <c r="AP50" s="77">
        <f t="shared" si="19"/>
        <v>29.655417239847694</v>
      </c>
      <c r="AQ50" s="77">
        <f t="shared" si="19"/>
        <v>29.655417239847694</v>
      </c>
      <c r="AR50" s="77">
        <f t="shared" si="19"/>
        <v>29.655417239847694</v>
      </c>
      <c r="AS50" s="77">
        <f t="shared" si="19"/>
        <v>29.655417239847694</v>
      </c>
      <c r="AT50" s="77">
        <f t="shared" si="19"/>
        <v>29.655417239847694</v>
      </c>
      <c r="AU50" s="77">
        <f t="shared" si="19"/>
        <v>29.655417239847694</v>
      </c>
      <c r="AV50" s="77">
        <f t="shared" si="19"/>
        <v>29.655417239847694</v>
      </c>
    </row>
    <row r="51" spans="1:48">
      <c r="A51" t="s">
        <v>16</v>
      </c>
      <c r="B51" s="238" t="str">
        <f>B45</f>
        <v>C</v>
      </c>
      <c r="C51" s="233"/>
      <c r="E51" s="77"/>
      <c r="F51" s="77"/>
      <c r="G51" s="77"/>
      <c r="H51" s="77"/>
      <c r="I51" s="151" t="str">
        <f>B45</f>
        <v>C</v>
      </c>
      <c r="J51" s="77">
        <v>0</v>
      </c>
      <c r="K51" s="77">
        <f t="shared" si="19"/>
        <v>0</v>
      </c>
      <c r="L51" s="77">
        <f t="shared" si="19"/>
        <v>0</v>
      </c>
      <c r="M51" s="77">
        <f t="shared" si="19"/>
        <v>0</v>
      </c>
      <c r="N51" s="77">
        <f t="shared" si="19"/>
        <v>0</v>
      </c>
      <c r="O51" s="77">
        <f t="shared" si="19"/>
        <v>0</v>
      </c>
      <c r="P51" s="77">
        <f t="shared" si="19"/>
        <v>0</v>
      </c>
      <c r="Q51" s="77">
        <f t="shared" si="19"/>
        <v>0</v>
      </c>
      <c r="R51" s="77">
        <f t="shared" si="19"/>
        <v>0</v>
      </c>
      <c r="S51" s="77">
        <f t="shared" si="19"/>
        <v>0</v>
      </c>
      <c r="T51" s="77">
        <f t="shared" si="19"/>
        <v>0</v>
      </c>
      <c r="U51" s="77">
        <f t="shared" si="19"/>
        <v>0</v>
      </c>
      <c r="V51" s="77">
        <f t="shared" si="19"/>
        <v>0</v>
      </c>
      <c r="W51" s="77">
        <f t="shared" si="19"/>
        <v>0</v>
      </c>
      <c r="X51" s="77">
        <f t="shared" si="19"/>
        <v>0</v>
      </c>
      <c r="Y51" s="77">
        <f t="shared" si="19"/>
        <v>0</v>
      </c>
      <c r="Z51" s="77">
        <f t="shared" si="19"/>
        <v>0</v>
      </c>
      <c r="AA51" s="77">
        <f t="shared" si="19"/>
        <v>0</v>
      </c>
      <c r="AB51" s="77">
        <f t="shared" si="19"/>
        <v>0</v>
      </c>
      <c r="AC51" s="77">
        <f t="shared" si="19"/>
        <v>2.6395581564432291</v>
      </c>
      <c r="AD51" s="77">
        <f t="shared" si="19"/>
        <v>5.3043424650725086</v>
      </c>
      <c r="AE51" s="77">
        <f t="shared" si="19"/>
        <v>8.2443217042704404</v>
      </c>
      <c r="AF51" s="77">
        <f t="shared" si="19"/>
        <v>11.240728372140531</v>
      </c>
      <c r="AG51" s="77">
        <f t="shared" si="19"/>
        <v>14.122844006101026</v>
      </c>
      <c r="AH51" s="77">
        <f t="shared" si="19"/>
        <v>16.882806468765033</v>
      </c>
      <c r="AI51" s="77">
        <f t="shared" si="19"/>
        <v>19.287201570884271</v>
      </c>
      <c r="AJ51" s="77">
        <f t="shared" si="19"/>
        <v>21.92697589115172</v>
      </c>
      <c r="AK51" s="77">
        <f t="shared" si="19"/>
        <v>24.827277809156122</v>
      </c>
      <c r="AL51" s="77">
        <f t="shared" si="19"/>
        <v>27.598998123149336</v>
      </c>
      <c r="AM51" s="77">
        <f t="shared" si="19"/>
        <v>27.598998123149336</v>
      </c>
      <c r="AN51" s="77">
        <f t="shared" si="19"/>
        <v>27.598998123149336</v>
      </c>
      <c r="AO51" s="77">
        <f t="shared" si="19"/>
        <v>27.598998123149336</v>
      </c>
      <c r="AP51" s="77">
        <f t="shared" si="19"/>
        <v>27.598998123149336</v>
      </c>
      <c r="AQ51" s="77">
        <f t="shared" si="19"/>
        <v>27.598998123149336</v>
      </c>
      <c r="AR51" s="77">
        <f t="shared" si="19"/>
        <v>27.598998123149336</v>
      </c>
      <c r="AS51" s="77">
        <f t="shared" si="19"/>
        <v>27.598998123149336</v>
      </c>
      <c r="AT51" s="77">
        <f t="shared" si="19"/>
        <v>27.598998123149336</v>
      </c>
      <c r="AU51" s="77">
        <f t="shared" si="19"/>
        <v>27.598998123149336</v>
      </c>
      <c r="AV51" s="77">
        <f t="shared" si="19"/>
        <v>27.598998123149336</v>
      </c>
    </row>
    <row r="52" spans="1:48">
      <c r="A52" t="s">
        <v>16</v>
      </c>
      <c r="B52" s="238" t="str">
        <f>B46</f>
        <v>D</v>
      </c>
      <c r="C52" s="233"/>
      <c r="E52" s="77"/>
      <c r="F52" s="77"/>
      <c r="G52" s="77"/>
      <c r="H52" s="77"/>
      <c r="I52" s="151" t="str">
        <f>B46</f>
        <v>D</v>
      </c>
      <c r="J52" s="77">
        <v>0</v>
      </c>
      <c r="K52" s="77">
        <f t="shared" si="19"/>
        <v>0</v>
      </c>
      <c r="L52" s="77">
        <f t="shared" si="19"/>
        <v>0</v>
      </c>
      <c r="M52" s="77">
        <f t="shared" si="19"/>
        <v>0</v>
      </c>
      <c r="N52" s="77">
        <f t="shared" si="19"/>
        <v>0</v>
      </c>
      <c r="O52" s="77">
        <f t="shared" si="19"/>
        <v>0</v>
      </c>
      <c r="P52" s="77">
        <f t="shared" si="19"/>
        <v>0</v>
      </c>
      <c r="Q52" s="77">
        <f t="shared" si="19"/>
        <v>0</v>
      </c>
      <c r="R52" s="77">
        <f t="shared" si="19"/>
        <v>0</v>
      </c>
      <c r="S52" s="77">
        <f t="shared" si="19"/>
        <v>0</v>
      </c>
      <c r="T52" s="77">
        <f t="shared" si="19"/>
        <v>0</v>
      </c>
      <c r="U52" s="77">
        <f t="shared" si="19"/>
        <v>0</v>
      </c>
      <c r="V52" s="77">
        <f t="shared" si="19"/>
        <v>0</v>
      </c>
      <c r="W52" s="77">
        <f t="shared" si="19"/>
        <v>0</v>
      </c>
      <c r="X52" s="77">
        <f t="shared" si="19"/>
        <v>0</v>
      </c>
      <c r="Y52" s="77">
        <f t="shared" si="19"/>
        <v>0</v>
      </c>
      <c r="Z52" s="77">
        <f t="shared" si="19"/>
        <v>0</v>
      </c>
      <c r="AA52" s="77">
        <f t="shared" si="19"/>
        <v>0</v>
      </c>
      <c r="AB52" s="77">
        <f t="shared" si="19"/>
        <v>0</v>
      </c>
      <c r="AC52" s="77">
        <f t="shared" si="19"/>
        <v>0</v>
      </c>
      <c r="AD52" s="77">
        <f t="shared" si="19"/>
        <v>0</v>
      </c>
      <c r="AE52" s="77">
        <f t="shared" si="19"/>
        <v>0</v>
      </c>
      <c r="AF52" s="77">
        <f t="shared" si="19"/>
        <v>0</v>
      </c>
      <c r="AG52" s="77">
        <f t="shared" si="19"/>
        <v>0</v>
      </c>
      <c r="AH52" s="77">
        <f t="shared" si="19"/>
        <v>0</v>
      </c>
      <c r="AI52" s="77">
        <f t="shared" si="19"/>
        <v>0</v>
      </c>
      <c r="AJ52" s="77">
        <f t="shared" si="19"/>
        <v>0</v>
      </c>
      <c r="AK52" s="77">
        <f t="shared" si="19"/>
        <v>0</v>
      </c>
      <c r="AL52" s="77">
        <f t="shared" si="19"/>
        <v>0</v>
      </c>
      <c r="AM52" s="77">
        <f t="shared" si="19"/>
        <v>3.0071791001214976</v>
      </c>
      <c r="AN52" s="77">
        <f t="shared" si="19"/>
        <v>5.9837785183548391</v>
      </c>
      <c r="AO52" s="77">
        <f t="shared" si="19"/>
        <v>8.9311402036358842</v>
      </c>
      <c r="AP52" s="77">
        <f t="shared" si="19"/>
        <v>11.850512039834634</v>
      </c>
      <c r="AQ52" s="77">
        <f t="shared" si="19"/>
        <v>14.743056773392148</v>
      </c>
      <c r="AR52" s="77">
        <f t="shared" si="19"/>
        <v>17.191022624677096</v>
      </c>
      <c r="AS52" s="77">
        <f t="shared" si="19"/>
        <v>19.624578881372635</v>
      </c>
      <c r="AT52" s="77">
        <f t="shared" si="19"/>
        <v>22.044152394512629</v>
      </c>
      <c r="AU52" s="77">
        <f t="shared" si="19"/>
        <v>24.450149636414984</v>
      </c>
      <c r="AV52" s="77">
        <f t="shared" si="19"/>
        <v>26.891631040110191</v>
      </c>
    </row>
    <row r="53" spans="1:48">
      <c r="A53" t="s">
        <v>16</v>
      </c>
      <c r="B53" s="233" t="s">
        <v>238</v>
      </c>
      <c r="C53" s="233"/>
      <c r="E53" s="77"/>
      <c r="F53" s="77"/>
      <c r="G53" s="77"/>
      <c r="H53" s="77"/>
      <c r="I53" s="151"/>
      <c r="J53" s="77">
        <f t="shared" ref="J53:AV53" si="20">SUM(J49:J52)</f>
        <v>0</v>
      </c>
      <c r="K53" s="77">
        <f t="shared" si="20"/>
        <v>0</v>
      </c>
      <c r="L53" s="77">
        <f t="shared" si="20"/>
        <v>0</v>
      </c>
      <c r="M53" s="77">
        <f t="shared" si="20"/>
        <v>0</v>
      </c>
      <c r="N53" s="77">
        <f t="shared" si="20"/>
        <v>0</v>
      </c>
      <c r="O53" s="77">
        <f t="shared" si="20"/>
        <v>0</v>
      </c>
      <c r="P53" s="77">
        <f t="shared" si="20"/>
        <v>1.9150455230721981</v>
      </c>
      <c r="Q53" s="77">
        <f t="shared" si="20"/>
        <v>3.6894907315492986</v>
      </c>
      <c r="R53" s="77">
        <f t="shared" si="20"/>
        <v>4.8032958053464796</v>
      </c>
      <c r="S53" s="77">
        <f t="shared" si="20"/>
        <v>7.7320743181562186</v>
      </c>
      <c r="T53" s="77">
        <f t="shared" si="20"/>
        <v>10.285301975992869</v>
      </c>
      <c r="U53" s="77">
        <f t="shared" si="20"/>
        <v>12.789024423783061</v>
      </c>
      <c r="V53" s="77">
        <f t="shared" si="20"/>
        <v>15.344579159607157</v>
      </c>
      <c r="W53" s="77">
        <f t="shared" si="20"/>
        <v>17.79044130272823</v>
      </c>
      <c r="X53" s="77">
        <f t="shared" si="20"/>
        <v>20.079198240202402</v>
      </c>
      <c r="Y53" s="77">
        <f t="shared" si="20"/>
        <v>22.351356217654661</v>
      </c>
      <c r="Z53" s="77">
        <f t="shared" si="20"/>
        <v>24.654520762277457</v>
      </c>
      <c r="AA53" s="77">
        <f t="shared" si="20"/>
        <v>27.205631015423908</v>
      </c>
      <c r="AB53" s="77">
        <f t="shared" si="20"/>
        <v>29.655417239847694</v>
      </c>
      <c r="AC53" s="77">
        <f t="shared" si="20"/>
        <v>32.294975396290923</v>
      </c>
      <c r="AD53" s="77">
        <f t="shared" si="20"/>
        <v>34.959759704920202</v>
      </c>
      <c r="AE53" s="77">
        <f t="shared" si="20"/>
        <v>37.899738944118134</v>
      </c>
      <c r="AF53" s="77">
        <f t="shared" si="20"/>
        <v>40.896145611988224</v>
      </c>
      <c r="AG53" s="77">
        <f t="shared" si="20"/>
        <v>43.77826124594872</v>
      </c>
      <c r="AH53" s="77">
        <f t="shared" si="20"/>
        <v>46.538223708612726</v>
      </c>
      <c r="AI53" s="77">
        <f t="shared" si="20"/>
        <v>48.942618810731965</v>
      </c>
      <c r="AJ53" s="77">
        <f t="shared" si="20"/>
        <v>51.582393130999414</v>
      </c>
      <c r="AK53" s="77">
        <f t="shared" si="20"/>
        <v>54.482695049003816</v>
      </c>
      <c r="AL53" s="77">
        <f t="shared" si="20"/>
        <v>57.25441536299703</v>
      </c>
      <c r="AM53" s="77">
        <f t="shared" si="20"/>
        <v>60.261594463118527</v>
      </c>
      <c r="AN53" s="77">
        <f t="shared" si="20"/>
        <v>63.238193881351869</v>
      </c>
      <c r="AO53" s="77">
        <f t="shared" si="20"/>
        <v>66.185555566632914</v>
      </c>
      <c r="AP53" s="77">
        <f t="shared" si="20"/>
        <v>69.104927402831663</v>
      </c>
      <c r="AQ53" s="77">
        <f t="shared" si="20"/>
        <v>71.997472136389177</v>
      </c>
      <c r="AR53" s="77">
        <f t="shared" si="20"/>
        <v>74.445437987674126</v>
      </c>
      <c r="AS53" s="77">
        <f t="shared" si="20"/>
        <v>76.878994244369665</v>
      </c>
      <c r="AT53" s="77">
        <f t="shared" si="20"/>
        <v>79.298567757509659</v>
      </c>
      <c r="AU53" s="77">
        <f t="shared" si="20"/>
        <v>81.704564999412014</v>
      </c>
      <c r="AV53" s="77">
        <f t="shared" si="20"/>
        <v>84.146046403107221</v>
      </c>
    </row>
    <row r="54" spans="1:48">
      <c r="A54" t="s">
        <v>16</v>
      </c>
      <c r="B54" s="233"/>
      <c r="I54" s="137"/>
      <c r="J54" s="77"/>
      <c r="K54" s="75"/>
      <c r="AV54" s="77"/>
    </row>
    <row r="55" spans="1:48" ht="15.75" thickBot="1">
      <c r="A55" t="s">
        <v>16</v>
      </c>
      <c r="B55" s="73" t="s">
        <v>14</v>
      </c>
      <c r="C55" s="73" t="s">
        <v>498</v>
      </c>
      <c r="D55" s="73" t="s">
        <v>496</v>
      </c>
      <c r="E55" s="73">
        <v>2017</v>
      </c>
      <c r="F55" s="73" t="s">
        <v>497</v>
      </c>
      <c r="G55" s="75">
        <v>2017</v>
      </c>
      <c r="I55" s="137"/>
      <c r="K55" s="75"/>
    </row>
    <row r="56" spans="1:48">
      <c r="A56" t="s">
        <v>16</v>
      </c>
      <c r="B56" s="77" t="s">
        <v>72</v>
      </c>
      <c r="C56" s="77" t="s">
        <v>112</v>
      </c>
      <c r="D56" s="90">
        <f t="shared" ref="D56:E64" si="21">F56*1000</f>
        <v>139664.39435388436</v>
      </c>
      <c r="E56" s="90">
        <f t="shared" si="21"/>
        <v>120283.34032399778</v>
      </c>
      <c r="F56" s="18">
        <f>'[13]TS BYDem'!$J10</f>
        <v>139.66439435388435</v>
      </c>
      <c r="G56" s="75">
        <f>'[13]TS BYDem'!$O10</f>
        <v>120.28334032399778</v>
      </c>
      <c r="J56" s="74"/>
      <c r="K56" s="163" t="s">
        <v>513</v>
      </c>
      <c r="L56" s="79"/>
      <c r="M56" s="79" t="s">
        <v>443</v>
      </c>
      <c r="N56" s="79"/>
      <c r="O56" s="79"/>
    </row>
    <row r="57" spans="1:48">
      <c r="A57" t="s">
        <v>16</v>
      </c>
      <c r="B57" s="77" t="s">
        <v>262</v>
      </c>
      <c r="C57" s="77" t="s">
        <v>113</v>
      </c>
      <c r="D57" s="90">
        <f t="shared" si="21"/>
        <v>7851.7549075018987</v>
      </c>
      <c r="E57" s="90">
        <f t="shared" si="21"/>
        <v>11470.981711368382</v>
      </c>
      <c r="F57" s="18">
        <f>'[13]TS BYDem'!$J11</f>
        <v>7.8517549075018991</v>
      </c>
      <c r="G57" s="75">
        <f>'[13]TS BYDem'!$O11</f>
        <v>11.470981711368381</v>
      </c>
      <c r="J57" s="74"/>
      <c r="K57" s="163" t="s">
        <v>516</v>
      </c>
      <c r="L57" s="79">
        <f>DriversGams!$B$164</f>
        <v>-1</v>
      </c>
      <c r="M57" s="79"/>
      <c r="N57" s="79"/>
      <c r="O57" s="79"/>
    </row>
    <row r="58" spans="1:48">
      <c r="A58" t="s">
        <v>16</v>
      </c>
      <c r="B58" s="77" t="s">
        <v>263</v>
      </c>
      <c r="C58" s="77" t="s">
        <v>107</v>
      </c>
      <c r="D58" s="90">
        <f t="shared" si="21"/>
        <v>9894.4997565297635</v>
      </c>
      <c r="E58" s="90">
        <f t="shared" si="21"/>
        <v>8252.8207241540804</v>
      </c>
      <c r="F58" s="18">
        <f>'[13]TS BYDem'!$J12</f>
        <v>9.894499756529763</v>
      </c>
      <c r="G58" s="75">
        <f>'[13]TS BYDem'!$O12</f>
        <v>8.2528207241540805</v>
      </c>
      <c r="J58" s="74"/>
      <c r="K58" s="163" t="s">
        <v>514</v>
      </c>
      <c r="L58" s="79"/>
      <c r="M58" s="79"/>
      <c r="N58" s="79"/>
      <c r="O58" s="79"/>
    </row>
    <row r="59" spans="1:48">
      <c r="A59" t="s">
        <v>16</v>
      </c>
      <c r="B59" s="77" t="s">
        <v>73</v>
      </c>
      <c r="C59" s="77" t="s">
        <v>111</v>
      </c>
      <c r="D59" s="90">
        <f t="shared" si="21"/>
        <v>121540.2719056889</v>
      </c>
      <c r="E59" s="90">
        <f t="shared" si="21"/>
        <v>104674.27977141128</v>
      </c>
      <c r="F59" s="18">
        <f>'[13]TS BYDem'!$J13</f>
        <v>121.5402719056889</v>
      </c>
      <c r="G59" s="75">
        <f>'[13]TS BYDem'!$O13</f>
        <v>104.67427977141128</v>
      </c>
      <c r="J59" s="74"/>
      <c r="K59" s="79">
        <v>-1</v>
      </c>
      <c r="L59" s="163" t="s">
        <v>515</v>
      </c>
      <c r="M59" s="79"/>
      <c r="N59" s="79"/>
      <c r="O59" s="79"/>
      <c r="AC59" s="75" t="s">
        <v>629</v>
      </c>
    </row>
    <row r="60" spans="1:48">
      <c r="A60" t="s">
        <v>16</v>
      </c>
      <c r="B60" s="77" t="s">
        <v>264</v>
      </c>
      <c r="C60" s="77" t="s">
        <v>124</v>
      </c>
      <c r="D60" s="90">
        <f t="shared" si="21"/>
        <v>29566.39037374705</v>
      </c>
      <c r="E60" s="90">
        <f t="shared" si="21"/>
        <v>25463.499211305458</v>
      </c>
      <c r="F60" s="18">
        <f>'[13]TS BYDem'!$J14</f>
        <v>29.566390373747051</v>
      </c>
      <c r="G60" s="75">
        <f>'[13]TS BYDem'!$O14</f>
        <v>25.463499211305457</v>
      </c>
      <c r="J60" s="74"/>
      <c r="K60" s="79">
        <v>1</v>
      </c>
      <c r="L60" s="79" t="s">
        <v>630</v>
      </c>
      <c r="M60" s="164">
        <v>-0.37</v>
      </c>
      <c r="N60" s="164">
        <v>-0.5</v>
      </c>
      <c r="O60" s="164">
        <v>-0.2</v>
      </c>
      <c r="Q60" s="75" t="s">
        <v>631</v>
      </c>
      <c r="AA60" s="77" t="s">
        <v>632</v>
      </c>
      <c r="AB60" s="77">
        <f>AB30/(AB30+AB31)</f>
        <v>0.76567440687107868</v>
      </c>
      <c r="AC60" s="77" t="s">
        <v>633</v>
      </c>
      <c r="AD60" s="77"/>
      <c r="AE60" s="77"/>
      <c r="AF60" s="77"/>
      <c r="AG60" s="77">
        <f>(AB30*0.8+AB31*0.46)/(AB30+AB31)</f>
        <v>0.72032929833616688</v>
      </c>
    </row>
    <row r="61" spans="1:48">
      <c r="A61" t="s">
        <v>16</v>
      </c>
      <c r="B61" s="77" t="s">
        <v>265</v>
      </c>
      <c r="C61" s="77" t="s">
        <v>266</v>
      </c>
      <c r="D61" s="90">
        <f t="shared" si="21"/>
        <v>9683.1090230750324</v>
      </c>
      <c r="E61" s="90">
        <f t="shared" si="21"/>
        <v>9649.5991200814478</v>
      </c>
      <c r="F61" s="18">
        <f>'[13]TS BYDem'!$J15</f>
        <v>9.6831090230750316</v>
      </c>
      <c r="G61" s="75">
        <f>'[13]TS BYDem'!$O15</f>
        <v>9.6495991200814473</v>
      </c>
      <c r="J61" s="74"/>
      <c r="K61" s="79">
        <v>2</v>
      </c>
      <c r="L61" s="79" t="s">
        <v>634</v>
      </c>
      <c r="M61" s="164">
        <v>-0.25</v>
      </c>
      <c r="N61" s="164">
        <v>-0.25</v>
      </c>
      <c r="O61" s="164">
        <v>-0.2</v>
      </c>
      <c r="Q61" s="95" t="s">
        <v>651</v>
      </c>
    </row>
    <row r="62" spans="1:48">
      <c r="A62" t="s">
        <v>16</v>
      </c>
      <c r="B62" s="77" t="s">
        <v>269</v>
      </c>
      <c r="C62" s="77" t="s">
        <v>270</v>
      </c>
      <c r="D62" s="90">
        <f t="shared" si="21"/>
        <v>10300.552873773209</v>
      </c>
      <c r="E62" s="90">
        <f t="shared" si="21"/>
        <v>8871.1579824850141</v>
      </c>
      <c r="F62" s="18">
        <f>'[13]TS BYDem'!$J16</f>
        <v>10.30055287377321</v>
      </c>
      <c r="G62" s="75">
        <f>'[13]TS BYDem'!$O16</f>
        <v>8.8711579824850144</v>
      </c>
      <c r="J62" s="74"/>
      <c r="K62" s="79">
        <v>3</v>
      </c>
      <c r="L62" s="163" t="s">
        <v>630</v>
      </c>
      <c r="M62" s="164">
        <v>-0.37</v>
      </c>
      <c r="N62" s="164">
        <v>-0.5</v>
      </c>
      <c r="O62" s="164">
        <v>-0.2</v>
      </c>
    </row>
    <row r="63" spans="1:48">
      <c r="A63" t="s">
        <v>16</v>
      </c>
      <c r="B63" s="77" t="s">
        <v>268</v>
      </c>
      <c r="C63" s="77" t="s">
        <v>221</v>
      </c>
      <c r="D63" s="90">
        <f t="shared" si="21"/>
        <v>3559.3512487513526</v>
      </c>
      <c r="E63" s="90">
        <f t="shared" si="21"/>
        <v>3065.4245097100388</v>
      </c>
      <c r="F63" s="18">
        <f>'[13]TS BYDem'!$J17</f>
        <v>3.5593512487513528</v>
      </c>
      <c r="G63" s="75">
        <f>'[13]TS BYDem'!$O17</f>
        <v>3.0654245097100388</v>
      </c>
      <c r="J63" s="74"/>
      <c r="K63" s="75"/>
    </row>
    <row r="64" spans="1:48">
      <c r="A64" t="s">
        <v>16</v>
      </c>
      <c r="B64" s="77" t="s">
        <v>0</v>
      </c>
      <c r="C64" s="77" t="s">
        <v>119</v>
      </c>
      <c r="D64" s="90">
        <f t="shared" si="21"/>
        <v>18760.184357078931</v>
      </c>
      <c r="E64" s="90">
        <f t="shared" si="21"/>
        <v>16999.241745794043</v>
      </c>
      <c r="F64" s="18">
        <f>'[13]TS BYDem'!$J18</f>
        <v>18.760184357078931</v>
      </c>
      <c r="G64" s="75">
        <f>'[13]TS BYDem'!$O18</f>
        <v>16.999241745794041</v>
      </c>
      <c r="J64" s="74"/>
      <c r="K64" s="75"/>
    </row>
    <row r="65" spans="1:48">
      <c r="A65" t="s">
        <v>16</v>
      </c>
      <c r="B65" s="77"/>
      <c r="C65" s="77"/>
      <c r="D65" s="77"/>
      <c r="J65" s="74"/>
      <c r="K65" s="75"/>
    </row>
    <row r="66" spans="1:48">
      <c r="A66" t="s">
        <v>16</v>
      </c>
      <c r="B66" s="77"/>
      <c r="F66" s="196"/>
      <c r="I66" s="137"/>
      <c r="K66" s="75"/>
    </row>
    <row r="67" spans="1:48" ht="15.75" thickBot="1">
      <c r="A67" t="s">
        <v>16</v>
      </c>
      <c r="B67" s="134" t="s">
        <v>12</v>
      </c>
      <c r="C67" s="135"/>
      <c r="D67" s="73"/>
      <c r="E67" s="85">
        <v>2012</v>
      </c>
      <c r="F67" s="197">
        <v>2017</v>
      </c>
      <c r="G67" s="85">
        <f>G22</f>
        <v>2020</v>
      </c>
      <c r="H67" s="85">
        <f>H22</f>
        <v>2030</v>
      </c>
      <c r="I67" s="158">
        <f>I22</f>
        <v>2050</v>
      </c>
      <c r="J67" s="85">
        <f t="shared" ref="J67:AV67" si="22">J4</f>
        <v>2012</v>
      </c>
      <c r="K67" s="85">
        <f t="shared" si="22"/>
        <v>2013</v>
      </c>
      <c r="L67" s="85">
        <f t="shared" si="22"/>
        <v>2014</v>
      </c>
      <c r="M67" s="85">
        <f t="shared" si="22"/>
        <v>2015</v>
      </c>
      <c r="N67" s="85">
        <f t="shared" si="22"/>
        <v>2016</v>
      </c>
      <c r="O67" s="85">
        <f t="shared" si="22"/>
        <v>2017</v>
      </c>
      <c r="P67" s="85">
        <f t="shared" si="22"/>
        <v>2018</v>
      </c>
      <c r="Q67" s="85">
        <f t="shared" si="22"/>
        <v>2019</v>
      </c>
      <c r="R67" s="85">
        <f t="shared" si="22"/>
        <v>2020</v>
      </c>
      <c r="S67" s="85">
        <f t="shared" si="22"/>
        <v>2021</v>
      </c>
      <c r="T67" s="85">
        <f t="shared" si="22"/>
        <v>2022</v>
      </c>
      <c r="U67" s="85">
        <f t="shared" si="22"/>
        <v>2023</v>
      </c>
      <c r="V67" s="85">
        <f t="shared" si="22"/>
        <v>2024</v>
      </c>
      <c r="W67" s="85">
        <f t="shared" si="22"/>
        <v>2025</v>
      </c>
      <c r="X67" s="85">
        <f t="shared" si="22"/>
        <v>2026</v>
      </c>
      <c r="Y67" s="85">
        <f t="shared" si="22"/>
        <v>2027</v>
      </c>
      <c r="Z67" s="85">
        <f t="shared" si="22"/>
        <v>2028</v>
      </c>
      <c r="AA67" s="85">
        <f t="shared" si="22"/>
        <v>2029</v>
      </c>
      <c r="AB67" s="85">
        <f t="shared" si="22"/>
        <v>2030</v>
      </c>
      <c r="AC67" s="85">
        <f t="shared" si="22"/>
        <v>2031</v>
      </c>
      <c r="AD67" s="85">
        <f t="shared" si="22"/>
        <v>2032</v>
      </c>
      <c r="AE67" s="85">
        <f t="shared" si="22"/>
        <v>2033</v>
      </c>
      <c r="AF67" s="85">
        <f t="shared" si="22"/>
        <v>2034</v>
      </c>
      <c r="AG67" s="85">
        <f t="shared" si="22"/>
        <v>2035</v>
      </c>
      <c r="AH67" s="85">
        <f t="shared" si="22"/>
        <v>2036</v>
      </c>
      <c r="AI67" s="85">
        <f t="shared" si="22"/>
        <v>2037</v>
      </c>
      <c r="AJ67" s="85">
        <f t="shared" si="22"/>
        <v>2038</v>
      </c>
      <c r="AK67" s="85">
        <f t="shared" si="22"/>
        <v>2039</v>
      </c>
      <c r="AL67" s="85">
        <f t="shared" si="22"/>
        <v>2040</v>
      </c>
      <c r="AM67" s="85">
        <f t="shared" si="22"/>
        <v>2041</v>
      </c>
      <c r="AN67" s="85">
        <f t="shared" si="22"/>
        <v>2042</v>
      </c>
      <c r="AO67" s="85">
        <f t="shared" si="22"/>
        <v>2043</v>
      </c>
      <c r="AP67" s="85">
        <f t="shared" si="22"/>
        <v>2044</v>
      </c>
      <c r="AQ67" s="85">
        <f t="shared" si="22"/>
        <v>2045</v>
      </c>
      <c r="AR67" s="85">
        <f t="shared" si="22"/>
        <v>2046</v>
      </c>
      <c r="AS67" s="85">
        <f t="shared" si="22"/>
        <v>2047</v>
      </c>
      <c r="AT67" s="85">
        <f t="shared" si="22"/>
        <v>2048</v>
      </c>
      <c r="AU67" s="85">
        <f t="shared" si="22"/>
        <v>2049</v>
      </c>
      <c r="AV67" s="85">
        <f t="shared" si="22"/>
        <v>2050</v>
      </c>
    </row>
    <row r="68" spans="1:48">
      <c r="A68" t="s">
        <v>16</v>
      </c>
      <c r="I68" s="137"/>
      <c r="K68" s="75"/>
    </row>
    <row r="69" spans="1:48" ht="15.75" thickBot="1">
      <c r="A69" t="s">
        <v>16</v>
      </c>
      <c r="B69" s="91" t="s">
        <v>74</v>
      </c>
      <c r="C69" s="73"/>
      <c r="D69" s="73"/>
      <c r="H69" s="177">
        <f>VLOOKUP($L$57,$K$59:$O$62,3)</f>
        <v>0</v>
      </c>
      <c r="I69" s="137"/>
      <c r="K69" s="75"/>
    </row>
    <row r="70" spans="1:48">
      <c r="A70" t="s">
        <v>16</v>
      </c>
      <c r="B70" s="233" t="s">
        <v>239</v>
      </c>
      <c r="C70" s="75" t="str">
        <f t="shared" ref="C70:C78" si="23">"Commercial"&amp;" - "&amp;B56</f>
        <v>Commercial - Cooling</v>
      </c>
      <c r="D70" s="75" t="s">
        <v>75</v>
      </c>
      <c r="E70" s="84">
        <f>$D56/J$23</f>
        <v>1051.567060091292</v>
      </c>
      <c r="F70" s="92">
        <f>E56/$O$23</f>
        <v>863.94535743263168</v>
      </c>
      <c r="G70" s="92">
        <f t="shared" ref="G70:I78" si="24">F70</f>
        <v>863.94535743263168</v>
      </c>
      <c r="H70" s="92">
        <f>IF($L$57=-1,G70,((F70-E70)*2/5+E70)*(1+$H$69))</f>
        <v>863.94535743263168</v>
      </c>
      <c r="I70" s="136">
        <f t="shared" si="24"/>
        <v>863.94535743263168</v>
      </c>
      <c r="J70" s="5" cm="1">
        <f t="array" ref="J70">IF(J$8=-1,K70,IF(J$8=99,I70,IF(J$8=0,INDEX($E70:$I70,0,J$6),(INDEX($E70:$I70,0,J$8+1)-INDEX($E70:$I70,0,J$8))/(INDEX($D$5:$H$5,0,J$8+1)-INDEX($D$5:$H$5,0,J$8))+I70)))</f>
        <v>1051.567060091292</v>
      </c>
      <c r="K70" s="5" cm="1">
        <f t="array" ref="K70">IF(K$8=-1,L70,IF(K$8=99,J70,IF(K$8=0,INDEX($E70:$I70,0,K$6),(INDEX($E70:$I70,0,K$8+1)-INDEX($E70:$I70,0,K$8))/(INDEX($D$5:$H$5,0,K$8+1)-INDEX($D$5:$H$5,0,K$8))+J70)))</f>
        <v>1014.0427195595599</v>
      </c>
      <c r="L70" s="5" cm="1">
        <f t="array" ref="L70">IF(L$8=-1,M70,IF(L$8=99,K70,IF(L$8=0,INDEX($E70:$I70,0,L$6),(INDEX($E70:$I70,0,L$8+1)-INDEX($E70:$I70,0,L$8))/(INDEX($D$5:$H$5,0,L$8+1)-INDEX($D$5:$H$5,0,L$8))+K70)))</f>
        <v>976.5183790278279</v>
      </c>
      <c r="M70" s="5" cm="1">
        <f t="array" ref="M70">IF(M$8=-1,N70,IF(M$8=99,L70,IF(M$8=0,INDEX($E70:$I70,0,M$6),(INDEX($E70:$I70,0,M$8+1)-INDEX($E70:$I70,0,M$8))/(INDEX($D$5:$H$5,0,M$8+1)-INDEX($D$5:$H$5,0,M$8))+L70)))</f>
        <v>938.99403849609587</v>
      </c>
      <c r="N70" s="5" cm="1">
        <f t="array" ref="N70">IF(N$8=-1,O70,IF(N$8=99,M70,IF(N$8=0,INDEX($E70:$I70,0,N$6),(INDEX($E70:$I70,0,N$8+1)-INDEX($E70:$I70,0,N$8))/(INDEX($D$5:$H$5,0,N$8+1)-INDEX($D$5:$H$5,0,N$8))+M70)))</f>
        <v>901.46969796436383</v>
      </c>
      <c r="O70" s="5" cm="1">
        <f t="array" ref="O70">IF(O$8=-1,P70,IF(O$8=99,N70,IF(O$8=0,INDEX($E70:$I70,0,O$6),(INDEX($E70:$I70,0,O$8+1)-INDEX($E70:$I70,0,O$8))/(INDEX($D$5:$H$5,0,O$8+1)-INDEX($D$5:$H$5,0,O$8))+N70)))</f>
        <v>863.94535743263168</v>
      </c>
      <c r="P70" s="5" cm="1">
        <f t="array" ref="P70">IF(P$8=-1,Q70,IF(P$8=99,O70,IF(P$8=0,INDEX($E70:$I70,0,P$6),(INDEX($E70:$I70,0,P$8+1)-INDEX($E70:$I70,0,P$8))/(INDEX($D$5:$H$5,0,P$8+1)-INDEX($D$5:$H$5,0,P$8))+O70)))</f>
        <v>863.94535743263168</v>
      </c>
      <c r="Q70" s="5" cm="1">
        <f t="array" ref="Q70">IF(Q$8=-1,R70,IF(Q$8=99,P70,IF(Q$8=0,INDEX($E70:$I70,0,Q$6),(INDEX($E70:$I70,0,Q$8+1)-INDEX($E70:$I70,0,Q$8))/(INDEX($D$5:$H$5,0,Q$8+1)-INDEX($D$5:$H$5,0,Q$8))+P70)))</f>
        <v>863.94535743263168</v>
      </c>
      <c r="R70" s="5" cm="1">
        <f t="array" ref="R70">IF(R$8=-1,S70,IF(R$8=99,Q70,IF(R$8=0,INDEX($E70:$I70,0,R$6),(INDEX($E70:$I70,0,R$8+1)-INDEX($E70:$I70,0,R$8))/(INDEX($D$5:$H$5,0,R$8+1)-INDEX($D$5:$H$5,0,R$8))+Q70)))</f>
        <v>863.94535743263168</v>
      </c>
      <c r="S70" s="5" cm="1">
        <f t="array" ref="S70">IF(S$8=-1,T70,IF(S$8=99,R70,IF(S$8=0,INDEX($E70:$I70,0,S$6),(INDEX($E70:$I70,0,S$8+1)-INDEX($E70:$I70,0,S$8))/(INDEX($D$5:$H$5,0,S$8+1)-INDEX($D$5:$H$5,0,S$8))+R70)))</f>
        <v>863.94535743263168</v>
      </c>
      <c r="T70" s="5" cm="1">
        <f t="array" ref="T70">IF(T$8=-1,U70,IF(T$8=99,S70,IF(T$8=0,INDEX($E70:$I70,0,T$6),(INDEX($E70:$I70,0,T$8+1)-INDEX($E70:$I70,0,T$8))/(INDEX($D$5:$H$5,0,T$8+1)-INDEX($D$5:$H$5,0,T$8))+S70)))</f>
        <v>863.94535743263168</v>
      </c>
      <c r="U70" s="5" cm="1">
        <f t="array" ref="U70">IF(U$8=-1,V70,IF(U$8=99,T70,IF(U$8=0,INDEX($E70:$I70,0,U$6),(INDEX($E70:$I70,0,U$8+1)-INDEX($E70:$I70,0,U$8))/(INDEX($D$5:$H$5,0,U$8+1)-INDEX($D$5:$H$5,0,U$8))+T70)))</f>
        <v>863.94535743263168</v>
      </c>
      <c r="V70" s="5" cm="1">
        <f t="array" ref="V70">IF(V$8=-1,W70,IF(V$8=99,U70,IF(V$8=0,INDEX($E70:$I70,0,V$6),(INDEX($E70:$I70,0,V$8+1)-INDEX($E70:$I70,0,V$8))/(INDEX($D$5:$H$5,0,V$8+1)-INDEX($D$5:$H$5,0,V$8))+U70)))</f>
        <v>863.94535743263168</v>
      </c>
      <c r="W70" s="5" cm="1">
        <f t="array" ref="W70">IF(W$8=-1,X70,IF(W$8=99,V70,IF(W$8=0,INDEX($E70:$I70,0,W$6),(INDEX($E70:$I70,0,W$8+1)-INDEX($E70:$I70,0,W$8))/(INDEX($D$5:$H$5,0,W$8+1)-INDEX($D$5:$H$5,0,W$8))+V70)))</f>
        <v>863.94535743263168</v>
      </c>
      <c r="X70" s="5" cm="1">
        <f t="array" ref="X70">IF(X$8=-1,Y70,IF(X$8=99,W70,IF(X$8=0,INDEX($E70:$I70,0,X$6),(INDEX($E70:$I70,0,X$8+1)-INDEX($E70:$I70,0,X$8))/(INDEX($D$5:$H$5,0,X$8+1)-INDEX($D$5:$H$5,0,X$8))+W70)))</f>
        <v>863.94535743263168</v>
      </c>
      <c r="Y70" s="5" cm="1">
        <f t="array" ref="Y70">IF(Y$8=-1,Z70,IF(Y$8=99,X70,IF(Y$8=0,INDEX($E70:$I70,0,Y$6),(INDEX($E70:$I70,0,Y$8+1)-INDEX($E70:$I70,0,Y$8))/(INDEX($D$5:$H$5,0,Y$8+1)-INDEX($D$5:$H$5,0,Y$8))+X70)))</f>
        <v>863.94535743263168</v>
      </c>
      <c r="Z70" s="5" cm="1">
        <f t="array" ref="Z70">IF(Z$8=-1,AA70,IF(Z$8=99,Y70,IF(Z$8=0,INDEX($E70:$I70,0,Z$6),(INDEX($E70:$I70,0,Z$8+1)-INDEX($E70:$I70,0,Z$8))/(INDEX($D$5:$H$5,0,Z$8+1)-INDEX($D$5:$H$5,0,Z$8))+Y70)))</f>
        <v>863.94535743263168</v>
      </c>
      <c r="AA70" s="5" cm="1">
        <f t="array" ref="AA70">IF(AA$8=-1,AB70,IF(AA$8=99,Z70,IF(AA$8=0,INDEX($E70:$I70,0,AA$6),(INDEX($E70:$I70,0,AA$8+1)-INDEX($E70:$I70,0,AA$8))/(INDEX($D$5:$H$5,0,AA$8+1)-INDEX($D$5:$H$5,0,AA$8))+Z70)))</f>
        <v>863.94535743263168</v>
      </c>
      <c r="AB70" s="5" cm="1">
        <f t="array" ref="AB70">IF(AB$8=-1,AC70,IF(AB$8=99,AA70,IF(AB$8=0,INDEX($E70:$I70,0,AB$6),(INDEX($E70:$I70,0,AB$8+1)-INDEX($E70:$I70,0,AB$8))/(INDEX($D$5:$H$5,0,AB$8+1)-INDEX($D$5:$H$5,0,AB$8))+AA70)))</f>
        <v>863.94535743263168</v>
      </c>
      <c r="AC70" s="5" cm="1">
        <f t="array" ref="AC70">IF(AC$8=-1,AD70,IF(AC$8=99,AB70,IF(AC$8=0,INDEX($E70:$I70,0,AC$6),(INDEX($E70:$I70,0,AC$8+1)-INDEX($E70:$I70,0,AC$8))/(INDEX($D$5:$H$5,0,AC$8+1)-INDEX($D$5:$H$5,0,AC$8))+AB70)))</f>
        <v>863.94535743263168</v>
      </c>
      <c r="AD70" s="5" cm="1">
        <f t="array" ref="AD70">IF(AD$8=-1,AE70,IF(AD$8=99,AC70,IF(AD$8=0,INDEX($E70:$I70,0,AD$6),(INDEX($E70:$I70,0,AD$8+1)-INDEX($E70:$I70,0,AD$8))/(INDEX($D$5:$H$5,0,AD$8+1)-INDEX($D$5:$H$5,0,AD$8))+AC70)))</f>
        <v>863.94535743263168</v>
      </c>
      <c r="AE70" s="5" cm="1">
        <f t="array" ref="AE70">IF(AE$8=-1,AF70,IF(AE$8=99,AD70,IF(AE$8=0,INDEX($E70:$I70,0,AE$6),(INDEX($E70:$I70,0,AE$8+1)-INDEX($E70:$I70,0,AE$8))/(INDEX($D$5:$H$5,0,AE$8+1)-INDEX($D$5:$H$5,0,AE$8))+AD70)))</f>
        <v>863.94535743263168</v>
      </c>
      <c r="AF70" s="5" cm="1">
        <f t="array" ref="AF70">IF(AF$8=-1,AG70,IF(AF$8=99,AE70,IF(AF$8=0,INDEX($E70:$I70,0,AF$6),(INDEX($E70:$I70,0,AF$8+1)-INDEX($E70:$I70,0,AF$8))/(INDEX($D$5:$H$5,0,AF$8+1)-INDEX($D$5:$H$5,0,AF$8))+AE70)))</f>
        <v>863.94535743263168</v>
      </c>
      <c r="AG70" s="5" cm="1">
        <f t="array" ref="AG70">IF(AG$8=-1,AH70,IF(AG$8=99,AF70,IF(AG$8=0,INDEX($E70:$I70,0,AG$6),(INDEX($E70:$I70,0,AG$8+1)-INDEX($E70:$I70,0,AG$8))/(INDEX($D$5:$H$5,0,AG$8+1)-INDEX($D$5:$H$5,0,AG$8))+AF70)))</f>
        <v>863.94535743263168</v>
      </c>
      <c r="AH70" s="5" cm="1">
        <f t="array" ref="AH70">IF(AH$8=-1,AI70,IF(AH$8=99,AG70,IF(AH$8=0,INDEX($E70:$I70,0,AH$6),(INDEX($E70:$I70,0,AH$8+1)-INDEX($E70:$I70,0,AH$8))/(INDEX($D$5:$H$5,0,AH$8+1)-INDEX($D$5:$H$5,0,AH$8))+AG70)))</f>
        <v>863.94535743263168</v>
      </c>
      <c r="AI70" s="5" cm="1">
        <f t="array" ref="AI70">IF(AI$8=-1,AJ70,IF(AI$8=99,AH70,IF(AI$8=0,INDEX($E70:$I70,0,AI$6),(INDEX($E70:$I70,0,AI$8+1)-INDEX($E70:$I70,0,AI$8))/(INDEX($D$5:$H$5,0,AI$8+1)-INDEX($D$5:$H$5,0,AI$8))+AH70)))</f>
        <v>863.94535743263168</v>
      </c>
      <c r="AJ70" s="5" cm="1">
        <f t="array" ref="AJ70">IF(AJ$8=-1,AK70,IF(AJ$8=99,AI70,IF(AJ$8=0,INDEX($E70:$I70,0,AJ$6),(INDEX($E70:$I70,0,AJ$8+1)-INDEX($E70:$I70,0,AJ$8))/(INDEX($D$5:$H$5,0,AJ$8+1)-INDEX($D$5:$H$5,0,AJ$8))+AI70)))</f>
        <v>863.94535743263168</v>
      </c>
      <c r="AK70" s="5" cm="1">
        <f t="array" ref="AK70">IF(AK$8=-1,AL70,IF(AK$8=99,AJ70,IF(AK$8=0,INDEX($E70:$I70,0,AK$6),(INDEX($E70:$I70,0,AK$8+1)-INDEX($E70:$I70,0,AK$8))/(INDEX($D$5:$H$5,0,AK$8+1)-INDEX($D$5:$H$5,0,AK$8))+AJ70)))</f>
        <v>863.94535743263168</v>
      </c>
      <c r="AL70" s="5" cm="1">
        <f t="array" ref="AL70">IF(AL$8=-1,AM70,IF(AL$8=99,AK70,IF(AL$8=0,INDEX($E70:$I70,0,AL$6),(INDEX($E70:$I70,0,AL$8+1)-INDEX($E70:$I70,0,AL$8))/(INDEX($D$5:$H$5,0,AL$8+1)-INDEX($D$5:$H$5,0,AL$8))+AK70)))</f>
        <v>863.94535743263168</v>
      </c>
      <c r="AM70" s="5" cm="1">
        <f t="array" ref="AM70">IF(AM$8=-1,AN70,IF(AM$8=99,AL70,IF(AM$8=0,INDEX($E70:$I70,0,AM$6),(INDEX($E70:$I70,0,AM$8+1)-INDEX($E70:$I70,0,AM$8))/(INDEX($D$5:$H$5,0,AM$8+1)-INDEX($D$5:$H$5,0,AM$8))+AL70)))</f>
        <v>863.94535743263168</v>
      </c>
      <c r="AN70" s="5" cm="1">
        <f t="array" ref="AN70">IF(AN$8=-1,AO70,IF(AN$8=99,AM70,IF(AN$8=0,INDEX($E70:$I70,0,AN$6),(INDEX($E70:$I70,0,AN$8+1)-INDEX($E70:$I70,0,AN$8))/(INDEX($D$5:$H$5,0,AN$8+1)-INDEX($D$5:$H$5,0,AN$8))+AM70)))</f>
        <v>863.94535743263168</v>
      </c>
      <c r="AO70" s="5" cm="1">
        <f t="array" ref="AO70">IF(AO$8=-1,AP70,IF(AO$8=99,AN70,IF(AO$8=0,INDEX($E70:$I70,0,AO$6),(INDEX($E70:$I70,0,AO$8+1)-INDEX($E70:$I70,0,AO$8))/(INDEX($D$5:$H$5,0,AO$8+1)-INDEX($D$5:$H$5,0,AO$8))+AN70)))</f>
        <v>863.94535743263168</v>
      </c>
      <c r="AP70" s="5" cm="1">
        <f t="array" ref="AP70">IF(AP$8=-1,AQ70,IF(AP$8=99,AO70,IF(AP$8=0,INDEX($E70:$I70,0,AP$6),(INDEX($E70:$I70,0,AP$8+1)-INDEX($E70:$I70,0,AP$8))/(INDEX($D$5:$H$5,0,AP$8+1)-INDEX($D$5:$H$5,0,AP$8))+AO70)))</f>
        <v>863.94535743263168</v>
      </c>
      <c r="AQ70" s="5" cm="1">
        <f t="array" ref="AQ70">IF(AQ$8=-1,AR70,IF(AQ$8=99,AP70,IF(AQ$8=0,INDEX($E70:$I70,0,AQ$6),(INDEX($E70:$I70,0,AQ$8+1)-INDEX($E70:$I70,0,AQ$8))/(INDEX($D$5:$H$5,0,AQ$8+1)-INDEX($D$5:$H$5,0,AQ$8))+AP70)))</f>
        <v>863.94535743263168</v>
      </c>
      <c r="AR70" s="5" cm="1">
        <f t="array" ref="AR70">IF(AR$8=-1,AS70,IF(AR$8=99,AQ70,IF(AR$8=0,INDEX($E70:$I70,0,AR$6),(INDEX($E70:$I70,0,AR$8+1)-INDEX($E70:$I70,0,AR$8))/(INDEX($D$5:$H$5,0,AR$8+1)-INDEX($D$5:$H$5,0,AR$8))+AQ70)))</f>
        <v>863.94535743263168</v>
      </c>
      <c r="AS70" s="5" cm="1">
        <f t="array" ref="AS70">IF(AS$8=-1,AT70,IF(AS$8=99,AR70,IF(AS$8=0,INDEX($E70:$I70,0,AS$6),(INDEX($E70:$I70,0,AS$8+1)-INDEX($E70:$I70,0,AS$8))/(INDEX($D$5:$H$5,0,AS$8+1)-INDEX($D$5:$H$5,0,AS$8))+AR70)))</f>
        <v>863.94535743263168</v>
      </c>
      <c r="AT70" s="5" cm="1">
        <f t="array" ref="AT70">IF(AT$8=-1,AU70,IF(AT$8=99,AS70,IF(AT$8=0,INDEX($E70:$I70,0,AT$6),(INDEX($E70:$I70,0,AT$8+1)-INDEX($E70:$I70,0,AT$8))/(INDEX($D$5:$H$5,0,AT$8+1)-INDEX($D$5:$H$5,0,AT$8))+AS70)))</f>
        <v>863.94535743263168</v>
      </c>
      <c r="AU70" s="5" cm="1">
        <f t="array" ref="AU70">IF(AU$8=-1,AV70,IF(AU$8=99,AT70,IF(AU$8=0,INDEX($E70:$I70,0,AU$6),(INDEX($E70:$I70,0,AU$8+1)-INDEX($E70:$I70,0,AU$8))/(INDEX($D$5:$H$5,0,AU$8+1)-INDEX($D$5:$H$5,0,AU$8))+AT70)))</f>
        <v>863.94535743263168</v>
      </c>
      <c r="AV70" s="5" cm="1">
        <f t="array" ref="AV70">IF(AV$8=-1,AW70,IF(AV$8=99,AU70,IF(AV$8=0,INDEX($E70:$I70,0,AV$6),(INDEX($E70:$I70,0,AV$8+1)-INDEX($E70:$I70,0,AV$8))/(INDEX($D$5:$H$5,0,AV$8+1)-INDEX($D$5:$H$5,0,AV$8))+AU70)))</f>
        <v>863.94535743263168</v>
      </c>
    </row>
    <row r="71" spans="1:48">
      <c r="A71" t="s">
        <v>16</v>
      </c>
      <c r="B71" s="233" t="s">
        <v>240</v>
      </c>
      <c r="C71" s="75" t="str">
        <f t="shared" si="23"/>
        <v>Commercial - Space Heating</v>
      </c>
      <c r="D71" s="75" t="s">
        <v>75</v>
      </c>
      <c r="E71" s="84">
        <f t="shared" ref="E71:E75" si="25">$D57/J$23</f>
        <v>59.117764859369188</v>
      </c>
      <c r="F71" s="92">
        <f t="shared" ref="F71:F78" si="26">E57/$O$23</f>
        <v>82.391305130342559</v>
      </c>
      <c r="G71" s="92">
        <f t="shared" si="24"/>
        <v>82.391305130342559</v>
      </c>
      <c r="H71" s="92">
        <f t="shared" ref="H71:H78" si="27">IF($L$57=-1,G71,((F71-E71)*2/5+E71)*(1+$H$69))</f>
        <v>82.391305130342559</v>
      </c>
      <c r="I71" s="136">
        <f t="shared" si="24"/>
        <v>82.391305130342559</v>
      </c>
      <c r="J71" s="5" cm="1">
        <f t="array" ref="J71">IF(J$8=-1,K71,IF(J$8=99,I71,IF(J$8=0,INDEX($E71:$I71,0,J$6),(INDEX($E71:$I71,0,J$8+1)-INDEX($E71:$I71,0,J$8))/(INDEX($D$5:$H$5,0,J$8+1)-INDEX($D$5:$H$5,0,J$8))+I71)))</f>
        <v>59.117764859369188</v>
      </c>
      <c r="K71" s="5" cm="1">
        <f t="array" ref="K71">IF(K$8=-1,L71,IF(K$8=99,J71,IF(K$8=0,INDEX($E71:$I71,0,K$6),(INDEX($E71:$I71,0,K$8+1)-INDEX($E71:$I71,0,K$8))/(INDEX($D$5:$H$5,0,K$8+1)-INDEX($D$5:$H$5,0,K$8))+J71)))</f>
        <v>63.77247291356386</v>
      </c>
      <c r="L71" s="5" cm="1">
        <f t="array" ref="L71">IF(L$8=-1,M71,IF(L$8=99,K71,IF(L$8=0,INDEX($E71:$I71,0,L$6),(INDEX($E71:$I71,0,L$8+1)-INDEX($E71:$I71,0,L$8))/(INDEX($D$5:$H$5,0,L$8+1)-INDEX($D$5:$H$5,0,L$8))+K71)))</f>
        <v>68.427180967758531</v>
      </c>
      <c r="M71" s="5" cm="1">
        <f t="array" ref="M71">IF(M$8=-1,N71,IF(M$8=99,L71,IF(M$8=0,INDEX($E71:$I71,0,M$6),(INDEX($E71:$I71,0,M$8+1)-INDEX($E71:$I71,0,M$8))/(INDEX($D$5:$H$5,0,M$8+1)-INDEX($D$5:$H$5,0,M$8))+L71)))</f>
        <v>73.081889021953202</v>
      </c>
      <c r="N71" s="5" cm="1">
        <f t="array" ref="N71">IF(N$8=-1,O71,IF(N$8=99,M71,IF(N$8=0,INDEX($E71:$I71,0,N$6),(INDEX($E71:$I71,0,N$8+1)-INDEX($E71:$I71,0,N$8))/(INDEX($D$5:$H$5,0,N$8+1)-INDEX($D$5:$H$5,0,N$8))+M71)))</f>
        <v>77.736597076147874</v>
      </c>
      <c r="O71" s="5" cm="1">
        <f t="array" ref="O71">IF(O$8=-1,P71,IF(O$8=99,N71,IF(O$8=0,INDEX($E71:$I71,0,O$6),(INDEX($E71:$I71,0,O$8+1)-INDEX($E71:$I71,0,O$8))/(INDEX($D$5:$H$5,0,O$8+1)-INDEX($D$5:$H$5,0,O$8))+N71)))</f>
        <v>82.391305130342559</v>
      </c>
      <c r="P71" s="5" cm="1">
        <f t="array" ref="P71">IF(P$8=-1,Q71,IF(P$8=99,O71,IF(P$8=0,INDEX($E71:$I71,0,P$6),(INDEX($E71:$I71,0,P$8+1)-INDEX($E71:$I71,0,P$8))/(INDEX($D$5:$H$5,0,P$8+1)-INDEX($D$5:$H$5,0,P$8))+O71)))</f>
        <v>82.391305130342559</v>
      </c>
      <c r="Q71" s="5" cm="1">
        <f t="array" ref="Q71">IF(Q$8=-1,R71,IF(Q$8=99,P71,IF(Q$8=0,INDEX($E71:$I71,0,Q$6),(INDEX($E71:$I71,0,Q$8+1)-INDEX($E71:$I71,0,Q$8))/(INDEX($D$5:$H$5,0,Q$8+1)-INDEX($D$5:$H$5,0,Q$8))+P71)))</f>
        <v>82.391305130342559</v>
      </c>
      <c r="R71" s="5" cm="1">
        <f t="array" ref="R71">IF(R$8=-1,S71,IF(R$8=99,Q71,IF(R$8=0,INDEX($E71:$I71,0,R$6),(INDEX($E71:$I71,0,R$8+1)-INDEX($E71:$I71,0,R$8))/(INDEX($D$5:$H$5,0,R$8+1)-INDEX($D$5:$H$5,0,R$8))+Q71)))</f>
        <v>82.391305130342559</v>
      </c>
      <c r="S71" s="5" cm="1">
        <f t="array" ref="S71">IF(S$8=-1,T71,IF(S$8=99,R71,IF(S$8=0,INDEX($E71:$I71,0,S$6),(INDEX($E71:$I71,0,S$8+1)-INDEX($E71:$I71,0,S$8))/(INDEX($D$5:$H$5,0,S$8+1)-INDEX($D$5:$H$5,0,S$8))+R71)))</f>
        <v>82.391305130342559</v>
      </c>
      <c r="T71" s="5" cm="1">
        <f t="array" ref="T71">IF(T$8=-1,U71,IF(T$8=99,S71,IF(T$8=0,INDEX($E71:$I71,0,T$6),(INDEX($E71:$I71,0,T$8+1)-INDEX($E71:$I71,0,T$8))/(INDEX($D$5:$H$5,0,T$8+1)-INDEX($D$5:$H$5,0,T$8))+S71)))</f>
        <v>82.391305130342559</v>
      </c>
      <c r="U71" s="5" cm="1">
        <f t="array" ref="U71">IF(U$8=-1,V71,IF(U$8=99,T71,IF(U$8=0,INDEX($E71:$I71,0,U$6),(INDEX($E71:$I71,0,U$8+1)-INDEX($E71:$I71,0,U$8))/(INDEX($D$5:$H$5,0,U$8+1)-INDEX($D$5:$H$5,0,U$8))+T71)))</f>
        <v>82.391305130342559</v>
      </c>
      <c r="V71" s="5" cm="1">
        <f t="array" ref="V71">IF(V$8=-1,W71,IF(V$8=99,U71,IF(V$8=0,INDEX($E71:$I71,0,V$6),(INDEX($E71:$I71,0,V$8+1)-INDEX($E71:$I71,0,V$8))/(INDEX($D$5:$H$5,0,V$8+1)-INDEX($D$5:$H$5,0,V$8))+U71)))</f>
        <v>82.391305130342559</v>
      </c>
      <c r="W71" s="5" cm="1">
        <f t="array" ref="W71">IF(W$8=-1,X71,IF(W$8=99,V71,IF(W$8=0,INDEX($E71:$I71,0,W$6),(INDEX($E71:$I71,0,W$8+1)-INDEX($E71:$I71,0,W$8))/(INDEX($D$5:$H$5,0,W$8+1)-INDEX($D$5:$H$5,0,W$8))+V71)))</f>
        <v>82.391305130342559</v>
      </c>
      <c r="X71" s="5" cm="1">
        <f t="array" ref="X71">IF(X$8=-1,Y71,IF(X$8=99,W71,IF(X$8=0,INDEX($E71:$I71,0,X$6),(INDEX($E71:$I71,0,X$8+1)-INDEX($E71:$I71,0,X$8))/(INDEX($D$5:$H$5,0,X$8+1)-INDEX($D$5:$H$5,0,X$8))+W71)))</f>
        <v>82.391305130342559</v>
      </c>
      <c r="Y71" s="5" cm="1">
        <f t="array" ref="Y71">IF(Y$8=-1,Z71,IF(Y$8=99,X71,IF(Y$8=0,INDEX($E71:$I71,0,Y$6),(INDEX($E71:$I71,0,Y$8+1)-INDEX($E71:$I71,0,Y$8))/(INDEX($D$5:$H$5,0,Y$8+1)-INDEX($D$5:$H$5,0,Y$8))+X71)))</f>
        <v>82.391305130342559</v>
      </c>
      <c r="Z71" s="5" cm="1">
        <f t="array" ref="Z71">IF(Z$8=-1,AA71,IF(Z$8=99,Y71,IF(Z$8=0,INDEX($E71:$I71,0,Z$6),(INDEX($E71:$I71,0,Z$8+1)-INDEX($E71:$I71,0,Z$8))/(INDEX($D$5:$H$5,0,Z$8+1)-INDEX($D$5:$H$5,0,Z$8))+Y71)))</f>
        <v>82.391305130342559</v>
      </c>
      <c r="AA71" s="5" cm="1">
        <f t="array" ref="AA71">IF(AA$8=-1,AB71,IF(AA$8=99,Z71,IF(AA$8=0,INDEX($E71:$I71,0,AA$6),(INDEX($E71:$I71,0,AA$8+1)-INDEX($E71:$I71,0,AA$8))/(INDEX($D$5:$H$5,0,AA$8+1)-INDEX($D$5:$H$5,0,AA$8))+Z71)))</f>
        <v>82.391305130342559</v>
      </c>
      <c r="AB71" s="5" cm="1">
        <f t="array" ref="AB71">IF(AB$8=-1,AC71,IF(AB$8=99,AA71,IF(AB$8=0,INDEX($E71:$I71,0,AB$6),(INDEX($E71:$I71,0,AB$8+1)-INDEX($E71:$I71,0,AB$8))/(INDEX($D$5:$H$5,0,AB$8+1)-INDEX($D$5:$H$5,0,AB$8))+AA71)))</f>
        <v>82.391305130342559</v>
      </c>
      <c r="AC71" s="5" cm="1">
        <f t="array" ref="AC71">IF(AC$8=-1,AD71,IF(AC$8=99,AB71,IF(AC$8=0,INDEX($E71:$I71,0,AC$6),(INDEX($E71:$I71,0,AC$8+1)-INDEX($E71:$I71,0,AC$8))/(INDEX($D$5:$H$5,0,AC$8+1)-INDEX($D$5:$H$5,0,AC$8))+AB71)))</f>
        <v>82.391305130342559</v>
      </c>
      <c r="AD71" s="5" cm="1">
        <f t="array" ref="AD71">IF(AD$8=-1,AE71,IF(AD$8=99,AC71,IF(AD$8=0,INDEX($E71:$I71,0,AD$6),(INDEX($E71:$I71,0,AD$8+1)-INDEX($E71:$I71,0,AD$8))/(INDEX($D$5:$H$5,0,AD$8+1)-INDEX($D$5:$H$5,0,AD$8))+AC71)))</f>
        <v>82.391305130342559</v>
      </c>
      <c r="AE71" s="5" cm="1">
        <f t="array" ref="AE71">IF(AE$8=-1,AF71,IF(AE$8=99,AD71,IF(AE$8=0,INDEX($E71:$I71,0,AE$6),(INDEX($E71:$I71,0,AE$8+1)-INDEX($E71:$I71,0,AE$8))/(INDEX($D$5:$H$5,0,AE$8+1)-INDEX($D$5:$H$5,0,AE$8))+AD71)))</f>
        <v>82.391305130342559</v>
      </c>
      <c r="AF71" s="5" cm="1">
        <f t="array" ref="AF71">IF(AF$8=-1,AG71,IF(AF$8=99,AE71,IF(AF$8=0,INDEX($E71:$I71,0,AF$6),(INDEX($E71:$I71,0,AF$8+1)-INDEX($E71:$I71,0,AF$8))/(INDEX($D$5:$H$5,0,AF$8+1)-INDEX($D$5:$H$5,0,AF$8))+AE71)))</f>
        <v>82.391305130342559</v>
      </c>
      <c r="AG71" s="5" cm="1">
        <f t="array" ref="AG71">IF(AG$8=-1,AH71,IF(AG$8=99,AF71,IF(AG$8=0,INDEX($E71:$I71,0,AG$6),(INDEX($E71:$I71,0,AG$8+1)-INDEX($E71:$I71,0,AG$8))/(INDEX($D$5:$H$5,0,AG$8+1)-INDEX($D$5:$H$5,0,AG$8))+AF71)))</f>
        <v>82.391305130342559</v>
      </c>
      <c r="AH71" s="5" cm="1">
        <f t="array" ref="AH71">IF(AH$8=-1,AI71,IF(AH$8=99,AG71,IF(AH$8=0,INDEX($E71:$I71,0,AH$6),(INDEX($E71:$I71,0,AH$8+1)-INDEX($E71:$I71,0,AH$8))/(INDEX($D$5:$H$5,0,AH$8+1)-INDEX($D$5:$H$5,0,AH$8))+AG71)))</f>
        <v>82.391305130342559</v>
      </c>
      <c r="AI71" s="5" cm="1">
        <f t="array" ref="AI71">IF(AI$8=-1,AJ71,IF(AI$8=99,AH71,IF(AI$8=0,INDEX($E71:$I71,0,AI$6),(INDEX($E71:$I71,0,AI$8+1)-INDEX($E71:$I71,0,AI$8))/(INDEX($D$5:$H$5,0,AI$8+1)-INDEX($D$5:$H$5,0,AI$8))+AH71)))</f>
        <v>82.391305130342559</v>
      </c>
      <c r="AJ71" s="5" cm="1">
        <f t="array" ref="AJ71">IF(AJ$8=-1,AK71,IF(AJ$8=99,AI71,IF(AJ$8=0,INDEX($E71:$I71,0,AJ$6),(INDEX($E71:$I71,0,AJ$8+1)-INDEX($E71:$I71,0,AJ$8))/(INDEX($D$5:$H$5,0,AJ$8+1)-INDEX($D$5:$H$5,0,AJ$8))+AI71)))</f>
        <v>82.391305130342559</v>
      </c>
      <c r="AK71" s="5" cm="1">
        <f t="array" ref="AK71">IF(AK$8=-1,AL71,IF(AK$8=99,AJ71,IF(AK$8=0,INDEX($E71:$I71,0,AK$6),(INDEX($E71:$I71,0,AK$8+1)-INDEX($E71:$I71,0,AK$8))/(INDEX($D$5:$H$5,0,AK$8+1)-INDEX($D$5:$H$5,0,AK$8))+AJ71)))</f>
        <v>82.391305130342559</v>
      </c>
      <c r="AL71" s="5" cm="1">
        <f t="array" ref="AL71">IF(AL$8=-1,AM71,IF(AL$8=99,AK71,IF(AL$8=0,INDEX($E71:$I71,0,AL$6),(INDEX($E71:$I71,0,AL$8+1)-INDEX($E71:$I71,0,AL$8))/(INDEX($D$5:$H$5,0,AL$8+1)-INDEX($D$5:$H$5,0,AL$8))+AK71)))</f>
        <v>82.391305130342559</v>
      </c>
      <c r="AM71" s="5" cm="1">
        <f t="array" ref="AM71">IF(AM$8=-1,AN71,IF(AM$8=99,AL71,IF(AM$8=0,INDEX($E71:$I71,0,AM$6),(INDEX($E71:$I71,0,AM$8+1)-INDEX($E71:$I71,0,AM$8))/(INDEX($D$5:$H$5,0,AM$8+1)-INDEX($D$5:$H$5,0,AM$8))+AL71)))</f>
        <v>82.391305130342559</v>
      </c>
      <c r="AN71" s="5" cm="1">
        <f t="array" ref="AN71">IF(AN$8=-1,AO71,IF(AN$8=99,AM71,IF(AN$8=0,INDEX($E71:$I71,0,AN$6),(INDEX($E71:$I71,0,AN$8+1)-INDEX($E71:$I71,0,AN$8))/(INDEX($D$5:$H$5,0,AN$8+1)-INDEX($D$5:$H$5,0,AN$8))+AM71)))</f>
        <v>82.391305130342559</v>
      </c>
      <c r="AO71" s="5" cm="1">
        <f t="array" ref="AO71">IF(AO$8=-1,AP71,IF(AO$8=99,AN71,IF(AO$8=0,INDEX($E71:$I71,0,AO$6),(INDEX($E71:$I71,0,AO$8+1)-INDEX($E71:$I71,0,AO$8))/(INDEX($D$5:$H$5,0,AO$8+1)-INDEX($D$5:$H$5,0,AO$8))+AN71)))</f>
        <v>82.391305130342559</v>
      </c>
      <c r="AP71" s="5" cm="1">
        <f t="array" ref="AP71">IF(AP$8=-1,AQ71,IF(AP$8=99,AO71,IF(AP$8=0,INDEX($E71:$I71,0,AP$6),(INDEX($E71:$I71,0,AP$8+1)-INDEX($E71:$I71,0,AP$8))/(INDEX($D$5:$H$5,0,AP$8+1)-INDEX($D$5:$H$5,0,AP$8))+AO71)))</f>
        <v>82.391305130342559</v>
      </c>
      <c r="AQ71" s="5" cm="1">
        <f t="array" ref="AQ71">IF(AQ$8=-1,AR71,IF(AQ$8=99,AP71,IF(AQ$8=0,INDEX($E71:$I71,0,AQ$6),(INDEX($E71:$I71,0,AQ$8+1)-INDEX($E71:$I71,0,AQ$8))/(INDEX($D$5:$H$5,0,AQ$8+1)-INDEX($D$5:$H$5,0,AQ$8))+AP71)))</f>
        <v>82.391305130342559</v>
      </c>
      <c r="AR71" s="5" cm="1">
        <f t="array" ref="AR71">IF(AR$8=-1,AS71,IF(AR$8=99,AQ71,IF(AR$8=0,INDEX($E71:$I71,0,AR$6),(INDEX($E71:$I71,0,AR$8+1)-INDEX($E71:$I71,0,AR$8))/(INDEX($D$5:$H$5,0,AR$8+1)-INDEX($D$5:$H$5,0,AR$8))+AQ71)))</f>
        <v>82.391305130342559</v>
      </c>
      <c r="AS71" s="5" cm="1">
        <f t="array" ref="AS71">IF(AS$8=-1,AT71,IF(AS$8=99,AR71,IF(AS$8=0,INDEX($E71:$I71,0,AS$6),(INDEX($E71:$I71,0,AS$8+1)-INDEX($E71:$I71,0,AS$8))/(INDEX($D$5:$H$5,0,AS$8+1)-INDEX($D$5:$H$5,0,AS$8))+AR71)))</f>
        <v>82.391305130342559</v>
      </c>
      <c r="AT71" s="5" cm="1">
        <f t="array" ref="AT71">IF(AT$8=-1,AU71,IF(AT$8=99,AS71,IF(AT$8=0,INDEX($E71:$I71,0,AT$6),(INDEX($E71:$I71,0,AT$8+1)-INDEX($E71:$I71,0,AT$8))/(INDEX($D$5:$H$5,0,AT$8+1)-INDEX($D$5:$H$5,0,AT$8))+AS71)))</f>
        <v>82.391305130342559</v>
      </c>
      <c r="AU71" s="5" cm="1">
        <f t="array" ref="AU71">IF(AU$8=-1,AV71,IF(AU$8=99,AT71,IF(AU$8=0,INDEX($E71:$I71,0,AU$6),(INDEX($E71:$I71,0,AU$8+1)-INDEX($E71:$I71,0,AU$8))/(INDEX($D$5:$H$5,0,AU$8+1)-INDEX($D$5:$H$5,0,AU$8))+AT71)))</f>
        <v>82.391305130342559</v>
      </c>
      <c r="AV71" s="5" cm="1">
        <f t="array" ref="AV71">IF(AV$8=-1,AW71,IF(AV$8=99,AU71,IF(AV$8=0,INDEX($E71:$I71,0,AV$6),(INDEX($E71:$I71,0,AV$8+1)-INDEX($E71:$I71,0,AV$8))/(INDEX($D$5:$H$5,0,AV$8+1)-INDEX($D$5:$H$5,0,AV$8))+AU71)))</f>
        <v>82.391305130342559</v>
      </c>
    </row>
    <row r="72" spans="1:48">
      <c r="A72" t="s">
        <v>16</v>
      </c>
      <c r="B72" s="233" t="s">
        <v>241</v>
      </c>
      <c r="C72" s="75" t="str">
        <f t="shared" si="23"/>
        <v>Commercial - Cooking</v>
      </c>
      <c r="D72" s="75" t="s">
        <v>75</v>
      </c>
      <c r="E72" s="84">
        <f t="shared" si="25"/>
        <v>74.498085701673531</v>
      </c>
      <c r="F72" s="92">
        <f t="shared" si="26"/>
        <v>59.276589186426349</v>
      </c>
      <c r="G72" s="92">
        <f t="shared" si="24"/>
        <v>59.276589186426349</v>
      </c>
      <c r="H72" s="92">
        <f t="shared" si="27"/>
        <v>59.276589186426349</v>
      </c>
      <c r="I72" s="136">
        <f t="shared" si="24"/>
        <v>59.276589186426349</v>
      </c>
      <c r="J72" s="5" cm="1">
        <f t="array" ref="J72">IF(J$8=-1,K72,IF(J$8=99,I72,IF(J$8=0,INDEX($E72:$I72,0,J$6),(INDEX($E72:$I72,0,J$8+1)-INDEX($E72:$I72,0,J$8))/(INDEX($D$5:$H$5,0,J$8+1)-INDEX($D$5:$H$5,0,J$8))+I72)))</f>
        <v>74.498085701673531</v>
      </c>
      <c r="K72" s="5" cm="1">
        <f t="array" ref="K72">IF(K$8=-1,L72,IF(K$8=99,J72,IF(K$8=0,INDEX($E72:$I72,0,K$6),(INDEX($E72:$I72,0,K$8+1)-INDEX($E72:$I72,0,K$8))/(INDEX($D$5:$H$5,0,K$8+1)-INDEX($D$5:$H$5,0,K$8))+J72)))</f>
        <v>71.453786398624089</v>
      </c>
      <c r="L72" s="5" cm="1">
        <f t="array" ref="L72">IF(L$8=-1,M72,IF(L$8=99,K72,IF(L$8=0,INDEX($E72:$I72,0,L$6),(INDEX($E72:$I72,0,L$8+1)-INDEX($E72:$I72,0,L$8))/(INDEX($D$5:$H$5,0,L$8+1)-INDEX($D$5:$H$5,0,L$8))+K72)))</f>
        <v>68.409487095574647</v>
      </c>
      <c r="M72" s="5" cm="1">
        <f t="array" ref="M72">IF(M$8=-1,N72,IF(M$8=99,L72,IF(M$8=0,INDEX($E72:$I72,0,M$6),(INDEX($E72:$I72,0,M$8+1)-INDEX($E72:$I72,0,M$8))/(INDEX($D$5:$H$5,0,M$8+1)-INDEX($D$5:$H$5,0,M$8))+L72)))</f>
        <v>65.365187792525205</v>
      </c>
      <c r="N72" s="5" cm="1">
        <f t="array" ref="N72">IF(N$8=-1,O72,IF(N$8=99,M72,IF(N$8=0,INDEX($E72:$I72,0,N$6),(INDEX($E72:$I72,0,N$8+1)-INDEX($E72:$I72,0,N$8))/(INDEX($D$5:$H$5,0,N$8+1)-INDEX($D$5:$H$5,0,N$8))+M72)))</f>
        <v>62.32088848947577</v>
      </c>
      <c r="O72" s="5" cm="1">
        <f t="array" ref="O72">IF(O$8=-1,P72,IF(O$8=99,N72,IF(O$8=0,INDEX($E72:$I72,0,O$6),(INDEX($E72:$I72,0,O$8+1)-INDEX($E72:$I72,0,O$8))/(INDEX($D$5:$H$5,0,O$8+1)-INDEX($D$5:$H$5,0,O$8))+N72)))</f>
        <v>59.276589186426349</v>
      </c>
      <c r="P72" s="5" cm="1">
        <f t="array" ref="P72">IF(P$8=-1,Q72,IF(P$8=99,O72,IF(P$8=0,INDEX($E72:$I72,0,P$6),(INDEX($E72:$I72,0,P$8+1)-INDEX($E72:$I72,0,P$8))/(INDEX($D$5:$H$5,0,P$8+1)-INDEX($D$5:$H$5,0,P$8))+O72)))</f>
        <v>59.276589186426349</v>
      </c>
      <c r="Q72" s="5" cm="1">
        <f t="array" ref="Q72">IF(Q$8=-1,R72,IF(Q$8=99,P72,IF(Q$8=0,INDEX($E72:$I72,0,Q$6),(INDEX($E72:$I72,0,Q$8+1)-INDEX($E72:$I72,0,Q$8))/(INDEX($D$5:$H$5,0,Q$8+1)-INDEX($D$5:$H$5,0,Q$8))+P72)))</f>
        <v>59.276589186426349</v>
      </c>
      <c r="R72" s="5" cm="1">
        <f t="array" ref="R72">IF(R$8=-1,S72,IF(R$8=99,Q72,IF(R$8=0,INDEX($E72:$I72,0,R$6),(INDEX($E72:$I72,0,R$8+1)-INDEX($E72:$I72,0,R$8))/(INDEX($D$5:$H$5,0,R$8+1)-INDEX($D$5:$H$5,0,R$8))+Q72)))</f>
        <v>59.276589186426349</v>
      </c>
      <c r="S72" s="5" cm="1">
        <f t="array" ref="S72">IF(S$8=-1,T72,IF(S$8=99,R72,IF(S$8=0,INDEX($E72:$I72,0,S$6),(INDEX($E72:$I72,0,S$8+1)-INDEX($E72:$I72,0,S$8))/(INDEX($D$5:$H$5,0,S$8+1)-INDEX($D$5:$H$5,0,S$8))+R72)))</f>
        <v>59.276589186426349</v>
      </c>
      <c r="T72" s="5" cm="1">
        <f t="array" ref="T72">IF(T$8=-1,U72,IF(T$8=99,S72,IF(T$8=0,INDEX($E72:$I72,0,T$6),(INDEX($E72:$I72,0,T$8+1)-INDEX($E72:$I72,0,T$8))/(INDEX($D$5:$H$5,0,T$8+1)-INDEX($D$5:$H$5,0,T$8))+S72)))</f>
        <v>59.276589186426349</v>
      </c>
      <c r="U72" s="5" cm="1">
        <f t="array" ref="U72">IF(U$8=-1,V72,IF(U$8=99,T72,IF(U$8=0,INDEX($E72:$I72,0,U$6),(INDEX($E72:$I72,0,U$8+1)-INDEX($E72:$I72,0,U$8))/(INDEX($D$5:$H$5,0,U$8+1)-INDEX($D$5:$H$5,0,U$8))+T72)))</f>
        <v>59.276589186426349</v>
      </c>
      <c r="V72" s="5" cm="1">
        <f t="array" ref="V72">IF(V$8=-1,W72,IF(V$8=99,U72,IF(V$8=0,INDEX($E72:$I72,0,V$6),(INDEX($E72:$I72,0,V$8+1)-INDEX($E72:$I72,0,V$8))/(INDEX($D$5:$H$5,0,V$8+1)-INDEX($D$5:$H$5,0,V$8))+U72)))</f>
        <v>59.276589186426349</v>
      </c>
      <c r="W72" s="5" cm="1">
        <f t="array" ref="W72">IF(W$8=-1,X72,IF(W$8=99,V72,IF(W$8=0,INDEX($E72:$I72,0,W$6),(INDEX($E72:$I72,0,W$8+1)-INDEX($E72:$I72,0,W$8))/(INDEX($D$5:$H$5,0,W$8+1)-INDEX($D$5:$H$5,0,W$8))+V72)))</f>
        <v>59.276589186426349</v>
      </c>
      <c r="X72" s="5" cm="1">
        <f t="array" ref="X72">IF(X$8=-1,Y72,IF(X$8=99,W72,IF(X$8=0,INDEX($E72:$I72,0,X$6),(INDEX($E72:$I72,0,X$8+1)-INDEX($E72:$I72,0,X$8))/(INDEX($D$5:$H$5,0,X$8+1)-INDEX($D$5:$H$5,0,X$8))+W72)))</f>
        <v>59.276589186426349</v>
      </c>
      <c r="Y72" s="5" cm="1">
        <f t="array" ref="Y72">IF(Y$8=-1,Z72,IF(Y$8=99,X72,IF(Y$8=0,INDEX($E72:$I72,0,Y$6),(INDEX($E72:$I72,0,Y$8+1)-INDEX($E72:$I72,0,Y$8))/(INDEX($D$5:$H$5,0,Y$8+1)-INDEX($D$5:$H$5,0,Y$8))+X72)))</f>
        <v>59.276589186426349</v>
      </c>
      <c r="Z72" s="5" cm="1">
        <f t="array" ref="Z72">IF(Z$8=-1,AA72,IF(Z$8=99,Y72,IF(Z$8=0,INDEX($E72:$I72,0,Z$6),(INDEX($E72:$I72,0,Z$8+1)-INDEX($E72:$I72,0,Z$8))/(INDEX($D$5:$H$5,0,Z$8+1)-INDEX($D$5:$H$5,0,Z$8))+Y72)))</f>
        <v>59.276589186426349</v>
      </c>
      <c r="AA72" s="5" cm="1">
        <f t="array" ref="AA72">IF(AA$8=-1,AB72,IF(AA$8=99,Z72,IF(AA$8=0,INDEX($E72:$I72,0,AA$6),(INDEX($E72:$I72,0,AA$8+1)-INDEX($E72:$I72,0,AA$8))/(INDEX($D$5:$H$5,0,AA$8+1)-INDEX($D$5:$H$5,0,AA$8))+Z72)))</f>
        <v>59.276589186426349</v>
      </c>
      <c r="AB72" s="5" cm="1">
        <f t="array" ref="AB72">IF(AB$8=-1,AC72,IF(AB$8=99,AA72,IF(AB$8=0,INDEX($E72:$I72,0,AB$6),(INDEX($E72:$I72,0,AB$8+1)-INDEX($E72:$I72,0,AB$8))/(INDEX($D$5:$H$5,0,AB$8+1)-INDEX($D$5:$H$5,0,AB$8))+AA72)))</f>
        <v>59.276589186426349</v>
      </c>
      <c r="AC72" s="5" cm="1">
        <f t="array" ref="AC72">IF(AC$8=-1,AD72,IF(AC$8=99,AB72,IF(AC$8=0,INDEX($E72:$I72,0,AC$6),(INDEX($E72:$I72,0,AC$8+1)-INDEX($E72:$I72,0,AC$8))/(INDEX($D$5:$H$5,0,AC$8+1)-INDEX($D$5:$H$5,0,AC$8))+AB72)))</f>
        <v>59.276589186426349</v>
      </c>
      <c r="AD72" s="5" cm="1">
        <f t="array" ref="AD72">IF(AD$8=-1,AE72,IF(AD$8=99,AC72,IF(AD$8=0,INDEX($E72:$I72,0,AD$6),(INDEX($E72:$I72,0,AD$8+1)-INDEX($E72:$I72,0,AD$8))/(INDEX($D$5:$H$5,0,AD$8+1)-INDEX($D$5:$H$5,0,AD$8))+AC72)))</f>
        <v>59.276589186426349</v>
      </c>
      <c r="AE72" s="5" cm="1">
        <f t="array" ref="AE72">IF(AE$8=-1,AF72,IF(AE$8=99,AD72,IF(AE$8=0,INDEX($E72:$I72,0,AE$6),(INDEX($E72:$I72,0,AE$8+1)-INDEX($E72:$I72,0,AE$8))/(INDEX($D$5:$H$5,0,AE$8+1)-INDEX($D$5:$H$5,0,AE$8))+AD72)))</f>
        <v>59.276589186426349</v>
      </c>
      <c r="AF72" s="5" cm="1">
        <f t="array" ref="AF72">IF(AF$8=-1,AG72,IF(AF$8=99,AE72,IF(AF$8=0,INDEX($E72:$I72,0,AF$6),(INDEX($E72:$I72,0,AF$8+1)-INDEX($E72:$I72,0,AF$8))/(INDEX($D$5:$H$5,0,AF$8+1)-INDEX($D$5:$H$5,0,AF$8))+AE72)))</f>
        <v>59.276589186426349</v>
      </c>
      <c r="AG72" s="5" cm="1">
        <f t="array" ref="AG72">IF(AG$8=-1,AH72,IF(AG$8=99,AF72,IF(AG$8=0,INDEX($E72:$I72,0,AG$6),(INDEX($E72:$I72,0,AG$8+1)-INDEX($E72:$I72,0,AG$8))/(INDEX($D$5:$H$5,0,AG$8+1)-INDEX($D$5:$H$5,0,AG$8))+AF72)))</f>
        <v>59.276589186426349</v>
      </c>
      <c r="AH72" s="5" cm="1">
        <f t="array" ref="AH72">IF(AH$8=-1,AI72,IF(AH$8=99,AG72,IF(AH$8=0,INDEX($E72:$I72,0,AH$6),(INDEX($E72:$I72,0,AH$8+1)-INDEX($E72:$I72,0,AH$8))/(INDEX($D$5:$H$5,0,AH$8+1)-INDEX($D$5:$H$5,0,AH$8))+AG72)))</f>
        <v>59.276589186426349</v>
      </c>
      <c r="AI72" s="5" cm="1">
        <f t="array" ref="AI72">IF(AI$8=-1,AJ72,IF(AI$8=99,AH72,IF(AI$8=0,INDEX($E72:$I72,0,AI$6),(INDEX($E72:$I72,0,AI$8+1)-INDEX($E72:$I72,0,AI$8))/(INDEX($D$5:$H$5,0,AI$8+1)-INDEX($D$5:$H$5,0,AI$8))+AH72)))</f>
        <v>59.276589186426349</v>
      </c>
      <c r="AJ72" s="5" cm="1">
        <f t="array" ref="AJ72">IF(AJ$8=-1,AK72,IF(AJ$8=99,AI72,IF(AJ$8=0,INDEX($E72:$I72,0,AJ$6),(INDEX($E72:$I72,0,AJ$8+1)-INDEX($E72:$I72,0,AJ$8))/(INDEX($D$5:$H$5,0,AJ$8+1)-INDEX($D$5:$H$5,0,AJ$8))+AI72)))</f>
        <v>59.276589186426349</v>
      </c>
      <c r="AK72" s="5" cm="1">
        <f t="array" ref="AK72">IF(AK$8=-1,AL72,IF(AK$8=99,AJ72,IF(AK$8=0,INDEX($E72:$I72,0,AK$6),(INDEX($E72:$I72,0,AK$8+1)-INDEX($E72:$I72,0,AK$8))/(INDEX($D$5:$H$5,0,AK$8+1)-INDEX($D$5:$H$5,0,AK$8))+AJ72)))</f>
        <v>59.276589186426349</v>
      </c>
      <c r="AL72" s="5" cm="1">
        <f t="array" ref="AL72">IF(AL$8=-1,AM72,IF(AL$8=99,AK72,IF(AL$8=0,INDEX($E72:$I72,0,AL$6),(INDEX($E72:$I72,0,AL$8+1)-INDEX($E72:$I72,0,AL$8))/(INDEX($D$5:$H$5,0,AL$8+1)-INDEX($D$5:$H$5,0,AL$8))+AK72)))</f>
        <v>59.276589186426349</v>
      </c>
      <c r="AM72" s="5" cm="1">
        <f t="array" ref="AM72">IF(AM$8=-1,AN72,IF(AM$8=99,AL72,IF(AM$8=0,INDEX($E72:$I72,0,AM$6),(INDEX($E72:$I72,0,AM$8+1)-INDEX($E72:$I72,0,AM$8))/(INDEX($D$5:$H$5,0,AM$8+1)-INDEX($D$5:$H$5,0,AM$8))+AL72)))</f>
        <v>59.276589186426349</v>
      </c>
      <c r="AN72" s="5" cm="1">
        <f t="array" ref="AN72">IF(AN$8=-1,AO72,IF(AN$8=99,AM72,IF(AN$8=0,INDEX($E72:$I72,0,AN$6),(INDEX($E72:$I72,0,AN$8+1)-INDEX($E72:$I72,0,AN$8))/(INDEX($D$5:$H$5,0,AN$8+1)-INDEX($D$5:$H$5,0,AN$8))+AM72)))</f>
        <v>59.276589186426349</v>
      </c>
      <c r="AO72" s="5" cm="1">
        <f t="array" ref="AO72">IF(AO$8=-1,AP72,IF(AO$8=99,AN72,IF(AO$8=0,INDEX($E72:$I72,0,AO$6),(INDEX($E72:$I72,0,AO$8+1)-INDEX($E72:$I72,0,AO$8))/(INDEX($D$5:$H$5,0,AO$8+1)-INDEX($D$5:$H$5,0,AO$8))+AN72)))</f>
        <v>59.276589186426349</v>
      </c>
      <c r="AP72" s="5" cm="1">
        <f t="array" ref="AP72">IF(AP$8=-1,AQ72,IF(AP$8=99,AO72,IF(AP$8=0,INDEX($E72:$I72,0,AP$6),(INDEX($E72:$I72,0,AP$8+1)-INDEX($E72:$I72,0,AP$8))/(INDEX($D$5:$H$5,0,AP$8+1)-INDEX($D$5:$H$5,0,AP$8))+AO72)))</f>
        <v>59.276589186426349</v>
      </c>
      <c r="AQ72" s="5" cm="1">
        <f t="array" ref="AQ72">IF(AQ$8=-1,AR72,IF(AQ$8=99,AP72,IF(AQ$8=0,INDEX($E72:$I72,0,AQ$6),(INDEX($E72:$I72,0,AQ$8+1)-INDEX($E72:$I72,0,AQ$8))/(INDEX($D$5:$H$5,0,AQ$8+1)-INDEX($D$5:$H$5,0,AQ$8))+AP72)))</f>
        <v>59.276589186426349</v>
      </c>
      <c r="AR72" s="5" cm="1">
        <f t="array" ref="AR72">IF(AR$8=-1,AS72,IF(AR$8=99,AQ72,IF(AR$8=0,INDEX($E72:$I72,0,AR$6),(INDEX($E72:$I72,0,AR$8+1)-INDEX($E72:$I72,0,AR$8))/(INDEX($D$5:$H$5,0,AR$8+1)-INDEX($D$5:$H$5,0,AR$8))+AQ72)))</f>
        <v>59.276589186426349</v>
      </c>
      <c r="AS72" s="5" cm="1">
        <f t="array" ref="AS72">IF(AS$8=-1,AT72,IF(AS$8=99,AR72,IF(AS$8=0,INDEX($E72:$I72,0,AS$6),(INDEX($E72:$I72,0,AS$8+1)-INDEX($E72:$I72,0,AS$8))/(INDEX($D$5:$H$5,0,AS$8+1)-INDEX($D$5:$H$5,0,AS$8))+AR72)))</f>
        <v>59.276589186426349</v>
      </c>
      <c r="AT72" s="5" cm="1">
        <f t="array" ref="AT72">IF(AT$8=-1,AU72,IF(AT$8=99,AS72,IF(AT$8=0,INDEX($E72:$I72,0,AT$6),(INDEX($E72:$I72,0,AT$8+1)-INDEX($E72:$I72,0,AT$8))/(INDEX($D$5:$H$5,0,AT$8+1)-INDEX($D$5:$H$5,0,AT$8))+AS72)))</f>
        <v>59.276589186426349</v>
      </c>
      <c r="AU72" s="5" cm="1">
        <f t="array" ref="AU72">IF(AU$8=-1,AV72,IF(AU$8=99,AT72,IF(AU$8=0,INDEX($E72:$I72,0,AU$6),(INDEX($E72:$I72,0,AU$8+1)-INDEX($E72:$I72,0,AU$8))/(INDEX($D$5:$H$5,0,AU$8+1)-INDEX($D$5:$H$5,0,AU$8))+AT72)))</f>
        <v>59.276589186426349</v>
      </c>
      <c r="AV72" s="5" cm="1">
        <f t="array" ref="AV72">IF(AV$8=-1,AW72,IF(AV$8=99,AU72,IF(AV$8=0,INDEX($E72:$I72,0,AV$6),(INDEX($E72:$I72,0,AV$8+1)-INDEX($E72:$I72,0,AV$8))/(INDEX($D$5:$H$5,0,AV$8+1)-INDEX($D$5:$H$5,0,AV$8))+AU72)))</f>
        <v>59.276589186426349</v>
      </c>
    </row>
    <row r="73" spans="1:48">
      <c r="A73" t="s">
        <v>16</v>
      </c>
      <c r="B73" s="233" t="s">
        <v>242</v>
      </c>
      <c r="C73" s="75" t="str">
        <f t="shared" si="23"/>
        <v>Commercial - Lighting</v>
      </c>
      <c r="D73" s="75" t="s">
        <v>75</v>
      </c>
      <c r="E73" s="84">
        <f t="shared" si="25"/>
        <v>915.10615144128838</v>
      </c>
      <c r="F73" s="92">
        <f t="shared" si="26"/>
        <v>751.83194786180138</v>
      </c>
      <c r="G73" s="92">
        <f t="shared" si="24"/>
        <v>751.83194786180138</v>
      </c>
      <c r="H73" s="92">
        <f t="shared" si="27"/>
        <v>751.83194786180138</v>
      </c>
      <c r="I73" s="136">
        <f t="shared" si="24"/>
        <v>751.83194786180138</v>
      </c>
      <c r="J73" s="5" cm="1">
        <f t="array" ref="J73">IF(J$8=-1,K73,IF(J$8=99,I73,IF(J$8=0,INDEX($E73:$I73,0,J$6),(INDEX($E73:$I73,0,J$8+1)-INDEX($E73:$I73,0,J$8))/(INDEX($D$5:$H$5,0,J$8+1)-INDEX($D$5:$H$5,0,J$8))+I73)))</f>
        <v>915.10615144128838</v>
      </c>
      <c r="K73" s="5" cm="1">
        <f t="array" ref="K73">IF(K$8=-1,L73,IF(K$8=99,J73,IF(K$8=0,INDEX($E73:$I73,0,K$6),(INDEX($E73:$I73,0,K$8+1)-INDEX($E73:$I73,0,K$8))/(INDEX($D$5:$H$5,0,K$8+1)-INDEX($D$5:$H$5,0,K$8))+J73)))</f>
        <v>882.45131072539095</v>
      </c>
      <c r="L73" s="5" cm="1">
        <f t="array" ref="L73">IF(L$8=-1,M73,IF(L$8=99,K73,IF(L$8=0,INDEX($E73:$I73,0,L$6),(INDEX($E73:$I73,0,L$8+1)-INDEX($E73:$I73,0,L$8))/(INDEX($D$5:$H$5,0,L$8+1)-INDEX($D$5:$H$5,0,L$8))+K73)))</f>
        <v>849.79647000949353</v>
      </c>
      <c r="M73" s="5" cm="1">
        <f t="array" ref="M73">IF(M$8=-1,N73,IF(M$8=99,L73,IF(M$8=0,INDEX($E73:$I73,0,M$6),(INDEX($E73:$I73,0,M$8+1)-INDEX($E73:$I73,0,M$8))/(INDEX($D$5:$H$5,0,M$8+1)-INDEX($D$5:$H$5,0,M$8))+L73)))</f>
        <v>817.14162929359611</v>
      </c>
      <c r="N73" s="5" cm="1">
        <f t="array" ref="N73">IF(N$8=-1,O73,IF(N$8=99,M73,IF(N$8=0,INDEX($E73:$I73,0,N$6),(INDEX($E73:$I73,0,N$8+1)-INDEX($E73:$I73,0,N$8))/(INDEX($D$5:$H$5,0,N$8+1)-INDEX($D$5:$H$5,0,N$8))+M73)))</f>
        <v>784.48678857769869</v>
      </c>
      <c r="O73" s="5" cm="1">
        <f t="array" ref="O73">IF(O$8=-1,P73,IF(O$8=99,N73,IF(O$8=0,INDEX($E73:$I73,0,O$6),(INDEX($E73:$I73,0,O$8+1)-INDEX($E73:$I73,0,O$8))/(INDEX($D$5:$H$5,0,O$8+1)-INDEX($D$5:$H$5,0,O$8))+N73)))</f>
        <v>751.83194786180138</v>
      </c>
      <c r="P73" s="5" cm="1">
        <f t="array" ref="P73">IF(P$8=-1,Q73,IF(P$8=99,O73,IF(P$8=0,INDEX($E73:$I73,0,P$6),(INDEX($E73:$I73,0,P$8+1)-INDEX($E73:$I73,0,P$8))/(INDEX($D$5:$H$5,0,P$8+1)-INDEX($D$5:$H$5,0,P$8))+O73)))</f>
        <v>751.83194786180138</v>
      </c>
      <c r="Q73" s="5" cm="1">
        <f t="array" ref="Q73">IF(Q$8=-1,R73,IF(Q$8=99,P73,IF(Q$8=0,INDEX($E73:$I73,0,Q$6),(INDEX($E73:$I73,0,Q$8+1)-INDEX($E73:$I73,0,Q$8))/(INDEX($D$5:$H$5,0,Q$8+1)-INDEX($D$5:$H$5,0,Q$8))+P73)))</f>
        <v>751.83194786180138</v>
      </c>
      <c r="R73" s="5" cm="1">
        <f t="array" ref="R73">IF(R$8=-1,S73,IF(R$8=99,Q73,IF(R$8=0,INDEX($E73:$I73,0,R$6),(INDEX($E73:$I73,0,R$8+1)-INDEX($E73:$I73,0,R$8))/(INDEX($D$5:$H$5,0,R$8+1)-INDEX($D$5:$H$5,0,R$8))+Q73)))</f>
        <v>751.83194786180138</v>
      </c>
      <c r="S73" s="5" cm="1">
        <f t="array" ref="S73">IF(S$8=-1,T73,IF(S$8=99,R73,IF(S$8=0,INDEX($E73:$I73,0,S$6),(INDEX($E73:$I73,0,S$8+1)-INDEX($E73:$I73,0,S$8))/(INDEX($D$5:$H$5,0,S$8+1)-INDEX($D$5:$H$5,0,S$8))+R73)))</f>
        <v>751.83194786180138</v>
      </c>
      <c r="T73" s="5" cm="1">
        <f t="array" ref="T73">IF(T$8=-1,U73,IF(T$8=99,S73,IF(T$8=0,INDEX($E73:$I73,0,T$6),(INDEX($E73:$I73,0,T$8+1)-INDEX($E73:$I73,0,T$8))/(INDEX($D$5:$H$5,0,T$8+1)-INDEX($D$5:$H$5,0,T$8))+S73)))</f>
        <v>751.83194786180138</v>
      </c>
      <c r="U73" s="5" cm="1">
        <f t="array" ref="U73">IF(U$8=-1,V73,IF(U$8=99,T73,IF(U$8=0,INDEX($E73:$I73,0,U$6),(INDEX($E73:$I73,0,U$8+1)-INDEX($E73:$I73,0,U$8))/(INDEX($D$5:$H$5,0,U$8+1)-INDEX($D$5:$H$5,0,U$8))+T73)))</f>
        <v>751.83194786180138</v>
      </c>
      <c r="V73" s="5" cm="1">
        <f t="array" ref="V73">IF(V$8=-1,W73,IF(V$8=99,U73,IF(V$8=0,INDEX($E73:$I73,0,V$6),(INDEX($E73:$I73,0,V$8+1)-INDEX($E73:$I73,0,V$8))/(INDEX($D$5:$H$5,0,V$8+1)-INDEX($D$5:$H$5,0,V$8))+U73)))</f>
        <v>751.83194786180138</v>
      </c>
      <c r="W73" s="5" cm="1">
        <f t="array" ref="W73">IF(W$8=-1,X73,IF(W$8=99,V73,IF(W$8=0,INDEX($E73:$I73,0,W$6),(INDEX($E73:$I73,0,W$8+1)-INDEX($E73:$I73,0,W$8))/(INDEX($D$5:$H$5,0,W$8+1)-INDEX($D$5:$H$5,0,W$8))+V73)))</f>
        <v>751.83194786180138</v>
      </c>
      <c r="X73" s="5" cm="1">
        <f t="array" ref="X73">IF(X$8=-1,Y73,IF(X$8=99,W73,IF(X$8=0,INDEX($E73:$I73,0,X$6),(INDEX($E73:$I73,0,X$8+1)-INDEX($E73:$I73,0,X$8))/(INDEX($D$5:$H$5,0,X$8+1)-INDEX($D$5:$H$5,0,X$8))+W73)))</f>
        <v>751.83194786180138</v>
      </c>
      <c r="Y73" s="5" cm="1">
        <f t="array" ref="Y73">IF(Y$8=-1,Z73,IF(Y$8=99,X73,IF(Y$8=0,INDEX($E73:$I73,0,Y$6),(INDEX($E73:$I73,0,Y$8+1)-INDEX($E73:$I73,0,Y$8))/(INDEX($D$5:$H$5,0,Y$8+1)-INDEX($D$5:$H$5,0,Y$8))+X73)))</f>
        <v>751.83194786180138</v>
      </c>
      <c r="Z73" s="5" cm="1">
        <f t="array" ref="Z73">IF(Z$8=-1,AA73,IF(Z$8=99,Y73,IF(Z$8=0,INDEX($E73:$I73,0,Z$6),(INDEX($E73:$I73,0,Z$8+1)-INDEX($E73:$I73,0,Z$8))/(INDEX($D$5:$H$5,0,Z$8+1)-INDEX($D$5:$H$5,0,Z$8))+Y73)))</f>
        <v>751.83194786180138</v>
      </c>
      <c r="AA73" s="5" cm="1">
        <f t="array" ref="AA73">IF(AA$8=-1,AB73,IF(AA$8=99,Z73,IF(AA$8=0,INDEX($E73:$I73,0,AA$6),(INDEX($E73:$I73,0,AA$8+1)-INDEX($E73:$I73,0,AA$8))/(INDEX($D$5:$H$5,0,AA$8+1)-INDEX($D$5:$H$5,0,AA$8))+Z73)))</f>
        <v>751.83194786180138</v>
      </c>
      <c r="AB73" s="5" cm="1">
        <f t="array" ref="AB73">IF(AB$8=-1,AC73,IF(AB$8=99,AA73,IF(AB$8=0,INDEX($E73:$I73,0,AB$6),(INDEX($E73:$I73,0,AB$8+1)-INDEX($E73:$I73,0,AB$8))/(INDEX($D$5:$H$5,0,AB$8+1)-INDEX($D$5:$H$5,0,AB$8))+AA73)))</f>
        <v>751.83194786180138</v>
      </c>
      <c r="AC73" s="5" cm="1">
        <f t="array" ref="AC73">IF(AC$8=-1,AD73,IF(AC$8=99,AB73,IF(AC$8=0,INDEX($E73:$I73,0,AC$6),(INDEX($E73:$I73,0,AC$8+1)-INDEX($E73:$I73,0,AC$8))/(INDEX($D$5:$H$5,0,AC$8+1)-INDEX($D$5:$H$5,0,AC$8))+AB73)))</f>
        <v>751.83194786180138</v>
      </c>
      <c r="AD73" s="5" cm="1">
        <f t="array" ref="AD73">IF(AD$8=-1,AE73,IF(AD$8=99,AC73,IF(AD$8=0,INDEX($E73:$I73,0,AD$6),(INDEX($E73:$I73,0,AD$8+1)-INDEX($E73:$I73,0,AD$8))/(INDEX($D$5:$H$5,0,AD$8+1)-INDEX($D$5:$H$5,0,AD$8))+AC73)))</f>
        <v>751.83194786180138</v>
      </c>
      <c r="AE73" s="5" cm="1">
        <f t="array" ref="AE73">IF(AE$8=-1,AF73,IF(AE$8=99,AD73,IF(AE$8=0,INDEX($E73:$I73,0,AE$6),(INDEX($E73:$I73,0,AE$8+1)-INDEX($E73:$I73,0,AE$8))/(INDEX($D$5:$H$5,0,AE$8+1)-INDEX($D$5:$H$5,0,AE$8))+AD73)))</f>
        <v>751.83194786180138</v>
      </c>
      <c r="AF73" s="5" cm="1">
        <f t="array" ref="AF73">IF(AF$8=-1,AG73,IF(AF$8=99,AE73,IF(AF$8=0,INDEX($E73:$I73,0,AF$6),(INDEX($E73:$I73,0,AF$8+1)-INDEX($E73:$I73,0,AF$8))/(INDEX($D$5:$H$5,0,AF$8+1)-INDEX($D$5:$H$5,0,AF$8))+AE73)))</f>
        <v>751.83194786180138</v>
      </c>
      <c r="AG73" s="5" cm="1">
        <f t="array" ref="AG73">IF(AG$8=-1,AH73,IF(AG$8=99,AF73,IF(AG$8=0,INDEX($E73:$I73,0,AG$6),(INDEX($E73:$I73,0,AG$8+1)-INDEX($E73:$I73,0,AG$8))/(INDEX($D$5:$H$5,0,AG$8+1)-INDEX($D$5:$H$5,0,AG$8))+AF73)))</f>
        <v>751.83194786180138</v>
      </c>
      <c r="AH73" s="5" cm="1">
        <f t="array" ref="AH73">IF(AH$8=-1,AI73,IF(AH$8=99,AG73,IF(AH$8=0,INDEX($E73:$I73,0,AH$6),(INDEX($E73:$I73,0,AH$8+1)-INDEX($E73:$I73,0,AH$8))/(INDEX($D$5:$H$5,0,AH$8+1)-INDEX($D$5:$H$5,0,AH$8))+AG73)))</f>
        <v>751.83194786180138</v>
      </c>
      <c r="AI73" s="5" cm="1">
        <f t="array" ref="AI73">IF(AI$8=-1,AJ73,IF(AI$8=99,AH73,IF(AI$8=0,INDEX($E73:$I73,0,AI$6),(INDEX($E73:$I73,0,AI$8+1)-INDEX($E73:$I73,0,AI$8))/(INDEX($D$5:$H$5,0,AI$8+1)-INDEX($D$5:$H$5,0,AI$8))+AH73)))</f>
        <v>751.83194786180138</v>
      </c>
      <c r="AJ73" s="5" cm="1">
        <f t="array" ref="AJ73">IF(AJ$8=-1,AK73,IF(AJ$8=99,AI73,IF(AJ$8=0,INDEX($E73:$I73,0,AJ$6),(INDEX($E73:$I73,0,AJ$8+1)-INDEX($E73:$I73,0,AJ$8))/(INDEX($D$5:$H$5,0,AJ$8+1)-INDEX($D$5:$H$5,0,AJ$8))+AI73)))</f>
        <v>751.83194786180138</v>
      </c>
      <c r="AK73" s="5" cm="1">
        <f t="array" ref="AK73">IF(AK$8=-1,AL73,IF(AK$8=99,AJ73,IF(AK$8=0,INDEX($E73:$I73,0,AK$6),(INDEX($E73:$I73,0,AK$8+1)-INDEX($E73:$I73,0,AK$8))/(INDEX($D$5:$H$5,0,AK$8+1)-INDEX($D$5:$H$5,0,AK$8))+AJ73)))</f>
        <v>751.83194786180138</v>
      </c>
      <c r="AL73" s="5" cm="1">
        <f t="array" ref="AL73">IF(AL$8=-1,AM73,IF(AL$8=99,AK73,IF(AL$8=0,INDEX($E73:$I73,0,AL$6),(INDEX($E73:$I73,0,AL$8+1)-INDEX($E73:$I73,0,AL$8))/(INDEX($D$5:$H$5,0,AL$8+1)-INDEX($D$5:$H$5,0,AL$8))+AK73)))</f>
        <v>751.83194786180138</v>
      </c>
      <c r="AM73" s="5" cm="1">
        <f t="array" ref="AM73">IF(AM$8=-1,AN73,IF(AM$8=99,AL73,IF(AM$8=0,INDEX($E73:$I73,0,AM$6),(INDEX($E73:$I73,0,AM$8+1)-INDEX($E73:$I73,0,AM$8))/(INDEX($D$5:$H$5,0,AM$8+1)-INDEX($D$5:$H$5,0,AM$8))+AL73)))</f>
        <v>751.83194786180138</v>
      </c>
      <c r="AN73" s="5" cm="1">
        <f t="array" ref="AN73">IF(AN$8=-1,AO73,IF(AN$8=99,AM73,IF(AN$8=0,INDEX($E73:$I73,0,AN$6),(INDEX($E73:$I73,0,AN$8+1)-INDEX($E73:$I73,0,AN$8))/(INDEX($D$5:$H$5,0,AN$8+1)-INDEX($D$5:$H$5,0,AN$8))+AM73)))</f>
        <v>751.83194786180138</v>
      </c>
      <c r="AO73" s="5" cm="1">
        <f t="array" ref="AO73">IF(AO$8=-1,AP73,IF(AO$8=99,AN73,IF(AO$8=0,INDEX($E73:$I73,0,AO$6),(INDEX($E73:$I73,0,AO$8+1)-INDEX($E73:$I73,0,AO$8))/(INDEX($D$5:$H$5,0,AO$8+1)-INDEX($D$5:$H$5,0,AO$8))+AN73)))</f>
        <v>751.83194786180138</v>
      </c>
      <c r="AP73" s="5" cm="1">
        <f t="array" ref="AP73">IF(AP$8=-1,AQ73,IF(AP$8=99,AO73,IF(AP$8=0,INDEX($E73:$I73,0,AP$6),(INDEX($E73:$I73,0,AP$8+1)-INDEX($E73:$I73,0,AP$8))/(INDEX($D$5:$H$5,0,AP$8+1)-INDEX($D$5:$H$5,0,AP$8))+AO73)))</f>
        <v>751.83194786180138</v>
      </c>
      <c r="AQ73" s="5" cm="1">
        <f t="array" ref="AQ73">IF(AQ$8=-1,AR73,IF(AQ$8=99,AP73,IF(AQ$8=0,INDEX($E73:$I73,0,AQ$6),(INDEX($E73:$I73,0,AQ$8+1)-INDEX($E73:$I73,0,AQ$8))/(INDEX($D$5:$H$5,0,AQ$8+1)-INDEX($D$5:$H$5,0,AQ$8))+AP73)))</f>
        <v>751.83194786180138</v>
      </c>
      <c r="AR73" s="5" cm="1">
        <f t="array" ref="AR73">IF(AR$8=-1,AS73,IF(AR$8=99,AQ73,IF(AR$8=0,INDEX($E73:$I73,0,AR$6),(INDEX($E73:$I73,0,AR$8+1)-INDEX($E73:$I73,0,AR$8))/(INDEX($D$5:$H$5,0,AR$8+1)-INDEX($D$5:$H$5,0,AR$8))+AQ73)))</f>
        <v>751.83194786180138</v>
      </c>
      <c r="AS73" s="5" cm="1">
        <f t="array" ref="AS73">IF(AS$8=-1,AT73,IF(AS$8=99,AR73,IF(AS$8=0,INDEX($E73:$I73,0,AS$6),(INDEX($E73:$I73,0,AS$8+1)-INDEX($E73:$I73,0,AS$8))/(INDEX($D$5:$H$5,0,AS$8+1)-INDEX($D$5:$H$5,0,AS$8))+AR73)))</f>
        <v>751.83194786180138</v>
      </c>
      <c r="AT73" s="5" cm="1">
        <f t="array" ref="AT73">IF(AT$8=-1,AU73,IF(AT$8=99,AS73,IF(AT$8=0,INDEX($E73:$I73,0,AT$6),(INDEX($E73:$I73,0,AT$8+1)-INDEX($E73:$I73,0,AT$8))/(INDEX($D$5:$H$5,0,AT$8+1)-INDEX($D$5:$H$5,0,AT$8))+AS73)))</f>
        <v>751.83194786180138</v>
      </c>
      <c r="AU73" s="5" cm="1">
        <f t="array" ref="AU73">IF(AU$8=-1,AV73,IF(AU$8=99,AT73,IF(AU$8=0,INDEX($E73:$I73,0,AU$6),(INDEX($E73:$I73,0,AU$8+1)-INDEX($E73:$I73,0,AU$8))/(INDEX($D$5:$H$5,0,AU$8+1)-INDEX($D$5:$H$5,0,AU$8))+AT73)))</f>
        <v>751.83194786180138</v>
      </c>
      <c r="AV73" s="5" cm="1">
        <f t="array" ref="AV73">IF(AV$8=-1,AW73,IF(AV$8=99,AU73,IF(AV$8=0,INDEX($E73:$I73,0,AV$6),(INDEX($E73:$I73,0,AV$8+1)-INDEX($E73:$I73,0,AV$8))/(INDEX($D$5:$H$5,0,AV$8+1)-INDEX($D$5:$H$5,0,AV$8))+AU73)))</f>
        <v>751.83194786180138</v>
      </c>
    </row>
    <row r="74" spans="1:48">
      <c r="A74" t="s">
        <v>16</v>
      </c>
      <c r="B74" s="233" t="s">
        <v>243</v>
      </c>
      <c r="C74" s="75" t="str">
        <f t="shared" si="23"/>
        <v>Commercial - Refrigeration</v>
      </c>
      <c r="D74" s="75" t="s">
        <v>75</v>
      </c>
      <c r="E74" s="84">
        <f t="shared" si="25"/>
        <v>222.61251585750318</v>
      </c>
      <c r="F74" s="92">
        <f t="shared" si="26"/>
        <v>182.89375626200317</v>
      </c>
      <c r="G74" s="92">
        <f t="shared" si="24"/>
        <v>182.89375626200317</v>
      </c>
      <c r="H74" s="92">
        <f t="shared" si="27"/>
        <v>182.89375626200317</v>
      </c>
      <c r="I74" s="136">
        <f t="shared" si="24"/>
        <v>182.89375626200317</v>
      </c>
      <c r="J74" s="5" cm="1">
        <f t="array" ref="J74">IF(J$8=-1,K74,IF(J$8=99,I74,IF(J$8=0,INDEX($E74:$I74,0,J$6),(INDEX($E74:$I74,0,J$8+1)-INDEX($E74:$I74,0,J$8))/(INDEX($D$5:$H$5,0,J$8+1)-INDEX($D$5:$H$5,0,J$8))+I74)))</f>
        <v>222.61251585750318</v>
      </c>
      <c r="K74" s="5" cm="1">
        <f t="array" ref="K74">IF(K$8=-1,L74,IF(K$8=99,J74,IF(K$8=0,INDEX($E74:$I74,0,K$6),(INDEX($E74:$I74,0,K$8+1)-INDEX($E74:$I74,0,K$8))/(INDEX($D$5:$H$5,0,K$8+1)-INDEX($D$5:$H$5,0,K$8))+J74)))</f>
        <v>214.66876393840317</v>
      </c>
      <c r="L74" s="5" cm="1">
        <f t="array" ref="L74">IF(L$8=-1,M74,IF(L$8=99,K74,IF(L$8=0,INDEX($E74:$I74,0,L$6),(INDEX($E74:$I74,0,L$8+1)-INDEX($E74:$I74,0,L$8))/(INDEX($D$5:$H$5,0,L$8+1)-INDEX($D$5:$H$5,0,L$8))+K74)))</f>
        <v>206.72501201930316</v>
      </c>
      <c r="M74" s="5" cm="1">
        <f t="array" ref="M74">IF(M$8=-1,N74,IF(M$8=99,L74,IF(M$8=0,INDEX($E74:$I74,0,M$6),(INDEX($E74:$I74,0,M$8+1)-INDEX($E74:$I74,0,M$8))/(INDEX($D$5:$H$5,0,M$8+1)-INDEX($D$5:$H$5,0,M$8))+L74)))</f>
        <v>198.78126010020316</v>
      </c>
      <c r="N74" s="5" cm="1">
        <f t="array" ref="N74">IF(N$8=-1,O74,IF(N$8=99,M74,IF(N$8=0,INDEX($E74:$I74,0,N$6),(INDEX($E74:$I74,0,N$8+1)-INDEX($E74:$I74,0,N$8))/(INDEX($D$5:$H$5,0,N$8+1)-INDEX($D$5:$H$5,0,N$8))+M74)))</f>
        <v>190.83750818110315</v>
      </c>
      <c r="O74" s="5" cm="1">
        <f t="array" ref="O74">IF(O$8=-1,P74,IF(O$8=99,N74,IF(O$8=0,INDEX($E74:$I74,0,O$6),(INDEX($E74:$I74,0,O$8+1)-INDEX($E74:$I74,0,O$8))/(INDEX($D$5:$H$5,0,O$8+1)-INDEX($D$5:$H$5,0,O$8))+N74)))</f>
        <v>182.89375626200317</v>
      </c>
      <c r="P74" s="5" cm="1">
        <f t="array" ref="P74">IF(P$8=-1,Q74,IF(P$8=99,O74,IF(P$8=0,INDEX($E74:$I74,0,P$6),(INDEX($E74:$I74,0,P$8+1)-INDEX($E74:$I74,0,P$8))/(INDEX($D$5:$H$5,0,P$8+1)-INDEX($D$5:$H$5,0,P$8))+O74)))</f>
        <v>182.89375626200317</v>
      </c>
      <c r="Q74" s="5" cm="1">
        <f t="array" ref="Q74">IF(Q$8=-1,R74,IF(Q$8=99,P74,IF(Q$8=0,INDEX($E74:$I74,0,Q$6),(INDEX($E74:$I74,0,Q$8+1)-INDEX($E74:$I74,0,Q$8))/(INDEX($D$5:$H$5,0,Q$8+1)-INDEX($D$5:$H$5,0,Q$8))+P74)))</f>
        <v>182.89375626200317</v>
      </c>
      <c r="R74" s="5" cm="1">
        <f t="array" ref="R74">IF(R$8=-1,S74,IF(R$8=99,Q74,IF(R$8=0,INDEX($E74:$I74,0,R$6),(INDEX($E74:$I74,0,R$8+1)-INDEX($E74:$I74,0,R$8))/(INDEX($D$5:$H$5,0,R$8+1)-INDEX($D$5:$H$5,0,R$8))+Q74)))</f>
        <v>182.89375626200317</v>
      </c>
      <c r="S74" s="5" cm="1">
        <f t="array" ref="S74">IF(S$8=-1,T74,IF(S$8=99,R74,IF(S$8=0,INDEX($E74:$I74,0,S$6),(INDEX($E74:$I74,0,S$8+1)-INDEX($E74:$I74,0,S$8))/(INDEX($D$5:$H$5,0,S$8+1)-INDEX($D$5:$H$5,0,S$8))+R74)))</f>
        <v>182.89375626200317</v>
      </c>
      <c r="T74" s="5" cm="1">
        <f t="array" ref="T74">IF(T$8=-1,U74,IF(T$8=99,S74,IF(T$8=0,INDEX($E74:$I74,0,T$6),(INDEX($E74:$I74,0,T$8+1)-INDEX($E74:$I74,0,T$8))/(INDEX($D$5:$H$5,0,T$8+1)-INDEX($D$5:$H$5,0,T$8))+S74)))</f>
        <v>182.89375626200317</v>
      </c>
      <c r="U74" s="5" cm="1">
        <f t="array" ref="U74">IF(U$8=-1,V74,IF(U$8=99,T74,IF(U$8=0,INDEX($E74:$I74,0,U$6),(INDEX($E74:$I74,0,U$8+1)-INDEX($E74:$I74,0,U$8))/(INDEX($D$5:$H$5,0,U$8+1)-INDEX($D$5:$H$5,0,U$8))+T74)))</f>
        <v>182.89375626200317</v>
      </c>
      <c r="V74" s="5" cm="1">
        <f t="array" ref="V74">IF(V$8=-1,W74,IF(V$8=99,U74,IF(V$8=0,INDEX($E74:$I74,0,V$6),(INDEX($E74:$I74,0,V$8+1)-INDEX($E74:$I74,0,V$8))/(INDEX($D$5:$H$5,0,V$8+1)-INDEX($D$5:$H$5,0,V$8))+U74)))</f>
        <v>182.89375626200317</v>
      </c>
      <c r="W74" s="5" cm="1">
        <f t="array" ref="W74">IF(W$8=-1,X74,IF(W$8=99,V74,IF(W$8=0,INDEX($E74:$I74,0,W$6),(INDEX($E74:$I74,0,W$8+1)-INDEX($E74:$I74,0,W$8))/(INDEX($D$5:$H$5,0,W$8+1)-INDEX($D$5:$H$5,0,W$8))+V74)))</f>
        <v>182.89375626200317</v>
      </c>
      <c r="X74" s="5" cm="1">
        <f t="array" ref="X74">IF(X$8=-1,Y74,IF(X$8=99,W74,IF(X$8=0,INDEX($E74:$I74,0,X$6),(INDEX($E74:$I74,0,X$8+1)-INDEX($E74:$I74,0,X$8))/(INDEX($D$5:$H$5,0,X$8+1)-INDEX($D$5:$H$5,0,X$8))+W74)))</f>
        <v>182.89375626200317</v>
      </c>
      <c r="Y74" s="5" cm="1">
        <f t="array" ref="Y74">IF(Y$8=-1,Z74,IF(Y$8=99,X74,IF(Y$8=0,INDEX($E74:$I74,0,Y$6),(INDEX($E74:$I74,0,Y$8+1)-INDEX($E74:$I74,0,Y$8))/(INDEX($D$5:$H$5,0,Y$8+1)-INDEX($D$5:$H$5,0,Y$8))+X74)))</f>
        <v>182.89375626200317</v>
      </c>
      <c r="Z74" s="5" cm="1">
        <f t="array" ref="Z74">IF(Z$8=-1,AA74,IF(Z$8=99,Y74,IF(Z$8=0,INDEX($E74:$I74,0,Z$6),(INDEX($E74:$I74,0,Z$8+1)-INDEX($E74:$I74,0,Z$8))/(INDEX($D$5:$H$5,0,Z$8+1)-INDEX($D$5:$H$5,0,Z$8))+Y74)))</f>
        <v>182.89375626200317</v>
      </c>
      <c r="AA74" s="5" cm="1">
        <f t="array" ref="AA74">IF(AA$8=-1,AB74,IF(AA$8=99,Z74,IF(AA$8=0,INDEX($E74:$I74,0,AA$6),(INDEX($E74:$I74,0,AA$8+1)-INDEX($E74:$I74,0,AA$8))/(INDEX($D$5:$H$5,0,AA$8+1)-INDEX($D$5:$H$5,0,AA$8))+Z74)))</f>
        <v>182.89375626200317</v>
      </c>
      <c r="AB74" s="5" cm="1">
        <f t="array" ref="AB74">IF(AB$8=-1,AC74,IF(AB$8=99,AA74,IF(AB$8=0,INDEX($E74:$I74,0,AB$6),(INDEX($E74:$I74,0,AB$8+1)-INDEX($E74:$I74,0,AB$8))/(INDEX($D$5:$H$5,0,AB$8+1)-INDEX($D$5:$H$5,0,AB$8))+AA74)))</f>
        <v>182.89375626200317</v>
      </c>
      <c r="AC74" s="5" cm="1">
        <f t="array" ref="AC74">IF(AC$8=-1,AD74,IF(AC$8=99,AB74,IF(AC$8=0,INDEX($E74:$I74,0,AC$6),(INDEX($E74:$I74,0,AC$8+1)-INDEX($E74:$I74,0,AC$8))/(INDEX($D$5:$H$5,0,AC$8+1)-INDEX($D$5:$H$5,0,AC$8))+AB74)))</f>
        <v>182.89375626200317</v>
      </c>
      <c r="AD74" s="5" cm="1">
        <f t="array" ref="AD74">IF(AD$8=-1,AE74,IF(AD$8=99,AC74,IF(AD$8=0,INDEX($E74:$I74,0,AD$6),(INDEX($E74:$I74,0,AD$8+1)-INDEX($E74:$I74,0,AD$8))/(INDEX($D$5:$H$5,0,AD$8+1)-INDEX($D$5:$H$5,0,AD$8))+AC74)))</f>
        <v>182.89375626200317</v>
      </c>
      <c r="AE74" s="5" cm="1">
        <f t="array" ref="AE74">IF(AE$8=-1,AF74,IF(AE$8=99,AD74,IF(AE$8=0,INDEX($E74:$I74,0,AE$6),(INDEX($E74:$I74,0,AE$8+1)-INDEX($E74:$I74,0,AE$8))/(INDEX($D$5:$H$5,0,AE$8+1)-INDEX($D$5:$H$5,0,AE$8))+AD74)))</f>
        <v>182.89375626200317</v>
      </c>
      <c r="AF74" s="5" cm="1">
        <f t="array" ref="AF74">IF(AF$8=-1,AG74,IF(AF$8=99,AE74,IF(AF$8=0,INDEX($E74:$I74,0,AF$6),(INDEX($E74:$I74,0,AF$8+1)-INDEX($E74:$I74,0,AF$8))/(INDEX($D$5:$H$5,0,AF$8+1)-INDEX($D$5:$H$5,0,AF$8))+AE74)))</f>
        <v>182.89375626200317</v>
      </c>
      <c r="AG74" s="5" cm="1">
        <f t="array" ref="AG74">IF(AG$8=-1,AH74,IF(AG$8=99,AF74,IF(AG$8=0,INDEX($E74:$I74,0,AG$6),(INDEX($E74:$I74,0,AG$8+1)-INDEX($E74:$I74,0,AG$8))/(INDEX($D$5:$H$5,0,AG$8+1)-INDEX($D$5:$H$5,0,AG$8))+AF74)))</f>
        <v>182.89375626200317</v>
      </c>
      <c r="AH74" s="5" cm="1">
        <f t="array" ref="AH74">IF(AH$8=-1,AI74,IF(AH$8=99,AG74,IF(AH$8=0,INDEX($E74:$I74,0,AH$6),(INDEX($E74:$I74,0,AH$8+1)-INDEX($E74:$I74,0,AH$8))/(INDEX($D$5:$H$5,0,AH$8+1)-INDEX($D$5:$H$5,0,AH$8))+AG74)))</f>
        <v>182.89375626200317</v>
      </c>
      <c r="AI74" s="5" cm="1">
        <f t="array" ref="AI74">IF(AI$8=-1,AJ74,IF(AI$8=99,AH74,IF(AI$8=0,INDEX($E74:$I74,0,AI$6),(INDEX($E74:$I74,0,AI$8+1)-INDEX($E74:$I74,0,AI$8))/(INDEX($D$5:$H$5,0,AI$8+1)-INDEX($D$5:$H$5,0,AI$8))+AH74)))</f>
        <v>182.89375626200317</v>
      </c>
      <c r="AJ74" s="5" cm="1">
        <f t="array" ref="AJ74">IF(AJ$8=-1,AK74,IF(AJ$8=99,AI74,IF(AJ$8=0,INDEX($E74:$I74,0,AJ$6),(INDEX($E74:$I74,0,AJ$8+1)-INDEX($E74:$I74,0,AJ$8))/(INDEX($D$5:$H$5,0,AJ$8+1)-INDEX($D$5:$H$5,0,AJ$8))+AI74)))</f>
        <v>182.89375626200317</v>
      </c>
      <c r="AK74" s="5" cm="1">
        <f t="array" ref="AK74">IF(AK$8=-1,AL74,IF(AK$8=99,AJ74,IF(AK$8=0,INDEX($E74:$I74,0,AK$6),(INDEX($E74:$I74,0,AK$8+1)-INDEX($E74:$I74,0,AK$8))/(INDEX($D$5:$H$5,0,AK$8+1)-INDEX($D$5:$H$5,0,AK$8))+AJ74)))</f>
        <v>182.89375626200317</v>
      </c>
      <c r="AL74" s="5" cm="1">
        <f t="array" ref="AL74">IF(AL$8=-1,AM74,IF(AL$8=99,AK74,IF(AL$8=0,INDEX($E74:$I74,0,AL$6),(INDEX($E74:$I74,0,AL$8+1)-INDEX($E74:$I74,0,AL$8))/(INDEX($D$5:$H$5,0,AL$8+1)-INDEX($D$5:$H$5,0,AL$8))+AK74)))</f>
        <v>182.89375626200317</v>
      </c>
      <c r="AM74" s="5" cm="1">
        <f t="array" ref="AM74">IF(AM$8=-1,AN74,IF(AM$8=99,AL74,IF(AM$8=0,INDEX($E74:$I74,0,AM$6),(INDEX($E74:$I74,0,AM$8+1)-INDEX($E74:$I74,0,AM$8))/(INDEX($D$5:$H$5,0,AM$8+1)-INDEX($D$5:$H$5,0,AM$8))+AL74)))</f>
        <v>182.89375626200317</v>
      </c>
      <c r="AN74" s="5" cm="1">
        <f t="array" ref="AN74">IF(AN$8=-1,AO74,IF(AN$8=99,AM74,IF(AN$8=0,INDEX($E74:$I74,0,AN$6),(INDEX($E74:$I74,0,AN$8+1)-INDEX($E74:$I74,0,AN$8))/(INDEX($D$5:$H$5,0,AN$8+1)-INDEX($D$5:$H$5,0,AN$8))+AM74)))</f>
        <v>182.89375626200317</v>
      </c>
      <c r="AO74" s="5" cm="1">
        <f t="array" ref="AO74">IF(AO$8=-1,AP74,IF(AO$8=99,AN74,IF(AO$8=0,INDEX($E74:$I74,0,AO$6),(INDEX($E74:$I74,0,AO$8+1)-INDEX($E74:$I74,0,AO$8))/(INDEX($D$5:$H$5,0,AO$8+1)-INDEX($D$5:$H$5,0,AO$8))+AN74)))</f>
        <v>182.89375626200317</v>
      </c>
      <c r="AP74" s="5" cm="1">
        <f t="array" ref="AP74">IF(AP$8=-1,AQ74,IF(AP$8=99,AO74,IF(AP$8=0,INDEX($E74:$I74,0,AP$6),(INDEX($E74:$I74,0,AP$8+1)-INDEX($E74:$I74,0,AP$8))/(INDEX($D$5:$H$5,0,AP$8+1)-INDEX($D$5:$H$5,0,AP$8))+AO74)))</f>
        <v>182.89375626200317</v>
      </c>
      <c r="AQ74" s="5" cm="1">
        <f t="array" ref="AQ74">IF(AQ$8=-1,AR74,IF(AQ$8=99,AP74,IF(AQ$8=0,INDEX($E74:$I74,0,AQ$6),(INDEX($E74:$I74,0,AQ$8+1)-INDEX($E74:$I74,0,AQ$8))/(INDEX($D$5:$H$5,0,AQ$8+1)-INDEX($D$5:$H$5,0,AQ$8))+AP74)))</f>
        <v>182.89375626200317</v>
      </c>
      <c r="AR74" s="5" cm="1">
        <f t="array" ref="AR74">IF(AR$8=-1,AS74,IF(AR$8=99,AQ74,IF(AR$8=0,INDEX($E74:$I74,0,AR$6),(INDEX($E74:$I74,0,AR$8+1)-INDEX($E74:$I74,0,AR$8))/(INDEX($D$5:$H$5,0,AR$8+1)-INDEX($D$5:$H$5,0,AR$8))+AQ74)))</f>
        <v>182.89375626200317</v>
      </c>
      <c r="AS74" s="5" cm="1">
        <f t="array" ref="AS74">IF(AS$8=-1,AT74,IF(AS$8=99,AR74,IF(AS$8=0,INDEX($E74:$I74,0,AS$6),(INDEX($E74:$I74,0,AS$8+1)-INDEX($E74:$I74,0,AS$8))/(INDEX($D$5:$H$5,0,AS$8+1)-INDEX($D$5:$H$5,0,AS$8))+AR74)))</f>
        <v>182.89375626200317</v>
      </c>
      <c r="AT74" s="5" cm="1">
        <f t="array" ref="AT74">IF(AT$8=-1,AU74,IF(AT$8=99,AS74,IF(AT$8=0,INDEX($E74:$I74,0,AT$6),(INDEX($E74:$I74,0,AT$8+1)-INDEX($E74:$I74,0,AT$8))/(INDEX($D$5:$H$5,0,AT$8+1)-INDEX($D$5:$H$5,0,AT$8))+AS74)))</f>
        <v>182.89375626200317</v>
      </c>
      <c r="AU74" s="5" cm="1">
        <f t="array" ref="AU74">IF(AU$8=-1,AV74,IF(AU$8=99,AT74,IF(AU$8=0,INDEX($E74:$I74,0,AU$6),(INDEX($E74:$I74,0,AU$8+1)-INDEX($E74:$I74,0,AU$8))/(INDEX($D$5:$H$5,0,AU$8+1)-INDEX($D$5:$H$5,0,AU$8))+AT74)))</f>
        <v>182.89375626200317</v>
      </c>
      <c r="AV74" s="5" cm="1">
        <f t="array" ref="AV74">IF(AV$8=-1,AW74,IF(AV$8=99,AU74,IF(AV$8=0,INDEX($E74:$I74,0,AV$6),(INDEX($E74:$I74,0,AV$8+1)-INDEX($E74:$I74,0,AV$8))/(INDEX($D$5:$H$5,0,AV$8+1)-INDEX($D$5:$H$5,0,AV$8))+AU74)))</f>
        <v>182.89375626200317</v>
      </c>
    </row>
    <row r="75" spans="1:48">
      <c r="A75" t="s">
        <v>16</v>
      </c>
      <c r="B75" s="233" t="s">
        <v>244</v>
      </c>
      <c r="C75" s="75" t="str">
        <f t="shared" si="23"/>
        <v>Commercial - Water Heating</v>
      </c>
      <c r="D75" s="75" t="s">
        <v>75</v>
      </c>
      <c r="E75" s="84">
        <f t="shared" si="25"/>
        <v>72.906473658117989</v>
      </c>
      <c r="F75" s="92">
        <f t="shared" si="26"/>
        <v>69.309069222923057</v>
      </c>
      <c r="G75" s="92">
        <f t="shared" si="24"/>
        <v>69.309069222923057</v>
      </c>
      <c r="H75" s="92">
        <f t="shared" si="27"/>
        <v>69.309069222923057</v>
      </c>
      <c r="I75" s="136">
        <f t="shared" si="24"/>
        <v>69.309069222923057</v>
      </c>
      <c r="J75" s="5" cm="1">
        <f t="array" ref="J75">IF(J$8=-1,K75,IF(J$8=99,I75,IF(J$8=0,INDEX($E75:$I75,0,J$6),(INDEX($E75:$I75,0,J$8+1)-INDEX($E75:$I75,0,J$8))/(INDEX($D$5:$H$5,0,J$8+1)-INDEX($D$5:$H$5,0,J$8))+I75)))</f>
        <v>72.906473658117989</v>
      </c>
      <c r="K75" s="5" cm="1">
        <f t="array" ref="K75">IF(K$8=-1,L75,IF(K$8=99,J75,IF(K$8=0,INDEX($E75:$I75,0,K$6),(INDEX($E75:$I75,0,K$8+1)-INDEX($E75:$I75,0,K$8))/(INDEX($D$5:$H$5,0,K$8+1)-INDEX($D$5:$H$5,0,K$8))+J75)))</f>
        <v>72.186992771079005</v>
      </c>
      <c r="L75" s="5" cm="1">
        <f t="array" ref="L75">IF(L$8=-1,M75,IF(L$8=99,K75,IF(L$8=0,INDEX($E75:$I75,0,L$6),(INDEX($E75:$I75,0,L$8+1)-INDEX($E75:$I75,0,L$8))/(INDEX($D$5:$H$5,0,L$8+1)-INDEX($D$5:$H$5,0,L$8))+K75)))</f>
        <v>71.467511884040022</v>
      </c>
      <c r="M75" s="5" cm="1">
        <f t="array" ref="M75">IF(M$8=-1,N75,IF(M$8=99,L75,IF(M$8=0,INDEX($E75:$I75,0,M$6),(INDEX($E75:$I75,0,M$8+1)-INDEX($E75:$I75,0,M$8))/(INDEX($D$5:$H$5,0,M$8+1)-INDEX($D$5:$H$5,0,M$8))+L75)))</f>
        <v>70.748030997001038</v>
      </c>
      <c r="N75" s="5" cm="1">
        <f t="array" ref="N75">IF(N$8=-1,O75,IF(N$8=99,M75,IF(N$8=0,INDEX($E75:$I75,0,N$6),(INDEX($E75:$I75,0,N$8+1)-INDEX($E75:$I75,0,N$8))/(INDEX($D$5:$H$5,0,N$8+1)-INDEX($D$5:$H$5,0,N$8))+M75)))</f>
        <v>70.028550109962055</v>
      </c>
      <c r="O75" s="5" cm="1">
        <f t="array" ref="O75">IF(O$8=-1,P75,IF(O$8=99,N75,IF(O$8=0,INDEX($E75:$I75,0,O$6),(INDEX($E75:$I75,0,O$8+1)-INDEX($E75:$I75,0,O$8))/(INDEX($D$5:$H$5,0,O$8+1)-INDEX($D$5:$H$5,0,O$8))+N75)))</f>
        <v>69.309069222923057</v>
      </c>
      <c r="P75" s="5" cm="1">
        <f t="array" ref="P75">IF(P$8=-1,Q75,IF(P$8=99,O75,IF(P$8=0,INDEX($E75:$I75,0,P$6),(INDEX($E75:$I75,0,P$8+1)-INDEX($E75:$I75,0,P$8))/(INDEX($D$5:$H$5,0,P$8+1)-INDEX($D$5:$H$5,0,P$8))+O75)))</f>
        <v>69.309069222923057</v>
      </c>
      <c r="Q75" s="5" cm="1">
        <f t="array" ref="Q75">IF(Q$8=-1,R75,IF(Q$8=99,P75,IF(Q$8=0,INDEX($E75:$I75,0,Q$6),(INDEX($E75:$I75,0,Q$8+1)-INDEX($E75:$I75,0,Q$8))/(INDEX($D$5:$H$5,0,Q$8+1)-INDEX($D$5:$H$5,0,Q$8))+P75)))</f>
        <v>69.309069222923057</v>
      </c>
      <c r="R75" s="5" cm="1">
        <f t="array" ref="R75">IF(R$8=-1,S75,IF(R$8=99,Q75,IF(R$8=0,INDEX($E75:$I75,0,R$6),(INDEX($E75:$I75,0,R$8+1)-INDEX($E75:$I75,0,R$8))/(INDEX($D$5:$H$5,0,R$8+1)-INDEX($D$5:$H$5,0,R$8))+Q75)))</f>
        <v>69.309069222923057</v>
      </c>
      <c r="S75" s="5" cm="1">
        <f t="array" ref="S75">IF(S$8=-1,T75,IF(S$8=99,R75,IF(S$8=0,INDEX($E75:$I75,0,S$6),(INDEX($E75:$I75,0,S$8+1)-INDEX($E75:$I75,0,S$8))/(INDEX($D$5:$H$5,0,S$8+1)-INDEX($D$5:$H$5,0,S$8))+R75)))</f>
        <v>69.309069222923057</v>
      </c>
      <c r="T75" s="5" cm="1">
        <f t="array" ref="T75">IF(T$8=-1,U75,IF(T$8=99,S75,IF(T$8=0,INDEX($E75:$I75,0,T$6),(INDEX($E75:$I75,0,T$8+1)-INDEX($E75:$I75,0,T$8))/(INDEX($D$5:$H$5,0,T$8+1)-INDEX($D$5:$H$5,0,T$8))+S75)))</f>
        <v>69.309069222923057</v>
      </c>
      <c r="U75" s="5" cm="1">
        <f t="array" ref="U75">IF(U$8=-1,V75,IF(U$8=99,T75,IF(U$8=0,INDEX($E75:$I75,0,U$6),(INDEX($E75:$I75,0,U$8+1)-INDEX($E75:$I75,0,U$8))/(INDEX($D$5:$H$5,0,U$8+1)-INDEX($D$5:$H$5,0,U$8))+T75)))</f>
        <v>69.309069222923057</v>
      </c>
      <c r="V75" s="5" cm="1">
        <f t="array" ref="V75">IF(V$8=-1,W75,IF(V$8=99,U75,IF(V$8=0,INDEX($E75:$I75,0,V$6),(INDEX($E75:$I75,0,V$8+1)-INDEX($E75:$I75,0,V$8))/(INDEX($D$5:$H$5,0,V$8+1)-INDEX($D$5:$H$5,0,V$8))+U75)))</f>
        <v>69.309069222923057</v>
      </c>
      <c r="W75" s="5" cm="1">
        <f t="array" ref="W75">IF(W$8=-1,X75,IF(W$8=99,V75,IF(W$8=0,INDEX($E75:$I75,0,W$6),(INDEX($E75:$I75,0,W$8+1)-INDEX($E75:$I75,0,W$8))/(INDEX($D$5:$H$5,0,W$8+1)-INDEX($D$5:$H$5,0,W$8))+V75)))</f>
        <v>69.309069222923057</v>
      </c>
      <c r="X75" s="5" cm="1">
        <f t="array" ref="X75">IF(X$8=-1,Y75,IF(X$8=99,W75,IF(X$8=0,INDEX($E75:$I75,0,X$6),(INDEX($E75:$I75,0,X$8+1)-INDEX($E75:$I75,0,X$8))/(INDEX($D$5:$H$5,0,X$8+1)-INDEX($D$5:$H$5,0,X$8))+W75)))</f>
        <v>69.309069222923057</v>
      </c>
      <c r="Y75" s="5" cm="1">
        <f t="array" ref="Y75">IF(Y$8=-1,Z75,IF(Y$8=99,X75,IF(Y$8=0,INDEX($E75:$I75,0,Y$6),(INDEX($E75:$I75,0,Y$8+1)-INDEX($E75:$I75,0,Y$8))/(INDEX($D$5:$H$5,0,Y$8+1)-INDEX($D$5:$H$5,0,Y$8))+X75)))</f>
        <v>69.309069222923057</v>
      </c>
      <c r="Z75" s="5" cm="1">
        <f t="array" ref="Z75">IF(Z$8=-1,AA75,IF(Z$8=99,Y75,IF(Z$8=0,INDEX($E75:$I75,0,Z$6),(INDEX($E75:$I75,0,Z$8+1)-INDEX($E75:$I75,0,Z$8))/(INDEX($D$5:$H$5,0,Z$8+1)-INDEX($D$5:$H$5,0,Z$8))+Y75)))</f>
        <v>69.309069222923057</v>
      </c>
      <c r="AA75" s="5" cm="1">
        <f t="array" ref="AA75">IF(AA$8=-1,AB75,IF(AA$8=99,Z75,IF(AA$8=0,INDEX($E75:$I75,0,AA$6),(INDEX($E75:$I75,0,AA$8+1)-INDEX($E75:$I75,0,AA$8))/(INDEX($D$5:$H$5,0,AA$8+1)-INDEX($D$5:$H$5,0,AA$8))+Z75)))</f>
        <v>69.309069222923057</v>
      </c>
      <c r="AB75" s="5" cm="1">
        <f t="array" ref="AB75">IF(AB$8=-1,AC75,IF(AB$8=99,AA75,IF(AB$8=0,INDEX($E75:$I75,0,AB$6),(INDEX($E75:$I75,0,AB$8+1)-INDEX($E75:$I75,0,AB$8))/(INDEX($D$5:$H$5,0,AB$8+1)-INDEX($D$5:$H$5,0,AB$8))+AA75)))</f>
        <v>69.309069222923057</v>
      </c>
      <c r="AC75" s="5" cm="1">
        <f t="array" ref="AC75">IF(AC$8=-1,AD75,IF(AC$8=99,AB75,IF(AC$8=0,INDEX($E75:$I75,0,AC$6),(INDEX($E75:$I75,0,AC$8+1)-INDEX($E75:$I75,0,AC$8))/(INDEX($D$5:$H$5,0,AC$8+1)-INDEX($D$5:$H$5,0,AC$8))+AB75)))</f>
        <v>69.309069222923057</v>
      </c>
      <c r="AD75" s="5" cm="1">
        <f t="array" ref="AD75">IF(AD$8=-1,AE75,IF(AD$8=99,AC75,IF(AD$8=0,INDEX($E75:$I75,0,AD$6),(INDEX($E75:$I75,0,AD$8+1)-INDEX($E75:$I75,0,AD$8))/(INDEX($D$5:$H$5,0,AD$8+1)-INDEX($D$5:$H$5,0,AD$8))+AC75)))</f>
        <v>69.309069222923057</v>
      </c>
      <c r="AE75" s="5" cm="1">
        <f t="array" ref="AE75">IF(AE$8=-1,AF75,IF(AE$8=99,AD75,IF(AE$8=0,INDEX($E75:$I75,0,AE$6),(INDEX($E75:$I75,0,AE$8+1)-INDEX($E75:$I75,0,AE$8))/(INDEX($D$5:$H$5,0,AE$8+1)-INDEX($D$5:$H$5,0,AE$8))+AD75)))</f>
        <v>69.309069222923057</v>
      </c>
      <c r="AF75" s="5" cm="1">
        <f t="array" ref="AF75">IF(AF$8=-1,AG75,IF(AF$8=99,AE75,IF(AF$8=0,INDEX($E75:$I75,0,AF$6),(INDEX($E75:$I75,0,AF$8+1)-INDEX($E75:$I75,0,AF$8))/(INDEX($D$5:$H$5,0,AF$8+1)-INDEX($D$5:$H$5,0,AF$8))+AE75)))</f>
        <v>69.309069222923057</v>
      </c>
      <c r="AG75" s="5" cm="1">
        <f t="array" ref="AG75">IF(AG$8=-1,AH75,IF(AG$8=99,AF75,IF(AG$8=0,INDEX($E75:$I75,0,AG$6),(INDEX($E75:$I75,0,AG$8+1)-INDEX($E75:$I75,0,AG$8))/(INDEX($D$5:$H$5,0,AG$8+1)-INDEX($D$5:$H$5,0,AG$8))+AF75)))</f>
        <v>69.309069222923057</v>
      </c>
      <c r="AH75" s="5" cm="1">
        <f t="array" ref="AH75">IF(AH$8=-1,AI75,IF(AH$8=99,AG75,IF(AH$8=0,INDEX($E75:$I75,0,AH$6),(INDEX($E75:$I75,0,AH$8+1)-INDEX($E75:$I75,0,AH$8))/(INDEX($D$5:$H$5,0,AH$8+1)-INDEX($D$5:$H$5,0,AH$8))+AG75)))</f>
        <v>69.309069222923057</v>
      </c>
      <c r="AI75" s="5" cm="1">
        <f t="array" ref="AI75">IF(AI$8=-1,AJ75,IF(AI$8=99,AH75,IF(AI$8=0,INDEX($E75:$I75,0,AI$6),(INDEX($E75:$I75,0,AI$8+1)-INDEX($E75:$I75,0,AI$8))/(INDEX($D$5:$H$5,0,AI$8+1)-INDEX($D$5:$H$5,0,AI$8))+AH75)))</f>
        <v>69.309069222923057</v>
      </c>
      <c r="AJ75" s="5" cm="1">
        <f t="array" ref="AJ75">IF(AJ$8=-1,AK75,IF(AJ$8=99,AI75,IF(AJ$8=0,INDEX($E75:$I75,0,AJ$6),(INDEX($E75:$I75,0,AJ$8+1)-INDEX($E75:$I75,0,AJ$8))/(INDEX($D$5:$H$5,0,AJ$8+1)-INDEX($D$5:$H$5,0,AJ$8))+AI75)))</f>
        <v>69.309069222923057</v>
      </c>
      <c r="AK75" s="5" cm="1">
        <f t="array" ref="AK75">IF(AK$8=-1,AL75,IF(AK$8=99,AJ75,IF(AK$8=0,INDEX($E75:$I75,0,AK$6),(INDEX($E75:$I75,0,AK$8+1)-INDEX($E75:$I75,0,AK$8))/(INDEX($D$5:$H$5,0,AK$8+1)-INDEX($D$5:$H$5,0,AK$8))+AJ75)))</f>
        <v>69.309069222923057</v>
      </c>
      <c r="AL75" s="5" cm="1">
        <f t="array" ref="AL75">IF(AL$8=-1,AM75,IF(AL$8=99,AK75,IF(AL$8=0,INDEX($E75:$I75,0,AL$6),(INDEX($E75:$I75,0,AL$8+1)-INDEX($E75:$I75,0,AL$8))/(INDEX($D$5:$H$5,0,AL$8+1)-INDEX($D$5:$H$5,0,AL$8))+AK75)))</f>
        <v>69.309069222923057</v>
      </c>
      <c r="AM75" s="5" cm="1">
        <f t="array" ref="AM75">IF(AM$8=-1,AN75,IF(AM$8=99,AL75,IF(AM$8=0,INDEX($E75:$I75,0,AM$6),(INDEX($E75:$I75,0,AM$8+1)-INDEX($E75:$I75,0,AM$8))/(INDEX($D$5:$H$5,0,AM$8+1)-INDEX($D$5:$H$5,0,AM$8))+AL75)))</f>
        <v>69.309069222923057</v>
      </c>
      <c r="AN75" s="5" cm="1">
        <f t="array" ref="AN75">IF(AN$8=-1,AO75,IF(AN$8=99,AM75,IF(AN$8=0,INDEX($E75:$I75,0,AN$6),(INDEX($E75:$I75,0,AN$8+1)-INDEX($E75:$I75,0,AN$8))/(INDEX($D$5:$H$5,0,AN$8+1)-INDEX($D$5:$H$5,0,AN$8))+AM75)))</f>
        <v>69.309069222923057</v>
      </c>
      <c r="AO75" s="5" cm="1">
        <f t="array" ref="AO75">IF(AO$8=-1,AP75,IF(AO$8=99,AN75,IF(AO$8=0,INDEX($E75:$I75,0,AO$6),(INDEX($E75:$I75,0,AO$8+1)-INDEX($E75:$I75,0,AO$8))/(INDEX($D$5:$H$5,0,AO$8+1)-INDEX($D$5:$H$5,0,AO$8))+AN75)))</f>
        <v>69.309069222923057</v>
      </c>
      <c r="AP75" s="5" cm="1">
        <f t="array" ref="AP75">IF(AP$8=-1,AQ75,IF(AP$8=99,AO75,IF(AP$8=0,INDEX($E75:$I75,0,AP$6),(INDEX($E75:$I75,0,AP$8+1)-INDEX($E75:$I75,0,AP$8))/(INDEX($D$5:$H$5,0,AP$8+1)-INDEX($D$5:$H$5,0,AP$8))+AO75)))</f>
        <v>69.309069222923057</v>
      </c>
      <c r="AQ75" s="5" cm="1">
        <f t="array" ref="AQ75">IF(AQ$8=-1,AR75,IF(AQ$8=99,AP75,IF(AQ$8=0,INDEX($E75:$I75,0,AQ$6),(INDEX($E75:$I75,0,AQ$8+1)-INDEX($E75:$I75,0,AQ$8))/(INDEX($D$5:$H$5,0,AQ$8+1)-INDEX($D$5:$H$5,0,AQ$8))+AP75)))</f>
        <v>69.309069222923057</v>
      </c>
      <c r="AR75" s="5" cm="1">
        <f t="array" ref="AR75">IF(AR$8=-1,AS75,IF(AR$8=99,AQ75,IF(AR$8=0,INDEX($E75:$I75,0,AR$6),(INDEX($E75:$I75,0,AR$8+1)-INDEX($E75:$I75,0,AR$8))/(INDEX($D$5:$H$5,0,AR$8+1)-INDEX($D$5:$H$5,0,AR$8))+AQ75)))</f>
        <v>69.309069222923057</v>
      </c>
      <c r="AS75" s="5" cm="1">
        <f t="array" ref="AS75">IF(AS$8=-1,AT75,IF(AS$8=99,AR75,IF(AS$8=0,INDEX($E75:$I75,0,AS$6),(INDEX($E75:$I75,0,AS$8+1)-INDEX($E75:$I75,0,AS$8))/(INDEX($D$5:$H$5,0,AS$8+1)-INDEX($D$5:$H$5,0,AS$8))+AR75)))</f>
        <v>69.309069222923057</v>
      </c>
      <c r="AT75" s="5" cm="1">
        <f t="array" ref="AT75">IF(AT$8=-1,AU75,IF(AT$8=99,AS75,IF(AT$8=0,INDEX($E75:$I75,0,AT$6),(INDEX($E75:$I75,0,AT$8+1)-INDEX($E75:$I75,0,AT$8))/(INDEX($D$5:$H$5,0,AT$8+1)-INDEX($D$5:$H$5,0,AT$8))+AS75)))</f>
        <v>69.309069222923057</v>
      </c>
      <c r="AU75" s="5" cm="1">
        <f t="array" ref="AU75">IF(AU$8=-1,AV75,IF(AU$8=99,AT75,IF(AU$8=0,INDEX($E75:$I75,0,AU$6),(INDEX($E75:$I75,0,AU$8+1)-INDEX($E75:$I75,0,AU$8))/(INDEX($D$5:$H$5,0,AU$8+1)-INDEX($D$5:$H$5,0,AU$8))+AT75)))</f>
        <v>69.309069222923057</v>
      </c>
      <c r="AV75" s="5" cm="1">
        <f t="array" ref="AV75">IF(AV$8=-1,AW75,IF(AV$8=99,AU75,IF(AV$8=0,INDEX($E75:$I75,0,AV$6),(INDEX($E75:$I75,0,AV$8+1)-INDEX($E75:$I75,0,AV$8))/(INDEX($D$5:$H$5,0,AV$8+1)-INDEX($D$5:$H$5,0,AV$8))+AU75)))</f>
        <v>69.309069222923057</v>
      </c>
    </row>
    <row r="76" spans="1:48">
      <c r="A76" t="s">
        <v>16</v>
      </c>
      <c r="B76" s="233" t="s">
        <v>245</v>
      </c>
      <c r="C76" s="95" t="str">
        <f t="shared" si="23"/>
        <v>Commercial - Public lights</v>
      </c>
      <c r="D76" s="95" t="s">
        <v>75</v>
      </c>
      <c r="E76" s="153">
        <v>0</v>
      </c>
      <c r="F76" s="92">
        <v>0</v>
      </c>
      <c r="G76" s="154">
        <f t="shared" si="24"/>
        <v>0</v>
      </c>
      <c r="H76" s="92">
        <f t="shared" si="27"/>
        <v>0</v>
      </c>
      <c r="I76" s="155">
        <f t="shared" si="24"/>
        <v>0</v>
      </c>
      <c r="J76" s="5" cm="1">
        <f t="array" ref="J76">IF(J$8=-1,K76,IF(J$8=99,I76,IF(J$8=0,INDEX($E76:$I76,0,J$6),(INDEX($E76:$I76,0,J$8+1)-INDEX($E76:$I76,0,J$8))/(INDEX($D$5:$H$5,0,J$8+1)-INDEX($D$5:$H$5,0,J$8))+I76)))</f>
        <v>0</v>
      </c>
      <c r="K76" s="5" cm="1">
        <f t="array" ref="K76">IF(K$8=-1,L76,IF(K$8=99,J76,IF(K$8=0,INDEX($E76:$I76,0,K$6),(INDEX($E76:$I76,0,K$8+1)-INDEX($E76:$I76,0,K$8))/(INDEX($D$5:$H$5,0,K$8+1)-INDEX($D$5:$H$5,0,K$8))+J76)))</f>
        <v>0</v>
      </c>
      <c r="L76" s="5" cm="1">
        <f t="array" ref="L76">IF(L$8=-1,M76,IF(L$8=99,K76,IF(L$8=0,INDEX($E76:$I76,0,L$6),(INDEX($E76:$I76,0,L$8+1)-INDEX($E76:$I76,0,L$8))/(INDEX($D$5:$H$5,0,L$8+1)-INDEX($D$5:$H$5,0,L$8))+K76)))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IF(AO$8=-1,AP76,IF(AO$8=99,AN76,IF(AO$8=0,INDEX($E76:$I76,0,AO$6),(INDEX($E76:$I76,0,AO$8+1)-INDEX($E76:$I76,0,AO$8))/(INDEX($D$5:$H$5,0,AO$8+1)-INDEX($D$5:$H$5,0,AO$8))+AN76)))</f>
        <v>0</v>
      </c>
      <c r="AP76" s="5" cm="1">
        <f t="array" ref="AP76">IF(AP$8=-1,AQ76,IF(AP$8=99,AO76,IF(AP$8=0,INDEX($E76:$I76,0,AP$6),(INDEX($E76:$I76,0,AP$8+1)-INDEX($E76:$I76,0,AP$8))/(INDEX($D$5:$H$5,0,AP$8+1)-INDEX($D$5:$H$5,0,AP$8))+AO76)))</f>
        <v>0</v>
      </c>
      <c r="AQ76" s="5" cm="1">
        <f t="array" ref="AQ76">IF(AQ$8=-1,AR76,IF(AQ$8=99,AP76,IF(AQ$8=0,INDEX($E76:$I76,0,AQ$6),(INDEX($E76:$I76,0,AQ$8+1)-INDEX($E76:$I76,0,AQ$8))/(INDEX($D$5:$H$5,0,AQ$8+1)-INDEX($D$5:$H$5,0,AQ$8))+AP76)))</f>
        <v>0</v>
      </c>
      <c r="AR76" s="5" cm="1">
        <f t="array" ref="AR76">IF(AR$8=-1,AS76,IF(AR$8=99,AQ76,IF(AR$8=0,INDEX($E76:$I76,0,AR$6),(INDEX($E76:$I76,0,AR$8+1)-INDEX($E76:$I76,0,AR$8))/(INDEX($D$5:$H$5,0,AR$8+1)-INDEX($D$5:$H$5,0,AR$8))+AQ76)))</f>
        <v>0</v>
      </c>
      <c r="AS76" s="5" cm="1">
        <f t="array" ref="AS76">IF(AS$8=-1,AT76,IF(AS$8=99,AR76,IF(AS$8=0,INDEX($E76:$I76,0,AS$6),(INDEX($E76:$I76,0,AS$8+1)-INDEX($E76:$I76,0,AS$8))/(INDEX($D$5:$H$5,0,AS$8+1)-INDEX($D$5:$H$5,0,AS$8))+AR76)))</f>
        <v>0</v>
      </c>
      <c r="AT76" s="5" cm="1">
        <f t="array" ref="AT76">IF(AT$8=-1,AU76,IF(AT$8=99,AS76,IF(AT$8=0,INDEX($E76:$I76,0,AT$6),(INDEX($E76:$I76,0,AT$8+1)-INDEX($E76:$I76,0,AT$8))/(INDEX($D$5:$H$5,0,AT$8+1)-INDEX($D$5:$H$5,0,AT$8))+AS76)))</f>
        <v>0</v>
      </c>
      <c r="AU76" s="5" cm="1">
        <f t="array" ref="AU76">IF(AU$8=-1,AV76,IF(AU$8=99,AT76,IF(AU$8=0,INDEX($E76:$I76,0,AU$6),(INDEX($E76:$I76,0,AU$8+1)-INDEX($E76:$I76,0,AU$8))/(INDEX($D$5:$H$5,0,AU$8+1)-INDEX($D$5:$H$5,0,AU$8))+AT76)))</f>
        <v>0</v>
      </c>
      <c r="AV76" s="5" cm="1">
        <f t="array" ref="AV76">IF(AV$8=-1,AW76,IF(AV$8=99,AU76,IF(AV$8=0,INDEX($E76:$I76,0,AV$6),(INDEX($E76:$I76,0,AV$8+1)-INDEX($E76:$I76,0,AV$8))/(INDEX($D$5:$H$5,0,AV$8+1)-INDEX($D$5:$H$5,0,AV$8))+AU76)))</f>
        <v>0</v>
      </c>
    </row>
    <row r="77" spans="1:48">
      <c r="A77" t="s">
        <v>16</v>
      </c>
      <c r="B77" s="233" t="s">
        <v>246</v>
      </c>
      <c r="C77" s="95" t="str">
        <f t="shared" si="23"/>
        <v>Commercial - Public Water</v>
      </c>
      <c r="D77" s="95" t="s">
        <v>75</v>
      </c>
      <c r="E77" s="153">
        <v>0</v>
      </c>
      <c r="F77" s="92">
        <v>0</v>
      </c>
      <c r="G77" s="154">
        <f t="shared" si="24"/>
        <v>0</v>
      </c>
      <c r="H77" s="92">
        <f t="shared" si="27"/>
        <v>0</v>
      </c>
      <c r="I77" s="155">
        <f t="shared" si="24"/>
        <v>0</v>
      </c>
      <c r="J77" s="5" cm="1">
        <f t="array" ref="J77">IF(J$8=-1,K77,IF(J$8=99,I77,IF(J$8=0,INDEX($E77:$I77,0,J$6),(INDEX($E77:$I77,0,J$8+1)-INDEX($E77:$I77,0,J$8))/(INDEX($D$5:$H$5,0,J$8+1)-INDEX($D$5:$H$5,0,J$8))+I77)))</f>
        <v>0</v>
      </c>
      <c r="K77" s="5" cm="1">
        <f t="array" ref="K77">IF(K$8=-1,L77,IF(K$8=99,J77,IF(K$8=0,INDEX($E77:$I77,0,K$6),(INDEX($E77:$I77,0,K$8+1)-INDEX($E77:$I77,0,K$8))/(INDEX($D$5:$H$5,0,K$8+1)-INDEX($D$5:$H$5,0,K$8))+J77)))</f>
        <v>0</v>
      </c>
      <c r="L77" s="5" cm="1">
        <f t="array" ref="L77">IF(L$8=-1,M77,IF(L$8=99,K77,IF(L$8=0,INDEX($E77:$I77,0,L$6),(INDEX($E77:$I77,0,L$8+1)-INDEX($E77:$I77,0,L$8))/(INDEX($D$5:$H$5,0,L$8+1)-INDEX($D$5:$H$5,0,L$8))+K77)))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IF(AO$8=-1,AP77,IF(AO$8=99,AN77,IF(AO$8=0,INDEX($E77:$I77,0,AO$6),(INDEX($E77:$I77,0,AO$8+1)-INDEX($E77:$I77,0,AO$8))/(INDEX($D$5:$H$5,0,AO$8+1)-INDEX($D$5:$H$5,0,AO$8))+AN77)))</f>
        <v>0</v>
      </c>
      <c r="AP77" s="5" cm="1">
        <f t="array" ref="AP77">IF(AP$8=-1,AQ77,IF(AP$8=99,AO77,IF(AP$8=0,INDEX($E77:$I77,0,AP$6),(INDEX($E77:$I77,0,AP$8+1)-INDEX($E77:$I77,0,AP$8))/(INDEX($D$5:$H$5,0,AP$8+1)-INDEX($D$5:$H$5,0,AP$8))+AO77)))</f>
        <v>0</v>
      </c>
      <c r="AQ77" s="5" cm="1">
        <f t="array" ref="AQ77">IF(AQ$8=-1,AR77,IF(AQ$8=99,AP77,IF(AQ$8=0,INDEX($E77:$I77,0,AQ$6),(INDEX($E77:$I77,0,AQ$8+1)-INDEX($E77:$I77,0,AQ$8))/(INDEX($D$5:$H$5,0,AQ$8+1)-INDEX($D$5:$H$5,0,AQ$8))+AP77)))</f>
        <v>0</v>
      </c>
      <c r="AR77" s="5" cm="1">
        <f t="array" ref="AR77">IF(AR$8=-1,AS77,IF(AR$8=99,AQ77,IF(AR$8=0,INDEX($E77:$I77,0,AR$6),(INDEX($E77:$I77,0,AR$8+1)-INDEX($E77:$I77,0,AR$8))/(INDEX($D$5:$H$5,0,AR$8+1)-INDEX($D$5:$H$5,0,AR$8))+AQ77)))</f>
        <v>0</v>
      </c>
      <c r="AS77" s="5" cm="1">
        <f t="array" ref="AS77">IF(AS$8=-1,AT77,IF(AS$8=99,AR77,IF(AS$8=0,INDEX($E77:$I77,0,AS$6),(INDEX($E77:$I77,0,AS$8+1)-INDEX($E77:$I77,0,AS$8))/(INDEX($D$5:$H$5,0,AS$8+1)-INDEX($D$5:$H$5,0,AS$8))+AR77)))</f>
        <v>0</v>
      </c>
      <c r="AT77" s="5" cm="1">
        <f t="array" ref="AT77">IF(AT$8=-1,AU77,IF(AT$8=99,AS77,IF(AT$8=0,INDEX($E77:$I77,0,AT$6),(INDEX($E77:$I77,0,AT$8+1)-INDEX($E77:$I77,0,AT$8))/(INDEX($D$5:$H$5,0,AT$8+1)-INDEX($D$5:$H$5,0,AT$8))+AS77)))</f>
        <v>0</v>
      </c>
      <c r="AU77" s="5" cm="1">
        <f t="array" ref="AU77">IF(AU$8=-1,AV77,IF(AU$8=99,AT77,IF(AU$8=0,INDEX($E77:$I77,0,AU$6),(INDEX($E77:$I77,0,AU$8+1)-INDEX($E77:$I77,0,AU$8))/(INDEX($D$5:$H$5,0,AU$8+1)-INDEX($D$5:$H$5,0,AU$8))+AT77)))</f>
        <v>0</v>
      </c>
      <c r="AV77" s="5" cm="1">
        <f t="array" ref="AV77">IF(AV$8=-1,AW77,IF(AV$8=99,AU77,IF(AV$8=0,INDEX($E77:$I77,0,AV$6),(INDEX($E77:$I77,0,AV$8+1)-INDEX($E77:$I77,0,AV$8))/(INDEX($D$5:$H$5,0,AV$8+1)-INDEX($D$5:$H$5,0,AV$8))+AU77)))</f>
        <v>0</v>
      </c>
    </row>
    <row r="78" spans="1:48">
      <c r="A78" t="s">
        <v>16</v>
      </c>
      <c r="B78" s="233" t="s">
        <v>247</v>
      </c>
      <c r="C78" s="75" t="str">
        <f t="shared" si="23"/>
        <v>Commercial - Other</v>
      </c>
      <c r="D78" s="75" t="s">
        <v>75</v>
      </c>
      <c r="E78" s="84">
        <f>$D64/J$23</f>
        <v>141.24997285391134</v>
      </c>
      <c r="F78" s="92">
        <f t="shared" si="26"/>
        <v>122.09850463575508</v>
      </c>
      <c r="G78" s="92">
        <f t="shared" si="24"/>
        <v>122.09850463575508</v>
      </c>
      <c r="H78" s="92">
        <f t="shared" si="27"/>
        <v>122.09850463575508</v>
      </c>
      <c r="I78" s="136">
        <f t="shared" si="24"/>
        <v>122.09850463575508</v>
      </c>
      <c r="J78" s="5" cm="1">
        <f t="array" ref="J78">IF(J$8=-1,K78,IF(J$8=99,I78,IF(J$8=0,INDEX($E78:$I78,0,J$6),(INDEX($E78:$I78,0,J$8+1)-INDEX($E78:$I78,0,J$8))/(INDEX($D$5:$H$5,0,J$8+1)-INDEX($D$5:$H$5,0,J$8))+I78)))</f>
        <v>141.24997285391134</v>
      </c>
      <c r="K78" s="5" cm="1">
        <f t="array" ref="K78">IF(K$8=-1,L78,IF(K$8=99,J78,IF(K$8=0,INDEX($E78:$I78,0,K$6),(INDEX($E78:$I78,0,K$8+1)-INDEX($E78:$I78,0,K$8))/(INDEX($D$5:$H$5,0,K$8+1)-INDEX($D$5:$H$5,0,K$8))+J78)))</f>
        <v>137.41967921028009</v>
      </c>
      <c r="L78" s="5" cm="1">
        <f t="array" ref="L78">IF(L$8=-1,M78,IF(L$8=99,K78,IF(L$8=0,INDEX($E78:$I78,0,L$6),(INDEX($E78:$I78,0,L$8+1)-INDEX($E78:$I78,0,L$8))/(INDEX($D$5:$H$5,0,L$8+1)-INDEX($D$5:$H$5,0,L$8))+K78)))</f>
        <v>133.58938556664884</v>
      </c>
      <c r="M78" s="5" cm="1">
        <f t="array" ref="M78">IF(M$8=-1,N78,IF(M$8=99,L78,IF(M$8=0,INDEX($E78:$I78,0,M$6),(INDEX($E78:$I78,0,M$8+1)-INDEX($E78:$I78,0,M$8))/(INDEX($D$5:$H$5,0,M$8+1)-INDEX($D$5:$H$5,0,M$8))+L78)))</f>
        <v>129.75909192301759</v>
      </c>
      <c r="N78" s="5" cm="1">
        <f t="array" ref="N78">IF(N$8=-1,O78,IF(N$8=99,M78,IF(N$8=0,INDEX($E78:$I78,0,N$6),(INDEX($E78:$I78,0,N$8+1)-INDEX($E78:$I78,0,N$8))/(INDEX($D$5:$H$5,0,N$8+1)-INDEX($D$5:$H$5,0,N$8))+M78)))</f>
        <v>125.92879827938634</v>
      </c>
      <c r="O78" s="5" cm="1">
        <f t="array" ref="O78">IF(O$8=-1,P78,IF(O$8=99,N78,IF(O$8=0,INDEX($E78:$I78,0,O$6),(INDEX($E78:$I78,0,O$8+1)-INDEX($E78:$I78,0,O$8))/(INDEX($D$5:$H$5,0,O$8+1)-INDEX($D$5:$H$5,0,O$8))+N78)))</f>
        <v>122.09850463575508</v>
      </c>
      <c r="P78" s="5" cm="1">
        <f t="array" ref="P78">IF(P$8=-1,Q78,IF(P$8=99,O78,IF(P$8=0,INDEX($E78:$I78,0,P$6),(INDEX($E78:$I78,0,P$8+1)-INDEX($E78:$I78,0,P$8))/(INDEX($D$5:$H$5,0,P$8+1)-INDEX($D$5:$H$5,0,P$8))+O78)))</f>
        <v>122.09850463575508</v>
      </c>
      <c r="Q78" s="5" cm="1">
        <f t="array" ref="Q78">IF(Q$8=-1,R78,IF(Q$8=99,P78,IF(Q$8=0,INDEX($E78:$I78,0,Q$6),(INDEX($E78:$I78,0,Q$8+1)-INDEX($E78:$I78,0,Q$8))/(INDEX($D$5:$H$5,0,Q$8+1)-INDEX($D$5:$H$5,0,Q$8))+P78)))</f>
        <v>122.09850463575508</v>
      </c>
      <c r="R78" s="5" cm="1">
        <f t="array" ref="R78">IF(R$8=-1,S78,IF(R$8=99,Q78,IF(R$8=0,INDEX($E78:$I78,0,R$6),(INDEX($E78:$I78,0,R$8+1)-INDEX($E78:$I78,0,R$8))/(INDEX($D$5:$H$5,0,R$8+1)-INDEX($D$5:$H$5,0,R$8))+Q78)))</f>
        <v>122.09850463575508</v>
      </c>
      <c r="S78" s="5" cm="1">
        <f t="array" ref="S78">IF(S$8=-1,T78,IF(S$8=99,R78,IF(S$8=0,INDEX($E78:$I78,0,S$6),(INDEX($E78:$I78,0,S$8+1)-INDEX($E78:$I78,0,S$8))/(INDEX($D$5:$H$5,0,S$8+1)-INDEX($D$5:$H$5,0,S$8))+R78)))</f>
        <v>122.09850463575508</v>
      </c>
      <c r="T78" s="5" cm="1">
        <f t="array" ref="T78">IF(T$8=-1,U78,IF(T$8=99,S78,IF(T$8=0,INDEX($E78:$I78,0,T$6),(INDEX($E78:$I78,0,T$8+1)-INDEX($E78:$I78,0,T$8))/(INDEX($D$5:$H$5,0,T$8+1)-INDEX($D$5:$H$5,0,T$8))+S78)))</f>
        <v>122.09850463575508</v>
      </c>
      <c r="U78" s="5" cm="1">
        <f t="array" ref="U78">IF(U$8=-1,V78,IF(U$8=99,T78,IF(U$8=0,INDEX($E78:$I78,0,U$6),(INDEX($E78:$I78,0,U$8+1)-INDEX($E78:$I78,0,U$8))/(INDEX($D$5:$H$5,0,U$8+1)-INDEX($D$5:$H$5,0,U$8))+T78)))</f>
        <v>122.09850463575508</v>
      </c>
      <c r="V78" s="5" cm="1">
        <f t="array" ref="V78">IF(V$8=-1,W78,IF(V$8=99,U78,IF(V$8=0,INDEX($E78:$I78,0,V$6),(INDEX($E78:$I78,0,V$8+1)-INDEX($E78:$I78,0,V$8))/(INDEX($D$5:$H$5,0,V$8+1)-INDEX($D$5:$H$5,0,V$8))+U78)))</f>
        <v>122.09850463575508</v>
      </c>
      <c r="W78" s="5" cm="1">
        <f t="array" ref="W78">IF(W$8=-1,X78,IF(W$8=99,V78,IF(W$8=0,INDEX($E78:$I78,0,W$6),(INDEX($E78:$I78,0,W$8+1)-INDEX($E78:$I78,0,W$8))/(INDEX($D$5:$H$5,0,W$8+1)-INDEX($D$5:$H$5,0,W$8))+V78)))</f>
        <v>122.09850463575508</v>
      </c>
      <c r="X78" s="5" cm="1">
        <f t="array" ref="X78">IF(X$8=-1,Y78,IF(X$8=99,W78,IF(X$8=0,INDEX($E78:$I78,0,X$6),(INDEX($E78:$I78,0,X$8+1)-INDEX($E78:$I78,0,X$8))/(INDEX($D$5:$H$5,0,X$8+1)-INDEX($D$5:$H$5,0,X$8))+W78)))</f>
        <v>122.09850463575508</v>
      </c>
      <c r="Y78" s="5" cm="1">
        <f t="array" ref="Y78">IF(Y$8=-1,Z78,IF(Y$8=99,X78,IF(Y$8=0,INDEX($E78:$I78,0,Y$6),(INDEX($E78:$I78,0,Y$8+1)-INDEX($E78:$I78,0,Y$8))/(INDEX($D$5:$H$5,0,Y$8+1)-INDEX($D$5:$H$5,0,Y$8))+X78)))</f>
        <v>122.09850463575508</v>
      </c>
      <c r="Z78" s="5" cm="1">
        <f t="array" ref="Z78">IF(Z$8=-1,AA78,IF(Z$8=99,Y78,IF(Z$8=0,INDEX($E78:$I78,0,Z$6),(INDEX($E78:$I78,0,Z$8+1)-INDEX($E78:$I78,0,Z$8))/(INDEX($D$5:$H$5,0,Z$8+1)-INDEX($D$5:$H$5,0,Z$8))+Y78)))</f>
        <v>122.09850463575508</v>
      </c>
      <c r="AA78" s="5" cm="1">
        <f t="array" ref="AA78">IF(AA$8=-1,AB78,IF(AA$8=99,Z78,IF(AA$8=0,INDEX($E78:$I78,0,AA$6),(INDEX($E78:$I78,0,AA$8+1)-INDEX($E78:$I78,0,AA$8))/(INDEX($D$5:$H$5,0,AA$8+1)-INDEX($D$5:$H$5,0,AA$8))+Z78)))</f>
        <v>122.09850463575508</v>
      </c>
      <c r="AB78" s="5" cm="1">
        <f t="array" ref="AB78">IF(AB$8=-1,AC78,IF(AB$8=99,AA78,IF(AB$8=0,INDEX($E78:$I78,0,AB$6),(INDEX($E78:$I78,0,AB$8+1)-INDEX($E78:$I78,0,AB$8))/(INDEX($D$5:$H$5,0,AB$8+1)-INDEX($D$5:$H$5,0,AB$8))+AA78)))</f>
        <v>122.09850463575508</v>
      </c>
      <c r="AC78" s="5" cm="1">
        <f t="array" ref="AC78">IF(AC$8=-1,AD78,IF(AC$8=99,AB78,IF(AC$8=0,INDEX($E78:$I78,0,AC$6),(INDEX($E78:$I78,0,AC$8+1)-INDEX($E78:$I78,0,AC$8))/(INDEX($D$5:$H$5,0,AC$8+1)-INDEX($D$5:$H$5,0,AC$8))+AB78)))</f>
        <v>122.09850463575508</v>
      </c>
      <c r="AD78" s="5" cm="1">
        <f t="array" ref="AD78">IF(AD$8=-1,AE78,IF(AD$8=99,AC78,IF(AD$8=0,INDEX($E78:$I78,0,AD$6),(INDEX($E78:$I78,0,AD$8+1)-INDEX($E78:$I78,0,AD$8))/(INDEX($D$5:$H$5,0,AD$8+1)-INDEX($D$5:$H$5,0,AD$8))+AC78)))</f>
        <v>122.09850463575508</v>
      </c>
      <c r="AE78" s="5" cm="1">
        <f t="array" ref="AE78">IF(AE$8=-1,AF78,IF(AE$8=99,AD78,IF(AE$8=0,INDEX($E78:$I78,0,AE$6),(INDEX($E78:$I78,0,AE$8+1)-INDEX($E78:$I78,0,AE$8))/(INDEX($D$5:$H$5,0,AE$8+1)-INDEX($D$5:$H$5,0,AE$8))+AD78)))</f>
        <v>122.09850463575508</v>
      </c>
      <c r="AF78" s="5" cm="1">
        <f t="array" ref="AF78">IF(AF$8=-1,AG78,IF(AF$8=99,AE78,IF(AF$8=0,INDEX($E78:$I78,0,AF$6),(INDEX($E78:$I78,0,AF$8+1)-INDEX($E78:$I78,0,AF$8))/(INDEX($D$5:$H$5,0,AF$8+1)-INDEX($D$5:$H$5,0,AF$8))+AE78)))</f>
        <v>122.09850463575508</v>
      </c>
      <c r="AG78" s="5" cm="1">
        <f t="array" ref="AG78">IF(AG$8=-1,AH78,IF(AG$8=99,AF78,IF(AG$8=0,INDEX($E78:$I78,0,AG$6),(INDEX($E78:$I78,0,AG$8+1)-INDEX($E78:$I78,0,AG$8))/(INDEX($D$5:$H$5,0,AG$8+1)-INDEX($D$5:$H$5,0,AG$8))+AF78)))</f>
        <v>122.09850463575508</v>
      </c>
      <c r="AH78" s="5" cm="1">
        <f t="array" ref="AH78">IF(AH$8=-1,AI78,IF(AH$8=99,AG78,IF(AH$8=0,INDEX($E78:$I78,0,AH$6),(INDEX($E78:$I78,0,AH$8+1)-INDEX($E78:$I78,0,AH$8))/(INDEX($D$5:$H$5,0,AH$8+1)-INDEX($D$5:$H$5,0,AH$8))+AG78)))</f>
        <v>122.09850463575508</v>
      </c>
      <c r="AI78" s="5" cm="1">
        <f t="array" ref="AI78">IF(AI$8=-1,AJ78,IF(AI$8=99,AH78,IF(AI$8=0,INDEX($E78:$I78,0,AI$6),(INDEX($E78:$I78,0,AI$8+1)-INDEX($E78:$I78,0,AI$8))/(INDEX($D$5:$H$5,0,AI$8+1)-INDEX($D$5:$H$5,0,AI$8))+AH78)))</f>
        <v>122.09850463575508</v>
      </c>
      <c r="AJ78" s="5" cm="1">
        <f t="array" ref="AJ78">IF(AJ$8=-1,AK78,IF(AJ$8=99,AI78,IF(AJ$8=0,INDEX($E78:$I78,0,AJ$6),(INDEX($E78:$I78,0,AJ$8+1)-INDEX($E78:$I78,0,AJ$8))/(INDEX($D$5:$H$5,0,AJ$8+1)-INDEX($D$5:$H$5,0,AJ$8))+AI78)))</f>
        <v>122.09850463575508</v>
      </c>
      <c r="AK78" s="5" cm="1">
        <f t="array" ref="AK78">IF(AK$8=-1,AL78,IF(AK$8=99,AJ78,IF(AK$8=0,INDEX($E78:$I78,0,AK$6),(INDEX($E78:$I78,0,AK$8+1)-INDEX($E78:$I78,0,AK$8))/(INDEX($D$5:$H$5,0,AK$8+1)-INDEX($D$5:$H$5,0,AK$8))+AJ78)))</f>
        <v>122.09850463575508</v>
      </c>
      <c r="AL78" s="5" cm="1">
        <f t="array" ref="AL78">IF(AL$8=-1,AM78,IF(AL$8=99,AK78,IF(AL$8=0,INDEX($E78:$I78,0,AL$6),(INDEX($E78:$I78,0,AL$8+1)-INDEX($E78:$I78,0,AL$8))/(INDEX($D$5:$H$5,0,AL$8+1)-INDEX($D$5:$H$5,0,AL$8))+AK78)))</f>
        <v>122.09850463575508</v>
      </c>
      <c r="AM78" s="5" cm="1">
        <f t="array" ref="AM78">IF(AM$8=-1,AN78,IF(AM$8=99,AL78,IF(AM$8=0,INDEX($E78:$I78,0,AM$6),(INDEX($E78:$I78,0,AM$8+1)-INDEX($E78:$I78,0,AM$8))/(INDEX($D$5:$H$5,0,AM$8+1)-INDEX($D$5:$H$5,0,AM$8))+AL78)))</f>
        <v>122.09850463575508</v>
      </c>
      <c r="AN78" s="5" cm="1">
        <f t="array" ref="AN78">IF(AN$8=-1,AO78,IF(AN$8=99,AM78,IF(AN$8=0,INDEX($E78:$I78,0,AN$6),(INDEX($E78:$I78,0,AN$8+1)-INDEX($E78:$I78,0,AN$8))/(INDEX($D$5:$H$5,0,AN$8+1)-INDEX($D$5:$H$5,0,AN$8))+AM78)))</f>
        <v>122.09850463575508</v>
      </c>
      <c r="AO78" s="5" cm="1">
        <f t="array" ref="AO78">IF(AO$8=-1,AP78,IF(AO$8=99,AN78,IF(AO$8=0,INDEX($E78:$I78,0,AO$6),(INDEX($E78:$I78,0,AO$8+1)-INDEX($E78:$I78,0,AO$8))/(INDEX($D$5:$H$5,0,AO$8+1)-INDEX($D$5:$H$5,0,AO$8))+AN78)))</f>
        <v>122.09850463575508</v>
      </c>
      <c r="AP78" s="5" cm="1">
        <f t="array" ref="AP78">IF(AP$8=-1,AQ78,IF(AP$8=99,AO78,IF(AP$8=0,INDEX($E78:$I78,0,AP$6),(INDEX($E78:$I78,0,AP$8+1)-INDEX($E78:$I78,0,AP$8))/(INDEX($D$5:$H$5,0,AP$8+1)-INDEX($D$5:$H$5,0,AP$8))+AO78)))</f>
        <v>122.09850463575508</v>
      </c>
      <c r="AQ78" s="5" cm="1">
        <f t="array" ref="AQ78">IF(AQ$8=-1,AR78,IF(AQ$8=99,AP78,IF(AQ$8=0,INDEX($E78:$I78,0,AQ$6),(INDEX($E78:$I78,0,AQ$8+1)-INDEX($E78:$I78,0,AQ$8))/(INDEX($D$5:$H$5,0,AQ$8+1)-INDEX($D$5:$H$5,0,AQ$8))+AP78)))</f>
        <v>122.09850463575508</v>
      </c>
      <c r="AR78" s="5" cm="1">
        <f t="array" ref="AR78">IF(AR$8=-1,AS78,IF(AR$8=99,AQ78,IF(AR$8=0,INDEX($E78:$I78,0,AR$6),(INDEX($E78:$I78,0,AR$8+1)-INDEX($E78:$I78,0,AR$8))/(INDEX($D$5:$H$5,0,AR$8+1)-INDEX($D$5:$H$5,0,AR$8))+AQ78)))</f>
        <v>122.09850463575508</v>
      </c>
      <c r="AS78" s="5" cm="1">
        <f t="array" ref="AS78">IF(AS$8=-1,AT78,IF(AS$8=99,AR78,IF(AS$8=0,INDEX($E78:$I78,0,AS$6),(INDEX($E78:$I78,0,AS$8+1)-INDEX($E78:$I78,0,AS$8))/(INDEX($D$5:$H$5,0,AS$8+1)-INDEX($D$5:$H$5,0,AS$8))+AR78)))</f>
        <v>122.09850463575508</v>
      </c>
      <c r="AT78" s="5" cm="1">
        <f t="array" ref="AT78">IF(AT$8=-1,AU78,IF(AT$8=99,AS78,IF(AT$8=0,INDEX($E78:$I78,0,AT$6),(INDEX($E78:$I78,0,AT$8+1)-INDEX($E78:$I78,0,AT$8))/(INDEX($D$5:$H$5,0,AT$8+1)-INDEX($D$5:$H$5,0,AT$8))+AS78)))</f>
        <v>122.09850463575508</v>
      </c>
      <c r="AU78" s="5" cm="1">
        <f t="array" ref="AU78">IF(AU$8=-1,AV78,IF(AU$8=99,AT78,IF(AU$8=0,INDEX($E78:$I78,0,AU$6),(INDEX($E78:$I78,0,AU$8+1)-INDEX($E78:$I78,0,AU$8))/(INDEX($D$5:$H$5,0,AU$8+1)-INDEX($D$5:$H$5,0,AU$8))+AT78)))</f>
        <v>122.09850463575508</v>
      </c>
      <c r="AV78" s="5" cm="1">
        <f t="array" ref="AV78">IF(AV$8=-1,AW78,IF(AV$8=99,AU78,IF(AV$8=0,INDEX($E78:$I78,0,AV$6),(INDEX($E78:$I78,0,AV$8+1)-INDEX($E78:$I78,0,AV$8))/(INDEX($D$5:$H$5,0,AV$8+1)-INDEX($D$5:$H$5,0,AV$8))+AU78)))</f>
        <v>122.09850463575508</v>
      </c>
    </row>
    <row r="79" spans="1:48">
      <c r="A79" t="s">
        <v>16</v>
      </c>
      <c r="B79" s="233"/>
      <c r="I79" s="156"/>
      <c r="K79"/>
      <c r="L79"/>
      <c r="M79"/>
      <c r="N79"/>
      <c r="O79"/>
      <c r="P79"/>
      <c r="Q79"/>
      <c r="R79" s="5"/>
      <c r="S79"/>
      <c r="T79"/>
      <c r="U79"/>
      <c r="V79"/>
      <c r="W79"/>
      <c r="X79"/>
      <c r="Y79"/>
      <c r="Z79"/>
      <c r="AA79"/>
      <c r="AB79"/>
      <c r="AC79"/>
      <c r="AD79"/>
      <c r="AE79"/>
      <c r="AF79"/>
      <c r="AG79"/>
      <c r="AH79"/>
      <c r="AI79"/>
      <c r="AJ79"/>
      <c r="AK79"/>
      <c r="AL79"/>
      <c r="AM79"/>
      <c r="AN79"/>
      <c r="AO79"/>
      <c r="AP79"/>
      <c r="AQ79"/>
      <c r="AR79"/>
      <c r="AS79"/>
      <c r="AT79"/>
      <c r="AU79"/>
      <c r="AV79"/>
    </row>
    <row r="80" spans="1:48" ht="15.75" thickBot="1">
      <c r="A80" t="s">
        <v>16</v>
      </c>
      <c r="B80" s="91" t="s">
        <v>77</v>
      </c>
      <c r="C80" s="72"/>
      <c r="D80" s="73"/>
      <c r="H80" s="129"/>
      <c r="I80" s="137"/>
      <c r="K80" s="75"/>
    </row>
    <row r="81" spans="1:48">
      <c r="A81" t="s">
        <v>16</v>
      </c>
      <c r="B81" s="233" t="s">
        <v>248</v>
      </c>
      <c r="C81" s="75" t="str">
        <f t="shared" ref="C81:C89" si="28">C70</f>
        <v>Commercial - Cooling</v>
      </c>
      <c r="D81" s="75" t="s">
        <v>75</v>
      </c>
      <c r="E81" s="84">
        <f>E70</f>
        <v>1051.567060091292</v>
      </c>
      <c r="F81" s="92">
        <f>F70</f>
        <v>863.94535743263168</v>
      </c>
      <c r="G81" s="92">
        <f t="shared" ref="G81:G89" si="29">F81</f>
        <v>863.94535743263168</v>
      </c>
      <c r="H81" s="92">
        <f>IF($L$57=-1,G81,((F81-E81)*2/5+E81)*(1+$H$69))</f>
        <v>863.94535743263168</v>
      </c>
      <c r="I81" s="136">
        <f t="shared" ref="I81:I89" si="30">H81</f>
        <v>863.94535743263168</v>
      </c>
      <c r="J81" s="5" cm="1">
        <f t="array" ref="J81">IF(J$8=-1,K81,IF(J$8=99,I81,IF(J$8=0,INDEX($E81:$I81,0,J$6),(INDEX($E81:$I81,0,J$8+1)-INDEX($E81:$I81,0,J$8))/(INDEX($D$5:$H$5,0,J$8+1)-INDEX($D$5:$H$5,0,J$8))+I81)))</f>
        <v>1051.567060091292</v>
      </c>
      <c r="K81" s="5" cm="1">
        <f t="array" ref="K81">IF(K$8=-1,L81,IF(K$8=99,J81,IF(K$8=0,INDEX($E81:$I81,0,K$6),(INDEX($E81:$I81,0,K$8+1)-INDEX($E81:$I81,0,K$8))/(INDEX($D$5:$H$5,0,K$8+1)-INDEX($D$5:$H$5,0,K$8))+J81)))</f>
        <v>1014.0427195595599</v>
      </c>
      <c r="L81" s="5" cm="1">
        <f t="array" ref="L81">IF(L$8=-1,M81,IF(L$8=99,K81,IF(L$8=0,INDEX($E81:$I81,0,L$6),(INDEX($E81:$I81,0,L$8+1)-INDEX($E81:$I81,0,L$8))/(INDEX($D$5:$H$5,0,L$8+1)-INDEX($D$5:$H$5,0,L$8))+K81)))</f>
        <v>976.5183790278279</v>
      </c>
      <c r="M81" s="5" cm="1">
        <f t="array" ref="M81">IF(M$8=-1,N81,IF(M$8=99,L81,IF(M$8=0,INDEX($E81:$I81,0,M$6),(INDEX($E81:$I81,0,M$8+1)-INDEX($E81:$I81,0,M$8))/(INDEX($D$5:$H$5,0,M$8+1)-INDEX($D$5:$H$5,0,M$8))+L81)))</f>
        <v>938.99403849609587</v>
      </c>
      <c r="N81" s="5" cm="1">
        <f t="array" ref="N81">IF(N$8=-1,O81,IF(N$8=99,M81,IF(N$8=0,INDEX($E81:$I81,0,N$6),(INDEX($E81:$I81,0,N$8+1)-INDEX($E81:$I81,0,N$8))/(INDEX($D$5:$H$5,0,N$8+1)-INDEX($D$5:$H$5,0,N$8))+M81)))</f>
        <v>901.46969796436383</v>
      </c>
      <c r="O81" s="5" cm="1">
        <f t="array" ref="O81">IF(O$8=-1,P81,IF(O$8=99,N81,IF(O$8=0,INDEX($E81:$I81,0,O$6),(INDEX($E81:$I81,0,O$8+1)-INDEX($E81:$I81,0,O$8))/(INDEX($D$5:$H$5,0,O$8+1)-INDEX($D$5:$H$5,0,O$8))+N81)))</f>
        <v>863.94535743263168</v>
      </c>
      <c r="P81" s="5" cm="1">
        <f t="array" ref="P81">IF(P$8=-1,Q81,IF(P$8=99,O81,IF(P$8=0,INDEX($E81:$I81,0,P$6),(INDEX($E81:$I81,0,P$8+1)-INDEX($E81:$I81,0,P$8))/(INDEX($D$5:$H$5,0,P$8+1)-INDEX($D$5:$H$5,0,P$8))+O81)))</f>
        <v>863.94535743263168</v>
      </c>
      <c r="Q81" s="5" cm="1">
        <f t="array" ref="Q81">IF(Q$8=-1,R81,IF(Q$8=99,P81,IF(Q$8=0,INDEX($E81:$I81,0,Q$6),(INDEX($E81:$I81,0,Q$8+1)-INDEX($E81:$I81,0,Q$8))/(INDEX($D$5:$H$5,0,Q$8+1)-INDEX($D$5:$H$5,0,Q$8))+P81)))</f>
        <v>863.94535743263168</v>
      </c>
      <c r="R81" s="5" cm="1">
        <f t="array" ref="R81">IF(R$8=-1,S81,IF(R$8=99,Q81,IF(R$8=0,INDEX($E81:$I81,0,R$6),(INDEX($E81:$I81,0,R$8+1)-INDEX($E81:$I81,0,R$8))/(INDEX($D$5:$H$5,0,R$8+1)-INDEX($D$5:$H$5,0,R$8))+Q81)))</f>
        <v>863.94535743263168</v>
      </c>
      <c r="S81" s="5" cm="1">
        <f t="array" ref="S81">IF(S$8=-1,T81,IF(S$8=99,R81,IF(S$8=0,INDEX($E81:$I81,0,S$6),(INDEX($E81:$I81,0,S$8+1)-INDEX($E81:$I81,0,S$8))/(INDEX($D$5:$H$5,0,S$8+1)-INDEX($D$5:$H$5,0,S$8))+R81)))</f>
        <v>863.94535743263168</v>
      </c>
      <c r="T81" s="5" cm="1">
        <f t="array" ref="T81">IF(T$8=-1,U81,IF(T$8=99,S81,IF(T$8=0,INDEX($E81:$I81,0,T$6),(INDEX($E81:$I81,0,T$8+1)-INDEX($E81:$I81,0,T$8))/(INDEX($D$5:$H$5,0,T$8+1)-INDEX($D$5:$H$5,0,T$8))+S81)))</f>
        <v>863.94535743263168</v>
      </c>
      <c r="U81" s="5" cm="1">
        <f t="array" ref="U81">IF(U$8=-1,V81,IF(U$8=99,T81,IF(U$8=0,INDEX($E81:$I81,0,U$6),(INDEX($E81:$I81,0,U$8+1)-INDEX($E81:$I81,0,U$8))/(INDEX($D$5:$H$5,0,U$8+1)-INDEX($D$5:$H$5,0,U$8))+T81)))</f>
        <v>863.94535743263168</v>
      </c>
      <c r="V81" s="5" cm="1">
        <f t="array" ref="V81">IF(V$8=-1,W81,IF(V$8=99,U81,IF(V$8=0,INDEX($E81:$I81,0,V$6),(INDEX($E81:$I81,0,V$8+1)-INDEX($E81:$I81,0,V$8))/(INDEX($D$5:$H$5,0,V$8+1)-INDEX($D$5:$H$5,0,V$8))+U81)))</f>
        <v>863.94535743263168</v>
      </c>
      <c r="W81" s="5" cm="1">
        <f t="array" ref="W81">IF(W$8=-1,X81,IF(W$8=99,V81,IF(W$8=0,INDEX($E81:$I81,0,W$6),(INDEX($E81:$I81,0,W$8+1)-INDEX($E81:$I81,0,W$8))/(INDEX($D$5:$H$5,0,W$8+1)-INDEX($D$5:$H$5,0,W$8))+V81)))</f>
        <v>863.94535743263168</v>
      </c>
      <c r="X81" s="5" cm="1">
        <f t="array" ref="X81">IF(X$8=-1,Y81,IF(X$8=99,W81,IF(X$8=0,INDEX($E81:$I81,0,X$6),(INDEX($E81:$I81,0,X$8+1)-INDEX($E81:$I81,0,X$8))/(INDEX($D$5:$H$5,0,X$8+1)-INDEX($D$5:$H$5,0,X$8))+W81)))</f>
        <v>863.94535743263168</v>
      </c>
      <c r="Y81" s="5" cm="1">
        <f t="array" ref="Y81">IF(Y$8=-1,Z81,IF(Y$8=99,X81,IF(Y$8=0,INDEX($E81:$I81,0,Y$6),(INDEX($E81:$I81,0,Y$8+1)-INDEX($E81:$I81,0,Y$8))/(INDEX($D$5:$H$5,0,Y$8+1)-INDEX($D$5:$H$5,0,Y$8))+X81)))</f>
        <v>863.94535743263168</v>
      </c>
      <c r="Z81" s="5" cm="1">
        <f t="array" ref="Z81">IF(Z$8=-1,AA81,IF(Z$8=99,Y81,IF(Z$8=0,INDEX($E81:$I81,0,Z$6),(INDEX($E81:$I81,0,Z$8+1)-INDEX($E81:$I81,0,Z$8))/(INDEX($D$5:$H$5,0,Z$8+1)-INDEX($D$5:$H$5,0,Z$8))+Y81)))</f>
        <v>863.94535743263168</v>
      </c>
      <c r="AA81" s="5" cm="1">
        <f t="array" ref="AA81">IF(AA$8=-1,AB81,IF(AA$8=99,Z81,IF(AA$8=0,INDEX($E81:$I81,0,AA$6),(INDEX($E81:$I81,0,AA$8+1)-INDEX($E81:$I81,0,AA$8))/(INDEX($D$5:$H$5,0,AA$8+1)-INDEX($D$5:$H$5,0,AA$8))+Z81)))</f>
        <v>863.94535743263168</v>
      </c>
      <c r="AB81" s="5" cm="1">
        <f t="array" ref="AB81">IF(AB$8=-1,AC81,IF(AB$8=99,AA81,IF(AB$8=0,INDEX($E81:$I81,0,AB$6),(INDEX($E81:$I81,0,AB$8+1)-INDEX($E81:$I81,0,AB$8))/(INDEX($D$5:$H$5,0,AB$8+1)-INDEX($D$5:$H$5,0,AB$8))+AA81)))</f>
        <v>863.94535743263168</v>
      </c>
      <c r="AC81" s="5" cm="1">
        <f t="array" ref="AC81">IF(AC$8=-1,AD81,IF(AC$8=99,AB81,IF(AC$8=0,INDEX($E81:$I81,0,AC$6),(INDEX($E81:$I81,0,AC$8+1)-INDEX($E81:$I81,0,AC$8))/(INDEX($D$5:$H$5,0,AC$8+1)-INDEX($D$5:$H$5,0,AC$8))+AB81)))</f>
        <v>863.94535743263168</v>
      </c>
      <c r="AD81" s="5" cm="1">
        <f t="array" ref="AD81">IF(AD$8=-1,AE81,IF(AD$8=99,AC81,IF(AD$8=0,INDEX($E81:$I81,0,AD$6),(INDEX($E81:$I81,0,AD$8+1)-INDEX($E81:$I81,0,AD$8))/(INDEX($D$5:$H$5,0,AD$8+1)-INDEX($D$5:$H$5,0,AD$8))+AC81)))</f>
        <v>863.94535743263168</v>
      </c>
      <c r="AE81" s="5" cm="1">
        <f t="array" ref="AE81">IF(AE$8=-1,AF81,IF(AE$8=99,AD81,IF(AE$8=0,INDEX($E81:$I81,0,AE$6),(INDEX($E81:$I81,0,AE$8+1)-INDEX($E81:$I81,0,AE$8))/(INDEX($D$5:$H$5,0,AE$8+1)-INDEX($D$5:$H$5,0,AE$8))+AD81)))</f>
        <v>863.94535743263168</v>
      </c>
      <c r="AF81" s="5" cm="1">
        <f t="array" ref="AF81">IF(AF$8=-1,AG81,IF(AF$8=99,AE81,IF(AF$8=0,INDEX($E81:$I81,0,AF$6),(INDEX($E81:$I81,0,AF$8+1)-INDEX($E81:$I81,0,AF$8))/(INDEX($D$5:$H$5,0,AF$8+1)-INDEX($D$5:$H$5,0,AF$8))+AE81)))</f>
        <v>863.94535743263168</v>
      </c>
      <c r="AG81" s="5" cm="1">
        <f t="array" ref="AG81">IF(AG$8=-1,AH81,IF(AG$8=99,AF81,IF(AG$8=0,INDEX($E81:$I81,0,AG$6),(INDEX($E81:$I81,0,AG$8+1)-INDEX($E81:$I81,0,AG$8))/(INDEX($D$5:$H$5,0,AG$8+1)-INDEX($D$5:$H$5,0,AG$8))+AF81)))</f>
        <v>863.94535743263168</v>
      </c>
      <c r="AH81" s="5" cm="1">
        <f t="array" ref="AH81">IF(AH$8=-1,AI81,IF(AH$8=99,AG81,IF(AH$8=0,INDEX($E81:$I81,0,AH$6),(INDEX($E81:$I81,0,AH$8+1)-INDEX($E81:$I81,0,AH$8))/(INDEX($D$5:$H$5,0,AH$8+1)-INDEX($D$5:$H$5,0,AH$8))+AG81)))</f>
        <v>863.94535743263168</v>
      </c>
      <c r="AI81" s="5" cm="1">
        <f t="array" ref="AI81">IF(AI$8=-1,AJ81,IF(AI$8=99,AH81,IF(AI$8=0,INDEX($E81:$I81,0,AI$6),(INDEX($E81:$I81,0,AI$8+1)-INDEX($E81:$I81,0,AI$8))/(INDEX($D$5:$H$5,0,AI$8+1)-INDEX($D$5:$H$5,0,AI$8))+AH81)))</f>
        <v>863.94535743263168</v>
      </c>
      <c r="AJ81" s="5" cm="1">
        <f t="array" ref="AJ81">IF(AJ$8=-1,AK81,IF(AJ$8=99,AI81,IF(AJ$8=0,INDEX($E81:$I81,0,AJ$6),(INDEX($E81:$I81,0,AJ$8+1)-INDEX($E81:$I81,0,AJ$8))/(INDEX($D$5:$H$5,0,AJ$8+1)-INDEX($D$5:$H$5,0,AJ$8))+AI81)))</f>
        <v>863.94535743263168</v>
      </c>
      <c r="AK81" s="5" cm="1">
        <f t="array" ref="AK81">IF(AK$8=-1,AL81,IF(AK$8=99,AJ81,IF(AK$8=0,INDEX($E81:$I81,0,AK$6),(INDEX($E81:$I81,0,AK$8+1)-INDEX($E81:$I81,0,AK$8))/(INDEX($D$5:$H$5,0,AK$8+1)-INDEX($D$5:$H$5,0,AK$8))+AJ81)))</f>
        <v>863.94535743263168</v>
      </c>
      <c r="AL81" s="5" cm="1">
        <f t="array" ref="AL81">IF(AL$8=-1,AM81,IF(AL$8=99,AK81,IF(AL$8=0,INDEX($E81:$I81,0,AL$6),(INDEX($E81:$I81,0,AL$8+1)-INDEX($E81:$I81,0,AL$8))/(INDEX($D$5:$H$5,0,AL$8+1)-INDEX($D$5:$H$5,0,AL$8))+AK81)))</f>
        <v>863.94535743263168</v>
      </c>
      <c r="AM81" s="5" cm="1">
        <f t="array" ref="AM81">IF(AM$8=-1,AN81,IF(AM$8=99,AL81,IF(AM$8=0,INDEX($E81:$I81,0,AM$6),(INDEX($E81:$I81,0,AM$8+1)-INDEX($E81:$I81,0,AM$8))/(INDEX($D$5:$H$5,0,AM$8+1)-INDEX($D$5:$H$5,0,AM$8))+AL81)))</f>
        <v>863.94535743263168</v>
      </c>
      <c r="AN81" s="5" cm="1">
        <f t="array" ref="AN81">IF(AN$8=-1,AO81,IF(AN$8=99,AM81,IF(AN$8=0,INDEX($E81:$I81,0,AN$6),(INDEX($E81:$I81,0,AN$8+1)-INDEX($E81:$I81,0,AN$8))/(INDEX($D$5:$H$5,0,AN$8+1)-INDEX($D$5:$H$5,0,AN$8))+AM81)))</f>
        <v>863.94535743263168</v>
      </c>
      <c r="AO81" s="5" cm="1">
        <f t="array" ref="AO81">IF(AO$8=-1,AP81,IF(AO$8=99,AN81,IF(AO$8=0,INDEX($E81:$I81,0,AO$6),(INDEX($E81:$I81,0,AO$8+1)-INDEX($E81:$I81,0,AO$8))/(INDEX($D$5:$H$5,0,AO$8+1)-INDEX($D$5:$H$5,0,AO$8))+AN81)))</f>
        <v>863.94535743263168</v>
      </c>
      <c r="AP81" s="5" cm="1">
        <f t="array" ref="AP81">IF(AP$8=-1,AQ81,IF(AP$8=99,AO81,IF(AP$8=0,INDEX($E81:$I81,0,AP$6),(INDEX($E81:$I81,0,AP$8+1)-INDEX($E81:$I81,0,AP$8))/(INDEX($D$5:$H$5,0,AP$8+1)-INDEX($D$5:$H$5,0,AP$8))+AO81)))</f>
        <v>863.94535743263168</v>
      </c>
      <c r="AQ81" s="5" cm="1">
        <f t="array" ref="AQ81">IF(AQ$8=-1,AR81,IF(AQ$8=99,AP81,IF(AQ$8=0,INDEX($E81:$I81,0,AQ$6),(INDEX($E81:$I81,0,AQ$8+1)-INDEX($E81:$I81,0,AQ$8))/(INDEX($D$5:$H$5,0,AQ$8+1)-INDEX($D$5:$H$5,0,AQ$8))+AP81)))</f>
        <v>863.94535743263168</v>
      </c>
      <c r="AR81" s="5" cm="1">
        <f t="array" ref="AR81">IF(AR$8=-1,AS81,IF(AR$8=99,AQ81,IF(AR$8=0,INDEX($E81:$I81,0,AR$6),(INDEX($E81:$I81,0,AR$8+1)-INDEX($E81:$I81,0,AR$8))/(INDEX($D$5:$H$5,0,AR$8+1)-INDEX($D$5:$H$5,0,AR$8))+AQ81)))</f>
        <v>863.94535743263168</v>
      </c>
      <c r="AS81" s="5" cm="1">
        <f t="array" ref="AS81">IF(AS$8=-1,AT81,IF(AS$8=99,AR81,IF(AS$8=0,INDEX($E81:$I81,0,AS$6),(INDEX($E81:$I81,0,AS$8+1)-INDEX($E81:$I81,0,AS$8))/(INDEX($D$5:$H$5,0,AS$8+1)-INDEX($D$5:$H$5,0,AS$8))+AR81)))</f>
        <v>863.94535743263168</v>
      </c>
      <c r="AT81" s="5" cm="1">
        <f t="array" ref="AT81">IF(AT$8=-1,AU81,IF(AT$8=99,AS81,IF(AT$8=0,INDEX($E81:$I81,0,AT$6),(INDEX($E81:$I81,0,AT$8+1)-INDEX($E81:$I81,0,AT$8))/(INDEX($D$5:$H$5,0,AT$8+1)-INDEX($D$5:$H$5,0,AT$8))+AS81)))</f>
        <v>863.94535743263168</v>
      </c>
      <c r="AU81" s="5" cm="1">
        <f t="array" ref="AU81">IF(AU$8=-1,AV81,IF(AU$8=99,AT81,IF(AU$8=0,INDEX($E81:$I81,0,AU$6),(INDEX($E81:$I81,0,AU$8+1)-INDEX($E81:$I81,0,AU$8))/(INDEX($D$5:$H$5,0,AU$8+1)-INDEX($D$5:$H$5,0,AU$8))+AT81)))</f>
        <v>863.94535743263168</v>
      </c>
      <c r="AV81" s="5" cm="1">
        <f t="array" ref="AV81">IF(AV$8=-1,AW81,IF(AV$8=99,AU81,IF(AV$8=0,INDEX($E81:$I81,0,AV$6),(INDEX($E81:$I81,0,AV$8+1)-INDEX($E81:$I81,0,AV$8))/(INDEX($D$5:$H$5,0,AV$8+1)-INDEX($D$5:$H$5,0,AV$8))+AU81)))</f>
        <v>863.94535743263168</v>
      </c>
    </row>
    <row r="82" spans="1:48">
      <c r="A82" t="s">
        <v>16</v>
      </c>
      <c r="B82" s="233" t="s">
        <v>249</v>
      </c>
      <c r="C82" s="75" t="str">
        <f t="shared" si="28"/>
        <v>Commercial - Space Heating</v>
      </c>
      <c r="D82" s="75" t="s">
        <v>75</v>
      </c>
      <c r="E82" s="84">
        <f t="shared" ref="E82:F89" si="31">E71</f>
        <v>59.117764859369188</v>
      </c>
      <c r="F82" s="92">
        <f t="shared" si="31"/>
        <v>82.391305130342559</v>
      </c>
      <c r="G82" s="92">
        <f t="shared" si="29"/>
        <v>82.391305130342559</v>
      </c>
      <c r="H82" s="92">
        <f t="shared" ref="H82:H89" si="32">IF($L$57=-1,G82,((F82-E82)*2/5+E82)*(1+$H$69))</f>
        <v>82.391305130342559</v>
      </c>
      <c r="I82" s="136">
        <f t="shared" si="30"/>
        <v>82.391305130342559</v>
      </c>
      <c r="J82" s="5" cm="1">
        <f t="array" ref="J82">IF(J$8=-1,K82,IF(J$8=99,I82,IF(J$8=0,INDEX($E82:$I82,0,J$6),(INDEX($E82:$I82,0,J$8+1)-INDEX($E82:$I82,0,J$8))/(INDEX($D$5:$H$5,0,J$8+1)-INDEX($D$5:$H$5,0,J$8))+I82)))</f>
        <v>59.117764859369188</v>
      </c>
      <c r="K82" s="5" cm="1">
        <f t="array" ref="K82">IF(K$8=-1,L82,IF(K$8=99,J82,IF(K$8=0,INDEX($E82:$I82,0,K$6),(INDEX($E82:$I82,0,K$8+1)-INDEX($E82:$I82,0,K$8))/(INDEX($D$5:$H$5,0,K$8+1)-INDEX($D$5:$H$5,0,K$8))+J82)))</f>
        <v>63.77247291356386</v>
      </c>
      <c r="L82" s="5" cm="1">
        <f t="array" ref="L82">IF(L$8=-1,M82,IF(L$8=99,K82,IF(L$8=0,INDEX($E82:$I82,0,L$6),(INDEX($E82:$I82,0,L$8+1)-INDEX($E82:$I82,0,L$8))/(INDEX($D$5:$H$5,0,L$8+1)-INDEX($D$5:$H$5,0,L$8))+K82)))</f>
        <v>68.427180967758531</v>
      </c>
      <c r="M82" s="5" cm="1">
        <f t="array" ref="M82">IF(M$8=-1,N82,IF(M$8=99,L82,IF(M$8=0,INDEX($E82:$I82,0,M$6),(INDEX($E82:$I82,0,M$8+1)-INDEX($E82:$I82,0,M$8))/(INDEX($D$5:$H$5,0,M$8+1)-INDEX($D$5:$H$5,0,M$8))+L82)))</f>
        <v>73.081889021953202</v>
      </c>
      <c r="N82" s="5" cm="1">
        <f t="array" ref="N82">IF(N$8=-1,O82,IF(N$8=99,M82,IF(N$8=0,INDEX($E82:$I82,0,N$6),(INDEX($E82:$I82,0,N$8+1)-INDEX($E82:$I82,0,N$8))/(INDEX($D$5:$H$5,0,N$8+1)-INDEX($D$5:$H$5,0,N$8))+M82)))</f>
        <v>77.736597076147874</v>
      </c>
      <c r="O82" s="5" cm="1">
        <f t="array" ref="O82">IF(O$8=-1,P82,IF(O$8=99,N82,IF(O$8=0,INDEX($E82:$I82,0,O$6),(INDEX($E82:$I82,0,O$8+1)-INDEX($E82:$I82,0,O$8))/(INDEX($D$5:$H$5,0,O$8+1)-INDEX($D$5:$H$5,0,O$8))+N82)))</f>
        <v>82.391305130342559</v>
      </c>
      <c r="P82" s="5" cm="1">
        <f t="array" ref="P82">IF(P$8=-1,Q82,IF(P$8=99,O82,IF(P$8=0,INDEX($E82:$I82,0,P$6),(INDEX($E82:$I82,0,P$8+1)-INDEX($E82:$I82,0,P$8))/(INDEX($D$5:$H$5,0,P$8+1)-INDEX($D$5:$H$5,0,P$8))+O82)))</f>
        <v>82.391305130342559</v>
      </c>
      <c r="Q82" s="5" cm="1">
        <f t="array" ref="Q82">IF(Q$8=-1,R82,IF(Q$8=99,P82,IF(Q$8=0,INDEX($E82:$I82,0,Q$6),(INDEX($E82:$I82,0,Q$8+1)-INDEX($E82:$I82,0,Q$8))/(INDEX($D$5:$H$5,0,Q$8+1)-INDEX($D$5:$H$5,0,Q$8))+P82)))</f>
        <v>82.391305130342559</v>
      </c>
      <c r="R82" s="5" cm="1">
        <f t="array" ref="R82">IF(R$8=-1,S82,IF(R$8=99,Q82,IF(R$8=0,INDEX($E82:$I82,0,R$6),(INDEX($E82:$I82,0,R$8+1)-INDEX($E82:$I82,0,R$8))/(INDEX($D$5:$H$5,0,R$8+1)-INDEX($D$5:$H$5,0,R$8))+Q82)))</f>
        <v>82.391305130342559</v>
      </c>
      <c r="S82" s="5" cm="1">
        <f t="array" ref="S82">IF(S$8=-1,T82,IF(S$8=99,R82,IF(S$8=0,INDEX($E82:$I82,0,S$6),(INDEX($E82:$I82,0,S$8+1)-INDEX($E82:$I82,0,S$8))/(INDEX($D$5:$H$5,0,S$8+1)-INDEX($D$5:$H$5,0,S$8))+R82)))</f>
        <v>82.391305130342559</v>
      </c>
      <c r="T82" s="5" cm="1">
        <f t="array" ref="T82">IF(T$8=-1,U82,IF(T$8=99,S82,IF(T$8=0,INDEX($E82:$I82,0,T$6),(INDEX($E82:$I82,0,T$8+1)-INDEX($E82:$I82,0,T$8))/(INDEX($D$5:$H$5,0,T$8+1)-INDEX($D$5:$H$5,0,T$8))+S82)))</f>
        <v>82.391305130342559</v>
      </c>
      <c r="U82" s="5" cm="1">
        <f t="array" ref="U82">IF(U$8=-1,V82,IF(U$8=99,T82,IF(U$8=0,INDEX($E82:$I82,0,U$6),(INDEX($E82:$I82,0,U$8+1)-INDEX($E82:$I82,0,U$8))/(INDEX($D$5:$H$5,0,U$8+1)-INDEX($D$5:$H$5,0,U$8))+T82)))</f>
        <v>82.391305130342559</v>
      </c>
      <c r="V82" s="5" cm="1">
        <f t="array" ref="V82">IF(V$8=-1,W82,IF(V$8=99,U82,IF(V$8=0,INDEX($E82:$I82,0,V$6),(INDEX($E82:$I82,0,V$8+1)-INDEX($E82:$I82,0,V$8))/(INDEX($D$5:$H$5,0,V$8+1)-INDEX($D$5:$H$5,0,V$8))+U82)))</f>
        <v>82.391305130342559</v>
      </c>
      <c r="W82" s="5" cm="1">
        <f t="array" ref="W82">IF(W$8=-1,X82,IF(W$8=99,V82,IF(W$8=0,INDEX($E82:$I82,0,W$6),(INDEX($E82:$I82,0,W$8+1)-INDEX($E82:$I82,0,W$8))/(INDEX($D$5:$H$5,0,W$8+1)-INDEX($D$5:$H$5,0,W$8))+V82)))</f>
        <v>82.391305130342559</v>
      </c>
      <c r="X82" s="5" cm="1">
        <f t="array" ref="X82">IF(X$8=-1,Y82,IF(X$8=99,W82,IF(X$8=0,INDEX($E82:$I82,0,X$6),(INDEX($E82:$I82,0,X$8+1)-INDEX($E82:$I82,0,X$8))/(INDEX($D$5:$H$5,0,X$8+1)-INDEX($D$5:$H$5,0,X$8))+W82)))</f>
        <v>82.391305130342559</v>
      </c>
      <c r="Y82" s="5" cm="1">
        <f t="array" ref="Y82">IF(Y$8=-1,Z82,IF(Y$8=99,X82,IF(Y$8=0,INDEX($E82:$I82,0,Y$6),(INDEX($E82:$I82,0,Y$8+1)-INDEX($E82:$I82,0,Y$8))/(INDEX($D$5:$H$5,0,Y$8+1)-INDEX($D$5:$H$5,0,Y$8))+X82)))</f>
        <v>82.391305130342559</v>
      </c>
      <c r="Z82" s="5" cm="1">
        <f t="array" ref="Z82">IF(Z$8=-1,AA82,IF(Z$8=99,Y82,IF(Z$8=0,INDEX($E82:$I82,0,Z$6),(INDEX($E82:$I82,0,Z$8+1)-INDEX($E82:$I82,0,Z$8))/(INDEX($D$5:$H$5,0,Z$8+1)-INDEX($D$5:$H$5,0,Z$8))+Y82)))</f>
        <v>82.391305130342559</v>
      </c>
      <c r="AA82" s="5" cm="1">
        <f t="array" ref="AA82">IF(AA$8=-1,AB82,IF(AA$8=99,Z82,IF(AA$8=0,INDEX($E82:$I82,0,AA$6),(INDEX($E82:$I82,0,AA$8+1)-INDEX($E82:$I82,0,AA$8))/(INDEX($D$5:$H$5,0,AA$8+1)-INDEX($D$5:$H$5,0,AA$8))+Z82)))</f>
        <v>82.391305130342559</v>
      </c>
      <c r="AB82" s="5" cm="1">
        <f t="array" ref="AB82">IF(AB$8=-1,AC82,IF(AB$8=99,AA82,IF(AB$8=0,INDEX($E82:$I82,0,AB$6),(INDEX($E82:$I82,0,AB$8+1)-INDEX($E82:$I82,0,AB$8))/(INDEX($D$5:$H$5,0,AB$8+1)-INDEX($D$5:$H$5,0,AB$8))+AA82)))</f>
        <v>82.391305130342559</v>
      </c>
      <c r="AC82" s="5" cm="1">
        <f t="array" ref="AC82">IF(AC$8=-1,AD82,IF(AC$8=99,AB82,IF(AC$8=0,INDEX($E82:$I82,0,AC$6),(INDEX($E82:$I82,0,AC$8+1)-INDEX($E82:$I82,0,AC$8))/(INDEX($D$5:$H$5,0,AC$8+1)-INDEX($D$5:$H$5,0,AC$8))+AB82)))</f>
        <v>82.391305130342559</v>
      </c>
      <c r="AD82" s="5" cm="1">
        <f t="array" ref="AD82">IF(AD$8=-1,AE82,IF(AD$8=99,AC82,IF(AD$8=0,INDEX($E82:$I82,0,AD$6),(INDEX($E82:$I82,0,AD$8+1)-INDEX($E82:$I82,0,AD$8))/(INDEX($D$5:$H$5,0,AD$8+1)-INDEX($D$5:$H$5,0,AD$8))+AC82)))</f>
        <v>82.391305130342559</v>
      </c>
      <c r="AE82" s="5" cm="1">
        <f t="array" ref="AE82">IF(AE$8=-1,AF82,IF(AE$8=99,AD82,IF(AE$8=0,INDEX($E82:$I82,0,AE$6),(INDEX($E82:$I82,0,AE$8+1)-INDEX($E82:$I82,0,AE$8))/(INDEX($D$5:$H$5,0,AE$8+1)-INDEX($D$5:$H$5,0,AE$8))+AD82)))</f>
        <v>82.391305130342559</v>
      </c>
      <c r="AF82" s="5" cm="1">
        <f t="array" ref="AF82">IF(AF$8=-1,AG82,IF(AF$8=99,AE82,IF(AF$8=0,INDEX($E82:$I82,0,AF$6),(INDEX($E82:$I82,0,AF$8+1)-INDEX($E82:$I82,0,AF$8))/(INDEX($D$5:$H$5,0,AF$8+1)-INDEX($D$5:$H$5,0,AF$8))+AE82)))</f>
        <v>82.391305130342559</v>
      </c>
      <c r="AG82" s="5" cm="1">
        <f t="array" ref="AG82">IF(AG$8=-1,AH82,IF(AG$8=99,AF82,IF(AG$8=0,INDEX($E82:$I82,0,AG$6),(INDEX($E82:$I82,0,AG$8+1)-INDEX($E82:$I82,0,AG$8))/(INDEX($D$5:$H$5,0,AG$8+1)-INDEX($D$5:$H$5,0,AG$8))+AF82)))</f>
        <v>82.391305130342559</v>
      </c>
      <c r="AH82" s="5" cm="1">
        <f t="array" ref="AH82">IF(AH$8=-1,AI82,IF(AH$8=99,AG82,IF(AH$8=0,INDEX($E82:$I82,0,AH$6),(INDEX($E82:$I82,0,AH$8+1)-INDEX($E82:$I82,0,AH$8))/(INDEX($D$5:$H$5,0,AH$8+1)-INDEX($D$5:$H$5,0,AH$8))+AG82)))</f>
        <v>82.391305130342559</v>
      </c>
      <c r="AI82" s="5" cm="1">
        <f t="array" ref="AI82">IF(AI$8=-1,AJ82,IF(AI$8=99,AH82,IF(AI$8=0,INDEX($E82:$I82,0,AI$6),(INDEX($E82:$I82,0,AI$8+1)-INDEX($E82:$I82,0,AI$8))/(INDEX($D$5:$H$5,0,AI$8+1)-INDEX($D$5:$H$5,0,AI$8))+AH82)))</f>
        <v>82.391305130342559</v>
      </c>
      <c r="AJ82" s="5" cm="1">
        <f t="array" ref="AJ82">IF(AJ$8=-1,AK82,IF(AJ$8=99,AI82,IF(AJ$8=0,INDEX($E82:$I82,0,AJ$6),(INDEX($E82:$I82,0,AJ$8+1)-INDEX($E82:$I82,0,AJ$8))/(INDEX($D$5:$H$5,0,AJ$8+1)-INDEX($D$5:$H$5,0,AJ$8))+AI82)))</f>
        <v>82.391305130342559</v>
      </c>
      <c r="AK82" s="5" cm="1">
        <f t="array" ref="AK82">IF(AK$8=-1,AL82,IF(AK$8=99,AJ82,IF(AK$8=0,INDEX($E82:$I82,0,AK$6),(INDEX($E82:$I82,0,AK$8+1)-INDEX($E82:$I82,0,AK$8))/(INDEX($D$5:$H$5,0,AK$8+1)-INDEX($D$5:$H$5,0,AK$8))+AJ82)))</f>
        <v>82.391305130342559</v>
      </c>
      <c r="AL82" s="5" cm="1">
        <f t="array" ref="AL82">IF(AL$8=-1,AM82,IF(AL$8=99,AK82,IF(AL$8=0,INDEX($E82:$I82,0,AL$6),(INDEX($E82:$I82,0,AL$8+1)-INDEX($E82:$I82,0,AL$8))/(INDEX($D$5:$H$5,0,AL$8+1)-INDEX($D$5:$H$5,0,AL$8))+AK82)))</f>
        <v>82.391305130342559</v>
      </c>
      <c r="AM82" s="5" cm="1">
        <f t="array" ref="AM82">IF(AM$8=-1,AN82,IF(AM$8=99,AL82,IF(AM$8=0,INDEX($E82:$I82,0,AM$6),(INDEX($E82:$I82,0,AM$8+1)-INDEX($E82:$I82,0,AM$8))/(INDEX($D$5:$H$5,0,AM$8+1)-INDEX($D$5:$H$5,0,AM$8))+AL82)))</f>
        <v>82.391305130342559</v>
      </c>
      <c r="AN82" s="5" cm="1">
        <f t="array" ref="AN82">IF(AN$8=-1,AO82,IF(AN$8=99,AM82,IF(AN$8=0,INDEX($E82:$I82,0,AN$6),(INDEX($E82:$I82,0,AN$8+1)-INDEX($E82:$I82,0,AN$8))/(INDEX($D$5:$H$5,0,AN$8+1)-INDEX($D$5:$H$5,0,AN$8))+AM82)))</f>
        <v>82.391305130342559</v>
      </c>
      <c r="AO82" s="5" cm="1">
        <f t="array" ref="AO82">IF(AO$8=-1,AP82,IF(AO$8=99,AN82,IF(AO$8=0,INDEX($E82:$I82,0,AO$6),(INDEX($E82:$I82,0,AO$8+1)-INDEX($E82:$I82,0,AO$8))/(INDEX($D$5:$H$5,0,AO$8+1)-INDEX($D$5:$H$5,0,AO$8))+AN82)))</f>
        <v>82.391305130342559</v>
      </c>
      <c r="AP82" s="5" cm="1">
        <f t="array" ref="AP82">IF(AP$8=-1,AQ82,IF(AP$8=99,AO82,IF(AP$8=0,INDEX($E82:$I82,0,AP$6),(INDEX($E82:$I82,0,AP$8+1)-INDEX($E82:$I82,0,AP$8))/(INDEX($D$5:$H$5,0,AP$8+1)-INDEX($D$5:$H$5,0,AP$8))+AO82)))</f>
        <v>82.391305130342559</v>
      </c>
      <c r="AQ82" s="5" cm="1">
        <f t="array" ref="AQ82">IF(AQ$8=-1,AR82,IF(AQ$8=99,AP82,IF(AQ$8=0,INDEX($E82:$I82,0,AQ$6),(INDEX($E82:$I82,0,AQ$8+1)-INDEX($E82:$I82,0,AQ$8))/(INDEX($D$5:$H$5,0,AQ$8+1)-INDEX($D$5:$H$5,0,AQ$8))+AP82)))</f>
        <v>82.391305130342559</v>
      </c>
      <c r="AR82" s="5" cm="1">
        <f t="array" ref="AR82">IF(AR$8=-1,AS82,IF(AR$8=99,AQ82,IF(AR$8=0,INDEX($E82:$I82,0,AR$6),(INDEX($E82:$I82,0,AR$8+1)-INDEX($E82:$I82,0,AR$8))/(INDEX($D$5:$H$5,0,AR$8+1)-INDEX($D$5:$H$5,0,AR$8))+AQ82)))</f>
        <v>82.391305130342559</v>
      </c>
      <c r="AS82" s="5" cm="1">
        <f t="array" ref="AS82">IF(AS$8=-1,AT82,IF(AS$8=99,AR82,IF(AS$8=0,INDEX($E82:$I82,0,AS$6),(INDEX($E82:$I82,0,AS$8+1)-INDEX($E82:$I82,0,AS$8))/(INDEX($D$5:$H$5,0,AS$8+1)-INDEX($D$5:$H$5,0,AS$8))+AR82)))</f>
        <v>82.391305130342559</v>
      </c>
      <c r="AT82" s="5" cm="1">
        <f t="array" ref="AT82">IF(AT$8=-1,AU82,IF(AT$8=99,AS82,IF(AT$8=0,INDEX($E82:$I82,0,AT$6),(INDEX($E82:$I82,0,AT$8+1)-INDEX($E82:$I82,0,AT$8))/(INDEX($D$5:$H$5,0,AT$8+1)-INDEX($D$5:$H$5,0,AT$8))+AS82)))</f>
        <v>82.391305130342559</v>
      </c>
      <c r="AU82" s="5" cm="1">
        <f t="array" ref="AU82">IF(AU$8=-1,AV82,IF(AU$8=99,AT82,IF(AU$8=0,INDEX($E82:$I82,0,AU$6),(INDEX($E82:$I82,0,AU$8+1)-INDEX($E82:$I82,0,AU$8))/(INDEX($D$5:$H$5,0,AU$8+1)-INDEX($D$5:$H$5,0,AU$8))+AT82)))</f>
        <v>82.391305130342559</v>
      </c>
      <c r="AV82" s="5" cm="1">
        <f t="array" ref="AV82">IF(AV$8=-1,AW82,IF(AV$8=99,AU82,IF(AV$8=0,INDEX($E82:$I82,0,AV$6),(INDEX($E82:$I82,0,AV$8+1)-INDEX($E82:$I82,0,AV$8))/(INDEX($D$5:$H$5,0,AV$8+1)-INDEX($D$5:$H$5,0,AV$8))+AU82)))</f>
        <v>82.391305130342559</v>
      </c>
    </row>
    <row r="83" spans="1:48">
      <c r="A83" t="s">
        <v>16</v>
      </c>
      <c r="B83" s="233" t="s">
        <v>250</v>
      </c>
      <c r="C83" s="75" t="str">
        <f t="shared" si="28"/>
        <v>Commercial - Cooking</v>
      </c>
      <c r="D83" s="75" t="s">
        <v>75</v>
      </c>
      <c r="E83" s="84">
        <f t="shared" si="31"/>
        <v>74.498085701673531</v>
      </c>
      <c r="F83" s="92">
        <f t="shared" si="31"/>
        <v>59.276589186426349</v>
      </c>
      <c r="G83" s="92">
        <f t="shared" si="29"/>
        <v>59.276589186426349</v>
      </c>
      <c r="H83" s="92">
        <f t="shared" si="32"/>
        <v>59.276589186426349</v>
      </c>
      <c r="I83" s="136">
        <f t="shared" si="30"/>
        <v>59.276589186426349</v>
      </c>
      <c r="J83" s="5" cm="1">
        <f t="array" ref="J83">IF(J$8=-1,K83,IF(J$8=99,I83,IF(J$8=0,INDEX($E83:$I83,0,J$6),(INDEX($E83:$I83,0,J$8+1)-INDEX($E83:$I83,0,J$8))/(INDEX($D$5:$H$5,0,J$8+1)-INDEX($D$5:$H$5,0,J$8))+I83)))</f>
        <v>74.498085701673531</v>
      </c>
      <c r="K83" s="5" cm="1">
        <f t="array" ref="K83">IF(K$8=-1,L83,IF(K$8=99,J83,IF(K$8=0,INDEX($E83:$I83,0,K$6),(INDEX($E83:$I83,0,K$8+1)-INDEX($E83:$I83,0,K$8))/(INDEX($D$5:$H$5,0,K$8+1)-INDEX($D$5:$H$5,0,K$8))+J83)))</f>
        <v>71.453786398624089</v>
      </c>
      <c r="L83" s="5" cm="1">
        <f t="array" ref="L83">IF(L$8=-1,M83,IF(L$8=99,K83,IF(L$8=0,INDEX($E83:$I83,0,L$6),(INDEX($E83:$I83,0,L$8+1)-INDEX($E83:$I83,0,L$8))/(INDEX($D$5:$H$5,0,L$8+1)-INDEX($D$5:$H$5,0,L$8))+K83)))</f>
        <v>68.409487095574647</v>
      </c>
      <c r="M83" s="5" cm="1">
        <f t="array" ref="M83">IF(M$8=-1,N83,IF(M$8=99,L83,IF(M$8=0,INDEX($E83:$I83,0,M$6),(INDEX($E83:$I83,0,M$8+1)-INDEX($E83:$I83,0,M$8))/(INDEX($D$5:$H$5,0,M$8+1)-INDEX($D$5:$H$5,0,M$8))+L83)))</f>
        <v>65.365187792525205</v>
      </c>
      <c r="N83" s="5" cm="1">
        <f t="array" ref="N83">IF(N$8=-1,O83,IF(N$8=99,M83,IF(N$8=0,INDEX($E83:$I83,0,N$6),(INDEX($E83:$I83,0,N$8+1)-INDEX($E83:$I83,0,N$8))/(INDEX($D$5:$H$5,0,N$8+1)-INDEX($D$5:$H$5,0,N$8))+M83)))</f>
        <v>62.32088848947577</v>
      </c>
      <c r="O83" s="5" cm="1">
        <f t="array" ref="O83">IF(O$8=-1,P83,IF(O$8=99,N83,IF(O$8=0,INDEX($E83:$I83,0,O$6),(INDEX($E83:$I83,0,O$8+1)-INDEX($E83:$I83,0,O$8))/(INDEX($D$5:$H$5,0,O$8+1)-INDEX($D$5:$H$5,0,O$8))+N83)))</f>
        <v>59.276589186426349</v>
      </c>
      <c r="P83" s="5" cm="1">
        <f t="array" ref="P83">IF(P$8=-1,Q83,IF(P$8=99,O83,IF(P$8=0,INDEX($E83:$I83,0,P$6),(INDEX($E83:$I83,0,P$8+1)-INDEX($E83:$I83,0,P$8))/(INDEX($D$5:$H$5,0,P$8+1)-INDEX($D$5:$H$5,0,P$8))+O83)))</f>
        <v>59.276589186426349</v>
      </c>
      <c r="Q83" s="5" cm="1">
        <f t="array" ref="Q83">IF(Q$8=-1,R83,IF(Q$8=99,P83,IF(Q$8=0,INDEX($E83:$I83,0,Q$6),(INDEX($E83:$I83,0,Q$8+1)-INDEX($E83:$I83,0,Q$8))/(INDEX($D$5:$H$5,0,Q$8+1)-INDEX($D$5:$H$5,0,Q$8))+P83)))</f>
        <v>59.276589186426349</v>
      </c>
      <c r="R83" s="5" cm="1">
        <f t="array" ref="R83">IF(R$8=-1,S83,IF(R$8=99,Q83,IF(R$8=0,INDEX($E83:$I83,0,R$6),(INDEX($E83:$I83,0,R$8+1)-INDEX($E83:$I83,0,R$8))/(INDEX($D$5:$H$5,0,R$8+1)-INDEX($D$5:$H$5,0,R$8))+Q83)))</f>
        <v>59.276589186426349</v>
      </c>
      <c r="S83" s="5" cm="1">
        <f t="array" ref="S83">IF(S$8=-1,T83,IF(S$8=99,R83,IF(S$8=0,INDEX($E83:$I83,0,S$6),(INDEX($E83:$I83,0,S$8+1)-INDEX($E83:$I83,0,S$8))/(INDEX($D$5:$H$5,0,S$8+1)-INDEX($D$5:$H$5,0,S$8))+R83)))</f>
        <v>59.276589186426349</v>
      </c>
      <c r="T83" s="5" cm="1">
        <f t="array" ref="T83">IF(T$8=-1,U83,IF(T$8=99,S83,IF(T$8=0,INDEX($E83:$I83,0,T$6),(INDEX($E83:$I83,0,T$8+1)-INDEX($E83:$I83,0,T$8))/(INDEX($D$5:$H$5,0,T$8+1)-INDEX($D$5:$H$5,0,T$8))+S83)))</f>
        <v>59.276589186426349</v>
      </c>
      <c r="U83" s="5" cm="1">
        <f t="array" ref="U83">IF(U$8=-1,V83,IF(U$8=99,T83,IF(U$8=0,INDEX($E83:$I83,0,U$6),(INDEX($E83:$I83,0,U$8+1)-INDEX($E83:$I83,0,U$8))/(INDEX($D$5:$H$5,0,U$8+1)-INDEX($D$5:$H$5,0,U$8))+T83)))</f>
        <v>59.276589186426349</v>
      </c>
      <c r="V83" s="5" cm="1">
        <f t="array" ref="V83">IF(V$8=-1,W83,IF(V$8=99,U83,IF(V$8=0,INDEX($E83:$I83,0,V$6),(INDEX($E83:$I83,0,V$8+1)-INDEX($E83:$I83,0,V$8))/(INDEX($D$5:$H$5,0,V$8+1)-INDEX($D$5:$H$5,0,V$8))+U83)))</f>
        <v>59.276589186426349</v>
      </c>
      <c r="W83" s="5" cm="1">
        <f t="array" ref="W83">IF(W$8=-1,X83,IF(W$8=99,V83,IF(W$8=0,INDEX($E83:$I83,0,W$6),(INDEX($E83:$I83,0,W$8+1)-INDEX($E83:$I83,0,W$8))/(INDEX($D$5:$H$5,0,W$8+1)-INDEX($D$5:$H$5,0,W$8))+V83)))</f>
        <v>59.276589186426349</v>
      </c>
      <c r="X83" s="5" cm="1">
        <f t="array" ref="X83">IF(X$8=-1,Y83,IF(X$8=99,W83,IF(X$8=0,INDEX($E83:$I83,0,X$6),(INDEX($E83:$I83,0,X$8+1)-INDEX($E83:$I83,0,X$8))/(INDEX($D$5:$H$5,0,X$8+1)-INDEX($D$5:$H$5,0,X$8))+W83)))</f>
        <v>59.276589186426349</v>
      </c>
      <c r="Y83" s="5" cm="1">
        <f t="array" ref="Y83">IF(Y$8=-1,Z83,IF(Y$8=99,X83,IF(Y$8=0,INDEX($E83:$I83,0,Y$6),(INDEX($E83:$I83,0,Y$8+1)-INDEX($E83:$I83,0,Y$8))/(INDEX($D$5:$H$5,0,Y$8+1)-INDEX($D$5:$H$5,0,Y$8))+X83)))</f>
        <v>59.276589186426349</v>
      </c>
      <c r="Z83" s="5" cm="1">
        <f t="array" ref="Z83">IF(Z$8=-1,AA83,IF(Z$8=99,Y83,IF(Z$8=0,INDEX($E83:$I83,0,Z$6),(INDEX($E83:$I83,0,Z$8+1)-INDEX($E83:$I83,0,Z$8))/(INDEX($D$5:$H$5,0,Z$8+1)-INDEX($D$5:$H$5,0,Z$8))+Y83)))</f>
        <v>59.276589186426349</v>
      </c>
      <c r="AA83" s="5" cm="1">
        <f t="array" ref="AA83">IF(AA$8=-1,AB83,IF(AA$8=99,Z83,IF(AA$8=0,INDEX($E83:$I83,0,AA$6),(INDEX($E83:$I83,0,AA$8+1)-INDEX($E83:$I83,0,AA$8))/(INDEX($D$5:$H$5,0,AA$8+1)-INDEX($D$5:$H$5,0,AA$8))+Z83)))</f>
        <v>59.276589186426349</v>
      </c>
      <c r="AB83" s="5" cm="1">
        <f t="array" ref="AB83">IF(AB$8=-1,AC83,IF(AB$8=99,AA83,IF(AB$8=0,INDEX($E83:$I83,0,AB$6),(INDEX($E83:$I83,0,AB$8+1)-INDEX($E83:$I83,0,AB$8))/(INDEX($D$5:$H$5,0,AB$8+1)-INDEX($D$5:$H$5,0,AB$8))+AA83)))</f>
        <v>59.276589186426349</v>
      </c>
      <c r="AC83" s="5" cm="1">
        <f t="array" ref="AC83">IF(AC$8=-1,AD83,IF(AC$8=99,AB83,IF(AC$8=0,INDEX($E83:$I83,0,AC$6),(INDEX($E83:$I83,0,AC$8+1)-INDEX($E83:$I83,0,AC$8))/(INDEX($D$5:$H$5,0,AC$8+1)-INDEX($D$5:$H$5,0,AC$8))+AB83)))</f>
        <v>59.276589186426349</v>
      </c>
      <c r="AD83" s="5" cm="1">
        <f t="array" ref="AD83">IF(AD$8=-1,AE83,IF(AD$8=99,AC83,IF(AD$8=0,INDEX($E83:$I83,0,AD$6),(INDEX($E83:$I83,0,AD$8+1)-INDEX($E83:$I83,0,AD$8))/(INDEX($D$5:$H$5,0,AD$8+1)-INDEX($D$5:$H$5,0,AD$8))+AC83)))</f>
        <v>59.276589186426349</v>
      </c>
      <c r="AE83" s="5" cm="1">
        <f t="array" ref="AE83">IF(AE$8=-1,AF83,IF(AE$8=99,AD83,IF(AE$8=0,INDEX($E83:$I83,0,AE$6),(INDEX($E83:$I83,0,AE$8+1)-INDEX($E83:$I83,0,AE$8))/(INDEX($D$5:$H$5,0,AE$8+1)-INDEX($D$5:$H$5,0,AE$8))+AD83)))</f>
        <v>59.276589186426349</v>
      </c>
      <c r="AF83" s="5" cm="1">
        <f t="array" ref="AF83">IF(AF$8=-1,AG83,IF(AF$8=99,AE83,IF(AF$8=0,INDEX($E83:$I83,0,AF$6),(INDEX($E83:$I83,0,AF$8+1)-INDEX($E83:$I83,0,AF$8))/(INDEX($D$5:$H$5,0,AF$8+1)-INDEX($D$5:$H$5,0,AF$8))+AE83)))</f>
        <v>59.276589186426349</v>
      </c>
      <c r="AG83" s="5" cm="1">
        <f t="array" ref="AG83">IF(AG$8=-1,AH83,IF(AG$8=99,AF83,IF(AG$8=0,INDEX($E83:$I83,0,AG$6),(INDEX($E83:$I83,0,AG$8+1)-INDEX($E83:$I83,0,AG$8))/(INDEX($D$5:$H$5,0,AG$8+1)-INDEX($D$5:$H$5,0,AG$8))+AF83)))</f>
        <v>59.276589186426349</v>
      </c>
      <c r="AH83" s="5" cm="1">
        <f t="array" ref="AH83">IF(AH$8=-1,AI83,IF(AH$8=99,AG83,IF(AH$8=0,INDEX($E83:$I83,0,AH$6),(INDEX($E83:$I83,0,AH$8+1)-INDEX($E83:$I83,0,AH$8))/(INDEX($D$5:$H$5,0,AH$8+1)-INDEX($D$5:$H$5,0,AH$8))+AG83)))</f>
        <v>59.276589186426349</v>
      </c>
      <c r="AI83" s="5" cm="1">
        <f t="array" ref="AI83">IF(AI$8=-1,AJ83,IF(AI$8=99,AH83,IF(AI$8=0,INDEX($E83:$I83,0,AI$6),(INDEX($E83:$I83,0,AI$8+1)-INDEX($E83:$I83,0,AI$8))/(INDEX($D$5:$H$5,0,AI$8+1)-INDEX($D$5:$H$5,0,AI$8))+AH83)))</f>
        <v>59.276589186426349</v>
      </c>
      <c r="AJ83" s="5" cm="1">
        <f t="array" ref="AJ83">IF(AJ$8=-1,AK83,IF(AJ$8=99,AI83,IF(AJ$8=0,INDEX($E83:$I83,0,AJ$6),(INDEX($E83:$I83,0,AJ$8+1)-INDEX($E83:$I83,0,AJ$8))/(INDEX($D$5:$H$5,0,AJ$8+1)-INDEX($D$5:$H$5,0,AJ$8))+AI83)))</f>
        <v>59.276589186426349</v>
      </c>
      <c r="AK83" s="5" cm="1">
        <f t="array" ref="AK83">IF(AK$8=-1,AL83,IF(AK$8=99,AJ83,IF(AK$8=0,INDEX($E83:$I83,0,AK$6),(INDEX($E83:$I83,0,AK$8+1)-INDEX($E83:$I83,0,AK$8))/(INDEX($D$5:$H$5,0,AK$8+1)-INDEX($D$5:$H$5,0,AK$8))+AJ83)))</f>
        <v>59.276589186426349</v>
      </c>
      <c r="AL83" s="5" cm="1">
        <f t="array" ref="AL83">IF(AL$8=-1,AM83,IF(AL$8=99,AK83,IF(AL$8=0,INDEX($E83:$I83,0,AL$6),(INDEX($E83:$I83,0,AL$8+1)-INDEX($E83:$I83,0,AL$8))/(INDEX($D$5:$H$5,0,AL$8+1)-INDEX($D$5:$H$5,0,AL$8))+AK83)))</f>
        <v>59.276589186426349</v>
      </c>
      <c r="AM83" s="5" cm="1">
        <f t="array" ref="AM83">IF(AM$8=-1,AN83,IF(AM$8=99,AL83,IF(AM$8=0,INDEX($E83:$I83,0,AM$6),(INDEX($E83:$I83,0,AM$8+1)-INDEX($E83:$I83,0,AM$8))/(INDEX($D$5:$H$5,0,AM$8+1)-INDEX($D$5:$H$5,0,AM$8))+AL83)))</f>
        <v>59.276589186426349</v>
      </c>
      <c r="AN83" s="5" cm="1">
        <f t="array" ref="AN83">IF(AN$8=-1,AO83,IF(AN$8=99,AM83,IF(AN$8=0,INDEX($E83:$I83,0,AN$6),(INDEX($E83:$I83,0,AN$8+1)-INDEX($E83:$I83,0,AN$8))/(INDEX($D$5:$H$5,0,AN$8+1)-INDEX($D$5:$H$5,0,AN$8))+AM83)))</f>
        <v>59.276589186426349</v>
      </c>
      <c r="AO83" s="5" cm="1">
        <f t="array" ref="AO83">IF(AO$8=-1,AP83,IF(AO$8=99,AN83,IF(AO$8=0,INDEX($E83:$I83,0,AO$6),(INDEX($E83:$I83,0,AO$8+1)-INDEX($E83:$I83,0,AO$8))/(INDEX($D$5:$H$5,0,AO$8+1)-INDEX($D$5:$H$5,0,AO$8))+AN83)))</f>
        <v>59.276589186426349</v>
      </c>
      <c r="AP83" s="5" cm="1">
        <f t="array" ref="AP83">IF(AP$8=-1,AQ83,IF(AP$8=99,AO83,IF(AP$8=0,INDEX($E83:$I83,0,AP$6),(INDEX($E83:$I83,0,AP$8+1)-INDEX($E83:$I83,0,AP$8))/(INDEX($D$5:$H$5,0,AP$8+1)-INDEX($D$5:$H$5,0,AP$8))+AO83)))</f>
        <v>59.276589186426349</v>
      </c>
      <c r="AQ83" s="5" cm="1">
        <f t="array" ref="AQ83">IF(AQ$8=-1,AR83,IF(AQ$8=99,AP83,IF(AQ$8=0,INDEX($E83:$I83,0,AQ$6),(INDEX($E83:$I83,0,AQ$8+1)-INDEX($E83:$I83,0,AQ$8))/(INDEX($D$5:$H$5,0,AQ$8+1)-INDEX($D$5:$H$5,0,AQ$8))+AP83)))</f>
        <v>59.276589186426349</v>
      </c>
      <c r="AR83" s="5" cm="1">
        <f t="array" ref="AR83">IF(AR$8=-1,AS83,IF(AR$8=99,AQ83,IF(AR$8=0,INDEX($E83:$I83,0,AR$6),(INDEX($E83:$I83,0,AR$8+1)-INDEX($E83:$I83,0,AR$8))/(INDEX($D$5:$H$5,0,AR$8+1)-INDEX($D$5:$H$5,0,AR$8))+AQ83)))</f>
        <v>59.276589186426349</v>
      </c>
      <c r="AS83" s="5" cm="1">
        <f t="array" ref="AS83">IF(AS$8=-1,AT83,IF(AS$8=99,AR83,IF(AS$8=0,INDEX($E83:$I83,0,AS$6),(INDEX($E83:$I83,0,AS$8+1)-INDEX($E83:$I83,0,AS$8))/(INDEX($D$5:$H$5,0,AS$8+1)-INDEX($D$5:$H$5,0,AS$8))+AR83)))</f>
        <v>59.276589186426349</v>
      </c>
      <c r="AT83" s="5" cm="1">
        <f t="array" ref="AT83">IF(AT$8=-1,AU83,IF(AT$8=99,AS83,IF(AT$8=0,INDEX($E83:$I83,0,AT$6),(INDEX($E83:$I83,0,AT$8+1)-INDEX($E83:$I83,0,AT$8))/(INDEX($D$5:$H$5,0,AT$8+1)-INDEX($D$5:$H$5,0,AT$8))+AS83)))</f>
        <v>59.276589186426349</v>
      </c>
      <c r="AU83" s="5" cm="1">
        <f t="array" ref="AU83">IF(AU$8=-1,AV83,IF(AU$8=99,AT83,IF(AU$8=0,INDEX($E83:$I83,0,AU$6),(INDEX($E83:$I83,0,AU$8+1)-INDEX($E83:$I83,0,AU$8))/(INDEX($D$5:$H$5,0,AU$8+1)-INDEX($D$5:$H$5,0,AU$8))+AT83)))</f>
        <v>59.276589186426349</v>
      </c>
      <c r="AV83" s="5" cm="1">
        <f t="array" ref="AV83">IF(AV$8=-1,AW83,IF(AV$8=99,AU83,IF(AV$8=0,INDEX($E83:$I83,0,AV$6),(INDEX($E83:$I83,0,AV$8+1)-INDEX($E83:$I83,0,AV$8))/(INDEX($D$5:$H$5,0,AV$8+1)-INDEX($D$5:$H$5,0,AV$8))+AU83)))</f>
        <v>59.276589186426349</v>
      </c>
    </row>
    <row r="84" spans="1:48">
      <c r="A84" t="s">
        <v>16</v>
      </c>
      <c r="B84" s="233" t="s">
        <v>251</v>
      </c>
      <c r="C84" s="75" t="str">
        <f t="shared" si="28"/>
        <v>Commercial - Lighting</v>
      </c>
      <c r="D84" s="75" t="s">
        <v>75</v>
      </c>
      <c r="E84" s="84">
        <f t="shared" si="31"/>
        <v>915.10615144128838</v>
      </c>
      <c r="F84" s="92">
        <f t="shared" si="31"/>
        <v>751.83194786180138</v>
      </c>
      <c r="G84" s="92">
        <f t="shared" si="29"/>
        <v>751.83194786180138</v>
      </c>
      <c r="H84" s="92">
        <f t="shared" si="32"/>
        <v>751.83194786180138</v>
      </c>
      <c r="I84" s="136">
        <f t="shared" si="30"/>
        <v>751.83194786180138</v>
      </c>
      <c r="J84" s="5" cm="1">
        <f t="array" ref="J84">IF(J$8=-1,K84,IF(J$8=99,I84,IF(J$8=0,INDEX($E84:$I84,0,J$6),(INDEX($E84:$I84,0,J$8+1)-INDEX($E84:$I84,0,J$8))/(INDEX($D$5:$H$5,0,J$8+1)-INDEX($D$5:$H$5,0,J$8))+I84)))</f>
        <v>915.10615144128838</v>
      </c>
      <c r="K84" s="5" cm="1">
        <f t="array" ref="K84">IF(K$8=-1,L84,IF(K$8=99,J84,IF(K$8=0,INDEX($E84:$I84,0,K$6),(INDEX($E84:$I84,0,K$8+1)-INDEX($E84:$I84,0,K$8))/(INDEX($D$5:$H$5,0,K$8+1)-INDEX($D$5:$H$5,0,K$8))+J84)))</f>
        <v>882.45131072539095</v>
      </c>
      <c r="L84" s="5" cm="1">
        <f t="array" ref="L84">IF(L$8=-1,M84,IF(L$8=99,K84,IF(L$8=0,INDEX($E84:$I84,0,L$6),(INDEX($E84:$I84,0,L$8+1)-INDEX($E84:$I84,0,L$8))/(INDEX($D$5:$H$5,0,L$8+1)-INDEX($D$5:$H$5,0,L$8))+K84)))</f>
        <v>849.79647000949353</v>
      </c>
      <c r="M84" s="5" cm="1">
        <f t="array" ref="M84">IF(M$8=-1,N84,IF(M$8=99,L84,IF(M$8=0,INDEX($E84:$I84,0,M$6),(INDEX($E84:$I84,0,M$8+1)-INDEX($E84:$I84,0,M$8))/(INDEX($D$5:$H$5,0,M$8+1)-INDEX($D$5:$H$5,0,M$8))+L84)))</f>
        <v>817.14162929359611</v>
      </c>
      <c r="N84" s="5" cm="1">
        <f t="array" ref="N84">IF(N$8=-1,O84,IF(N$8=99,M84,IF(N$8=0,INDEX($E84:$I84,0,N$6),(INDEX($E84:$I84,0,N$8+1)-INDEX($E84:$I84,0,N$8))/(INDEX($D$5:$H$5,0,N$8+1)-INDEX($D$5:$H$5,0,N$8))+M84)))</f>
        <v>784.48678857769869</v>
      </c>
      <c r="O84" s="5" cm="1">
        <f t="array" ref="O84">IF(O$8=-1,P84,IF(O$8=99,N84,IF(O$8=0,INDEX($E84:$I84,0,O$6),(INDEX($E84:$I84,0,O$8+1)-INDEX($E84:$I84,0,O$8))/(INDEX($D$5:$H$5,0,O$8+1)-INDEX($D$5:$H$5,0,O$8))+N84)))</f>
        <v>751.83194786180138</v>
      </c>
      <c r="P84" s="5" cm="1">
        <f t="array" ref="P84">IF(P$8=-1,Q84,IF(P$8=99,O84,IF(P$8=0,INDEX($E84:$I84,0,P$6),(INDEX($E84:$I84,0,P$8+1)-INDEX($E84:$I84,0,P$8))/(INDEX($D$5:$H$5,0,P$8+1)-INDEX($D$5:$H$5,0,P$8))+O84)))</f>
        <v>751.83194786180138</v>
      </c>
      <c r="Q84" s="5" cm="1">
        <f t="array" ref="Q84">IF(Q$8=-1,R84,IF(Q$8=99,P84,IF(Q$8=0,INDEX($E84:$I84,0,Q$6),(INDEX($E84:$I84,0,Q$8+1)-INDEX($E84:$I84,0,Q$8))/(INDEX($D$5:$H$5,0,Q$8+1)-INDEX($D$5:$H$5,0,Q$8))+P84)))</f>
        <v>751.83194786180138</v>
      </c>
      <c r="R84" s="5" cm="1">
        <f t="array" ref="R84">IF(R$8=-1,S84,IF(R$8=99,Q84,IF(R$8=0,INDEX($E84:$I84,0,R$6),(INDEX($E84:$I84,0,R$8+1)-INDEX($E84:$I84,0,R$8))/(INDEX($D$5:$H$5,0,R$8+1)-INDEX($D$5:$H$5,0,R$8))+Q84)))</f>
        <v>751.83194786180138</v>
      </c>
      <c r="S84" s="5" cm="1">
        <f t="array" ref="S84">IF(S$8=-1,T84,IF(S$8=99,R84,IF(S$8=0,INDEX($E84:$I84,0,S$6),(INDEX($E84:$I84,0,S$8+1)-INDEX($E84:$I84,0,S$8))/(INDEX($D$5:$H$5,0,S$8+1)-INDEX($D$5:$H$5,0,S$8))+R84)))</f>
        <v>751.83194786180138</v>
      </c>
      <c r="T84" s="5" cm="1">
        <f t="array" ref="T84">IF(T$8=-1,U84,IF(T$8=99,S84,IF(T$8=0,INDEX($E84:$I84,0,T$6),(INDEX($E84:$I84,0,T$8+1)-INDEX($E84:$I84,0,T$8))/(INDEX($D$5:$H$5,0,T$8+1)-INDEX($D$5:$H$5,0,T$8))+S84)))</f>
        <v>751.83194786180138</v>
      </c>
      <c r="U84" s="5" cm="1">
        <f t="array" ref="U84">IF(U$8=-1,V84,IF(U$8=99,T84,IF(U$8=0,INDEX($E84:$I84,0,U$6),(INDEX($E84:$I84,0,U$8+1)-INDEX($E84:$I84,0,U$8))/(INDEX($D$5:$H$5,0,U$8+1)-INDEX($D$5:$H$5,0,U$8))+T84)))</f>
        <v>751.83194786180138</v>
      </c>
      <c r="V84" s="5" cm="1">
        <f t="array" ref="V84">IF(V$8=-1,W84,IF(V$8=99,U84,IF(V$8=0,INDEX($E84:$I84,0,V$6),(INDEX($E84:$I84,0,V$8+1)-INDEX($E84:$I84,0,V$8))/(INDEX($D$5:$H$5,0,V$8+1)-INDEX($D$5:$H$5,0,V$8))+U84)))</f>
        <v>751.83194786180138</v>
      </c>
      <c r="W84" s="5" cm="1">
        <f t="array" ref="W84">IF(W$8=-1,X84,IF(W$8=99,V84,IF(W$8=0,INDEX($E84:$I84,0,W$6),(INDEX($E84:$I84,0,W$8+1)-INDEX($E84:$I84,0,W$8))/(INDEX($D$5:$H$5,0,W$8+1)-INDEX($D$5:$H$5,0,W$8))+V84)))</f>
        <v>751.83194786180138</v>
      </c>
      <c r="X84" s="5" cm="1">
        <f t="array" ref="X84">IF(X$8=-1,Y84,IF(X$8=99,W84,IF(X$8=0,INDEX($E84:$I84,0,X$6),(INDEX($E84:$I84,0,X$8+1)-INDEX($E84:$I84,0,X$8))/(INDEX($D$5:$H$5,0,X$8+1)-INDEX($D$5:$H$5,0,X$8))+W84)))</f>
        <v>751.83194786180138</v>
      </c>
      <c r="Y84" s="5" cm="1">
        <f t="array" ref="Y84">IF(Y$8=-1,Z84,IF(Y$8=99,X84,IF(Y$8=0,INDEX($E84:$I84,0,Y$6),(INDEX($E84:$I84,0,Y$8+1)-INDEX($E84:$I84,0,Y$8))/(INDEX($D$5:$H$5,0,Y$8+1)-INDEX($D$5:$H$5,0,Y$8))+X84)))</f>
        <v>751.83194786180138</v>
      </c>
      <c r="Z84" s="5" cm="1">
        <f t="array" ref="Z84">IF(Z$8=-1,AA84,IF(Z$8=99,Y84,IF(Z$8=0,INDEX($E84:$I84,0,Z$6),(INDEX($E84:$I84,0,Z$8+1)-INDEX($E84:$I84,0,Z$8))/(INDEX($D$5:$H$5,0,Z$8+1)-INDEX($D$5:$H$5,0,Z$8))+Y84)))</f>
        <v>751.83194786180138</v>
      </c>
      <c r="AA84" s="5" cm="1">
        <f t="array" ref="AA84">IF(AA$8=-1,AB84,IF(AA$8=99,Z84,IF(AA$8=0,INDEX($E84:$I84,0,AA$6),(INDEX($E84:$I84,0,AA$8+1)-INDEX($E84:$I84,0,AA$8))/(INDEX($D$5:$H$5,0,AA$8+1)-INDEX($D$5:$H$5,0,AA$8))+Z84)))</f>
        <v>751.83194786180138</v>
      </c>
      <c r="AB84" s="5" cm="1">
        <f t="array" ref="AB84">IF(AB$8=-1,AC84,IF(AB$8=99,AA84,IF(AB$8=0,INDEX($E84:$I84,0,AB$6),(INDEX($E84:$I84,0,AB$8+1)-INDEX($E84:$I84,0,AB$8))/(INDEX($D$5:$H$5,0,AB$8+1)-INDEX($D$5:$H$5,0,AB$8))+AA84)))</f>
        <v>751.83194786180138</v>
      </c>
      <c r="AC84" s="5" cm="1">
        <f t="array" ref="AC84">IF(AC$8=-1,AD84,IF(AC$8=99,AB84,IF(AC$8=0,INDEX($E84:$I84,0,AC$6),(INDEX($E84:$I84,0,AC$8+1)-INDEX($E84:$I84,0,AC$8))/(INDEX($D$5:$H$5,0,AC$8+1)-INDEX($D$5:$H$5,0,AC$8))+AB84)))</f>
        <v>751.83194786180138</v>
      </c>
      <c r="AD84" s="5" cm="1">
        <f t="array" ref="AD84">IF(AD$8=-1,AE84,IF(AD$8=99,AC84,IF(AD$8=0,INDEX($E84:$I84,0,AD$6),(INDEX($E84:$I84,0,AD$8+1)-INDEX($E84:$I84,0,AD$8))/(INDEX($D$5:$H$5,0,AD$8+1)-INDEX($D$5:$H$5,0,AD$8))+AC84)))</f>
        <v>751.83194786180138</v>
      </c>
      <c r="AE84" s="5" cm="1">
        <f t="array" ref="AE84">IF(AE$8=-1,AF84,IF(AE$8=99,AD84,IF(AE$8=0,INDEX($E84:$I84,0,AE$6),(INDEX($E84:$I84,0,AE$8+1)-INDEX($E84:$I84,0,AE$8))/(INDEX($D$5:$H$5,0,AE$8+1)-INDEX($D$5:$H$5,0,AE$8))+AD84)))</f>
        <v>751.83194786180138</v>
      </c>
      <c r="AF84" s="5" cm="1">
        <f t="array" ref="AF84">IF(AF$8=-1,AG84,IF(AF$8=99,AE84,IF(AF$8=0,INDEX($E84:$I84,0,AF$6),(INDEX($E84:$I84,0,AF$8+1)-INDEX($E84:$I84,0,AF$8))/(INDEX($D$5:$H$5,0,AF$8+1)-INDEX($D$5:$H$5,0,AF$8))+AE84)))</f>
        <v>751.83194786180138</v>
      </c>
      <c r="AG84" s="5" cm="1">
        <f t="array" ref="AG84">IF(AG$8=-1,AH84,IF(AG$8=99,AF84,IF(AG$8=0,INDEX($E84:$I84,0,AG$6),(INDEX($E84:$I84,0,AG$8+1)-INDEX($E84:$I84,0,AG$8))/(INDEX($D$5:$H$5,0,AG$8+1)-INDEX($D$5:$H$5,0,AG$8))+AF84)))</f>
        <v>751.83194786180138</v>
      </c>
      <c r="AH84" s="5" cm="1">
        <f t="array" ref="AH84">IF(AH$8=-1,AI84,IF(AH$8=99,AG84,IF(AH$8=0,INDEX($E84:$I84,0,AH$6),(INDEX($E84:$I84,0,AH$8+1)-INDEX($E84:$I84,0,AH$8))/(INDEX($D$5:$H$5,0,AH$8+1)-INDEX($D$5:$H$5,0,AH$8))+AG84)))</f>
        <v>751.83194786180138</v>
      </c>
      <c r="AI84" s="5" cm="1">
        <f t="array" ref="AI84">IF(AI$8=-1,AJ84,IF(AI$8=99,AH84,IF(AI$8=0,INDEX($E84:$I84,0,AI$6),(INDEX($E84:$I84,0,AI$8+1)-INDEX($E84:$I84,0,AI$8))/(INDEX($D$5:$H$5,0,AI$8+1)-INDEX($D$5:$H$5,0,AI$8))+AH84)))</f>
        <v>751.83194786180138</v>
      </c>
      <c r="AJ84" s="5" cm="1">
        <f t="array" ref="AJ84">IF(AJ$8=-1,AK84,IF(AJ$8=99,AI84,IF(AJ$8=0,INDEX($E84:$I84,0,AJ$6),(INDEX($E84:$I84,0,AJ$8+1)-INDEX($E84:$I84,0,AJ$8))/(INDEX($D$5:$H$5,0,AJ$8+1)-INDEX($D$5:$H$5,0,AJ$8))+AI84)))</f>
        <v>751.83194786180138</v>
      </c>
      <c r="AK84" s="5" cm="1">
        <f t="array" ref="AK84">IF(AK$8=-1,AL84,IF(AK$8=99,AJ84,IF(AK$8=0,INDEX($E84:$I84,0,AK$6),(INDEX($E84:$I84,0,AK$8+1)-INDEX($E84:$I84,0,AK$8))/(INDEX($D$5:$H$5,0,AK$8+1)-INDEX($D$5:$H$5,0,AK$8))+AJ84)))</f>
        <v>751.83194786180138</v>
      </c>
      <c r="AL84" s="5" cm="1">
        <f t="array" ref="AL84">IF(AL$8=-1,AM84,IF(AL$8=99,AK84,IF(AL$8=0,INDEX($E84:$I84,0,AL$6),(INDEX($E84:$I84,0,AL$8+1)-INDEX($E84:$I84,0,AL$8))/(INDEX($D$5:$H$5,0,AL$8+1)-INDEX($D$5:$H$5,0,AL$8))+AK84)))</f>
        <v>751.83194786180138</v>
      </c>
      <c r="AM84" s="5" cm="1">
        <f t="array" ref="AM84">IF(AM$8=-1,AN84,IF(AM$8=99,AL84,IF(AM$8=0,INDEX($E84:$I84,0,AM$6),(INDEX($E84:$I84,0,AM$8+1)-INDEX($E84:$I84,0,AM$8))/(INDEX($D$5:$H$5,0,AM$8+1)-INDEX($D$5:$H$5,0,AM$8))+AL84)))</f>
        <v>751.83194786180138</v>
      </c>
      <c r="AN84" s="5" cm="1">
        <f t="array" ref="AN84">IF(AN$8=-1,AO84,IF(AN$8=99,AM84,IF(AN$8=0,INDEX($E84:$I84,0,AN$6),(INDEX($E84:$I84,0,AN$8+1)-INDEX($E84:$I84,0,AN$8))/(INDEX($D$5:$H$5,0,AN$8+1)-INDEX($D$5:$H$5,0,AN$8))+AM84)))</f>
        <v>751.83194786180138</v>
      </c>
      <c r="AO84" s="5" cm="1">
        <f t="array" ref="AO84">IF(AO$8=-1,AP84,IF(AO$8=99,AN84,IF(AO$8=0,INDEX($E84:$I84,0,AO$6),(INDEX($E84:$I84,0,AO$8+1)-INDEX($E84:$I84,0,AO$8))/(INDEX($D$5:$H$5,0,AO$8+1)-INDEX($D$5:$H$5,0,AO$8))+AN84)))</f>
        <v>751.83194786180138</v>
      </c>
      <c r="AP84" s="5" cm="1">
        <f t="array" ref="AP84">IF(AP$8=-1,AQ84,IF(AP$8=99,AO84,IF(AP$8=0,INDEX($E84:$I84,0,AP$6),(INDEX($E84:$I84,0,AP$8+1)-INDEX($E84:$I84,0,AP$8))/(INDEX($D$5:$H$5,0,AP$8+1)-INDEX($D$5:$H$5,0,AP$8))+AO84)))</f>
        <v>751.83194786180138</v>
      </c>
      <c r="AQ84" s="5" cm="1">
        <f t="array" ref="AQ84">IF(AQ$8=-1,AR84,IF(AQ$8=99,AP84,IF(AQ$8=0,INDEX($E84:$I84,0,AQ$6),(INDEX($E84:$I84,0,AQ$8+1)-INDEX($E84:$I84,0,AQ$8))/(INDEX($D$5:$H$5,0,AQ$8+1)-INDEX($D$5:$H$5,0,AQ$8))+AP84)))</f>
        <v>751.83194786180138</v>
      </c>
      <c r="AR84" s="5" cm="1">
        <f t="array" ref="AR84">IF(AR$8=-1,AS84,IF(AR$8=99,AQ84,IF(AR$8=0,INDEX($E84:$I84,0,AR$6),(INDEX($E84:$I84,0,AR$8+1)-INDEX($E84:$I84,0,AR$8))/(INDEX($D$5:$H$5,0,AR$8+1)-INDEX($D$5:$H$5,0,AR$8))+AQ84)))</f>
        <v>751.83194786180138</v>
      </c>
      <c r="AS84" s="5" cm="1">
        <f t="array" ref="AS84">IF(AS$8=-1,AT84,IF(AS$8=99,AR84,IF(AS$8=0,INDEX($E84:$I84,0,AS$6),(INDEX($E84:$I84,0,AS$8+1)-INDEX($E84:$I84,0,AS$8))/(INDEX($D$5:$H$5,0,AS$8+1)-INDEX($D$5:$H$5,0,AS$8))+AR84)))</f>
        <v>751.83194786180138</v>
      </c>
      <c r="AT84" s="5" cm="1">
        <f t="array" ref="AT84">IF(AT$8=-1,AU84,IF(AT$8=99,AS84,IF(AT$8=0,INDEX($E84:$I84,0,AT$6),(INDEX($E84:$I84,0,AT$8+1)-INDEX($E84:$I84,0,AT$8))/(INDEX($D$5:$H$5,0,AT$8+1)-INDEX($D$5:$H$5,0,AT$8))+AS84)))</f>
        <v>751.83194786180138</v>
      </c>
      <c r="AU84" s="5" cm="1">
        <f t="array" ref="AU84">IF(AU$8=-1,AV84,IF(AU$8=99,AT84,IF(AU$8=0,INDEX($E84:$I84,0,AU$6),(INDEX($E84:$I84,0,AU$8+1)-INDEX($E84:$I84,0,AU$8))/(INDEX($D$5:$H$5,0,AU$8+1)-INDEX($D$5:$H$5,0,AU$8))+AT84)))</f>
        <v>751.83194786180138</v>
      </c>
      <c r="AV84" s="5" cm="1">
        <f t="array" ref="AV84">IF(AV$8=-1,AW84,IF(AV$8=99,AU84,IF(AV$8=0,INDEX($E84:$I84,0,AV$6),(INDEX($E84:$I84,0,AV$8+1)-INDEX($E84:$I84,0,AV$8))/(INDEX($D$5:$H$5,0,AV$8+1)-INDEX($D$5:$H$5,0,AV$8))+AU84)))</f>
        <v>751.83194786180138</v>
      </c>
    </row>
    <row r="85" spans="1:48">
      <c r="A85" t="s">
        <v>16</v>
      </c>
      <c r="B85" s="233" t="s">
        <v>252</v>
      </c>
      <c r="C85" s="75" t="str">
        <f t="shared" si="28"/>
        <v>Commercial - Refrigeration</v>
      </c>
      <c r="D85" s="75" t="s">
        <v>75</v>
      </c>
      <c r="E85" s="84">
        <f t="shared" si="31"/>
        <v>222.61251585750318</v>
      </c>
      <c r="F85" s="92">
        <f t="shared" si="31"/>
        <v>182.89375626200317</v>
      </c>
      <c r="G85" s="92">
        <f t="shared" si="29"/>
        <v>182.89375626200317</v>
      </c>
      <c r="H85" s="92">
        <f t="shared" si="32"/>
        <v>182.89375626200317</v>
      </c>
      <c r="I85" s="136">
        <f t="shared" si="30"/>
        <v>182.89375626200317</v>
      </c>
      <c r="J85" s="5" cm="1">
        <f t="array" ref="J85">IF(J$8=-1,K85,IF(J$8=99,I85,IF(J$8=0,INDEX($E85:$I85,0,J$6),(INDEX($E85:$I85,0,J$8+1)-INDEX($E85:$I85,0,J$8))/(INDEX($D$5:$H$5,0,J$8+1)-INDEX($D$5:$H$5,0,J$8))+I85)))</f>
        <v>222.61251585750318</v>
      </c>
      <c r="K85" s="5" cm="1">
        <f t="array" ref="K85">IF(K$8=-1,L85,IF(K$8=99,J85,IF(K$8=0,INDEX($E85:$I85,0,K$6),(INDEX($E85:$I85,0,K$8+1)-INDEX($E85:$I85,0,K$8))/(INDEX($D$5:$H$5,0,K$8+1)-INDEX($D$5:$H$5,0,K$8))+J85)))</f>
        <v>214.66876393840317</v>
      </c>
      <c r="L85" s="5" cm="1">
        <f t="array" ref="L85">IF(L$8=-1,M85,IF(L$8=99,K85,IF(L$8=0,INDEX($E85:$I85,0,L$6),(INDEX($E85:$I85,0,L$8+1)-INDEX($E85:$I85,0,L$8))/(INDEX($D$5:$H$5,0,L$8+1)-INDEX($D$5:$H$5,0,L$8))+K85)))</f>
        <v>206.72501201930316</v>
      </c>
      <c r="M85" s="5" cm="1">
        <f t="array" ref="M85">IF(M$8=-1,N85,IF(M$8=99,L85,IF(M$8=0,INDEX($E85:$I85,0,M$6),(INDEX($E85:$I85,0,M$8+1)-INDEX($E85:$I85,0,M$8))/(INDEX($D$5:$H$5,0,M$8+1)-INDEX($D$5:$H$5,0,M$8))+L85)))</f>
        <v>198.78126010020316</v>
      </c>
      <c r="N85" s="5" cm="1">
        <f t="array" ref="N85">IF(N$8=-1,O85,IF(N$8=99,M85,IF(N$8=0,INDEX($E85:$I85,0,N$6),(INDEX($E85:$I85,0,N$8+1)-INDEX($E85:$I85,0,N$8))/(INDEX($D$5:$H$5,0,N$8+1)-INDEX($D$5:$H$5,0,N$8))+M85)))</f>
        <v>190.83750818110315</v>
      </c>
      <c r="O85" s="5" cm="1">
        <f t="array" ref="O85">IF(O$8=-1,P85,IF(O$8=99,N85,IF(O$8=0,INDEX($E85:$I85,0,O$6),(INDEX($E85:$I85,0,O$8+1)-INDEX($E85:$I85,0,O$8))/(INDEX($D$5:$H$5,0,O$8+1)-INDEX($D$5:$H$5,0,O$8))+N85)))</f>
        <v>182.89375626200317</v>
      </c>
      <c r="P85" s="5" cm="1">
        <f t="array" ref="P85">IF(P$8=-1,Q85,IF(P$8=99,O85,IF(P$8=0,INDEX($E85:$I85,0,P$6),(INDEX($E85:$I85,0,P$8+1)-INDEX($E85:$I85,0,P$8))/(INDEX($D$5:$H$5,0,P$8+1)-INDEX($D$5:$H$5,0,P$8))+O85)))</f>
        <v>182.89375626200317</v>
      </c>
      <c r="Q85" s="5" cm="1">
        <f t="array" ref="Q85">IF(Q$8=-1,R85,IF(Q$8=99,P85,IF(Q$8=0,INDEX($E85:$I85,0,Q$6),(INDEX($E85:$I85,0,Q$8+1)-INDEX($E85:$I85,0,Q$8))/(INDEX($D$5:$H$5,0,Q$8+1)-INDEX($D$5:$H$5,0,Q$8))+P85)))</f>
        <v>182.89375626200317</v>
      </c>
      <c r="R85" s="5" cm="1">
        <f t="array" ref="R85">IF(R$8=-1,S85,IF(R$8=99,Q85,IF(R$8=0,INDEX($E85:$I85,0,R$6),(INDEX($E85:$I85,0,R$8+1)-INDEX($E85:$I85,0,R$8))/(INDEX($D$5:$H$5,0,R$8+1)-INDEX($D$5:$H$5,0,R$8))+Q85)))</f>
        <v>182.89375626200317</v>
      </c>
      <c r="S85" s="5" cm="1">
        <f t="array" ref="S85">IF(S$8=-1,T85,IF(S$8=99,R85,IF(S$8=0,INDEX($E85:$I85,0,S$6),(INDEX($E85:$I85,0,S$8+1)-INDEX($E85:$I85,0,S$8))/(INDEX($D$5:$H$5,0,S$8+1)-INDEX($D$5:$H$5,0,S$8))+R85)))</f>
        <v>182.89375626200317</v>
      </c>
      <c r="T85" s="5" cm="1">
        <f t="array" ref="T85">IF(T$8=-1,U85,IF(T$8=99,S85,IF(T$8=0,INDEX($E85:$I85,0,T$6),(INDEX($E85:$I85,0,T$8+1)-INDEX($E85:$I85,0,T$8))/(INDEX($D$5:$H$5,0,T$8+1)-INDEX($D$5:$H$5,0,T$8))+S85)))</f>
        <v>182.89375626200317</v>
      </c>
      <c r="U85" s="5" cm="1">
        <f t="array" ref="U85">IF(U$8=-1,V85,IF(U$8=99,T85,IF(U$8=0,INDEX($E85:$I85,0,U$6),(INDEX($E85:$I85,0,U$8+1)-INDEX($E85:$I85,0,U$8))/(INDEX($D$5:$H$5,0,U$8+1)-INDEX($D$5:$H$5,0,U$8))+T85)))</f>
        <v>182.89375626200317</v>
      </c>
      <c r="V85" s="5" cm="1">
        <f t="array" ref="V85">IF(V$8=-1,W85,IF(V$8=99,U85,IF(V$8=0,INDEX($E85:$I85,0,V$6),(INDEX($E85:$I85,0,V$8+1)-INDEX($E85:$I85,0,V$8))/(INDEX($D$5:$H$5,0,V$8+1)-INDEX($D$5:$H$5,0,V$8))+U85)))</f>
        <v>182.89375626200317</v>
      </c>
      <c r="W85" s="5" cm="1">
        <f t="array" ref="W85">IF(W$8=-1,X85,IF(W$8=99,V85,IF(W$8=0,INDEX($E85:$I85,0,W$6),(INDEX($E85:$I85,0,W$8+1)-INDEX($E85:$I85,0,W$8))/(INDEX($D$5:$H$5,0,W$8+1)-INDEX($D$5:$H$5,0,W$8))+V85)))</f>
        <v>182.89375626200317</v>
      </c>
      <c r="X85" s="5" cm="1">
        <f t="array" ref="X85">IF(X$8=-1,Y85,IF(X$8=99,W85,IF(X$8=0,INDEX($E85:$I85,0,X$6),(INDEX($E85:$I85,0,X$8+1)-INDEX($E85:$I85,0,X$8))/(INDEX($D$5:$H$5,0,X$8+1)-INDEX($D$5:$H$5,0,X$8))+W85)))</f>
        <v>182.89375626200317</v>
      </c>
      <c r="Y85" s="5" cm="1">
        <f t="array" ref="Y85">IF(Y$8=-1,Z85,IF(Y$8=99,X85,IF(Y$8=0,INDEX($E85:$I85,0,Y$6),(INDEX($E85:$I85,0,Y$8+1)-INDEX($E85:$I85,0,Y$8))/(INDEX($D$5:$H$5,0,Y$8+1)-INDEX($D$5:$H$5,0,Y$8))+X85)))</f>
        <v>182.89375626200317</v>
      </c>
      <c r="Z85" s="5" cm="1">
        <f t="array" ref="Z85">IF(Z$8=-1,AA85,IF(Z$8=99,Y85,IF(Z$8=0,INDEX($E85:$I85,0,Z$6),(INDEX($E85:$I85,0,Z$8+1)-INDEX($E85:$I85,0,Z$8))/(INDEX($D$5:$H$5,0,Z$8+1)-INDEX($D$5:$H$5,0,Z$8))+Y85)))</f>
        <v>182.89375626200317</v>
      </c>
      <c r="AA85" s="5" cm="1">
        <f t="array" ref="AA85">IF(AA$8=-1,AB85,IF(AA$8=99,Z85,IF(AA$8=0,INDEX($E85:$I85,0,AA$6),(INDEX($E85:$I85,0,AA$8+1)-INDEX($E85:$I85,0,AA$8))/(INDEX($D$5:$H$5,0,AA$8+1)-INDEX($D$5:$H$5,0,AA$8))+Z85)))</f>
        <v>182.89375626200317</v>
      </c>
      <c r="AB85" s="5" cm="1">
        <f t="array" ref="AB85">IF(AB$8=-1,AC85,IF(AB$8=99,AA85,IF(AB$8=0,INDEX($E85:$I85,0,AB$6),(INDEX($E85:$I85,0,AB$8+1)-INDEX($E85:$I85,0,AB$8))/(INDEX($D$5:$H$5,0,AB$8+1)-INDEX($D$5:$H$5,0,AB$8))+AA85)))</f>
        <v>182.89375626200317</v>
      </c>
      <c r="AC85" s="5" cm="1">
        <f t="array" ref="AC85">IF(AC$8=-1,AD85,IF(AC$8=99,AB85,IF(AC$8=0,INDEX($E85:$I85,0,AC$6),(INDEX($E85:$I85,0,AC$8+1)-INDEX($E85:$I85,0,AC$8))/(INDEX($D$5:$H$5,0,AC$8+1)-INDEX($D$5:$H$5,0,AC$8))+AB85)))</f>
        <v>182.89375626200317</v>
      </c>
      <c r="AD85" s="5" cm="1">
        <f t="array" ref="AD85">IF(AD$8=-1,AE85,IF(AD$8=99,AC85,IF(AD$8=0,INDEX($E85:$I85,0,AD$6),(INDEX($E85:$I85,0,AD$8+1)-INDEX($E85:$I85,0,AD$8))/(INDEX($D$5:$H$5,0,AD$8+1)-INDEX($D$5:$H$5,0,AD$8))+AC85)))</f>
        <v>182.89375626200317</v>
      </c>
      <c r="AE85" s="5" cm="1">
        <f t="array" ref="AE85">IF(AE$8=-1,AF85,IF(AE$8=99,AD85,IF(AE$8=0,INDEX($E85:$I85,0,AE$6),(INDEX($E85:$I85,0,AE$8+1)-INDEX($E85:$I85,0,AE$8))/(INDEX($D$5:$H$5,0,AE$8+1)-INDEX($D$5:$H$5,0,AE$8))+AD85)))</f>
        <v>182.89375626200317</v>
      </c>
      <c r="AF85" s="5" cm="1">
        <f t="array" ref="AF85">IF(AF$8=-1,AG85,IF(AF$8=99,AE85,IF(AF$8=0,INDEX($E85:$I85,0,AF$6),(INDEX($E85:$I85,0,AF$8+1)-INDEX($E85:$I85,0,AF$8))/(INDEX($D$5:$H$5,0,AF$8+1)-INDEX($D$5:$H$5,0,AF$8))+AE85)))</f>
        <v>182.89375626200317</v>
      </c>
      <c r="AG85" s="5" cm="1">
        <f t="array" ref="AG85">IF(AG$8=-1,AH85,IF(AG$8=99,AF85,IF(AG$8=0,INDEX($E85:$I85,0,AG$6),(INDEX($E85:$I85,0,AG$8+1)-INDEX($E85:$I85,0,AG$8))/(INDEX($D$5:$H$5,0,AG$8+1)-INDEX($D$5:$H$5,0,AG$8))+AF85)))</f>
        <v>182.89375626200317</v>
      </c>
      <c r="AH85" s="5" cm="1">
        <f t="array" ref="AH85">IF(AH$8=-1,AI85,IF(AH$8=99,AG85,IF(AH$8=0,INDEX($E85:$I85,0,AH$6),(INDEX($E85:$I85,0,AH$8+1)-INDEX($E85:$I85,0,AH$8))/(INDEX($D$5:$H$5,0,AH$8+1)-INDEX($D$5:$H$5,0,AH$8))+AG85)))</f>
        <v>182.89375626200317</v>
      </c>
      <c r="AI85" s="5" cm="1">
        <f t="array" ref="AI85">IF(AI$8=-1,AJ85,IF(AI$8=99,AH85,IF(AI$8=0,INDEX($E85:$I85,0,AI$6),(INDEX($E85:$I85,0,AI$8+1)-INDEX($E85:$I85,0,AI$8))/(INDEX($D$5:$H$5,0,AI$8+1)-INDEX($D$5:$H$5,0,AI$8))+AH85)))</f>
        <v>182.89375626200317</v>
      </c>
      <c r="AJ85" s="5" cm="1">
        <f t="array" ref="AJ85">IF(AJ$8=-1,AK85,IF(AJ$8=99,AI85,IF(AJ$8=0,INDEX($E85:$I85,0,AJ$6),(INDEX($E85:$I85,0,AJ$8+1)-INDEX($E85:$I85,0,AJ$8))/(INDEX($D$5:$H$5,0,AJ$8+1)-INDEX($D$5:$H$5,0,AJ$8))+AI85)))</f>
        <v>182.89375626200317</v>
      </c>
      <c r="AK85" s="5" cm="1">
        <f t="array" ref="AK85">IF(AK$8=-1,AL85,IF(AK$8=99,AJ85,IF(AK$8=0,INDEX($E85:$I85,0,AK$6),(INDEX($E85:$I85,0,AK$8+1)-INDEX($E85:$I85,0,AK$8))/(INDEX($D$5:$H$5,0,AK$8+1)-INDEX($D$5:$H$5,0,AK$8))+AJ85)))</f>
        <v>182.89375626200317</v>
      </c>
      <c r="AL85" s="5" cm="1">
        <f t="array" ref="AL85">IF(AL$8=-1,AM85,IF(AL$8=99,AK85,IF(AL$8=0,INDEX($E85:$I85,0,AL$6),(INDEX($E85:$I85,0,AL$8+1)-INDEX($E85:$I85,0,AL$8))/(INDEX($D$5:$H$5,0,AL$8+1)-INDEX($D$5:$H$5,0,AL$8))+AK85)))</f>
        <v>182.89375626200317</v>
      </c>
      <c r="AM85" s="5" cm="1">
        <f t="array" ref="AM85">IF(AM$8=-1,AN85,IF(AM$8=99,AL85,IF(AM$8=0,INDEX($E85:$I85,0,AM$6),(INDEX($E85:$I85,0,AM$8+1)-INDEX($E85:$I85,0,AM$8))/(INDEX($D$5:$H$5,0,AM$8+1)-INDEX($D$5:$H$5,0,AM$8))+AL85)))</f>
        <v>182.89375626200317</v>
      </c>
      <c r="AN85" s="5" cm="1">
        <f t="array" ref="AN85">IF(AN$8=-1,AO85,IF(AN$8=99,AM85,IF(AN$8=0,INDEX($E85:$I85,0,AN$6),(INDEX($E85:$I85,0,AN$8+1)-INDEX($E85:$I85,0,AN$8))/(INDEX($D$5:$H$5,0,AN$8+1)-INDEX($D$5:$H$5,0,AN$8))+AM85)))</f>
        <v>182.89375626200317</v>
      </c>
      <c r="AO85" s="5" cm="1">
        <f t="array" ref="AO85">IF(AO$8=-1,AP85,IF(AO$8=99,AN85,IF(AO$8=0,INDEX($E85:$I85,0,AO$6),(INDEX($E85:$I85,0,AO$8+1)-INDEX($E85:$I85,0,AO$8))/(INDEX($D$5:$H$5,0,AO$8+1)-INDEX($D$5:$H$5,0,AO$8))+AN85)))</f>
        <v>182.89375626200317</v>
      </c>
      <c r="AP85" s="5" cm="1">
        <f t="array" ref="AP85">IF(AP$8=-1,AQ85,IF(AP$8=99,AO85,IF(AP$8=0,INDEX($E85:$I85,0,AP$6),(INDEX($E85:$I85,0,AP$8+1)-INDEX($E85:$I85,0,AP$8))/(INDEX($D$5:$H$5,0,AP$8+1)-INDEX($D$5:$H$5,0,AP$8))+AO85)))</f>
        <v>182.89375626200317</v>
      </c>
      <c r="AQ85" s="5" cm="1">
        <f t="array" ref="AQ85">IF(AQ$8=-1,AR85,IF(AQ$8=99,AP85,IF(AQ$8=0,INDEX($E85:$I85,0,AQ$6),(INDEX($E85:$I85,0,AQ$8+1)-INDEX($E85:$I85,0,AQ$8))/(INDEX($D$5:$H$5,0,AQ$8+1)-INDEX($D$5:$H$5,0,AQ$8))+AP85)))</f>
        <v>182.89375626200317</v>
      </c>
      <c r="AR85" s="5" cm="1">
        <f t="array" ref="AR85">IF(AR$8=-1,AS85,IF(AR$8=99,AQ85,IF(AR$8=0,INDEX($E85:$I85,0,AR$6),(INDEX($E85:$I85,0,AR$8+1)-INDEX($E85:$I85,0,AR$8))/(INDEX($D$5:$H$5,0,AR$8+1)-INDEX($D$5:$H$5,0,AR$8))+AQ85)))</f>
        <v>182.89375626200317</v>
      </c>
      <c r="AS85" s="5" cm="1">
        <f t="array" ref="AS85">IF(AS$8=-1,AT85,IF(AS$8=99,AR85,IF(AS$8=0,INDEX($E85:$I85,0,AS$6),(INDEX($E85:$I85,0,AS$8+1)-INDEX($E85:$I85,0,AS$8))/(INDEX($D$5:$H$5,0,AS$8+1)-INDEX($D$5:$H$5,0,AS$8))+AR85)))</f>
        <v>182.89375626200317</v>
      </c>
      <c r="AT85" s="5" cm="1">
        <f t="array" ref="AT85">IF(AT$8=-1,AU85,IF(AT$8=99,AS85,IF(AT$8=0,INDEX($E85:$I85,0,AT$6),(INDEX($E85:$I85,0,AT$8+1)-INDEX($E85:$I85,0,AT$8))/(INDEX($D$5:$H$5,0,AT$8+1)-INDEX($D$5:$H$5,0,AT$8))+AS85)))</f>
        <v>182.89375626200317</v>
      </c>
      <c r="AU85" s="5" cm="1">
        <f t="array" ref="AU85">IF(AU$8=-1,AV85,IF(AU$8=99,AT85,IF(AU$8=0,INDEX($E85:$I85,0,AU$6),(INDEX($E85:$I85,0,AU$8+1)-INDEX($E85:$I85,0,AU$8))/(INDEX($D$5:$H$5,0,AU$8+1)-INDEX($D$5:$H$5,0,AU$8))+AT85)))</f>
        <v>182.89375626200317</v>
      </c>
      <c r="AV85" s="5" cm="1">
        <f t="array" ref="AV85">IF(AV$8=-1,AW85,IF(AV$8=99,AU85,IF(AV$8=0,INDEX($E85:$I85,0,AV$6),(INDEX($E85:$I85,0,AV$8+1)-INDEX($E85:$I85,0,AV$8))/(INDEX($D$5:$H$5,0,AV$8+1)-INDEX($D$5:$H$5,0,AV$8))+AU85)))</f>
        <v>182.89375626200317</v>
      </c>
    </row>
    <row r="86" spans="1:48">
      <c r="A86" t="s">
        <v>16</v>
      </c>
      <c r="B86" s="233" t="s">
        <v>253</v>
      </c>
      <c r="C86" s="75" t="str">
        <f t="shared" si="28"/>
        <v>Commercial - Water Heating</v>
      </c>
      <c r="D86" s="75" t="s">
        <v>75</v>
      </c>
      <c r="E86" s="84">
        <f t="shared" si="31"/>
        <v>72.906473658117989</v>
      </c>
      <c r="F86" s="92">
        <f t="shared" si="31"/>
        <v>69.309069222923057</v>
      </c>
      <c r="G86" s="92">
        <f t="shared" si="29"/>
        <v>69.309069222923057</v>
      </c>
      <c r="H86" s="92">
        <f t="shared" si="32"/>
        <v>69.309069222923057</v>
      </c>
      <c r="I86" s="136">
        <f t="shared" si="30"/>
        <v>69.309069222923057</v>
      </c>
      <c r="J86" s="5" cm="1">
        <f t="array" ref="J86">IF(J$8=-1,K86,IF(J$8=99,I86,IF(J$8=0,INDEX($E86:$I86,0,J$6),(INDEX($E86:$I86,0,J$8+1)-INDEX($E86:$I86,0,J$8))/(INDEX($D$5:$H$5,0,J$8+1)-INDEX($D$5:$H$5,0,J$8))+I86)))</f>
        <v>72.906473658117989</v>
      </c>
      <c r="K86" s="5" cm="1">
        <f t="array" ref="K86">IF(K$8=-1,L86,IF(K$8=99,J86,IF(K$8=0,INDEX($E86:$I86,0,K$6),(INDEX($E86:$I86,0,K$8+1)-INDEX($E86:$I86,0,K$8))/(INDEX($D$5:$H$5,0,K$8+1)-INDEX($D$5:$H$5,0,K$8))+J86)))</f>
        <v>72.186992771079005</v>
      </c>
      <c r="L86" s="5" cm="1">
        <f t="array" ref="L86">IF(L$8=-1,M86,IF(L$8=99,K86,IF(L$8=0,INDEX($E86:$I86,0,L$6),(INDEX($E86:$I86,0,L$8+1)-INDEX($E86:$I86,0,L$8))/(INDEX($D$5:$H$5,0,L$8+1)-INDEX($D$5:$H$5,0,L$8))+K86)))</f>
        <v>71.467511884040022</v>
      </c>
      <c r="M86" s="5" cm="1">
        <f t="array" ref="M86">IF(M$8=-1,N86,IF(M$8=99,L86,IF(M$8=0,INDEX($E86:$I86,0,M$6),(INDEX($E86:$I86,0,M$8+1)-INDEX($E86:$I86,0,M$8))/(INDEX($D$5:$H$5,0,M$8+1)-INDEX($D$5:$H$5,0,M$8))+L86)))</f>
        <v>70.748030997001038</v>
      </c>
      <c r="N86" s="5" cm="1">
        <f t="array" ref="N86">IF(N$8=-1,O86,IF(N$8=99,M86,IF(N$8=0,INDEX($E86:$I86,0,N$6),(INDEX($E86:$I86,0,N$8+1)-INDEX($E86:$I86,0,N$8))/(INDEX($D$5:$H$5,0,N$8+1)-INDEX($D$5:$H$5,0,N$8))+M86)))</f>
        <v>70.028550109962055</v>
      </c>
      <c r="O86" s="5" cm="1">
        <f t="array" ref="O86">IF(O$8=-1,P86,IF(O$8=99,N86,IF(O$8=0,INDEX($E86:$I86,0,O$6),(INDEX($E86:$I86,0,O$8+1)-INDEX($E86:$I86,0,O$8))/(INDEX($D$5:$H$5,0,O$8+1)-INDEX($D$5:$H$5,0,O$8))+N86)))</f>
        <v>69.309069222923057</v>
      </c>
      <c r="P86" s="5" cm="1">
        <f t="array" ref="P86">IF(P$8=-1,Q86,IF(P$8=99,O86,IF(P$8=0,INDEX($E86:$I86,0,P$6),(INDEX($E86:$I86,0,P$8+1)-INDEX($E86:$I86,0,P$8))/(INDEX($D$5:$H$5,0,P$8+1)-INDEX($D$5:$H$5,0,P$8))+O86)))</f>
        <v>69.309069222923057</v>
      </c>
      <c r="Q86" s="5" cm="1">
        <f t="array" ref="Q86">IF(Q$8=-1,R86,IF(Q$8=99,P86,IF(Q$8=0,INDEX($E86:$I86,0,Q$6),(INDEX($E86:$I86,0,Q$8+1)-INDEX($E86:$I86,0,Q$8))/(INDEX($D$5:$H$5,0,Q$8+1)-INDEX($D$5:$H$5,0,Q$8))+P86)))</f>
        <v>69.309069222923057</v>
      </c>
      <c r="R86" s="5" cm="1">
        <f t="array" ref="R86">IF(R$8=-1,S86,IF(R$8=99,Q86,IF(R$8=0,INDEX($E86:$I86,0,R$6),(INDEX($E86:$I86,0,R$8+1)-INDEX($E86:$I86,0,R$8))/(INDEX($D$5:$H$5,0,R$8+1)-INDEX($D$5:$H$5,0,R$8))+Q86)))</f>
        <v>69.309069222923057</v>
      </c>
      <c r="S86" s="5" cm="1">
        <f t="array" ref="S86">IF(S$8=-1,T86,IF(S$8=99,R86,IF(S$8=0,INDEX($E86:$I86,0,S$6),(INDEX($E86:$I86,0,S$8+1)-INDEX($E86:$I86,0,S$8))/(INDEX($D$5:$H$5,0,S$8+1)-INDEX($D$5:$H$5,0,S$8))+R86)))</f>
        <v>69.309069222923057</v>
      </c>
      <c r="T86" s="5" cm="1">
        <f t="array" ref="T86">IF(T$8=-1,U86,IF(T$8=99,S86,IF(T$8=0,INDEX($E86:$I86,0,T$6),(INDEX($E86:$I86,0,T$8+1)-INDEX($E86:$I86,0,T$8))/(INDEX($D$5:$H$5,0,T$8+1)-INDEX($D$5:$H$5,0,T$8))+S86)))</f>
        <v>69.309069222923057</v>
      </c>
      <c r="U86" s="5" cm="1">
        <f t="array" ref="U86">IF(U$8=-1,V86,IF(U$8=99,T86,IF(U$8=0,INDEX($E86:$I86,0,U$6),(INDEX($E86:$I86,0,U$8+1)-INDEX($E86:$I86,0,U$8))/(INDEX($D$5:$H$5,0,U$8+1)-INDEX($D$5:$H$5,0,U$8))+T86)))</f>
        <v>69.309069222923057</v>
      </c>
      <c r="V86" s="5" cm="1">
        <f t="array" ref="V86">IF(V$8=-1,W86,IF(V$8=99,U86,IF(V$8=0,INDEX($E86:$I86,0,V$6),(INDEX($E86:$I86,0,V$8+1)-INDEX($E86:$I86,0,V$8))/(INDEX($D$5:$H$5,0,V$8+1)-INDEX($D$5:$H$5,0,V$8))+U86)))</f>
        <v>69.309069222923057</v>
      </c>
      <c r="W86" s="5" cm="1">
        <f t="array" ref="W86">IF(W$8=-1,X86,IF(W$8=99,V86,IF(W$8=0,INDEX($E86:$I86,0,W$6),(INDEX($E86:$I86,0,W$8+1)-INDEX($E86:$I86,0,W$8))/(INDEX($D$5:$H$5,0,W$8+1)-INDEX($D$5:$H$5,0,W$8))+V86)))</f>
        <v>69.309069222923057</v>
      </c>
      <c r="X86" s="5" cm="1">
        <f t="array" ref="X86">IF(X$8=-1,Y86,IF(X$8=99,W86,IF(X$8=0,INDEX($E86:$I86,0,X$6),(INDEX($E86:$I86,0,X$8+1)-INDEX($E86:$I86,0,X$8))/(INDEX($D$5:$H$5,0,X$8+1)-INDEX($D$5:$H$5,0,X$8))+W86)))</f>
        <v>69.309069222923057</v>
      </c>
      <c r="Y86" s="5" cm="1">
        <f t="array" ref="Y86">IF(Y$8=-1,Z86,IF(Y$8=99,X86,IF(Y$8=0,INDEX($E86:$I86,0,Y$6),(INDEX($E86:$I86,0,Y$8+1)-INDEX($E86:$I86,0,Y$8))/(INDEX($D$5:$H$5,0,Y$8+1)-INDEX($D$5:$H$5,0,Y$8))+X86)))</f>
        <v>69.309069222923057</v>
      </c>
      <c r="Z86" s="5" cm="1">
        <f t="array" ref="Z86">IF(Z$8=-1,AA86,IF(Z$8=99,Y86,IF(Z$8=0,INDEX($E86:$I86,0,Z$6),(INDEX($E86:$I86,0,Z$8+1)-INDEX($E86:$I86,0,Z$8))/(INDEX($D$5:$H$5,0,Z$8+1)-INDEX($D$5:$H$5,0,Z$8))+Y86)))</f>
        <v>69.309069222923057</v>
      </c>
      <c r="AA86" s="5" cm="1">
        <f t="array" ref="AA86">IF(AA$8=-1,AB86,IF(AA$8=99,Z86,IF(AA$8=0,INDEX($E86:$I86,0,AA$6),(INDEX($E86:$I86,0,AA$8+1)-INDEX($E86:$I86,0,AA$8))/(INDEX($D$5:$H$5,0,AA$8+1)-INDEX($D$5:$H$5,0,AA$8))+Z86)))</f>
        <v>69.309069222923057</v>
      </c>
      <c r="AB86" s="5" cm="1">
        <f t="array" ref="AB86">IF(AB$8=-1,AC86,IF(AB$8=99,AA86,IF(AB$8=0,INDEX($E86:$I86,0,AB$6),(INDEX($E86:$I86,0,AB$8+1)-INDEX($E86:$I86,0,AB$8))/(INDEX($D$5:$H$5,0,AB$8+1)-INDEX($D$5:$H$5,0,AB$8))+AA86)))</f>
        <v>69.309069222923057</v>
      </c>
      <c r="AC86" s="5" cm="1">
        <f t="array" ref="AC86">IF(AC$8=-1,AD86,IF(AC$8=99,AB86,IF(AC$8=0,INDEX($E86:$I86,0,AC$6),(INDEX($E86:$I86,0,AC$8+1)-INDEX($E86:$I86,0,AC$8))/(INDEX($D$5:$H$5,0,AC$8+1)-INDEX($D$5:$H$5,0,AC$8))+AB86)))</f>
        <v>69.309069222923057</v>
      </c>
      <c r="AD86" s="5" cm="1">
        <f t="array" ref="AD86">IF(AD$8=-1,AE86,IF(AD$8=99,AC86,IF(AD$8=0,INDEX($E86:$I86,0,AD$6),(INDEX($E86:$I86,0,AD$8+1)-INDEX($E86:$I86,0,AD$8))/(INDEX($D$5:$H$5,0,AD$8+1)-INDEX($D$5:$H$5,0,AD$8))+AC86)))</f>
        <v>69.309069222923057</v>
      </c>
      <c r="AE86" s="5" cm="1">
        <f t="array" ref="AE86">IF(AE$8=-1,AF86,IF(AE$8=99,AD86,IF(AE$8=0,INDEX($E86:$I86,0,AE$6),(INDEX($E86:$I86,0,AE$8+1)-INDEX($E86:$I86,0,AE$8))/(INDEX($D$5:$H$5,0,AE$8+1)-INDEX($D$5:$H$5,0,AE$8))+AD86)))</f>
        <v>69.309069222923057</v>
      </c>
      <c r="AF86" s="5" cm="1">
        <f t="array" ref="AF86">IF(AF$8=-1,AG86,IF(AF$8=99,AE86,IF(AF$8=0,INDEX($E86:$I86,0,AF$6),(INDEX($E86:$I86,0,AF$8+1)-INDEX($E86:$I86,0,AF$8))/(INDEX($D$5:$H$5,0,AF$8+1)-INDEX($D$5:$H$5,0,AF$8))+AE86)))</f>
        <v>69.309069222923057</v>
      </c>
      <c r="AG86" s="5" cm="1">
        <f t="array" ref="AG86">IF(AG$8=-1,AH86,IF(AG$8=99,AF86,IF(AG$8=0,INDEX($E86:$I86,0,AG$6),(INDEX($E86:$I86,0,AG$8+1)-INDEX($E86:$I86,0,AG$8))/(INDEX($D$5:$H$5,0,AG$8+1)-INDEX($D$5:$H$5,0,AG$8))+AF86)))</f>
        <v>69.309069222923057</v>
      </c>
      <c r="AH86" s="5" cm="1">
        <f t="array" ref="AH86">IF(AH$8=-1,AI86,IF(AH$8=99,AG86,IF(AH$8=0,INDEX($E86:$I86,0,AH$6),(INDEX($E86:$I86,0,AH$8+1)-INDEX($E86:$I86,0,AH$8))/(INDEX($D$5:$H$5,0,AH$8+1)-INDEX($D$5:$H$5,0,AH$8))+AG86)))</f>
        <v>69.309069222923057</v>
      </c>
      <c r="AI86" s="5" cm="1">
        <f t="array" ref="AI86">IF(AI$8=-1,AJ86,IF(AI$8=99,AH86,IF(AI$8=0,INDEX($E86:$I86,0,AI$6),(INDEX($E86:$I86,0,AI$8+1)-INDEX($E86:$I86,0,AI$8))/(INDEX($D$5:$H$5,0,AI$8+1)-INDEX($D$5:$H$5,0,AI$8))+AH86)))</f>
        <v>69.309069222923057</v>
      </c>
      <c r="AJ86" s="5" cm="1">
        <f t="array" ref="AJ86">IF(AJ$8=-1,AK86,IF(AJ$8=99,AI86,IF(AJ$8=0,INDEX($E86:$I86,0,AJ$6),(INDEX($E86:$I86,0,AJ$8+1)-INDEX($E86:$I86,0,AJ$8))/(INDEX($D$5:$H$5,0,AJ$8+1)-INDEX($D$5:$H$5,0,AJ$8))+AI86)))</f>
        <v>69.309069222923057</v>
      </c>
      <c r="AK86" s="5" cm="1">
        <f t="array" ref="AK86">IF(AK$8=-1,AL86,IF(AK$8=99,AJ86,IF(AK$8=0,INDEX($E86:$I86,0,AK$6),(INDEX($E86:$I86,0,AK$8+1)-INDEX($E86:$I86,0,AK$8))/(INDEX($D$5:$H$5,0,AK$8+1)-INDEX($D$5:$H$5,0,AK$8))+AJ86)))</f>
        <v>69.309069222923057</v>
      </c>
      <c r="AL86" s="5" cm="1">
        <f t="array" ref="AL86">IF(AL$8=-1,AM86,IF(AL$8=99,AK86,IF(AL$8=0,INDEX($E86:$I86,0,AL$6),(INDEX($E86:$I86,0,AL$8+1)-INDEX($E86:$I86,0,AL$8))/(INDEX($D$5:$H$5,0,AL$8+1)-INDEX($D$5:$H$5,0,AL$8))+AK86)))</f>
        <v>69.309069222923057</v>
      </c>
      <c r="AM86" s="5" cm="1">
        <f t="array" ref="AM86">IF(AM$8=-1,AN86,IF(AM$8=99,AL86,IF(AM$8=0,INDEX($E86:$I86,0,AM$6),(INDEX($E86:$I86,0,AM$8+1)-INDEX($E86:$I86,0,AM$8))/(INDEX($D$5:$H$5,0,AM$8+1)-INDEX($D$5:$H$5,0,AM$8))+AL86)))</f>
        <v>69.309069222923057</v>
      </c>
      <c r="AN86" s="5" cm="1">
        <f t="array" ref="AN86">IF(AN$8=-1,AO86,IF(AN$8=99,AM86,IF(AN$8=0,INDEX($E86:$I86,0,AN$6),(INDEX($E86:$I86,0,AN$8+1)-INDEX($E86:$I86,0,AN$8))/(INDEX($D$5:$H$5,0,AN$8+1)-INDEX($D$5:$H$5,0,AN$8))+AM86)))</f>
        <v>69.309069222923057</v>
      </c>
      <c r="AO86" s="5" cm="1">
        <f t="array" ref="AO86">IF(AO$8=-1,AP86,IF(AO$8=99,AN86,IF(AO$8=0,INDEX($E86:$I86,0,AO$6),(INDEX($E86:$I86,0,AO$8+1)-INDEX($E86:$I86,0,AO$8))/(INDEX($D$5:$H$5,0,AO$8+1)-INDEX($D$5:$H$5,0,AO$8))+AN86)))</f>
        <v>69.309069222923057</v>
      </c>
      <c r="AP86" s="5" cm="1">
        <f t="array" ref="AP86">IF(AP$8=-1,AQ86,IF(AP$8=99,AO86,IF(AP$8=0,INDEX($E86:$I86,0,AP$6),(INDEX($E86:$I86,0,AP$8+1)-INDEX($E86:$I86,0,AP$8))/(INDEX($D$5:$H$5,0,AP$8+1)-INDEX($D$5:$H$5,0,AP$8))+AO86)))</f>
        <v>69.309069222923057</v>
      </c>
      <c r="AQ86" s="5" cm="1">
        <f t="array" ref="AQ86">IF(AQ$8=-1,AR86,IF(AQ$8=99,AP86,IF(AQ$8=0,INDEX($E86:$I86,0,AQ$6),(INDEX($E86:$I86,0,AQ$8+1)-INDEX($E86:$I86,0,AQ$8))/(INDEX($D$5:$H$5,0,AQ$8+1)-INDEX($D$5:$H$5,0,AQ$8))+AP86)))</f>
        <v>69.309069222923057</v>
      </c>
      <c r="AR86" s="5" cm="1">
        <f t="array" ref="AR86">IF(AR$8=-1,AS86,IF(AR$8=99,AQ86,IF(AR$8=0,INDEX($E86:$I86,0,AR$6),(INDEX($E86:$I86,0,AR$8+1)-INDEX($E86:$I86,0,AR$8))/(INDEX($D$5:$H$5,0,AR$8+1)-INDEX($D$5:$H$5,0,AR$8))+AQ86)))</f>
        <v>69.309069222923057</v>
      </c>
      <c r="AS86" s="5" cm="1">
        <f t="array" ref="AS86">IF(AS$8=-1,AT86,IF(AS$8=99,AR86,IF(AS$8=0,INDEX($E86:$I86,0,AS$6),(INDEX($E86:$I86,0,AS$8+1)-INDEX($E86:$I86,0,AS$8))/(INDEX($D$5:$H$5,0,AS$8+1)-INDEX($D$5:$H$5,0,AS$8))+AR86)))</f>
        <v>69.309069222923057</v>
      </c>
      <c r="AT86" s="5" cm="1">
        <f t="array" ref="AT86">IF(AT$8=-1,AU86,IF(AT$8=99,AS86,IF(AT$8=0,INDEX($E86:$I86,0,AT$6),(INDEX($E86:$I86,0,AT$8+1)-INDEX($E86:$I86,0,AT$8))/(INDEX($D$5:$H$5,0,AT$8+1)-INDEX($D$5:$H$5,0,AT$8))+AS86)))</f>
        <v>69.309069222923057</v>
      </c>
      <c r="AU86" s="5" cm="1">
        <f t="array" ref="AU86">IF(AU$8=-1,AV86,IF(AU$8=99,AT86,IF(AU$8=0,INDEX($E86:$I86,0,AU$6),(INDEX($E86:$I86,0,AU$8+1)-INDEX($E86:$I86,0,AU$8))/(INDEX($D$5:$H$5,0,AU$8+1)-INDEX($D$5:$H$5,0,AU$8))+AT86)))</f>
        <v>69.309069222923057</v>
      </c>
      <c r="AV86" s="5" cm="1">
        <f t="array" ref="AV86">IF(AV$8=-1,AW86,IF(AV$8=99,AU86,IF(AV$8=0,INDEX($E86:$I86,0,AV$6),(INDEX($E86:$I86,0,AV$8+1)-INDEX($E86:$I86,0,AV$8))/(INDEX($D$5:$H$5,0,AV$8+1)-INDEX($D$5:$H$5,0,AV$8))+AU86)))</f>
        <v>69.309069222923057</v>
      </c>
    </row>
    <row r="87" spans="1:48">
      <c r="A87" t="s">
        <v>16</v>
      </c>
      <c r="B87" s="233" t="s">
        <v>254</v>
      </c>
      <c r="C87" s="95" t="str">
        <f t="shared" si="28"/>
        <v>Commercial - Public lights</v>
      </c>
      <c r="D87" s="95" t="s">
        <v>75</v>
      </c>
      <c r="E87" s="153">
        <f t="shared" si="31"/>
        <v>0</v>
      </c>
      <c r="F87" s="92">
        <f t="shared" si="31"/>
        <v>0</v>
      </c>
      <c r="G87" s="154">
        <f t="shared" si="29"/>
        <v>0</v>
      </c>
      <c r="H87" s="92">
        <f t="shared" si="32"/>
        <v>0</v>
      </c>
      <c r="I87" s="155">
        <f t="shared" si="30"/>
        <v>0</v>
      </c>
      <c r="J87" s="5" cm="1">
        <f t="array" ref="J87">IF(J$8=-1,K87,IF(J$8=99,I87,IF(J$8=0,INDEX($E87:$I87,0,J$6),(INDEX($E87:$I87,0,J$8+1)-INDEX($E87:$I87,0,J$8))/(INDEX($D$5:$H$5,0,J$8+1)-INDEX($D$5:$H$5,0,J$8))+I87)))</f>
        <v>0</v>
      </c>
      <c r="K87" s="5" cm="1">
        <f t="array" ref="K87">IF(K$8=-1,L87,IF(K$8=99,J87,IF(K$8=0,INDEX($E87:$I87,0,K$6),(INDEX($E87:$I87,0,K$8+1)-INDEX($E87:$I87,0,K$8))/(INDEX($D$5:$H$5,0,K$8+1)-INDEX($D$5:$H$5,0,K$8))+J87)))</f>
        <v>0</v>
      </c>
      <c r="L87" s="5" cm="1">
        <f t="array" ref="L87">IF(L$8=-1,M87,IF(L$8=99,K87,IF(L$8=0,INDEX($E87:$I87,0,L$6),(INDEX($E87:$I87,0,L$8+1)-INDEX($E87:$I87,0,L$8))/(INDEX($D$5:$H$5,0,L$8+1)-INDEX($D$5:$H$5,0,L$8))+K87)))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IF(AO$8=-1,AP87,IF(AO$8=99,AN87,IF(AO$8=0,INDEX($E87:$I87,0,AO$6),(INDEX($E87:$I87,0,AO$8+1)-INDEX($E87:$I87,0,AO$8))/(INDEX($D$5:$H$5,0,AO$8+1)-INDEX($D$5:$H$5,0,AO$8))+AN87)))</f>
        <v>0</v>
      </c>
      <c r="AP87" s="5" cm="1">
        <f t="array" ref="AP87">IF(AP$8=-1,AQ87,IF(AP$8=99,AO87,IF(AP$8=0,INDEX($E87:$I87,0,AP$6),(INDEX($E87:$I87,0,AP$8+1)-INDEX($E87:$I87,0,AP$8))/(INDEX($D$5:$H$5,0,AP$8+1)-INDEX($D$5:$H$5,0,AP$8))+AO87)))</f>
        <v>0</v>
      </c>
      <c r="AQ87" s="5" cm="1">
        <f t="array" ref="AQ87">IF(AQ$8=-1,AR87,IF(AQ$8=99,AP87,IF(AQ$8=0,INDEX($E87:$I87,0,AQ$6),(INDEX($E87:$I87,0,AQ$8+1)-INDEX($E87:$I87,0,AQ$8))/(INDEX($D$5:$H$5,0,AQ$8+1)-INDEX($D$5:$H$5,0,AQ$8))+AP87)))</f>
        <v>0</v>
      </c>
      <c r="AR87" s="5" cm="1">
        <f t="array" ref="AR87">IF(AR$8=-1,AS87,IF(AR$8=99,AQ87,IF(AR$8=0,INDEX($E87:$I87,0,AR$6),(INDEX($E87:$I87,0,AR$8+1)-INDEX($E87:$I87,0,AR$8))/(INDEX($D$5:$H$5,0,AR$8+1)-INDEX($D$5:$H$5,0,AR$8))+AQ87)))</f>
        <v>0</v>
      </c>
      <c r="AS87" s="5" cm="1">
        <f t="array" ref="AS87">IF(AS$8=-1,AT87,IF(AS$8=99,AR87,IF(AS$8=0,INDEX($E87:$I87,0,AS$6),(INDEX($E87:$I87,0,AS$8+1)-INDEX($E87:$I87,0,AS$8))/(INDEX($D$5:$H$5,0,AS$8+1)-INDEX($D$5:$H$5,0,AS$8))+AR87)))</f>
        <v>0</v>
      </c>
      <c r="AT87" s="5" cm="1">
        <f t="array" ref="AT87">IF(AT$8=-1,AU87,IF(AT$8=99,AS87,IF(AT$8=0,INDEX($E87:$I87,0,AT$6),(INDEX($E87:$I87,0,AT$8+1)-INDEX($E87:$I87,0,AT$8))/(INDEX($D$5:$H$5,0,AT$8+1)-INDEX($D$5:$H$5,0,AT$8))+AS87)))</f>
        <v>0</v>
      </c>
      <c r="AU87" s="5" cm="1">
        <f t="array" ref="AU87">IF(AU$8=-1,AV87,IF(AU$8=99,AT87,IF(AU$8=0,INDEX($E87:$I87,0,AU$6),(INDEX($E87:$I87,0,AU$8+1)-INDEX($E87:$I87,0,AU$8))/(INDEX($D$5:$H$5,0,AU$8+1)-INDEX($D$5:$H$5,0,AU$8))+AT87)))</f>
        <v>0</v>
      </c>
      <c r="AV87" s="5" cm="1">
        <f t="array" ref="AV87">IF(AV$8=-1,AW87,IF(AV$8=99,AU87,IF(AV$8=0,INDEX($E87:$I87,0,AV$6),(INDEX($E87:$I87,0,AV$8+1)-INDEX($E87:$I87,0,AV$8))/(INDEX($D$5:$H$5,0,AV$8+1)-INDEX($D$5:$H$5,0,AV$8))+AU87)))</f>
        <v>0</v>
      </c>
    </row>
    <row r="88" spans="1:48">
      <c r="A88" t="s">
        <v>16</v>
      </c>
      <c r="B88" s="233" t="s">
        <v>255</v>
      </c>
      <c r="C88" s="95" t="str">
        <f t="shared" si="28"/>
        <v>Commercial - Public Water</v>
      </c>
      <c r="D88" s="95" t="s">
        <v>75</v>
      </c>
      <c r="E88" s="153">
        <f t="shared" si="31"/>
        <v>0</v>
      </c>
      <c r="F88" s="92">
        <f t="shared" si="31"/>
        <v>0</v>
      </c>
      <c r="G88" s="154">
        <f t="shared" si="29"/>
        <v>0</v>
      </c>
      <c r="H88" s="92">
        <f t="shared" si="32"/>
        <v>0</v>
      </c>
      <c r="I88" s="155">
        <f t="shared" si="30"/>
        <v>0</v>
      </c>
      <c r="J88" s="5" cm="1">
        <f t="array" ref="J88">IF(J$8=-1,K88,IF(J$8=99,I88,IF(J$8=0,INDEX($E88:$I88,0,J$6),(INDEX($E88:$I88,0,J$8+1)-INDEX($E88:$I88,0,J$8))/(INDEX($D$5:$H$5,0,J$8+1)-INDEX($D$5:$H$5,0,J$8))+I88)))</f>
        <v>0</v>
      </c>
      <c r="K88" s="5" cm="1">
        <f t="array" ref="K88">IF(K$8=-1,L88,IF(K$8=99,J88,IF(K$8=0,INDEX($E88:$I88,0,K$6),(INDEX($E88:$I88,0,K$8+1)-INDEX($E88:$I88,0,K$8))/(INDEX($D$5:$H$5,0,K$8+1)-INDEX($D$5:$H$5,0,K$8))+J88)))</f>
        <v>0</v>
      </c>
      <c r="L88" s="5" cm="1">
        <f t="array" ref="L88">IF(L$8=-1,M88,IF(L$8=99,K88,IF(L$8=0,INDEX($E88:$I88,0,L$6),(INDEX($E88:$I88,0,L$8+1)-INDEX($E88:$I88,0,L$8))/(INDEX($D$5:$H$5,0,L$8+1)-INDEX($D$5:$H$5,0,L$8))+K88)))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IF(AO$8=-1,AP88,IF(AO$8=99,AN88,IF(AO$8=0,INDEX($E88:$I88,0,AO$6),(INDEX($E88:$I88,0,AO$8+1)-INDEX($E88:$I88,0,AO$8))/(INDEX($D$5:$H$5,0,AO$8+1)-INDEX($D$5:$H$5,0,AO$8))+AN88)))</f>
        <v>0</v>
      </c>
      <c r="AP88" s="5" cm="1">
        <f t="array" ref="AP88">IF(AP$8=-1,AQ88,IF(AP$8=99,AO88,IF(AP$8=0,INDEX($E88:$I88,0,AP$6),(INDEX($E88:$I88,0,AP$8+1)-INDEX($E88:$I88,0,AP$8))/(INDEX($D$5:$H$5,0,AP$8+1)-INDEX($D$5:$H$5,0,AP$8))+AO88)))</f>
        <v>0</v>
      </c>
      <c r="AQ88" s="5" cm="1">
        <f t="array" ref="AQ88">IF(AQ$8=-1,AR88,IF(AQ$8=99,AP88,IF(AQ$8=0,INDEX($E88:$I88,0,AQ$6),(INDEX($E88:$I88,0,AQ$8+1)-INDEX($E88:$I88,0,AQ$8))/(INDEX($D$5:$H$5,0,AQ$8+1)-INDEX($D$5:$H$5,0,AQ$8))+AP88)))</f>
        <v>0</v>
      </c>
      <c r="AR88" s="5" cm="1">
        <f t="array" ref="AR88">IF(AR$8=-1,AS88,IF(AR$8=99,AQ88,IF(AR$8=0,INDEX($E88:$I88,0,AR$6),(INDEX($E88:$I88,0,AR$8+1)-INDEX($E88:$I88,0,AR$8))/(INDEX($D$5:$H$5,0,AR$8+1)-INDEX($D$5:$H$5,0,AR$8))+AQ88)))</f>
        <v>0</v>
      </c>
      <c r="AS88" s="5" cm="1">
        <f t="array" ref="AS88">IF(AS$8=-1,AT88,IF(AS$8=99,AR88,IF(AS$8=0,INDEX($E88:$I88,0,AS$6),(INDEX($E88:$I88,0,AS$8+1)-INDEX($E88:$I88,0,AS$8))/(INDEX($D$5:$H$5,0,AS$8+1)-INDEX($D$5:$H$5,0,AS$8))+AR88)))</f>
        <v>0</v>
      </c>
      <c r="AT88" s="5" cm="1">
        <f t="array" ref="AT88">IF(AT$8=-1,AU88,IF(AT$8=99,AS88,IF(AT$8=0,INDEX($E88:$I88,0,AT$6),(INDEX($E88:$I88,0,AT$8+1)-INDEX($E88:$I88,0,AT$8))/(INDEX($D$5:$H$5,0,AT$8+1)-INDEX($D$5:$H$5,0,AT$8))+AS88)))</f>
        <v>0</v>
      </c>
      <c r="AU88" s="5" cm="1">
        <f t="array" ref="AU88">IF(AU$8=-1,AV88,IF(AU$8=99,AT88,IF(AU$8=0,INDEX($E88:$I88,0,AU$6),(INDEX($E88:$I88,0,AU$8+1)-INDEX($E88:$I88,0,AU$8))/(INDEX($D$5:$H$5,0,AU$8+1)-INDEX($D$5:$H$5,0,AU$8))+AT88)))</f>
        <v>0</v>
      </c>
      <c r="AV88" s="5" cm="1">
        <f t="array" ref="AV88">IF(AV$8=-1,AW88,IF(AV$8=99,AU88,IF(AV$8=0,INDEX($E88:$I88,0,AV$6),(INDEX($E88:$I88,0,AV$8+1)-INDEX($E88:$I88,0,AV$8))/(INDEX($D$5:$H$5,0,AV$8+1)-INDEX($D$5:$H$5,0,AV$8))+AU88)))</f>
        <v>0</v>
      </c>
    </row>
    <row r="89" spans="1:48">
      <c r="A89" t="s">
        <v>16</v>
      </c>
      <c r="B89" s="233" t="s">
        <v>256</v>
      </c>
      <c r="C89" s="75" t="str">
        <f t="shared" si="28"/>
        <v>Commercial - Other</v>
      </c>
      <c r="D89" s="75" t="s">
        <v>75</v>
      </c>
      <c r="E89" s="84">
        <f t="shared" si="31"/>
        <v>141.24997285391134</v>
      </c>
      <c r="F89" s="92">
        <f t="shared" si="31"/>
        <v>122.09850463575508</v>
      </c>
      <c r="G89" s="92">
        <f t="shared" si="29"/>
        <v>122.09850463575508</v>
      </c>
      <c r="H89" s="92">
        <f t="shared" si="32"/>
        <v>122.09850463575508</v>
      </c>
      <c r="I89" s="136">
        <f t="shared" si="30"/>
        <v>122.09850463575508</v>
      </c>
      <c r="J89" s="5" cm="1">
        <f t="array" ref="J89">IF(J$8=-1,K89,IF(J$8=99,I89,IF(J$8=0,INDEX($E89:$I89,0,J$6),(INDEX($E89:$I89,0,J$8+1)-INDEX($E89:$I89,0,J$8))/(INDEX($D$5:$H$5,0,J$8+1)-INDEX($D$5:$H$5,0,J$8))+I89)))</f>
        <v>141.24997285391134</v>
      </c>
      <c r="K89" s="5" cm="1">
        <f t="array" ref="K89">IF(K$8=-1,L89,IF(K$8=99,J89,IF(K$8=0,INDEX($E89:$I89,0,K$6),(INDEX($E89:$I89,0,K$8+1)-INDEX($E89:$I89,0,K$8))/(INDEX($D$5:$H$5,0,K$8+1)-INDEX($D$5:$H$5,0,K$8))+J89)))</f>
        <v>137.41967921028009</v>
      </c>
      <c r="L89" s="5" cm="1">
        <f t="array" ref="L89">IF(L$8=-1,M89,IF(L$8=99,K89,IF(L$8=0,INDEX($E89:$I89,0,L$6),(INDEX($E89:$I89,0,L$8+1)-INDEX($E89:$I89,0,L$8))/(INDEX($D$5:$H$5,0,L$8+1)-INDEX($D$5:$H$5,0,L$8))+K89)))</f>
        <v>133.58938556664884</v>
      </c>
      <c r="M89" s="5" cm="1">
        <f t="array" ref="M89">IF(M$8=-1,N89,IF(M$8=99,L89,IF(M$8=0,INDEX($E89:$I89,0,M$6),(INDEX($E89:$I89,0,M$8+1)-INDEX($E89:$I89,0,M$8))/(INDEX($D$5:$H$5,0,M$8+1)-INDEX($D$5:$H$5,0,M$8))+L89)))</f>
        <v>129.75909192301759</v>
      </c>
      <c r="N89" s="5" cm="1">
        <f t="array" ref="N89">IF(N$8=-1,O89,IF(N$8=99,M89,IF(N$8=0,INDEX($E89:$I89,0,N$6),(INDEX($E89:$I89,0,N$8+1)-INDEX($E89:$I89,0,N$8))/(INDEX($D$5:$H$5,0,N$8+1)-INDEX($D$5:$H$5,0,N$8))+M89)))</f>
        <v>125.92879827938634</v>
      </c>
      <c r="O89" s="5" cm="1">
        <f t="array" ref="O89">IF(O$8=-1,P89,IF(O$8=99,N89,IF(O$8=0,INDEX($E89:$I89,0,O$6),(INDEX($E89:$I89,0,O$8+1)-INDEX($E89:$I89,0,O$8))/(INDEX($D$5:$H$5,0,O$8+1)-INDEX($D$5:$H$5,0,O$8))+N89)))</f>
        <v>122.09850463575508</v>
      </c>
      <c r="P89" s="5" cm="1">
        <f t="array" ref="P89">IF(P$8=-1,Q89,IF(P$8=99,O89,IF(P$8=0,INDEX($E89:$I89,0,P$6),(INDEX($E89:$I89,0,P$8+1)-INDEX($E89:$I89,0,P$8))/(INDEX($D$5:$H$5,0,P$8+1)-INDEX($D$5:$H$5,0,P$8))+O89)))</f>
        <v>122.09850463575508</v>
      </c>
      <c r="Q89" s="5" cm="1">
        <f t="array" ref="Q89">IF(Q$8=-1,R89,IF(Q$8=99,P89,IF(Q$8=0,INDEX($E89:$I89,0,Q$6),(INDEX($E89:$I89,0,Q$8+1)-INDEX($E89:$I89,0,Q$8))/(INDEX($D$5:$H$5,0,Q$8+1)-INDEX($D$5:$H$5,0,Q$8))+P89)))</f>
        <v>122.09850463575508</v>
      </c>
      <c r="R89" s="5" cm="1">
        <f t="array" ref="R89">IF(R$8=-1,S89,IF(R$8=99,Q89,IF(R$8=0,INDEX($E89:$I89,0,R$6),(INDEX($E89:$I89,0,R$8+1)-INDEX($E89:$I89,0,R$8))/(INDEX($D$5:$H$5,0,R$8+1)-INDEX($D$5:$H$5,0,R$8))+Q89)))</f>
        <v>122.09850463575508</v>
      </c>
      <c r="S89" s="5" cm="1">
        <f t="array" ref="S89">IF(S$8=-1,T89,IF(S$8=99,R89,IF(S$8=0,INDEX($E89:$I89,0,S$6),(INDEX($E89:$I89,0,S$8+1)-INDEX($E89:$I89,0,S$8))/(INDEX($D$5:$H$5,0,S$8+1)-INDEX($D$5:$H$5,0,S$8))+R89)))</f>
        <v>122.09850463575508</v>
      </c>
      <c r="T89" s="5" cm="1">
        <f t="array" ref="T89">IF(T$8=-1,U89,IF(T$8=99,S89,IF(T$8=0,INDEX($E89:$I89,0,T$6),(INDEX($E89:$I89,0,T$8+1)-INDEX($E89:$I89,0,T$8))/(INDEX($D$5:$H$5,0,T$8+1)-INDEX($D$5:$H$5,0,T$8))+S89)))</f>
        <v>122.09850463575508</v>
      </c>
      <c r="U89" s="5" cm="1">
        <f t="array" ref="U89">IF(U$8=-1,V89,IF(U$8=99,T89,IF(U$8=0,INDEX($E89:$I89,0,U$6),(INDEX($E89:$I89,0,U$8+1)-INDEX($E89:$I89,0,U$8))/(INDEX($D$5:$H$5,0,U$8+1)-INDEX($D$5:$H$5,0,U$8))+T89)))</f>
        <v>122.09850463575508</v>
      </c>
      <c r="V89" s="5" cm="1">
        <f t="array" ref="V89">IF(V$8=-1,W89,IF(V$8=99,U89,IF(V$8=0,INDEX($E89:$I89,0,V$6),(INDEX($E89:$I89,0,V$8+1)-INDEX($E89:$I89,0,V$8))/(INDEX($D$5:$H$5,0,V$8+1)-INDEX($D$5:$H$5,0,V$8))+U89)))</f>
        <v>122.09850463575508</v>
      </c>
      <c r="W89" s="5" cm="1">
        <f t="array" ref="W89">IF(W$8=-1,X89,IF(W$8=99,V89,IF(W$8=0,INDEX($E89:$I89,0,W$6),(INDEX($E89:$I89,0,W$8+1)-INDEX($E89:$I89,0,W$8))/(INDEX($D$5:$H$5,0,W$8+1)-INDEX($D$5:$H$5,0,W$8))+V89)))</f>
        <v>122.09850463575508</v>
      </c>
      <c r="X89" s="5" cm="1">
        <f t="array" ref="X89">IF(X$8=-1,Y89,IF(X$8=99,W89,IF(X$8=0,INDEX($E89:$I89,0,X$6),(INDEX($E89:$I89,0,X$8+1)-INDEX($E89:$I89,0,X$8))/(INDEX($D$5:$H$5,0,X$8+1)-INDEX($D$5:$H$5,0,X$8))+W89)))</f>
        <v>122.09850463575508</v>
      </c>
      <c r="Y89" s="5" cm="1">
        <f t="array" ref="Y89">IF(Y$8=-1,Z89,IF(Y$8=99,X89,IF(Y$8=0,INDEX($E89:$I89,0,Y$6),(INDEX($E89:$I89,0,Y$8+1)-INDEX($E89:$I89,0,Y$8))/(INDEX($D$5:$H$5,0,Y$8+1)-INDEX($D$5:$H$5,0,Y$8))+X89)))</f>
        <v>122.09850463575508</v>
      </c>
      <c r="Z89" s="5" cm="1">
        <f t="array" ref="Z89">IF(Z$8=-1,AA89,IF(Z$8=99,Y89,IF(Z$8=0,INDEX($E89:$I89,0,Z$6),(INDEX($E89:$I89,0,Z$8+1)-INDEX($E89:$I89,0,Z$8))/(INDEX($D$5:$H$5,0,Z$8+1)-INDEX($D$5:$H$5,0,Z$8))+Y89)))</f>
        <v>122.09850463575508</v>
      </c>
      <c r="AA89" s="5" cm="1">
        <f t="array" ref="AA89">IF(AA$8=-1,AB89,IF(AA$8=99,Z89,IF(AA$8=0,INDEX($E89:$I89,0,AA$6),(INDEX($E89:$I89,0,AA$8+1)-INDEX($E89:$I89,0,AA$8))/(INDEX($D$5:$H$5,0,AA$8+1)-INDEX($D$5:$H$5,0,AA$8))+Z89)))</f>
        <v>122.09850463575508</v>
      </c>
      <c r="AB89" s="5" cm="1">
        <f t="array" ref="AB89">IF(AB$8=-1,AC89,IF(AB$8=99,AA89,IF(AB$8=0,INDEX($E89:$I89,0,AB$6),(INDEX($E89:$I89,0,AB$8+1)-INDEX($E89:$I89,0,AB$8))/(INDEX($D$5:$H$5,0,AB$8+1)-INDEX($D$5:$H$5,0,AB$8))+AA89)))</f>
        <v>122.09850463575508</v>
      </c>
      <c r="AC89" s="5" cm="1">
        <f t="array" ref="AC89">IF(AC$8=-1,AD89,IF(AC$8=99,AB89,IF(AC$8=0,INDEX($E89:$I89,0,AC$6),(INDEX($E89:$I89,0,AC$8+1)-INDEX($E89:$I89,0,AC$8))/(INDEX($D$5:$H$5,0,AC$8+1)-INDEX($D$5:$H$5,0,AC$8))+AB89)))</f>
        <v>122.09850463575508</v>
      </c>
      <c r="AD89" s="5" cm="1">
        <f t="array" ref="AD89">IF(AD$8=-1,AE89,IF(AD$8=99,AC89,IF(AD$8=0,INDEX($E89:$I89,0,AD$6),(INDEX($E89:$I89,0,AD$8+1)-INDEX($E89:$I89,0,AD$8))/(INDEX($D$5:$H$5,0,AD$8+1)-INDEX($D$5:$H$5,0,AD$8))+AC89)))</f>
        <v>122.09850463575508</v>
      </c>
      <c r="AE89" s="5" cm="1">
        <f t="array" ref="AE89">IF(AE$8=-1,AF89,IF(AE$8=99,AD89,IF(AE$8=0,INDEX($E89:$I89,0,AE$6),(INDEX($E89:$I89,0,AE$8+1)-INDEX($E89:$I89,0,AE$8))/(INDEX($D$5:$H$5,0,AE$8+1)-INDEX($D$5:$H$5,0,AE$8))+AD89)))</f>
        <v>122.09850463575508</v>
      </c>
      <c r="AF89" s="5" cm="1">
        <f t="array" ref="AF89">IF(AF$8=-1,AG89,IF(AF$8=99,AE89,IF(AF$8=0,INDEX($E89:$I89,0,AF$6),(INDEX($E89:$I89,0,AF$8+1)-INDEX($E89:$I89,0,AF$8))/(INDEX($D$5:$H$5,0,AF$8+1)-INDEX($D$5:$H$5,0,AF$8))+AE89)))</f>
        <v>122.09850463575508</v>
      </c>
      <c r="AG89" s="5" cm="1">
        <f t="array" ref="AG89">IF(AG$8=-1,AH89,IF(AG$8=99,AF89,IF(AG$8=0,INDEX($E89:$I89,0,AG$6),(INDEX($E89:$I89,0,AG$8+1)-INDEX($E89:$I89,0,AG$8))/(INDEX($D$5:$H$5,0,AG$8+1)-INDEX($D$5:$H$5,0,AG$8))+AF89)))</f>
        <v>122.09850463575508</v>
      </c>
      <c r="AH89" s="5" cm="1">
        <f t="array" ref="AH89">IF(AH$8=-1,AI89,IF(AH$8=99,AG89,IF(AH$8=0,INDEX($E89:$I89,0,AH$6),(INDEX($E89:$I89,0,AH$8+1)-INDEX($E89:$I89,0,AH$8))/(INDEX($D$5:$H$5,0,AH$8+1)-INDEX($D$5:$H$5,0,AH$8))+AG89)))</f>
        <v>122.09850463575508</v>
      </c>
      <c r="AI89" s="5" cm="1">
        <f t="array" ref="AI89">IF(AI$8=-1,AJ89,IF(AI$8=99,AH89,IF(AI$8=0,INDEX($E89:$I89,0,AI$6),(INDEX($E89:$I89,0,AI$8+1)-INDEX($E89:$I89,0,AI$8))/(INDEX($D$5:$H$5,0,AI$8+1)-INDEX($D$5:$H$5,0,AI$8))+AH89)))</f>
        <v>122.09850463575508</v>
      </c>
      <c r="AJ89" s="5" cm="1">
        <f t="array" ref="AJ89">IF(AJ$8=-1,AK89,IF(AJ$8=99,AI89,IF(AJ$8=0,INDEX($E89:$I89,0,AJ$6),(INDEX($E89:$I89,0,AJ$8+1)-INDEX($E89:$I89,0,AJ$8))/(INDEX($D$5:$H$5,0,AJ$8+1)-INDEX($D$5:$H$5,0,AJ$8))+AI89)))</f>
        <v>122.09850463575508</v>
      </c>
      <c r="AK89" s="5" cm="1">
        <f t="array" ref="AK89">IF(AK$8=-1,AL89,IF(AK$8=99,AJ89,IF(AK$8=0,INDEX($E89:$I89,0,AK$6),(INDEX($E89:$I89,0,AK$8+1)-INDEX($E89:$I89,0,AK$8))/(INDEX($D$5:$H$5,0,AK$8+1)-INDEX($D$5:$H$5,0,AK$8))+AJ89)))</f>
        <v>122.09850463575508</v>
      </c>
      <c r="AL89" s="5" cm="1">
        <f t="array" ref="AL89">IF(AL$8=-1,AM89,IF(AL$8=99,AK89,IF(AL$8=0,INDEX($E89:$I89,0,AL$6),(INDEX($E89:$I89,0,AL$8+1)-INDEX($E89:$I89,0,AL$8))/(INDEX($D$5:$H$5,0,AL$8+1)-INDEX($D$5:$H$5,0,AL$8))+AK89)))</f>
        <v>122.09850463575508</v>
      </c>
      <c r="AM89" s="5" cm="1">
        <f t="array" ref="AM89">IF(AM$8=-1,AN89,IF(AM$8=99,AL89,IF(AM$8=0,INDEX($E89:$I89,0,AM$6),(INDEX($E89:$I89,0,AM$8+1)-INDEX($E89:$I89,0,AM$8))/(INDEX($D$5:$H$5,0,AM$8+1)-INDEX($D$5:$H$5,0,AM$8))+AL89)))</f>
        <v>122.09850463575508</v>
      </c>
      <c r="AN89" s="5" cm="1">
        <f t="array" ref="AN89">IF(AN$8=-1,AO89,IF(AN$8=99,AM89,IF(AN$8=0,INDEX($E89:$I89,0,AN$6),(INDEX($E89:$I89,0,AN$8+1)-INDEX($E89:$I89,0,AN$8))/(INDEX($D$5:$H$5,0,AN$8+1)-INDEX($D$5:$H$5,0,AN$8))+AM89)))</f>
        <v>122.09850463575508</v>
      </c>
      <c r="AO89" s="5" cm="1">
        <f t="array" ref="AO89">IF(AO$8=-1,AP89,IF(AO$8=99,AN89,IF(AO$8=0,INDEX($E89:$I89,0,AO$6),(INDEX($E89:$I89,0,AO$8+1)-INDEX($E89:$I89,0,AO$8))/(INDEX($D$5:$H$5,0,AO$8+1)-INDEX($D$5:$H$5,0,AO$8))+AN89)))</f>
        <v>122.09850463575508</v>
      </c>
      <c r="AP89" s="5" cm="1">
        <f t="array" ref="AP89">IF(AP$8=-1,AQ89,IF(AP$8=99,AO89,IF(AP$8=0,INDEX($E89:$I89,0,AP$6),(INDEX($E89:$I89,0,AP$8+1)-INDEX($E89:$I89,0,AP$8))/(INDEX($D$5:$H$5,0,AP$8+1)-INDEX($D$5:$H$5,0,AP$8))+AO89)))</f>
        <v>122.09850463575508</v>
      </c>
      <c r="AQ89" s="5" cm="1">
        <f t="array" ref="AQ89">IF(AQ$8=-1,AR89,IF(AQ$8=99,AP89,IF(AQ$8=0,INDEX($E89:$I89,0,AQ$6),(INDEX($E89:$I89,0,AQ$8+1)-INDEX($E89:$I89,0,AQ$8))/(INDEX($D$5:$H$5,0,AQ$8+1)-INDEX($D$5:$H$5,0,AQ$8))+AP89)))</f>
        <v>122.09850463575508</v>
      </c>
      <c r="AR89" s="5" cm="1">
        <f t="array" ref="AR89">IF(AR$8=-1,AS89,IF(AR$8=99,AQ89,IF(AR$8=0,INDEX($E89:$I89,0,AR$6),(INDEX($E89:$I89,0,AR$8+1)-INDEX($E89:$I89,0,AR$8))/(INDEX($D$5:$H$5,0,AR$8+1)-INDEX($D$5:$H$5,0,AR$8))+AQ89)))</f>
        <v>122.09850463575508</v>
      </c>
      <c r="AS89" s="5" cm="1">
        <f t="array" ref="AS89">IF(AS$8=-1,AT89,IF(AS$8=99,AR89,IF(AS$8=0,INDEX($E89:$I89,0,AS$6),(INDEX($E89:$I89,0,AS$8+1)-INDEX($E89:$I89,0,AS$8))/(INDEX($D$5:$H$5,0,AS$8+1)-INDEX($D$5:$H$5,0,AS$8))+AR89)))</f>
        <v>122.09850463575508</v>
      </c>
      <c r="AT89" s="5" cm="1">
        <f t="array" ref="AT89">IF(AT$8=-1,AU89,IF(AT$8=99,AS89,IF(AT$8=0,INDEX($E89:$I89,0,AT$6),(INDEX($E89:$I89,0,AT$8+1)-INDEX($E89:$I89,0,AT$8))/(INDEX($D$5:$H$5,0,AT$8+1)-INDEX($D$5:$H$5,0,AT$8))+AS89)))</f>
        <v>122.09850463575508</v>
      </c>
      <c r="AU89" s="5" cm="1">
        <f t="array" ref="AU89">IF(AU$8=-1,AV89,IF(AU$8=99,AT89,IF(AU$8=0,INDEX($E89:$I89,0,AU$6),(INDEX($E89:$I89,0,AU$8+1)-INDEX($E89:$I89,0,AU$8))/(INDEX($D$5:$H$5,0,AU$8+1)-INDEX($D$5:$H$5,0,AU$8))+AT89)))</f>
        <v>122.09850463575508</v>
      </c>
      <c r="AV89" s="5" cm="1">
        <f t="array" ref="AV89">IF(AV$8=-1,AW89,IF(AV$8=99,AU89,IF(AV$8=0,INDEX($E89:$I89,0,AV$6),(INDEX($E89:$I89,0,AV$8+1)-INDEX($E89:$I89,0,AV$8))/(INDEX($D$5:$H$5,0,AV$8+1)-INDEX($D$5:$H$5,0,AV$8))+AU89)))</f>
        <v>122.09850463575508</v>
      </c>
    </row>
    <row r="90" spans="1:48">
      <c r="A90" t="s">
        <v>16</v>
      </c>
      <c r="B90" s="233"/>
      <c r="I90" s="137"/>
      <c r="K90" s="7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row>
    <row r="91" spans="1:48" ht="15.75" thickBot="1">
      <c r="A91" t="s">
        <v>16</v>
      </c>
      <c r="B91" s="91" t="s">
        <v>485</v>
      </c>
      <c r="C91" s="72"/>
      <c r="D91" s="73"/>
      <c r="H91" s="161">
        <f>VLOOKUP($L$57,$K$59:$O$66,4)</f>
        <v>0</v>
      </c>
      <c r="I91" s="162">
        <f>VLOOKUP($L$57,$K$59:$O$66,5)</f>
        <v>0</v>
      </c>
      <c r="K91" s="7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row>
    <row r="92" spans="1:48">
      <c r="A92" t="s">
        <v>16</v>
      </c>
      <c r="B92" s="233" t="str">
        <f>B70</f>
        <v>CEC</v>
      </c>
      <c r="C92" s="75" t="str">
        <f t="shared" ref="C92:C100" si="33">C81</f>
        <v>Commercial - Cooling</v>
      </c>
      <c r="D92" s="75" t="s">
        <v>75</v>
      </c>
      <c r="E92" s="84">
        <f>E81</f>
        <v>1051.567060091292</v>
      </c>
      <c r="F92" s="92">
        <f>F81</f>
        <v>863.94535743263168</v>
      </c>
      <c r="G92" s="92">
        <f t="shared" ref="G92:G100" si="34">F92</f>
        <v>863.94535743263168</v>
      </c>
      <c r="H92" s="92">
        <f>IF($L$57=-1,G92,((F92-E92)*2/5+E92)*(1+$H$91))</f>
        <v>863.94535743263168</v>
      </c>
      <c r="I92" s="136">
        <f>H92</f>
        <v>863.94535743263168</v>
      </c>
      <c r="J92" s="5" cm="1">
        <f t="array" ref="J92">IF(J$8=-1,K92,IF(J$8=99,I92,IF(J$8=0,INDEX($E92:$I92,0,J$6),(INDEX($E92:$I92,0,J$8+1)-INDEX($E92:$I92,0,J$8))/(INDEX($D$5:$H$5,0,J$8+1)-INDEX($D$5:$H$5,0,J$8))+I92)))</f>
        <v>1051.567060091292</v>
      </c>
      <c r="K92" s="5" cm="1">
        <f t="array" ref="K92">IF(K$8=-1,L92,IF(K$8=99,J92,IF(K$8=0,INDEX($E92:$I92,0,K$6),(INDEX($E92:$I92,0,K$8+1)-INDEX($E92:$I92,0,K$8))/(INDEX($D$5:$H$5,0,K$8+1)-INDEX($D$5:$H$5,0,K$8))+J92)))</f>
        <v>1014.0427195595599</v>
      </c>
      <c r="L92" s="5" cm="1">
        <f t="array" ref="L92">IF(L$8=-1,M92,IF(L$8=99,K92,IF(L$8=0,INDEX($E92:$I92,0,L$6),(INDEX($E92:$I92,0,L$8+1)-INDEX($E92:$I92,0,L$8))/(INDEX($D$5:$H$5,0,L$8+1)-INDEX($D$5:$H$5,0,L$8))+K92)))</f>
        <v>976.5183790278279</v>
      </c>
      <c r="M92" s="5" cm="1">
        <f t="array" ref="M92">IF(M$8=-1,N92,IF(M$8=99,L92,IF(M$8=0,INDEX($E92:$I92,0,M$6),(INDEX($E92:$I92,0,M$8+1)-INDEX($E92:$I92,0,M$8))/(INDEX($D$5:$H$5,0,M$8+1)-INDEX($D$5:$H$5,0,M$8))+L92)))</f>
        <v>938.99403849609587</v>
      </c>
      <c r="N92" s="5" cm="1">
        <f t="array" ref="N92">IF(N$8=-1,O92,IF(N$8=99,M92,IF(N$8=0,INDEX($E92:$I92,0,N$6),(INDEX($E92:$I92,0,N$8+1)-INDEX($E92:$I92,0,N$8))/(INDEX($D$5:$H$5,0,N$8+1)-INDEX($D$5:$H$5,0,N$8))+M92)))</f>
        <v>901.46969796436383</v>
      </c>
      <c r="O92" s="5" cm="1">
        <f t="array" ref="O92">IF(O$8=-1,P92,IF(O$8=99,N92,IF(O$8=0,INDEX($E92:$I92,0,O$6),(INDEX($E92:$I92,0,O$8+1)-INDEX($E92:$I92,0,O$8))/(INDEX($D$5:$H$5,0,O$8+1)-INDEX($D$5:$H$5,0,O$8))+N92)))</f>
        <v>863.94535743263168</v>
      </c>
      <c r="P92" s="5" cm="1">
        <f t="array" ref="P92">IF(P$8=-1,Q92,IF(P$8=99,O92,IF(P$8=0,INDEX($E92:$I92,0,P$6),(INDEX($E92:$I92,0,P$8+1)-INDEX($E92:$I92,0,P$8))/(INDEX($D$5:$H$5,0,P$8+1)-INDEX($D$5:$H$5,0,P$8))+O92)))</f>
        <v>863.94535743263168</v>
      </c>
      <c r="Q92" s="5" cm="1">
        <f t="array" ref="Q92">IF(Q$8=-1,R92,IF(Q$8=99,P92,IF(Q$8=0,INDEX($E92:$I92,0,Q$6),(INDEX($E92:$I92,0,Q$8+1)-INDEX($E92:$I92,0,Q$8))/(INDEX($D$5:$H$5,0,Q$8+1)-INDEX($D$5:$H$5,0,Q$8))+P92)))</f>
        <v>863.94535743263168</v>
      </c>
      <c r="R92" s="5" cm="1">
        <f t="array" ref="R92">IF(R$8=-1,S92,IF(R$8=99,Q92,IF(R$8=0,INDEX($E92:$I92,0,R$6),(INDEX($E92:$I92,0,R$8+1)-INDEX($E92:$I92,0,R$8))/(INDEX($D$5:$H$5,0,R$8+1)-INDEX($D$5:$H$5,0,R$8))+Q92)))</f>
        <v>863.94535743263168</v>
      </c>
      <c r="S92" s="5" cm="1">
        <f t="array" ref="S92">IF(S$8=-1,T92,IF(S$8=99,R92,IF(S$8=0,INDEX($E92:$I92,0,S$6),(INDEX($E92:$I92,0,S$8+1)-INDEX($E92:$I92,0,S$8))/(INDEX($D$5:$H$5,0,S$8+1)-INDEX($D$5:$H$5,0,S$8))+R92)))</f>
        <v>863.94535743263168</v>
      </c>
      <c r="T92" s="5" cm="1">
        <f t="array" ref="T92">IF(T$8=-1,U92,IF(T$8=99,S92,IF(T$8=0,INDEX($E92:$I92,0,T$6),(INDEX($E92:$I92,0,T$8+1)-INDEX($E92:$I92,0,T$8))/(INDEX($D$5:$H$5,0,T$8+1)-INDEX($D$5:$H$5,0,T$8))+S92)))</f>
        <v>863.94535743263168</v>
      </c>
      <c r="U92" s="5" cm="1">
        <f t="array" ref="U92">IF(U$8=-1,V92,IF(U$8=99,T92,IF(U$8=0,INDEX($E92:$I92,0,U$6),(INDEX($E92:$I92,0,U$8+1)-INDEX($E92:$I92,0,U$8))/(INDEX($D$5:$H$5,0,U$8+1)-INDEX($D$5:$H$5,0,U$8))+T92)))</f>
        <v>863.94535743263168</v>
      </c>
      <c r="V92" s="5" cm="1">
        <f t="array" ref="V92">IF(V$8=-1,W92,IF(V$8=99,U92,IF(V$8=0,INDEX($E92:$I92,0,V$6),(INDEX($E92:$I92,0,V$8+1)-INDEX($E92:$I92,0,V$8))/(INDEX($D$5:$H$5,0,V$8+1)-INDEX($D$5:$H$5,0,V$8))+U92)))</f>
        <v>863.94535743263168</v>
      </c>
      <c r="W92" s="5" cm="1">
        <f t="array" ref="W92">IF(W$8=-1,X92,IF(W$8=99,V92,IF(W$8=0,INDEX($E92:$I92,0,W$6),(INDEX($E92:$I92,0,W$8+1)-INDEX($E92:$I92,0,W$8))/(INDEX($D$5:$H$5,0,W$8+1)-INDEX($D$5:$H$5,0,W$8))+V92)))</f>
        <v>863.94535743263168</v>
      </c>
      <c r="X92" s="5" cm="1">
        <f t="array" ref="X92">IF(X$8=-1,Y92,IF(X$8=99,W92,IF(X$8=0,INDEX($E92:$I92,0,X$6),(INDEX($E92:$I92,0,X$8+1)-INDEX($E92:$I92,0,X$8))/(INDEX($D$5:$H$5,0,X$8+1)-INDEX($D$5:$H$5,0,X$8))+W92)))</f>
        <v>863.94535743263168</v>
      </c>
      <c r="Y92" s="5" cm="1">
        <f t="array" ref="Y92">IF(Y$8=-1,Z92,IF(Y$8=99,X92,IF(Y$8=0,INDEX($E92:$I92,0,Y$6),(INDEX($E92:$I92,0,Y$8+1)-INDEX($E92:$I92,0,Y$8))/(INDEX($D$5:$H$5,0,Y$8+1)-INDEX($D$5:$H$5,0,Y$8))+X92)))</f>
        <v>863.94535743263168</v>
      </c>
      <c r="Z92" s="5" cm="1">
        <f t="array" ref="Z92">IF(Z$8=-1,AA92,IF(Z$8=99,Y92,IF(Z$8=0,INDEX($E92:$I92,0,Z$6),(INDEX($E92:$I92,0,Z$8+1)-INDEX($E92:$I92,0,Z$8))/(INDEX($D$5:$H$5,0,Z$8+1)-INDEX($D$5:$H$5,0,Z$8))+Y92)))</f>
        <v>863.94535743263168</v>
      </c>
      <c r="AA92" s="5" cm="1">
        <f t="array" ref="AA92">IF(AA$8=-1,AB92,IF(AA$8=99,Z92,IF(AA$8=0,INDEX($E92:$I92,0,AA$6),(INDEX($E92:$I92,0,AA$8+1)-INDEX($E92:$I92,0,AA$8))/(INDEX($D$5:$H$5,0,AA$8+1)-INDEX($D$5:$H$5,0,AA$8))+Z92)))</f>
        <v>863.94535743263168</v>
      </c>
      <c r="AB92" s="5" cm="1">
        <f t="array" ref="AB92">IF(AB$8=-1,AC92,IF(AB$8=99,AA92,IF(AB$8=0,INDEX($E92:$I92,0,AB$6),(INDEX($E92:$I92,0,AB$8+1)-INDEX($E92:$I92,0,AB$8))/(INDEX($D$5:$H$5,0,AB$8+1)-INDEX($D$5:$H$5,0,AB$8))+AA92)))</f>
        <v>863.94535743263168</v>
      </c>
      <c r="AC92" s="5" cm="1">
        <f t="array" ref="AC92">IF(AC$8=-1,AD92,IF(AC$8=99,AB92,IF(AC$8=0,INDEX($E92:$I92,0,AC$6),(INDEX($E92:$I92,0,AC$8+1)-INDEX($E92:$I92,0,AC$8))/(INDEX($D$5:$H$5,0,AC$8+1)-INDEX($D$5:$H$5,0,AC$8))+AB92)))</f>
        <v>863.94535743263168</v>
      </c>
      <c r="AD92" s="5" cm="1">
        <f t="array" ref="AD92">IF(AD$8=-1,AE92,IF(AD$8=99,AC92,IF(AD$8=0,INDEX($E92:$I92,0,AD$6),(INDEX($E92:$I92,0,AD$8+1)-INDEX($E92:$I92,0,AD$8))/(INDEX($D$5:$H$5,0,AD$8+1)-INDEX($D$5:$H$5,0,AD$8))+AC92)))</f>
        <v>863.94535743263168</v>
      </c>
      <c r="AE92" s="5" cm="1">
        <f t="array" ref="AE92">IF(AE$8=-1,AF92,IF(AE$8=99,AD92,IF(AE$8=0,INDEX($E92:$I92,0,AE$6),(INDEX($E92:$I92,0,AE$8+1)-INDEX($E92:$I92,0,AE$8))/(INDEX($D$5:$H$5,0,AE$8+1)-INDEX($D$5:$H$5,0,AE$8))+AD92)))</f>
        <v>863.94535743263168</v>
      </c>
      <c r="AF92" s="5" cm="1">
        <f t="array" ref="AF92">IF(AF$8=-1,AG92,IF(AF$8=99,AE92,IF(AF$8=0,INDEX($E92:$I92,0,AF$6),(INDEX($E92:$I92,0,AF$8+1)-INDEX($E92:$I92,0,AF$8))/(INDEX($D$5:$H$5,0,AF$8+1)-INDEX($D$5:$H$5,0,AF$8))+AE92)))</f>
        <v>863.94535743263168</v>
      </c>
      <c r="AG92" s="5" cm="1">
        <f t="array" ref="AG92">IF(AG$8=-1,AH92,IF(AG$8=99,AF92,IF(AG$8=0,INDEX($E92:$I92,0,AG$6),(INDEX($E92:$I92,0,AG$8+1)-INDEX($E92:$I92,0,AG$8))/(INDEX($D$5:$H$5,0,AG$8+1)-INDEX($D$5:$H$5,0,AG$8))+AF92)))</f>
        <v>863.94535743263168</v>
      </c>
      <c r="AH92" s="5" cm="1">
        <f t="array" ref="AH92">IF(AH$8=-1,AI92,IF(AH$8=99,AG92,IF(AH$8=0,INDEX($E92:$I92,0,AH$6),(INDEX($E92:$I92,0,AH$8+1)-INDEX($E92:$I92,0,AH$8))/(INDEX($D$5:$H$5,0,AH$8+1)-INDEX($D$5:$H$5,0,AH$8))+AG92)))</f>
        <v>863.94535743263168</v>
      </c>
      <c r="AI92" s="5" cm="1">
        <f t="array" ref="AI92">IF(AI$8=-1,AJ92,IF(AI$8=99,AH92,IF(AI$8=0,INDEX($E92:$I92,0,AI$6),(INDEX($E92:$I92,0,AI$8+1)-INDEX($E92:$I92,0,AI$8))/(INDEX($D$5:$H$5,0,AI$8+1)-INDEX($D$5:$H$5,0,AI$8))+AH92)))</f>
        <v>863.94535743263168</v>
      </c>
      <c r="AJ92" s="5" cm="1">
        <f t="array" ref="AJ92">IF(AJ$8=-1,AK92,IF(AJ$8=99,AI92,IF(AJ$8=0,INDEX($E92:$I92,0,AJ$6),(INDEX($E92:$I92,0,AJ$8+1)-INDEX($E92:$I92,0,AJ$8))/(INDEX($D$5:$H$5,0,AJ$8+1)-INDEX($D$5:$H$5,0,AJ$8))+AI92)))</f>
        <v>863.94535743263168</v>
      </c>
      <c r="AK92" s="5" cm="1">
        <f t="array" ref="AK92">IF(AK$8=-1,AL92,IF(AK$8=99,AJ92,IF(AK$8=0,INDEX($E92:$I92,0,AK$6),(INDEX($E92:$I92,0,AK$8+1)-INDEX($E92:$I92,0,AK$8))/(INDEX($D$5:$H$5,0,AK$8+1)-INDEX($D$5:$H$5,0,AK$8))+AJ92)))</f>
        <v>863.94535743263168</v>
      </c>
      <c r="AL92" s="5" cm="1">
        <f t="array" ref="AL92">IF(AL$8=-1,AM92,IF(AL$8=99,AK92,IF(AL$8=0,INDEX($E92:$I92,0,AL$6),(INDEX($E92:$I92,0,AL$8+1)-INDEX($E92:$I92,0,AL$8))/(INDEX($D$5:$H$5,0,AL$8+1)-INDEX($D$5:$H$5,0,AL$8))+AK92)))</f>
        <v>863.94535743263168</v>
      </c>
      <c r="AM92" s="5" cm="1">
        <f t="array" ref="AM92">IF(AM$8=-1,AN92,IF(AM$8=99,AL92,IF(AM$8=0,INDEX($E92:$I92,0,AM$6),(INDEX($E92:$I92,0,AM$8+1)-INDEX($E92:$I92,0,AM$8))/(INDEX($D$5:$H$5,0,AM$8+1)-INDEX($D$5:$H$5,0,AM$8))+AL92)))</f>
        <v>863.94535743263168</v>
      </c>
      <c r="AN92" s="5" cm="1">
        <f t="array" ref="AN92">IF(AN$8=-1,AO92,IF(AN$8=99,AM92,IF(AN$8=0,INDEX($E92:$I92,0,AN$6),(INDEX($E92:$I92,0,AN$8+1)-INDEX($E92:$I92,0,AN$8))/(INDEX($D$5:$H$5,0,AN$8+1)-INDEX($D$5:$H$5,0,AN$8))+AM92)))</f>
        <v>863.94535743263168</v>
      </c>
      <c r="AO92" s="5" cm="1">
        <f t="array" ref="AO92">IF(AO$8=-1,AP92,IF(AO$8=99,AN92,IF(AO$8=0,INDEX($E92:$I92,0,AO$6),(INDEX($E92:$I92,0,AO$8+1)-INDEX($E92:$I92,0,AO$8))/(INDEX($D$5:$H$5,0,AO$8+1)-INDEX($D$5:$H$5,0,AO$8))+AN92)))</f>
        <v>863.94535743263168</v>
      </c>
      <c r="AP92" s="5" cm="1">
        <f t="array" ref="AP92">IF(AP$8=-1,AQ92,IF(AP$8=99,AO92,IF(AP$8=0,INDEX($E92:$I92,0,AP$6),(INDEX($E92:$I92,0,AP$8+1)-INDEX($E92:$I92,0,AP$8))/(INDEX($D$5:$H$5,0,AP$8+1)-INDEX($D$5:$H$5,0,AP$8))+AO92)))</f>
        <v>863.94535743263168</v>
      </c>
      <c r="AQ92" s="5" cm="1">
        <f t="array" ref="AQ92">IF(AQ$8=-1,AR92,IF(AQ$8=99,AP92,IF(AQ$8=0,INDEX($E92:$I92,0,AQ$6),(INDEX($E92:$I92,0,AQ$8+1)-INDEX($E92:$I92,0,AQ$8))/(INDEX($D$5:$H$5,0,AQ$8+1)-INDEX($D$5:$H$5,0,AQ$8))+AP92)))</f>
        <v>863.94535743263168</v>
      </c>
      <c r="AR92" s="5" cm="1">
        <f t="array" ref="AR92">IF(AR$8=-1,AS92,IF(AR$8=99,AQ92,IF(AR$8=0,INDEX($E92:$I92,0,AR$6),(INDEX($E92:$I92,0,AR$8+1)-INDEX($E92:$I92,0,AR$8))/(INDEX($D$5:$H$5,0,AR$8+1)-INDEX($D$5:$H$5,0,AR$8))+AQ92)))</f>
        <v>863.94535743263168</v>
      </c>
      <c r="AS92" s="5" cm="1">
        <f t="array" ref="AS92">IF(AS$8=-1,AT92,IF(AS$8=99,AR92,IF(AS$8=0,INDEX($E92:$I92,0,AS$6),(INDEX($E92:$I92,0,AS$8+1)-INDEX($E92:$I92,0,AS$8))/(INDEX($D$5:$H$5,0,AS$8+1)-INDEX($D$5:$H$5,0,AS$8))+AR92)))</f>
        <v>863.94535743263168</v>
      </c>
      <c r="AT92" s="5" cm="1">
        <f t="array" ref="AT92">IF(AT$8=-1,AU92,IF(AT$8=99,AS92,IF(AT$8=0,INDEX($E92:$I92,0,AT$6),(INDEX($E92:$I92,0,AT$8+1)-INDEX($E92:$I92,0,AT$8))/(INDEX($D$5:$H$5,0,AT$8+1)-INDEX($D$5:$H$5,0,AT$8))+AS92)))</f>
        <v>863.94535743263168</v>
      </c>
      <c r="AU92" s="5" cm="1">
        <f t="array" ref="AU92">IF(AU$8=-1,AV92,IF(AU$8=99,AT92,IF(AU$8=0,INDEX($E92:$I92,0,AU$6),(INDEX($E92:$I92,0,AU$8+1)-INDEX($E92:$I92,0,AU$8))/(INDEX($D$5:$H$5,0,AU$8+1)-INDEX($D$5:$H$5,0,AU$8))+AT92)))</f>
        <v>863.94535743263168</v>
      </c>
      <c r="AV92" s="5" cm="1">
        <f t="array" ref="AV92">IF(AV$8=-1,AW92,IF(AV$8=99,AU92,IF(AV$8=0,INDEX($E92:$I92,0,AV$6),(INDEX($E92:$I92,0,AV$8+1)-INDEX($E92:$I92,0,AV$8))/(INDEX($D$5:$H$5,0,AV$8+1)-INDEX($D$5:$H$5,0,AV$8))+AU92)))</f>
        <v>863.94535743263168</v>
      </c>
    </row>
    <row r="93" spans="1:48">
      <c r="A93" t="s">
        <v>16</v>
      </c>
      <c r="B93" s="233" t="str">
        <f t="shared" ref="B93:B100" si="35">B71</f>
        <v>CEH</v>
      </c>
      <c r="C93" s="75" t="str">
        <f t="shared" si="33"/>
        <v>Commercial - Space Heating</v>
      </c>
      <c r="D93" s="75" t="s">
        <v>75</v>
      </c>
      <c r="E93" s="84">
        <f t="shared" ref="E93:F100" si="36">E82</f>
        <v>59.117764859369188</v>
      </c>
      <c r="F93" s="92">
        <f t="shared" si="36"/>
        <v>82.391305130342559</v>
      </c>
      <c r="G93" s="92">
        <f t="shared" si="34"/>
        <v>82.391305130342559</v>
      </c>
      <c r="H93" s="92">
        <f t="shared" ref="H93:H97" si="37">IF($L$57=-1,G93,((F93-E93)*2/5+E93)*(1+$H$91))</f>
        <v>82.391305130342559</v>
      </c>
      <c r="I93" s="136">
        <f t="shared" ref="I93:I100" si="38">H93</f>
        <v>82.391305130342559</v>
      </c>
      <c r="J93" s="5" cm="1">
        <f t="array" ref="J93">IF(J$8=-1,K93,IF(J$8=99,I93,IF(J$8=0,INDEX($E93:$I93,0,J$6),(INDEX($E93:$I93,0,J$8+1)-INDEX($E93:$I93,0,J$8))/(INDEX($D$5:$H$5,0,J$8+1)-INDEX($D$5:$H$5,0,J$8))+I93)))</f>
        <v>59.117764859369188</v>
      </c>
      <c r="K93" s="5" cm="1">
        <f t="array" ref="K93">IF(K$8=-1,L93,IF(K$8=99,J93,IF(K$8=0,INDEX($E93:$I93,0,K$6),(INDEX($E93:$I93,0,K$8+1)-INDEX($E93:$I93,0,K$8))/(INDEX($D$5:$H$5,0,K$8+1)-INDEX($D$5:$H$5,0,K$8))+J93)))</f>
        <v>63.77247291356386</v>
      </c>
      <c r="L93" s="5" cm="1">
        <f t="array" ref="L93">IF(L$8=-1,M93,IF(L$8=99,K93,IF(L$8=0,INDEX($E93:$I93,0,L$6),(INDEX($E93:$I93,0,L$8+1)-INDEX($E93:$I93,0,L$8))/(INDEX($D$5:$H$5,0,L$8+1)-INDEX($D$5:$H$5,0,L$8))+K93)))</f>
        <v>68.427180967758531</v>
      </c>
      <c r="M93" s="5" cm="1">
        <f t="array" ref="M93">IF(M$8=-1,N93,IF(M$8=99,L93,IF(M$8=0,INDEX($E93:$I93,0,M$6),(INDEX($E93:$I93,0,M$8+1)-INDEX($E93:$I93,0,M$8))/(INDEX($D$5:$H$5,0,M$8+1)-INDEX($D$5:$H$5,0,M$8))+L93)))</f>
        <v>73.081889021953202</v>
      </c>
      <c r="N93" s="5" cm="1">
        <f t="array" ref="N93">IF(N$8=-1,O93,IF(N$8=99,M93,IF(N$8=0,INDEX($E93:$I93,0,N$6),(INDEX($E93:$I93,0,N$8+1)-INDEX($E93:$I93,0,N$8))/(INDEX($D$5:$H$5,0,N$8+1)-INDEX($D$5:$H$5,0,N$8))+M93)))</f>
        <v>77.736597076147874</v>
      </c>
      <c r="O93" s="5" cm="1">
        <f t="array" ref="O93">IF(O$8=-1,P93,IF(O$8=99,N93,IF(O$8=0,INDEX($E93:$I93,0,O$6),(INDEX($E93:$I93,0,O$8+1)-INDEX($E93:$I93,0,O$8))/(INDEX($D$5:$H$5,0,O$8+1)-INDEX($D$5:$H$5,0,O$8))+N93)))</f>
        <v>82.391305130342559</v>
      </c>
      <c r="P93" s="5" cm="1">
        <f t="array" ref="P93">IF(P$8=-1,Q93,IF(P$8=99,O93,IF(P$8=0,INDEX($E93:$I93,0,P$6),(INDEX($E93:$I93,0,P$8+1)-INDEX($E93:$I93,0,P$8))/(INDEX($D$5:$H$5,0,P$8+1)-INDEX($D$5:$H$5,0,P$8))+O93)))</f>
        <v>82.391305130342559</v>
      </c>
      <c r="Q93" s="5" cm="1">
        <f t="array" ref="Q93">IF(Q$8=-1,R93,IF(Q$8=99,P93,IF(Q$8=0,INDEX($E93:$I93,0,Q$6),(INDEX($E93:$I93,0,Q$8+1)-INDEX($E93:$I93,0,Q$8))/(INDEX($D$5:$H$5,0,Q$8+1)-INDEX($D$5:$H$5,0,Q$8))+P93)))</f>
        <v>82.391305130342559</v>
      </c>
      <c r="R93" s="5" cm="1">
        <f t="array" ref="R93">IF(R$8=-1,S93,IF(R$8=99,Q93,IF(R$8=0,INDEX($E93:$I93,0,R$6),(INDEX($E93:$I93,0,R$8+1)-INDEX($E93:$I93,0,R$8))/(INDEX($D$5:$H$5,0,R$8+1)-INDEX($D$5:$H$5,0,R$8))+Q93)))</f>
        <v>82.391305130342559</v>
      </c>
      <c r="S93" s="5" cm="1">
        <f t="array" ref="S93">IF(S$8=-1,T93,IF(S$8=99,R93,IF(S$8=0,INDEX($E93:$I93,0,S$6),(INDEX($E93:$I93,0,S$8+1)-INDEX($E93:$I93,0,S$8))/(INDEX($D$5:$H$5,0,S$8+1)-INDEX($D$5:$H$5,0,S$8))+R93)))</f>
        <v>82.391305130342559</v>
      </c>
      <c r="T93" s="5" cm="1">
        <f t="array" ref="T93">IF(T$8=-1,U93,IF(T$8=99,S93,IF(T$8=0,INDEX($E93:$I93,0,T$6),(INDEX($E93:$I93,0,T$8+1)-INDEX($E93:$I93,0,T$8))/(INDEX($D$5:$H$5,0,T$8+1)-INDEX($D$5:$H$5,0,T$8))+S93)))</f>
        <v>82.391305130342559</v>
      </c>
      <c r="U93" s="5" cm="1">
        <f t="array" ref="U93">IF(U$8=-1,V93,IF(U$8=99,T93,IF(U$8=0,INDEX($E93:$I93,0,U$6),(INDEX($E93:$I93,0,U$8+1)-INDEX($E93:$I93,0,U$8))/(INDEX($D$5:$H$5,0,U$8+1)-INDEX($D$5:$H$5,0,U$8))+T93)))</f>
        <v>82.391305130342559</v>
      </c>
      <c r="V93" s="5" cm="1">
        <f t="array" ref="V93">IF(V$8=-1,W93,IF(V$8=99,U93,IF(V$8=0,INDEX($E93:$I93,0,V$6),(INDEX($E93:$I93,0,V$8+1)-INDEX($E93:$I93,0,V$8))/(INDEX($D$5:$H$5,0,V$8+1)-INDEX($D$5:$H$5,0,V$8))+U93)))</f>
        <v>82.391305130342559</v>
      </c>
      <c r="W93" s="5" cm="1">
        <f t="array" ref="W93">IF(W$8=-1,X93,IF(W$8=99,V93,IF(W$8=0,INDEX($E93:$I93,0,W$6),(INDEX($E93:$I93,0,W$8+1)-INDEX($E93:$I93,0,W$8))/(INDEX($D$5:$H$5,0,W$8+1)-INDEX($D$5:$H$5,0,W$8))+V93)))</f>
        <v>82.391305130342559</v>
      </c>
      <c r="X93" s="5" cm="1">
        <f t="array" ref="X93">IF(X$8=-1,Y93,IF(X$8=99,W93,IF(X$8=0,INDEX($E93:$I93,0,X$6),(INDEX($E93:$I93,0,X$8+1)-INDEX($E93:$I93,0,X$8))/(INDEX($D$5:$H$5,0,X$8+1)-INDEX($D$5:$H$5,0,X$8))+W93)))</f>
        <v>82.391305130342559</v>
      </c>
      <c r="Y93" s="5" cm="1">
        <f t="array" ref="Y93">IF(Y$8=-1,Z93,IF(Y$8=99,X93,IF(Y$8=0,INDEX($E93:$I93,0,Y$6),(INDEX($E93:$I93,0,Y$8+1)-INDEX($E93:$I93,0,Y$8))/(INDEX($D$5:$H$5,0,Y$8+1)-INDEX($D$5:$H$5,0,Y$8))+X93)))</f>
        <v>82.391305130342559</v>
      </c>
      <c r="Z93" s="5" cm="1">
        <f t="array" ref="Z93">IF(Z$8=-1,AA93,IF(Z$8=99,Y93,IF(Z$8=0,INDEX($E93:$I93,0,Z$6),(INDEX($E93:$I93,0,Z$8+1)-INDEX($E93:$I93,0,Z$8))/(INDEX($D$5:$H$5,0,Z$8+1)-INDEX($D$5:$H$5,0,Z$8))+Y93)))</f>
        <v>82.391305130342559</v>
      </c>
      <c r="AA93" s="5" cm="1">
        <f t="array" ref="AA93">IF(AA$8=-1,AB93,IF(AA$8=99,Z93,IF(AA$8=0,INDEX($E93:$I93,0,AA$6),(INDEX($E93:$I93,0,AA$8+1)-INDEX($E93:$I93,0,AA$8))/(INDEX($D$5:$H$5,0,AA$8+1)-INDEX($D$5:$H$5,0,AA$8))+Z93)))</f>
        <v>82.391305130342559</v>
      </c>
      <c r="AB93" s="5" cm="1">
        <f t="array" ref="AB93">IF(AB$8=-1,AC93,IF(AB$8=99,AA93,IF(AB$8=0,INDEX($E93:$I93,0,AB$6),(INDEX($E93:$I93,0,AB$8+1)-INDEX($E93:$I93,0,AB$8))/(INDEX($D$5:$H$5,0,AB$8+1)-INDEX($D$5:$H$5,0,AB$8))+AA93)))</f>
        <v>82.391305130342559</v>
      </c>
      <c r="AC93" s="5" cm="1">
        <f t="array" ref="AC93">IF(AC$8=-1,AD93,IF(AC$8=99,AB93,IF(AC$8=0,INDEX($E93:$I93,0,AC$6),(INDEX($E93:$I93,0,AC$8+1)-INDEX($E93:$I93,0,AC$8))/(INDEX($D$5:$H$5,0,AC$8+1)-INDEX($D$5:$H$5,0,AC$8))+AB93)))</f>
        <v>82.391305130342559</v>
      </c>
      <c r="AD93" s="5" cm="1">
        <f t="array" ref="AD93">IF(AD$8=-1,AE93,IF(AD$8=99,AC93,IF(AD$8=0,INDEX($E93:$I93,0,AD$6),(INDEX($E93:$I93,0,AD$8+1)-INDEX($E93:$I93,0,AD$8))/(INDEX($D$5:$H$5,0,AD$8+1)-INDEX($D$5:$H$5,0,AD$8))+AC93)))</f>
        <v>82.391305130342559</v>
      </c>
      <c r="AE93" s="5" cm="1">
        <f t="array" ref="AE93">IF(AE$8=-1,AF93,IF(AE$8=99,AD93,IF(AE$8=0,INDEX($E93:$I93,0,AE$6),(INDEX($E93:$I93,0,AE$8+1)-INDEX($E93:$I93,0,AE$8))/(INDEX($D$5:$H$5,0,AE$8+1)-INDEX($D$5:$H$5,0,AE$8))+AD93)))</f>
        <v>82.391305130342559</v>
      </c>
      <c r="AF93" s="5" cm="1">
        <f t="array" ref="AF93">IF(AF$8=-1,AG93,IF(AF$8=99,AE93,IF(AF$8=0,INDEX($E93:$I93,0,AF$6),(INDEX($E93:$I93,0,AF$8+1)-INDEX($E93:$I93,0,AF$8))/(INDEX($D$5:$H$5,0,AF$8+1)-INDEX($D$5:$H$5,0,AF$8))+AE93)))</f>
        <v>82.391305130342559</v>
      </c>
      <c r="AG93" s="5" cm="1">
        <f t="array" ref="AG93">IF(AG$8=-1,AH93,IF(AG$8=99,AF93,IF(AG$8=0,INDEX($E93:$I93,0,AG$6),(INDEX($E93:$I93,0,AG$8+1)-INDEX($E93:$I93,0,AG$8))/(INDEX($D$5:$H$5,0,AG$8+1)-INDEX($D$5:$H$5,0,AG$8))+AF93)))</f>
        <v>82.391305130342559</v>
      </c>
      <c r="AH93" s="5" cm="1">
        <f t="array" ref="AH93">IF(AH$8=-1,AI93,IF(AH$8=99,AG93,IF(AH$8=0,INDEX($E93:$I93,0,AH$6),(INDEX($E93:$I93,0,AH$8+1)-INDEX($E93:$I93,0,AH$8))/(INDEX($D$5:$H$5,0,AH$8+1)-INDEX($D$5:$H$5,0,AH$8))+AG93)))</f>
        <v>82.391305130342559</v>
      </c>
      <c r="AI93" s="5" cm="1">
        <f t="array" ref="AI93">IF(AI$8=-1,AJ93,IF(AI$8=99,AH93,IF(AI$8=0,INDEX($E93:$I93,0,AI$6),(INDEX($E93:$I93,0,AI$8+1)-INDEX($E93:$I93,0,AI$8))/(INDEX($D$5:$H$5,0,AI$8+1)-INDEX($D$5:$H$5,0,AI$8))+AH93)))</f>
        <v>82.391305130342559</v>
      </c>
      <c r="AJ93" s="5" cm="1">
        <f t="array" ref="AJ93">IF(AJ$8=-1,AK93,IF(AJ$8=99,AI93,IF(AJ$8=0,INDEX($E93:$I93,0,AJ$6),(INDEX($E93:$I93,0,AJ$8+1)-INDEX($E93:$I93,0,AJ$8))/(INDEX($D$5:$H$5,0,AJ$8+1)-INDEX($D$5:$H$5,0,AJ$8))+AI93)))</f>
        <v>82.391305130342559</v>
      </c>
      <c r="AK93" s="5" cm="1">
        <f t="array" ref="AK93">IF(AK$8=-1,AL93,IF(AK$8=99,AJ93,IF(AK$8=0,INDEX($E93:$I93,0,AK$6),(INDEX($E93:$I93,0,AK$8+1)-INDEX($E93:$I93,0,AK$8))/(INDEX($D$5:$H$5,0,AK$8+1)-INDEX($D$5:$H$5,0,AK$8))+AJ93)))</f>
        <v>82.391305130342559</v>
      </c>
      <c r="AL93" s="5" cm="1">
        <f t="array" ref="AL93">IF(AL$8=-1,AM93,IF(AL$8=99,AK93,IF(AL$8=0,INDEX($E93:$I93,0,AL$6),(INDEX($E93:$I93,0,AL$8+1)-INDEX($E93:$I93,0,AL$8))/(INDEX($D$5:$H$5,0,AL$8+1)-INDEX($D$5:$H$5,0,AL$8))+AK93)))</f>
        <v>82.391305130342559</v>
      </c>
      <c r="AM93" s="5" cm="1">
        <f t="array" ref="AM93">IF(AM$8=-1,AN93,IF(AM$8=99,AL93,IF(AM$8=0,INDEX($E93:$I93,0,AM$6),(INDEX($E93:$I93,0,AM$8+1)-INDEX($E93:$I93,0,AM$8))/(INDEX($D$5:$H$5,0,AM$8+1)-INDEX($D$5:$H$5,0,AM$8))+AL93)))</f>
        <v>82.391305130342559</v>
      </c>
      <c r="AN93" s="5" cm="1">
        <f t="array" ref="AN93">IF(AN$8=-1,AO93,IF(AN$8=99,AM93,IF(AN$8=0,INDEX($E93:$I93,0,AN$6),(INDEX($E93:$I93,0,AN$8+1)-INDEX($E93:$I93,0,AN$8))/(INDEX($D$5:$H$5,0,AN$8+1)-INDEX($D$5:$H$5,0,AN$8))+AM93)))</f>
        <v>82.391305130342559</v>
      </c>
      <c r="AO93" s="5" cm="1">
        <f t="array" ref="AO93">IF(AO$8=-1,AP93,IF(AO$8=99,AN93,IF(AO$8=0,INDEX($E93:$I93,0,AO$6),(INDEX($E93:$I93,0,AO$8+1)-INDEX($E93:$I93,0,AO$8))/(INDEX($D$5:$H$5,0,AO$8+1)-INDEX($D$5:$H$5,0,AO$8))+AN93)))</f>
        <v>82.391305130342559</v>
      </c>
      <c r="AP93" s="5" cm="1">
        <f t="array" ref="AP93">IF(AP$8=-1,AQ93,IF(AP$8=99,AO93,IF(AP$8=0,INDEX($E93:$I93,0,AP$6),(INDEX($E93:$I93,0,AP$8+1)-INDEX($E93:$I93,0,AP$8))/(INDEX($D$5:$H$5,0,AP$8+1)-INDEX($D$5:$H$5,0,AP$8))+AO93)))</f>
        <v>82.391305130342559</v>
      </c>
      <c r="AQ93" s="5" cm="1">
        <f t="array" ref="AQ93">IF(AQ$8=-1,AR93,IF(AQ$8=99,AP93,IF(AQ$8=0,INDEX($E93:$I93,0,AQ$6),(INDEX($E93:$I93,0,AQ$8+1)-INDEX($E93:$I93,0,AQ$8))/(INDEX($D$5:$H$5,0,AQ$8+1)-INDEX($D$5:$H$5,0,AQ$8))+AP93)))</f>
        <v>82.391305130342559</v>
      </c>
      <c r="AR93" s="5" cm="1">
        <f t="array" ref="AR93">IF(AR$8=-1,AS93,IF(AR$8=99,AQ93,IF(AR$8=0,INDEX($E93:$I93,0,AR$6),(INDEX($E93:$I93,0,AR$8+1)-INDEX($E93:$I93,0,AR$8))/(INDEX($D$5:$H$5,0,AR$8+1)-INDEX($D$5:$H$5,0,AR$8))+AQ93)))</f>
        <v>82.391305130342559</v>
      </c>
      <c r="AS93" s="5" cm="1">
        <f t="array" ref="AS93">IF(AS$8=-1,AT93,IF(AS$8=99,AR93,IF(AS$8=0,INDEX($E93:$I93,0,AS$6),(INDEX($E93:$I93,0,AS$8+1)-INDEX($E93:$I93,0,AS$8))/(INDEX($D$5:$H$5,0,AS$8+1)-INDEX($D$5:$H$5,0,AS$8))+AR93)))</f>
        <v>82.391305130342559</v>
      </c>
      <c r="AT93" s="5" cm="1">
        <f t="array" ref="AT93">IF(AT$8=-1,AU93,IF(AT$8=99,AS93,IF(AT$8=0,INDEX($E93:$I93,0,AT$6),(INDEX($E93:$I93,0,AT$8+1)-INDEX($E93:$I93,0,AT$8))/(INDEX($D$5:$H$5,0,AT$8+1)-INDEX($D$5:$H$5,0,AT$8))+AS93)))</f>
        <v>82.391305130342559</v>
      </c>
      <c r="AU93" s="5" cm="1">
        <f t="array" ref="AU93">IF(AU$8=-1,AV93,IF(AU$8=99,AT93,IF(AU$8=0,INDEX($E93:$I93,0,AU$6),(INDEX($E93:$I93,0,AU$8+1)-INDEX($E93:$I93,0,AU$8))/(INDEX($D$5:$H$5,0,AU$8+1)-INDEX($D$5:$H$5,0,AU$8))+AT93)))</f>
        <v>82.391305130342559</v>
      </c>
      <c r="AV93" s="5" cm="1">
        <f t="array" ref="AV93">IF(AV$8=-1,AW93,IF(AV$8=99,AU93,IF(AV$8=0,INDEX($E93:$I93,0,AV$6),(INDEX($E93:$I93,0,AV$8+1)-INDEX($E93:$I93,0,AV$8))/(INDEX($D$5:$H$5,0,AV$8+1)-INDEX($D$5:$H$5,0,AV$8))+AU93)))</f>
        <v>82.391305130342559</v>
      </c>
    </row>
    <row r="94" spans="1:48">
      <c r="A94" t="s">
        <v>16</v>
      </c>
      <c r="B94" s="233" t="str">
        <f t="shared" si="35"/>
        <v>CEK</v>
      </c>
      <c r="C94" s="75" t="str">
        <f t="shared" si="33"/>
        <v>Commercial - Cooking</v>
      </c>
      <c r="D94" s="75" t="s">
        <v>75</v>
      </c>
      <c r="E94" s="84">
        <f t="shared" si="36"/>
        <v>74.498085701673531</v>
      </c>
      <c r="F94" s="92">
        <f t="shared" si="36"/>
        <v>59.276589186426349</v>
      </c>
      <c r="G94" s="92">
        <f t="shared" si="34"/>
        <v>59.276589186426349</v>
      </c>
      <c r="H94" s="92">
        <f t="shared" si="37"/>
        <v>59.276589186426349</v>
      </c>
      <c r="I94" s="136">
        <f t="shared" si="38"/>
        <v>59.276589186426349</v>
      </c>
      <c r="J94" s="5" cm="1">
        <f t="array" ref="J94">IF(J$8=-1,K94,IF(J$8=99,I94,IF(J$8=0,INDEX($E94:$I94,0,J$6),(INDEX($E94:$I94,0,J$8+1)-INDEX($E94:$I94,0,J$8))/(INDEX($D$5:$H$5,0,J$8+1)-INDEX($D$5:$H$5,0,J$8))+I94)))</f>
        <v>74.498085701673531</v>
      </c>
      <c r="K94" s="5" cm="1">
        <f t="array" ref="K94">IF(K$8=-1,L94,IF(K$8=99,J94,IF(K$8=0,INDEX($E94:$I94,0,K$6),(INDEX($E94:$I94,0,K$8+1)-INDEX($E94:$I94,0,K$8))/(INDEX($D$5:$H$5,0,K$8+1)-INDEX($D$5:$H$5,0,K$8))+J94)))</f>
        <v>71.453786398624089</v>
      </c>
      <c r="L94" s="5" cm="1">
        <f t="array" ref="L94">IF(L$8=-1,M94,IF(L$8=99,K94,IF(L$8=0,INDEX($E94:$I94,0,L$6),(INDEX($E94:$I94,0,L$8+1)-INDEX($E94:$I94,0,L$8))/(INDEX($D$5:$H$5,0,L$8+1)-INDEX($D$5:$H$5,0,L$8))+K94)))</f>
        <v>68.409487095574647</v>
      </c>
      <c r="M94" s="5" cm="1">
        <f t="array" ref="M94">IF(M$8=-1,N94,IF(M$8=99,L94,IF(M$8=0,INDEX($E94:$I94,0,M$6),(INDEX($E94:$I94,0,M$8+1)-INDEX($E94:$I94,0,M$8))/(INDEX($D$5:$H$5,0,M$8+1)-INDEX($D$5:$H$5,0,M$8))+L94)))</f>
        <v>65.365187792525205</v>
      </c>
      <c r="N94" s="5" cm="1">
        <f t="array" ref="N94">IF(N$8=-1,O94,IF(N$8=99,M94,IF(N$8=0,INDEX($E94:$I94,0,N$6),(INDEX($E94:$I94,0,N$8+1)-INDEX($E94:$I94,0,N$8))/(INDEX($D$5:$H$5,0,N$8+1)-INDEX($D$5:$H$5,0,N$8))+M94)))</f>
        <v>62.32088848947577</v>
      </c>
      <c r="O94" s="5" cm="1">
        <f t="array" ref="O94">IF(O$8=-1,P94,IF(O$8=99,N94,IF(O$8=0,INDEX($E94:$I94,0,O$6),(INDEX($E94:$I94,0,O$8+1)-INDEX($E94:$I94,0,O$8))/(INDEX($D$5:$H$5,0,O$8+1)-INDEX($D$5:$H$5,0,O$8))+N94)))</f>
        <v>59.276589186426349</v>
      </c>
      <c r="P94" s="5" cm="1">
        <f t="array" ref="P94">IF(P$8=-1,Q94,IF(P$8=99,O94,IF(P$8=0,INDEX($E94:$I94,0,P$6),(INDEX($E94:$I94,0,P$8+1)-INDEX($E94:$I94,0,P$8))/(INDEX($D$5:$H$5,0,P$8+1)-INDEX($D$5:$H$5,0,P$8))+O94)))</f>
        <v>59.276589186426349</v>
      </c>
      <c r="Q94" s="5" cm="1">
        <f t="array" ref="Q94">IF(Q$8=-1,R94,IF(Q$8=99,P94,IF(Q$8=0,INDEX($E94:$I94,0,Q$6),(INDEX($E94:$I94,0,Q$8+1)-INDEX($E94:$I94,0,Q$8))/(INDEX($D$5:$H$5,0,Q$8+1)-INDEX($D$5:$H$5,0,Q$8))+P94)))</f>
        <v>59.276589186426349</v>
      </c>
      <c r="R94" s="5" cm="1">
        <f t="array" ref="R94">IF(R$8=-1,S94,IF(R$8=99,Q94,IF(R$8=0,INDEX($E94:$I94,0,R$6),(INDEX($E94:$I94,0,R$8+1)-INDEX($E94:$I94,0,R$8))/(INDEX($D$5:$H$5,0,R$8+1)-INDEX($D$5:$H$5,0,R$8))+Q94)))</f>
        <v>59.276589186426349</v>
      </c>
      <c r="S94" s="5" cm="1">
        <f t="array" ref="S94">IF(S$8=-1,T94,IF(S$8=99,R94,IF(S$8=0,INDEX($E94:$I94,0,S$6),(INDEX($E94:$I94,0,S$8+1)-INDEX($E94:$I94,0,S$8))/(INDEX($D$5:$H$5,0,S$8+1)-INDEX($D$5:$H$5,0,S$8))+R94)))</f>
        <v>59.276589186426349</v>
      </c>
      <c r="T94" s="5" cm="1">
        <f t="array" ref="T94">IF(T$8=-1,U94,IF(T$8=99,S94,IF(T$8=0,INDEX($E94:$I94,0,T$6),(INDEX($E94:$I94,0,T$8+1)-INDEX($E94:$I94,0,T$8))/(INDEX($D$5:$H$5,0,T$8+1)-INDEX($D$5:$H$5,0,T$8))+S94)))</f>
        <v>59.276589186426349</v>
      </c>
      <c r="U94" s="5" cm="1">
        <f t="array" ref="U94">IF(U$8=-1,V94,IF(U$8=99,T94,IF(U$8=0,INDEX($E94:$I94,0,U$6),(INDEX($E94:$I94,0,U$8+1)-INDEX($E94:$I94,0,U$8))/(INDEX($D$5:$H$5,0,U$8+1)-INDEX($D$5:$H$5,0,U$8))+T94)))</f>
        <v>59.276589186426349</v>
      </c>
      <c r="V94" s="5" cm="1">
        <f t="array" ref="V94">IF(V$8=-1,W94,IF(V$8=99,U94,IF(V$8=0,INDEX($E94:$I94,0,V$6),(INDEX($E94:$I94,0,V$8+1)-INDEX($E94:$I94,0,V$8))/(INDEX($D$5:$H$5,0,V$8+1)-INDEX($D$5:$H$5,0,V$8))+U94)))</f>
        <v>59.276589186426349</v>
      </c>
      <c r="W94" s="5" cm="1">
        <f t="array" ref="W94">IF(W$8=-1,X94,IF(W$8=99,V94,IF(W$8=0,INDEX($E94:$I94,0,W$6),(INDEX($E94:$I94,0,W$8+1)-INDEX($E94:$I94,0,W$8))/(INDEX($D$5:$H$5,0,W$8+1)-INDEX($D$5:$H$5,0,W$8))+V94)))</f>
        <v>59.276589186426349</v>
      </c>
      <c r="X94" s="5" cm="1">
        <f t="array" ref="X94">IF(X$8=-1,Y94,IF(X$8=99,W94,IF(X$8=0,INDEX($E94:$I94,0,X$6),(INDEX($E94:$I94,0,X$8+1)-INDEX($E94:$I94,0,X$8))/(INDEX($D$5:$H$5,0,X$8+1)-INDEX($D$5:$H$5,0,X$8))+W94)))</f>
        <v>59.276589186426349</v>
      </c>
      <c r="Y94" s="5" cm="1">
        <f t="array" ref="Y94">IF(Y$8=-1,Z94,IF(Y$8=99,X94,IF(Y$8=0,INDEX($E94:$I94,0,Y$6),(INDEX($E94:$I94,0,Y$8+1)-INDEX($E94:$I94,0,Y$8))/(INDEX($D$5:$H$5,0,Y$8+1)-INDEX($D$5:$H$5,0,Y$8))+X94)))</f>
        <v>59.276589186426349</v>
      </c>
      <c r="Z94" s="5" cm="1">
        <f t="array" ref="Z94">IF(Z$8=-1,AA94,IF(Z$8=99,Y94,IF(Z$8=0,INDEX($E94:$I94,0,Z$6),(INDEX($E94:$I94,0,Z$8+1)-INDEX($E94:$I94,0,Z$8))/(INDEX($D$5:$H$5,0,Z$8+1)-INDEX($D$5:$H$5,0,Z$8))+Y94)))</f>
        <v>59.276589186426349</v>
      </c>
      <c r="AA94" s="5" cm="1">
        <f t="array" ref="AA94">IF(AA$8=-1,AB94,IF(AA$8=99,Z94,IF(AA$8=0,INDEX($E94:$I94,0,AA$6),(INDEX($E94:$I94,0,AA$8+1)-INDEX($E94:$I94,0,AA$8))/(INDEX($D$5:$H$5,0,AA$8+1)-INDEX($D$5:$H$5,0,AA$8))+Z94)))</f>
        <v>59.276589186426349</v>
      </c>
      <c r="AB94" s="5" cm="1">
        <f t="array" ref="AB94">IF(AB$8=-1,AC94,IF(AB$8=99,AA94,IF(AB$8=0,INDEX($E94:$I94,0,AB$6),(INDEX($E94:$I94,0,AB$8+1)-INDEX($E94:$I94,0,AB$8))/(INDEX($D$5:$H$5,0,AB$8+1)-INDEX($D$5:$H$5,0,AB$8))+AA94)))</f>
        <v>59.276589186426349</v>
      </c>
      <c r="AC94" s="5" cm="1">
        <f t="array" ref="AC94">IF(AC$8=-1,AD94,IF(AC$8=99,AB94,IF(AC$8=0,INDEX($E94:$I94,0,AC$6),(INDEX($E94:$I94,0,AC$8+1)-INDEX($E94:$I94,0,AC$8))/(INDEX($D$5:$H$5,0,AC$8+1)-INDEX($D$5:$H$5,0,AC$8))+AB94)))</f>
        <v>59.276589186426349</v>
      </c>
      <c r="AD94" s="5" cm="1">
        <f t="array" ref="AD94">IF(AD$8=-1,AE94,IF(AD$8=99,AC94,IF(AD$8=0,INDEX($E94:$I94,0,AD$6),(INDEX($E94:$I94,0,AD$8+1)-INDEX($E94:$I94,0,AD$8))/(INDEX($D$5:$H$5,0,AD$8+1)-INDEX($D$5:$H$5,0,AD$8))+AC94)))</f>
        <v>59.276589186426349</v>
      </c>
      <c r="AE94" s="5" cm="1">
        <f t="array" ref="AE94">IF(AE$8=-1,AF94,IF(AE$8=99,AD94,IF(AE$8=0,INDEX($E94:$I94,0,AE$6),(INDEX($E94:$I94,0,AE$8+1)-INDEX($E94:$I94,0,AE$8))/(INDEX($D$5:$H$5,0,AE$8+1)-INDEX($D$5:$H$5,0,AE$8))+AD94)))</f>
        <v>59.276589186426349</v>
      </c>
      <c r="AF94" s="5" cm="1">
        <f t="array" ref="AF94">IF(AF$8=-1,AG94,IF(AF$8=99,AE94,IF(AF$8=0,INDEX($E94:$I94,0,AF$6),(INDEX($E94:$I94,0,AF$8+1)-INDEX($E94:$I94,0,AF$8))/(INDEX($D$5:$H$5,0,AF$8+1)-INDEX($D$5:$H$5,0,AF$8))+AE94)))</f>
        <v>59.276589186426349</v>
      </c>
      <c r="AG94" s="5" cm="1">
        <f t="array" ref="AG94">IF(AG$8=-1,AH94,IF(AG$8=99,AF94,IF(AG$8=0,INDEX($E94:$I94,0,AG$6),(INDEX($E94:$I94,0,AG$8+1)-INDEX($E94:$I94,0,AG$8))/(INDEX($D$5:$H$5,0,AG$8+1)-INDEX($D$5:$H$5,0,AG$8))+AF94)))</f>
        <v>59.276589186426349</v>
      </c>
      <c r="AH94" s="5" cm="1">
        <f t="array" ref="AH94">IF(AH$8=-1,AI94,IF(AH$8=99,AG94,IF(AH$8=0,INDEX($E94:$I94,0,AH$6),(INDEX($E94:$I94,0,AH$8+1)-INDEX($E94:$I94,0,AH$8))/(INDEX($D$5:$H$5,0,AH$8+1)-INDEX($D$5:$H$5,0,AH$8))+AG94)))</f>
        <v>59.276589186426349</v>
      </c>
      <c r="AI94" s="5" cm="1">
        <f t="array" ref="AI94">IF(AI$8=-1,AJ94,IF(AI$8=99,AH94,IF(AI$8=0,INDEX($E94:$I94,0,AI$6),(INDEX($E94:$I94,0,AI$8+1)-INDEX($E94:$I94,0,AI$8))/(INDEX($D$5:$H$5,0,AI$8+1)-INDEX($D$5:$H$5,0,AI$8))+AH94)))</f>
        <v>59.276589186426349</v>
      </c>
      <c r="AJ94" s="5" cm="1">
        <f t="array" ref="AJ94">IF(AJ$8=-1,AK94,IF(AJ$8=99,AI94,IF(AJ$8=0,INDEX($E94:$I94,0,AJ$6),(INDEX($E94:$I94,0,AJ$8+1)-INDEX($E94:$I94,0,AJ$8))/(INDEX($D$5:$H$5,0,AJ$8+1)-INDEX($D$5:$H$5,0,AJ$8))+AI94)))</f>
        <v>59.276589186426349</v>
      </c>
      <c r="AK94" s="5" cm="1">
        <f t="array" ref="AK94">IF(AK$8=-1,AL94,IF(AK$8=99,AJ94,IF(AK$8=0,INDEX($E94:$I94,0,AK$6),(INDEX($E94:$I94,0,AK$8+1)-INDEX($E94:$I94,0,AK$8))/(INDEX($D$5:$H$5,0,AK$8+1)-INDEX($D$5:$H$5,0,AK$8))+AJ94)))</f>
        <v>59.276589186426349</v>
      </c>
      <c r="AL94" s="5" cm="1">
        <f t="array" ref="AL94">IF(AL$8=-1,AM94,IF(AL$8=99,AK94,IF(AL$8=0,INDEX($E94:$I94,0,AL$6),(INDEX($E94:$I94,0,AL$8+1)-INDEX($E94:$I94,0,AL$8))/(INDEX($D$5:$H$5,0,AL$8+1)-INDEX($D$5:$H$5,0,AL$8))+AK94)))</f>
        <v>59.276589186426349</v>
      </c>
      <c r="AM94" s="5" cm="1">
        <f t="array" ref="AM94">IF(AM$8=-1,AN94,IF(AM$8=99,AL94,IF(AM$8=0,INDEX($E94:$I94,0,AM$6),(INDEX($E94:$I94,0,AM$8+1)-INDEX($E94:$I94,0,AM$8))/(INDEX($D$5:$H$5,0,AM$8+1)-INDEX($D$5:$H$5,0,AM$8))+AL94)))</f>
        <v>59.276589186426349</v>
      </c>
      <c r="AN94" s="5" cm="1">
        <f t="array" ref="AN94">IF(AN$8=-1,AO94,IF(AN$8=99,AM94,IF(AN$8=0,INDEX($E94:$I94,0,AN$6),(INDEX($E94:$I94,0,AN$8+1)-INDEX($E94:$I94,0,AN$8))/(INDEX($D$5:$H$5,0,AN$8+1)-INDEX($D$5:$H$5,0,AN$8))+AM94)))</f>
        <v>59.276589186426349</v>
      </c>
      <c r="AO94" s="5" cm="1">
        <f t="array" ref="AO94">IF(AO$8=-1,AP94,IF(AO$8=99,AN94,IF(AO$8=0,INDEX($E94:$I94,0,AO$6),(INDEX($E94:$I94,0,AO$8+1)-INDEX($E94:$I94,0,AO$8))/(INDEX($D$5:$H$5,0,AO$8+1)-INDEX($D$5:$H$5,0,AO$8))+AN94)))</f>
        <v>59.276589186426349</v>
      </c>
      <c r="AP94" s="5" cm="1">
        <f t="array" ref="AP94">IF(AP$8=-1,AQ94,IF(AP$8=99,AO94,IF(AP$8=0,INDEX($E94:$I94,0,AP$6),(INDEX($E94:$I94,0,AP$8+1)-INDEX($E94:$I94,0,AP$8))/(INDEX($D$5:$H$5,0,AP$8+1)-INDEX($D$5:$H$5,0,AP$8))+AO94)))</f>
        <v>59.276589186426349</v>
      </c>
      <c r="AQ94" s="5" cm="1">
        <f t="array" ref="AQ94">IF(AQ$8=-1,AR94,IF(AQ$8=99,AP94,IF(AQ$8=0,INDEX($E94:$I94,0,AQ$6),(INDEX($E94:$I94,0,AQ$8+1)-INDEX($E94:$I94,0,AQ$8))/(INDEX($D$5:$H$5,0,AQ$8+1)-INDEX($D$5:$H$5,0,AQ$8))+AP94)))</f>
        <v>59.276589186426349</v>
      </c>
      <c r="AR94" s="5" cm="1">
        <f t="array" ref="AR94">IF(AR$8=-1,AS94,IF(AR$8=99,AQ94,IF(AR$8=0,INDEX($E94:$I94,0,AR$6),(INDEX($E94:$I94,0,AR$8+1)-INDEX($E94:$I94,0,AR$8))/(INDEX($D$5:$H$5,0,AR$8+1)-INDEX($D$5:$H$5,0,AR$8))+AQ94)))</f>
        <v>59.276589186426349</v>
      </c>
      <c r="AS94" s="5" cm="1">
        <f t="array" ref="AS94">IF(AS$8=-1,AT94,IF(AS$8=99,AR94,IF(AS$8=0,INDEX($E94:$I94,0,AS$6),(INDEX($E94:$I94,0,AS$8+1)-INDEX($E94:$I94,0,AS$8))/(INDEX($D$5:$H$5,0,AS$8+1)-INDEX($D$5:$H$5,0,AS$8))+AR94)))</f>
        <v>59.276589186426349</v>
      </c>
      <c r="AT94" s="5" cm="1">
        <f t="array" ref="AT94">IF(AT$8=-1,AU94,IF(AT$8=99,AS94,IF(AT$8=0,INDEX($E94:$I94,0,AT$6),(INDEX($E94:$I94,0,AT$8+1)-INDEX($E94:$I94,0,AT$8))/(INDEX($D$5:$H$5,0,AT$8+1)-INDEX($D$5:$H$5,0,AT$8))+AS94)))</f>
        <v>59.276589186426349</v>
      </c>
      <c r="AU94" s="5" cm="1">
        <f t="array" ref="AU94">IF(AU$8=-1,AV94,IF(AU$8=99,AT94,IF(AU$8=0,INDEX($E94:$I94,0,AU$6),(INDEX($E94:$I94,0,AU$8+1)-INDEX($E94:$I94,0,AU$8))/(INDEX($D$5:$H$5,0,AU$8+1)-INDEX($D$5:$H$5,0,AU$8))+AT94)))</f>
        <v>59.276589186426349</v>
      </c>
      <c r="AV94" s="5" cm="1">
        <f t="array" ref="AV94">IF(AV$8=-1,AW94,IF(AV$8=99,AU94,IF(AV$8=0,INDEX($E94:$I94,0,AV$6),(INDEX($E94:$I94,0,AV$8+1)-INDEX($E94:$I94,0,AV$8))/(INDEX($D$5:$H$5,0,AV$8+1)-INDEX($D$5:$H$5,0,AV$8))+AU94)))</f>
        <v>59.276589186426349</v>
      </c>
    </row>
    <row r="95" spans="1:48">
      <c r="A95" t="s">
        <v>16</v>
      </c>
      <c r="B95" s="233" t="str">
        <f t="shared" si="35"/>
        <v>CEL</v>
      </c>
      <c r="C95" s="75" t="str">
        <f t="shared" si="33"/>
        <v>Commercial - Lighting</v>
      </c>
      <c r="D95" s="75" t="s">
        <v>75</v>
      </c>
      <c r="E95" s="84">
        <f t="shared" si="36"/>
        <v>915.10615144128838</v>
      </c>
      <c r="F95" s="92">
        <f t="shared" si="36"/>
        <v>751.83194786180138</v>
      </c>
      <c r="G95" s="92">
        <f t="shared" si="34"/>
        <v>751.83194786180138</v>
      </c>
      <c r="H95" s="92">
        <f t="shared" si="37"/>
        <v>751.83194786180138</v>
      </c>
      <c r="I95" s="136">
        <f t="shared" si="38"/>
        <v>751.83194786180138</v>
      </c>
      <c r="J95" s="5" cm="1">
        <f t="array" ref="J95">IF(J$8=-1,K95,IF(J$8=99,I95,IF(J$8=0,INDEX($E95:$I95,0,J$6),(INDEX($E95:$I95,0,J$8+1)-INDEX($E95:$I95,0,J$8))/(INDEX($D$5:$H$5,0,J$8+1)-INDEX($D$5:$H$5,0,J$8))+I95)))</f>
        <v>915.10615144128838</v>
      </c>
      <c r="K95" s="5" cm="1">
        <f t="array" ref="K95">IF(K$8=-1,L95,IF(K$8=99,J95,IF(K$8=0,INDEX($E95:$I95,0,K$6),(INDEX($E95:$I95,0,K$8+1)-INDEX($E95:$I95,0,K$8))/(INDEX($D$5:$H$5,0,K$8+1)-INDEX($D$5:$H$5,0,K$8))+J95)))</f>
        <v>882.45131072539095</v>
      </c>
      <c r="L95" s="5" cm="1">
        <f t="array" ref="L95">IF(L$8=-1,M95,IF(L$8=99,K95,IF(L$8=0,INDEX($E95:$I95,0,L$6),(INDEX($E95:$I95,0,L$8+1)-INDEX($E95:$I95,0,L$8))/(INDEX($D$5:$H$5,0,L$8+1)-INDEX($D$5:$H$5,0,L$8))+K95)))</f>
        <v>849.79647000949353</v>
      </c>
      <c r="M95" s="5" cm="1">
        <f t="array" ref="M95">IF(M$8=-1,N95,IF(M$8=99,L95,IF(M$8=0,INDEX($E95:$I95,0,M$6),(INDEX($E95:$I95,0,M$8+1)-INDEX($E95:$I95,0,M$8))/(INDEX($D$5:$H$5,0,M$8+1)-INDEX($D$5:$H$5,0,M$8))+L95)))</f>
        <v>817.14162929359611</v>
      </c>
      <c r="N95" s="5" cm="1">
        <f t="array" ref="N95">IF(N$8=-1,O95,IF(N$8=99,M95,IF(N$8=0,INDEX($E95:$I95,0,N$6),(INDEX($E95:$I95,0,N$8+1)-INDEX($E95:$I95,0,N$8))/(INDEX($D$5:$H$5,0,N$8+1)-INDEX($D$5:$H$5,0,N$8))+M95)))</f>
        <v>784.48678857769869</v>
      </c>
      <c r="O95" s="5" cm="1">
        <f t="array" ref="O95">IF(O$8=-1,P95,IF(O$8=99,N95,IF(O$8=0,INDEX($E95:$I95,0,O$6),(INDEX($E95:$I95,0,O$8+1)-INDEX($E95:$I95,0,O$8))/(INDEX($D$5:$H$5,0,O$8+1)-INDEX($D$5:$H$5,0,O$8))+N95)))</f>
        <v>751.83194786180138</v>
      </c>
      <c r="P95" s="5" cm="1">
        <f t="array" ref="P95">IF(P$8=-1,Q95,IF(P$8=99,O95,IF(P$8=0,INDEX($E95:$I95,0,P$6),(INDEX($E95:$I95,0,P$8+1)-INDEX($E95:$I95,0,P$8))/(INDEX($D$5:$H$5,0,P$8+1)-INDEX($D$5:$H$5,0,P$8))+O95)))</f>
        <v>751.83194786180138</v>
      </c>
      <c r="Q95" s="5" cm="1">
        <f t="array" ref="Q95">IF(Q$8=-1,R95,IF(Q$8=99,P95,IF(Q$8=0,INDEX($E95:$I95,0,Q$6),(INDEX($E95:$I95,0,Q$8+1)-INDEX($E95:$I95,0,Q$8))/(INDEX($D$5:$H$5,0,Q$8+1)-INDEX($D$5:$H$5,0,Q$8))+P95)))</f>
        <v>751.83194786180138</v>
      </c>
      <c r="R95" s="5" cm="1">
        <f t="array" ref="R95">IF(R$8=-1,S95,IF(R$8=99,Q95,IF(R$8=0,INDEX($E95:$I95,0,R$6),(INDEX($E95:$I95,0,R$8+1)-INDEX($E95:$I95,0,R$8))/(INDEX($D$5:$H$5,0,R$8+1)-INDEX($D$5:$H$5,0,R$8))+Q95)))</f>
        <v>751.83194786180138</v>
      </c>
      <c r="S95" s="5" cm="1">
        <f t="array" ref="S95">IF(S$8=-1,T95,IF(S$8=99,R95,IF(S$8=0,INDEX($E95:$I95,0,S$6),(INDEX($E95:$I95,0,S$8+1)-INDEX($E95:$I95,0,S$8))/(INDEX($D$5:$H$5,0,S$8+1)-INDEX($D$5:$H$5,0,S$8))+R95)))</f>
        <v>751.83194786180138</v>
      </c>
      <c r="T95" s="5" cm="1">
        <f t="array" ref="T95">IF(T$8=-1,U95,IF(T$8=99,S95,IF(T$8=0,INDEX($E95:$I95,0,T$6),(INDEX($E95:$I95,0,T$8+1)-INDEX($E95:$I95,0,T$8))/(INDEX($D$5:$H$5,0,T$8+1)-INDEX($D$5:$H$5,0,T$8))+S95)))</f>
        <v>751.83194786180138</v>
      </c>
      <c r="U95" s="5" cm="1">
        <f t="array" ref="U95">IF(U$8=-1,V95,IF(U$8=99,T95,IF(U$8=0,INDEX($E95:$I95,0,U$6),(INDEX($E95:$I95,0,U$8+1)-INDEX($E95:$I95,0,U$8))/(INDEX($D$5:$H$5,0,U$8+1)-INDEX($D$5:$H$5,0,U$8))+T95)))</f>
        <v>751.83194786180138</v>
      </c>
      <c r="V95" s="5" cm="1">
        <f t="array" ref="V95">IF(V$8=-1,W95,IF(V$8=99,U95,IF(V$8=0,INDEX($E95:$I95,0,V$6),(INDEX($E95:$I95,0,V$8+1)-INDEX($E95:$I95,0,V$8))/(INDEX($D$5:$H$5,0,V$8+1)-INDEX($D$5:$H$5,0,V$8))+U95)))</f>
        <v>751.83194786180138</v>
      </c>
      <c r="W95" s="5" cm="1">
        <f t="array" ref="W95">IF(W$8=-1,X95,IF(W$8=99,V95,IF(W$8=0,INDEX($E95:$I95,0,W$6),(INDEX($E95:$I95,0,W$8+1)-INDEX($E95:$I95,0,W$8))/(INDEX($D$5:$H$5,0,W$8+1)-INDEX($D$5:$H$5,0,W$8))+V95)))</f>
        <v>751.83194786180138</v>
      </c>
      <c r="X95" s="5" cm="1">
        <f t="array" ref="X95">IF(X$8=-1,Y95,IF(X$8=99,W95,IF(X$8=0,INDEX($E95:$I95,0,X$6),(INDEX($E95:$I95,0,X$8+1)-INDEX($E95:$I95,0,X$8))/(INDEX($D$5:$H$5,0,X$8+1)-INDEX($D$5:$H$5,0,X$8))+W95)))</f>
        <v>751.83194786180138</v>
      </c>
      <c r="Y95" s="5" cm="1">
        <f t="array" ref="Y95">IF(Y$8=-1,Z95,IF(Y$8=99,X95,IF(Y$8=0,INDEX($E95:$I95,0,Y$6),(INDEX($E95:$I95,0,Y$8+1)-INDEX($E95:$I95,0,Y$8))/(INDEX($D$5:$H$5,0,Y$8+1)-INDEX($D$5:$H$5,0,Y$8))+X95)))</f>
        <v>751.83194786180138</v>
      </c>
      <c r="Z95" s="5" cm="1">
        <f t="array" ref="Z95">IF(Z$8=-1,AA95,IF(Z$8=99,Y95,IF(Z$8=0,INDEX($E95:$I95,0,Z$6),(INDEX($E95:$I95,0,Z$8+1)-INDEX($E95:$I95,0,Z$8))/(INDEX($D$5:$H$5,0,Z$8+1)-INDEX($D$5:$H$5,0,Z$8))+Y95)))</f>
        <v>751.83194786180138</v>
      </c>
      <c r="AA95" s="5" cm="1">
        <f t="array" ref="AA95">IF(AA$8=-1,AB95,IF(AA$8=99,Z95,IF(AA$8=0,INDEX($E95:$I95,0,AA$6),(INDEX($E95:$I95,0,AA$8+1)-INDEX($E95:$I95,0,AA$8))/(INDEX($D$5:$H$5,0,AA$8+1)-INDEX($D$5:$H$5,0,AA$8))+Z95)))</f>
        <v>751.83194786180138</v>
      </c>
      <c r="AB95" s="5" cm="1">
        <f t="array" ref="AB95">IF(AB$8=-1,AC95,IF(AB$8=99,AA95,IF(AB$8=0,INDEX($E95:$I95,0,AB$6),(INDEX($E95:$I95,0,AB$8+1)-INDEX($E95:$I95,0,AB$8))/(INDEX($D$5:$H$5,0,AB$8+1)-INDEX($D$5:$H$5,0,AB$8))+AA95)))</f>
        <v>751.83194786180138</v>
      </c>
      <c r="AC95" s="5" cm="1">
        <f t="array" ref="AC95">IF(AC$8=-1,AD95,IF(AC$8=99,AB95,IF(AC$8=0,INDEX($E95:$I95,0,AC$6),(INDEX($E95:$I95,0,AC$8+1)-INDEX($E95:$I95,0,AC$8))/(INDEX($D$5:$H$5,0,AC$8+1)-INDEX($D$5:$H$5,0,AC$8))+AB95)))</f>
        <v>751.83194786180138</v>
      </c>
      <c r="AD95" s="5" cm="1">
        <f t="array" ref="AD95">IF(AD$8=-1,AE95,IF(AD$8=99,AC95,IF(AD$8=0,INDEX($E95:$I95,0,AD$6),(INDEX($E95:$I95,0,AD$8+1)-INDEX($E95:$I95,0,AD$8))/(INDEX($D$5:$H$5,0,AD$8+1)-INDEX($D$5:$H$5,0,AD$8))+AC95)))</f>
        <v>751.83194786180138</v>
      </c>
      <c r="AE95" s="5" cm="1">
        <f t="array" ref="AE95">IF(AE$8=-1,AF95,IF(AE$8=99,AD95,IF(AE$8=0,INDEX($E95:$I95,0,AE$6),(INDEX($E95:$I95,0,AE$8+1)-INDEX($E95:$I95,0,AE$8))/(INDEX($D$5:$H$5,0,AE$8+1)-INDEX($D$5:$H$5,0,AE$8))+AD95)))</f>
        <v>751.83194786180138</v>
      </c>
      <c r="AF95" s="5" cm="1">
        <f t="array" ref="AF95">IF(AF$8=-1,AG95,IF(AF$8=99,AE95,IF(AF$8=0,INDEX($E95:$I95,0,AF$6),(INDEX($E95:$I95,0,AF$8+1)-INDEX($E95:$I95,0,AF$8))/(INDEX($D$5:$H$5,0,AF$8+1)-INDEX($D$5:$H$5,0,AF$8))+AE95)))</f>
        <v>751.83194786180138</v>
      </c>
      <c r="AG95" s="5" cm="1">
        <f t="array" ref="AG95">IF(AG$8=-1,AH95,IF(AG$8=99,AF95,IF(AG$8=0,INDEX($E95:$I95,0,AG$6),(INDEX($E95:$I95,0,AG$8+1)-INDEX($E95:$I95,0,AG$8))/(INDEX($D$5:$H$5,0,AG$8+1)-INDEX($D$5:$H$5,0,AG$8))+AF95)))</f>
        <v>751.83194786180138</v>
      </c>
      <c r="AH95" s="5" cm="1">
        <f t="array" ref="AH95">IF(AH$8=-1,AI95,IF(AH$8=99,AG95,IF(AH$8=0,INDEX($E95:$I95,0,AH$6),(INDEX($E95:$I95,0,AH$8+1)-INDEX($E95:$I95,0,AH$8))/(INDEX($D$5:$H$5,0,AH$8+1)-INDEX($D$5:$H$5,0,AH$8))+AG95)))</f>
        <v>751.83194786180138</v>
      </c>
      <c r="AI95" s="5" cm="1">
        <f t="array" ref="AI95">IF(AI$8=-1,AJ95,IF(AI$8=99,AH95,IF(AI$8=0,INDEX($E95:$I95,0,AI$6),(INDEX($E95:$I95,0,AI$8+1)-INDEX($E95:$I95,0,AI$8))/(INDEX($D$5:$H$5,0,AI$8+1)-INDEX($D$5:$H$5,0,AI$8))+AH95)))</f>
        <v>751.83194786180138</v>
      </c>
      <c r="AJ95" s="5" cm="1">
        <f t="array" ref="AJ95">IF(AJ$8=-1,AK95,IF(AJ$8=99,AI95,IF(AJ$8=0,INDEX($E95:$I95,0,AJ$6),(INDEX($E95:$I95,0,AJ$8+1)-INDEX($E95:$I95,0,AJ$8))/(INDEX($D$5:$H$5,0,AJ$8+1)-INDEX($D$5:$H$5,0,AJ$8))+AI95)))</f>
        <v>751.83194786180138</v>
      </c>
      <c r="AK95" s="5" cm="1">
        <f t="array" ref="AK95">IF(AK$8=-1,AL95,IF(AK$8=99,AJ95,IF(AK$8=0,INDEX($E95:$I95,0,AK$6),(INDEX($E95:$I95,0,AK$8+1)-INDEX($E95:$I95,0,AK$8))/(INDEX($D$5:$H$5,0,AK$8+1)-INDEX($D$5:$H$5,0,AK$8))+AJ95)))</f>
        <v>751.83194786180138</v>
      </c>
      <c r="AL95" s="5" cm="1">
        <f t="array" ref="AL95">IF(AL$8=-1,AM95,IF(AL$8=99,AK95,IF(AL$8=0,INDEX($E95:$I95,0,AL$6),(INDEX($E95:$I95,0,AL$8+1)-INDEX($E95:$I95,0,AL$8))/(INDEX($D$5:$H$5,0,AL$8+1)-INDEX($D$5:$H$5,0,AL$8))+AK95)))</f>
        <v>751.83194786180138</v>
      </c>
      <c r="AM95" s="5" cm="1">
        <f t="array" ref="AM95">IF(AM$8=-1,AN95,IF(AM$8=99,AL95,IF(AM$8=0,INDEX($E95:$I95,0,AM$6),(INDEX($E95:$I95,0,AM$8+1)-INDEX($E95:$I95,0,AM$8))/(INDEX($D$5:$H$5,0,AM$8+1)-INDEX($D$5:$H$5,0,AM$8))+AL95)))</f>
        <v>751.83194786180138</v>
      </c>
      <c r="AN95" s="5" cm="1">
        <f t="array" ref="AN95">IF(AN$8=-1,AO95,IF(AN$8=99,AM95,IF(AN$8=0,INDEX($E95:$I95,0,AN$6),(INDEX($E95:$I95,0,AN$8+1)-INDEX($E95:$I95,0,AN$8))/(INDEX($D$5:$H$5,0,AN$8+1)-INDEX($D$5:$H$5,0,AN$8))+AM95)))</f>
        <v>751.83194786180138</v>
      </c>
      <c r="AO95" s="5" cm="1">
        <f t="array" ref="AO95">IF(AO$8=-1,AP95,IF(AO$8=99,AN95,IF(AO$8=0,INDEX($E95:$I95,0,AO$6),(INDEX($E95:$I95,0,AO$8+1)-INDEX($E95:$I95,0,AO$8))/(INDEX($D$5:$H$5,0,AO$8+1)-INDEX($D$5:$H$5,0,AO$8))+AN95)))</f>
        <v>751.83194786180138</v>
      </c>
      <c r="AP95" s="5" cm="1">
        <f t="array" ref="AP95">IF(AP$8=-1,AQ95,IF(AP$8=99,AO95,IF(AP$8=0,INDEX($E95:$I95,0,AP$6),(INDEX($E95:$I95,0,AP$8+1)-INDEX($E95:$I95,0,AP$8))/(INDEX($D$5:$H$5,0,AP$8+1)-INDEX($D$5:$H$5,0,AP$8))+AO95)))</f>
        <v>751.83194786180138</v>
      </c>
      <c r="AQ95" s="5" cm="1">
        <f t="array" ref="AQ95">IF(AQ$8=-1,AR95,IF(AQ$8=99,AP95,IF(AQ$8=0,INDEX($E95:$I95,0,AQ$6),(INDEX($E95:$I95,0,AQ$8+1)-INDEX($E95:$I95,0,AQ$8))/(INDEX($D$5:$H$5,0,AQ$8+1)-INDEX($D$5:$H$5,0,AQ$8))+AP95)))</f>
        <v>751.83194786180138</v>
      </c>
      <c r="AR95" s="5" cm="1">
        <f t="array" ref="AR95">IF(AR$8=-1,AS95,IF(AR$8=99,AQ95,IF(AR$8=0,INDEX($E95:$I95,0,AR$6),(INDEX($E95:$I95,0,AR$8+1)-INDEX($E95:$I95,0,AR$8))/(INDEX($D$5:$H$5,0,AR$8+1)-INDEX($D$5:$H$5,0,AR$8))+AQ95)))</f>
        <v>751.83194786180138</v>
      </c>
      <c r="AS95" s="5" cm="1">
        <f t="array" ref="AS95">IF(AS$8=-1,AT95,IF(AS$8=99,AR95,IF(AS$8=0,INDEX($E95:$I95,0,AS$6),(INDEX($E95:$I95,0,AS$8+1)-INDEX($E95:$I95,0,AS$8))/(INDEX($D$5:$H$5,0,AS$8+1)-INDEX($D$5:$H$5,0,AS$8))+AR95)))</f>
        <v>751.83194786180138</v>
      </c>
      <c r="AT95" s="5" cm="1">
        <f t="array" ref="AT95">IF(AT$8=-1,AU95,IF(AT$8=99,AS95,IF(AT$8=0,INDEX($E95:$I95,0,AT$6),(INDEX($E95:$I95,0,AT$8+1)-INDEX($E95:$I95,0,AT$8))/(INDEX($D$5:$H$5,0,AT$8+1)-INDEX($D$5:$H$5,0,AT$8))+AS95)))</f>
        <v>751.83194786180138</v>
      </c>
      <c r="AU95" s="5" cm="1">
        <f t="array" ref="AU95">IF(AU$8=-1,AV95,IF(AU$8=99,AT95,IF(AU$8=0,INDEX($E95:$I95,0,AU$6),(INDEX($E95:$I95,0,AU$8+1)-INDEX($E95:$I95,0,AU$8))/(INDEX($D$5:$H$5,0,AU$8+1)-INDEX($D$5:$H$5,0,AU$8))+AT95)))</f>
        <v>751.83194786180138</v>
      </c>
      <c r="AV95" s="5" cm="1">
        <f t="array" ref="AV95">IF(AV$8=-1,AW95,IF(AV$8=99,AU95,IF(AV$8=0,INDEX($E95:$I95,0,AV$6),(INDEX($E95:$I95,0,AV$8+1)-INDEX($E95:$I95,0,AV$8))/(INDEX($D$5:$H$5,0,AV$8+1)-INDEX($D$5:$H$5,0,AV$8))+AU95)))</f>
        <v>751.83194786180138</v>
      </c>
    </row>
    <row r="96" spans="1:48">
      <c r="A96" t="s">
        <v>16</v>
      </c>
      <c r="B96" s="233" t="str">
        <f t="shared" si="35"/>
        <v>CER</v>
      </c>
      <c r="C96" s="75" t="str">
        <f t="shared" si="33"/>
        <v>Commercial - Refrigeration</v>
      </c>
      <c r="D96" s="75" t="s">
        <v>75</v>
      </c>
      <c r="E96" s="84">
        <f t="shared" si="36"/>
        <v>222.61251585750318</v>
      </c>
      <c r="F96" s="92">
        <f t="shared" si="36"/>
        <v>182.89375626200317</v>
      </c>
      <c r="G96" s="92">
        <f t="shared" si="34"/>
        <v>182.89375626200317</v>
      </c>
      <c r="H96" s="92">
        <f t="shared" si="37"/>
        <v>182.89375626200317</v>
      </c>
      <c r="I96" s="136">
        <f t="shared" si="38"/>
        <v>182.89375626200317</v>
      </c>
      <c r="J96" s="5" cm="1">
        <f t="array" ref="J96">IF(J$8=-1,K96,IF(J$8=99,I96,IF(J$8=0,INDEX($E96:$I96,0,J$6),(INDEX($E96:$I96,0,J$8+1)-INDEX($E96:$I96,0,J$8))/(INDEX($D$5:$H$5,0,J$8+1)-INDEX($D$5:$H$5,0,J$8))+I96)))</f>
        <v>222.61251585750318</v>
      </c>
      <c r="K96" s="5" cm="1">
        <f t="array" ref="K96">IF(K$8=-1,L96,IF(K$8=99,J96,IF(K$8=0,INDEX($E96:$I96,0,K$6),(INDEX($E96:$I96,0,K$8+1)-INDEX($E96:$I96,0,K$8))/(INDEX($D$5:$H$5,0,K$8+1)-INDEX($D$5:$H$5,0,K$8))+J96)))</f>
        <v>214.66876393840317</v>
      </c>
      <c r="L96" s="5" cm="1">
        <f t="array" ref="L96">IF(L$8=-1,M96,IF(L$8=99,K96,IF(L$8=0,INDEX($E96:$I96,0,L$6),(INDEX($E96:$I96,0,L$8+1)-INDEX($E96:$I96,0,L$8))/(INDEX($D$5:$H$5,0,L$8+1)-INDEX($D$5:$H$5,0,L$8))+K96)))</f>
        <v>206.72501201930316</v>
      </c>
      <c r="M96" s="5" cm="1">
        <f t="array" ref="M96">IF(M$8=-1,N96,IF(M$8=99,L96,IF(M$8=0,INDEX($E96:$I96,0,M$6),(INDEX($E96:$I96,0,M$8+1)-INDEX($E96:$I96,0,M$8))/(INDEX($D$5:$H$5,0,M$8+1)-INDEX($D$5:$H$5,0,M$8))+L96)))</f>
        <v>198.78126010020316</v>
      </c>
      <c r="N96" s="5" cm="1">
        <f t="array" ref="N96">IF(N$8=-1,O96,IF(N$8=99,M96,IF(N$8=0,INDEX($E96:$I96,0,N$6),(INDEX($E96:$I96,0,N$8+1)-INDEX($E96:$I96,0,N$8))/(INDEX($D$5:$H$5,0,N$8+1)-INDEX($D$5:$H$5,0,N$8))+M96)))</f>
        <v>190.83750818110315</v>
      </c>
      <c r="O96" s="5" cm="1">
        <f t="array" ref="O96">IF(O$8=-1,P96,IF(O$8=99,N96,IF(O$8=0,INDEX($E96:$I96,0,O$6),(INDEX($E96:$I96,0,O$8+1)-INDEX($E96:$I96,0,O$8))/(INDEX($D$5:$H$5,0,O$8+1)-INDEX($D$5:$H$5,0,O$8))+N96)))</f>
        <v>182.89375626200317</v>
      </c>
      <c r="P96" s="5" cm="1">
        <f t="array" ref="P96">IF(P$8=-1,Q96,IF(P$8=99,O96,IF(P$8=0,INDEX($E96:$I96,0,P$6),(INDEX($E96:$I96,0,P$8+1)-INDEX($E96:$I96,0,P$8))/(INDEX($D$5:$H$5,0,P$8+1)-INDEX($D$5:$H$5,0,P$8))+O96)))</f>
        <v>182.89375626200317</v>
      </c>
      <c r="Q96" s="5" cm="1">
        <f t="array" ref="Q96">IF(Q$8=-1,R96,IF(Q$8=99,P96,IF(Q$8=0,INDEX($E96:$I96,0,Q$6),(INDEX($E96:$I96,0,Q$8+1)-INDEX($E96:$I96,0,Q$8))/(INDEX($D$5:$H$5,0,Q$8+1)-INDEX($D$5:$H$5,0,Q$8))+P96)))</f>
        <v>182.89375626200317</v>
      </c>
      <c r="R96" s="5" cm="1">
        <f t="array" ref="R96">IF(R$8=-1,S96,IF(R$8=99,Q96,IF(R$8=0,INDEX($E96:$I96,0,R$6),(INDEX($E96:$I96,0,R$8+1)-INDEX($E96:$I96,0,R$8))/(INDEX($D$5:$H$5,0,R$8+1)-INDEX($D$5:$H$5,0,R$8))+Q96)))</f>
        <v>182.89375626200317</v>
      </c>
      <c r="S96" s="5" cm="1">
        <f t="array" ref="S96">IF(S$8=-1,T96,IF(S$8=99,R96,IF(S$8=0,INDEX($E96:$I96,0,S$6),(INDEX($E96:$I96,0,S$8+1)-INDEX($E96:$I96,0,S$8))/(INDEX($D$5:$H$5,0,S$8+1)-INDEX($D$5:$H$5,0,S$8))+R96)))</f>
        <v>182.89375626200317</v>
      </c>
      <c r="T96" s="5" cm="1">
        <f t="array" ref="T96">IF(T$8=-1,U96,IF(T$8=99,S96,IF(T$8=0,INDEX($E96:$I96,0,T$6),(INDEX($E96:$I96,0,T$8+1)-INDEX($E96:$I96,0,T$8))/(INDEX($D$5:$H$5,0,T$8+1)-INDEX($D$5:$H$5,0,T$8))+S96)))</f>
        <v>182.89375626200317</v>
      </c>
      <c r="U96" s="5" cm="1">
        <f t="array" ref="U96">IF(U$8=-1,V96,IF(U$8=99,T96,IF(U$8=0,INDEX($E96:$I96,0,U$6),(INDEX($E96:$I96,0,U$8+1)-INDEX($E96:$I96,0,U$8))/(INDEX($D$5:$H$5,0,U$8+1)-INDEX($D$5:$H$5,0,U$8))+T96)))</f>
        <v>182.89375626200317</v>
      </c>
      <c r="V96" s="5" cm="1">
        <f t="array" ref="V96">IF(V$8=-1,W96,IF(V$8=99,U96,IF(V$8=0,INDEX($E96:$I96,0,V$6),(INDEX($E96:$I96,0,V$8+1)-INDEX($E96:$I96,0,V$8))/(INDEX($D$5:$H$5,0,V$8+1)-INDEX($D$5:$H$5,0,V$8))+U96)))</f>
        <v>182.89375626200317</v>
      </c>
      <c r="W96" s="5" cm="1">
        <f t="array" ref="W96">IF(W$8=-1,X96,IF(W$8=99,V96,IF(W$8=0,INDEX($E96:$I96,0,W$6),(INDEX($E96:$I96,0,W$8+1)-INDEX($E96:$I96,0,W$8))/(INDEX($D$5:$H$5,0,W$8+1)-INDEX($D$5:$H$5,0,W$8))+V96)))</f>
        <v>182.89375626200317</v>
      </c>
      <c r="X96" s="5" cm="1">
        <f t="array" ref="X96">IF(X$8=-1,Y96,IF(X$8=99,W96,IF(X$8=0,INDEX($E96:$I96,0,X$6),(INDEX($E96:$I96,0,X$8+1)-INDEX($E96:$I96,0,X$8))/(INDEX($D$5:$H$5,0,X$8+1)-INDEX($D$5:$H$5,0,X$8))+W96)))</f>
        <v>182.89375626200317</v>
      </c>
      <c r="Y96" s="5" cm="1">
        <f t="array" ref="Y96">IF(Y$8=-1,Z96,IF(Y$8=99,X96,IF(Y$8=0,INDEX($E96:$I96,0,Y$6),(INDEX($E96:$I96,0,Y$8+1)-INDEX($E96:$I96,0,Y$8))/(INDEX($D$5:$H$5,0,Y$8+1)-INDEX($D$5:$H$5,0,Y$8))+X96)))</f>
        <v>182.89375626200317</v>
      </c>
      <c r="Z96" s="5" cm="1">
        <f t="array" ref="Z96">IF(Z$8=-1,AA96,IF(Z$8=99,Y96,IF(Z$8=0,INDEX($E96:$I96,0,Z$6),(INDEX($E96:$I96,0,Z$8+1)-INDEX($E96:$I96,0,Z$8))/(INDEX($D$5:$H$5,0,Z$8+1)-INDEX($D$5:$H$5,0,Z$8))+Y96)))</f>
        <v>182.89375626200317</v>
      </c>
      <c r="AA96" s="5" cm="1">
        <f t="array" ref="AA96">IF(AA$8=-1,AB96,IF(AA$8=99,Z96,IF(AA$8=0,INDEX($E96:$I96,0,AA$6),(INDEX($E96:$I96,0,AA$8+1)-INDEX($E96:$I96,0,AA$8))/(INDEX($D$5:$H$5,0,AA$8+1)-INDEX($D$5:$H$5,0,AA$8))+Z96)))</f>
        <v>182.89375626200317</v>
      </c>
      <c r="AB96" s="5" cm="1">
        <f t="array" ref="AB96">IF(AB$8=-1,AC96,IF(AB$8=99,AA96,IF(AB$8=0,INDEX($E96:$I96,0,AB$6),(INDEX($E96:$I96,0,AB$8+1)-INDEX($E96:$I96,0,AB$8))/(INDEX($D$5:$H$5,0,AB$8+1)-INDEX($D$5:$H$5,0,AB$8))+AA96)))</f>
        <v>182.89375626200317</v>
      </c>
      <c r="AC96" s="5" cm="1">
        <f t="array" ref="AC96">IF(AC$8=-1,AD96,IF(AC$8=99,AB96,IF(AC$8=0,INDEX($E96:$I96,0,AC$6),(INDEX($E96:$I96,0,AC$8+1)-INDEX($E96:$I96,0,AC$8))/(INDEX($D$5:$H$5,0,AC$8+1)-INDEX($D$5:$H$5,0,AC$8))+AB96)))</f>
        <v>182.89375626200317</v>
      </c>
      <c r="AD96" s="5" cm="1">
        <f t="array" ref="AD96">IF(AD$8=-1,AE96,IF(AD$8=99,AC96,IF(AD$8=0,INDEX($E96:$I96,0,AD$6),(INDEX($E96:$I96,0,AD$8+1)-INDEX($E96:$I96,0,AD$8))/(INDEX($D$5:$H$5,0,AD$8+1)-INDEX($D$5:$H$5,0,AD$8))+AC96)))</f>
        <v>182.89375626200317</v>
      </c>
      <c r="AE96" s="5" cm="1">
        <f t="array" ref="AE96">IF(AE$8=-1,AF96,IF(AE$8=99,AD96,IF(AE$8=0,INDEX($E96:$I96,0,AE$6),(INDEX($E96:$I96,0,AE$8+1)-INDEX($E96:$I96,0,AE$8))/(INDEX($D$5:$H$5,0,AE$8+1)-INDEX($D$5:$H$5,0,AE$8))+AD96)))</f>
        <v>182.89375626200317</v>
      </c>
      <c r="AF96" s="5" cm="1">
        <f t="array" ref="AF96">IF(AF$8=-1,AG96,IF(AF$8=99,AE96,IF(AF$8=0,INDEX($E96:$I96,0,AF$6),(INDEX($E96:$I96,0,AF$8+1)-INDEX($E96:$I96,0,AF$8))/(INDEX($D$5:$H$5,0,AF$8+1)-INDEX($D$5:$H$5,0,AF$8))+AE96)))</f>
        <v>182.89375626200317</v>
      </c>
      <c r="AG96" s="5" cm="1">
        <f t="array" ref="AG96">IF(AG$8=-1,AH96,IF(AG$8=99,AF96,IF(AG$8=0,INDEX($E96:$I96,0,AG$6),(INDEX($E96:$I96,0,AG$8+1)-INDEX($E96:$I96,0,AG$8))/(INDEX($D$5:$H$5,0,AG$8+1)-INDEX($D$5:$H$5,0,AG$8))+AF96)))</f>
        <v>182.89375626200317</v>
      </c>
      <c r="AH96" s="5" cm="1">
        <f t="array" ref="AH96">IF(AH$8=-1,AI96,IF(AH$8=99,AG96,IF(AH$8=0,INDEX($E96:$I96,0,AH$6),(INDEX($E96:$I96,0,AH$8+1)-INDEX($E96:$I96,0,AH$8))/(INDEX($D$5:$H$5,0,AH$8+1)-INDEX($D$5:$H$5,0,AH$8))+AG96)))</f>
        <v>182.89375626200317</v>
      </c>
      <c r="AI96" s="5" cm="1">
        <f t="array" ref="AI96">IF(AI$8=-1,AJ96,IF(AI$8=99,AH96,IF(AI$8=0,INDEX($E96:$I96,0,AI$6),(INDEX($E96:$I96,0,AI$8+1)-INDEX($E96:$I96,0,AI$8))/(INDEX($D$5:$H$5,0,AI$8+1)-INDEX($D$5:$H$5,0,AI$8))+AH96)))</f>
        <v>182.89375626200317</v>
      </c>
      <c r="AJ96" s="5" cm="1">
        <f t="array" ref="AJ96">IF(AJ$8=-1,AK96,IF(AJ$8=99,AI96,IF(AJ$8=0,INDEX($E96:$I96,0,AJ$6),(INDEX($E96:$I96,0,AJ$8+1)-INDEX($E96:$I96,0,AJ$8))/(INDEX($D$5:$H$5,0,AJ$8+1)-INDEX($D$5:$H$5,0,AJ$8))+AI96)))</f>
        <v>182.89375626200317</v>
      </c>
      <c r="AK96" s="5" cm="1">
        <f t="array" ref="AK96">IF(AK$8=-1,AL96,IF(AK$8=99,AJ96,IF(AK$8=0,INDEX($E96:$I96,0,AK$6),(INDEX($E96:$I96,0,AK$8+1)-INDEX($E96:$I96,0,AK$8))/(INDEX($D$5:$H$5,0,AK$8+1)-INDEX($D$5:$H$5,0,AK$8))+AJ96)))</f>
        <v>182.89375626200317</v>
      </c>
      <c r="AL96" s="5" cm="1">
        <f t="array" ref="AL96">IF(AL$8=-1,AM96,IF(AL$8=99,AK96,IF(AL$8=0,INDEX($E96:$I96,0,AL$6),(INDEX($E96:$I96,0,AL$8+1)-INDEX($E96:$I96,0,AL$8))/(INDEX($D$5:$H$5,0,AL$8+1)-INDEX($D$5:$H$5,0,AL$8))+AK96)))</f>
        <v>182.89375626200317</v>
      </c>
      <c r="AM96" s="5" cm="1">
        <f t="array" ref="AM96">IF(AM$8=-1,AN96,IF(AM$8=99,AL96,IF(AM$8=0,INDEX($E96:$I96,0,AM$6),(INDEX($E96:$I96,0,AM$8+1)-INDEX($E96:$I96,0,AM$8))/(INDEX($D$5:$H$5,0,AM$8+1)-INDEX($D$5:$H$5,0,AM$8))+AL96)))</f>
        <v>182.89375626200317</v>
      </c>
      <c r="AN96" s="5" cm="1">
        <f t="array" ref="AN96">IF(AN$8=-1,AO96,IF(AN$8=99,AM96,IF(AN$8=0,INDEX($E96:$I96,0,AN$6),(INDEX($E96:$I96,0,AN$8+1)-INDEX($E96:$I96,0,AN$8))/(INDEX($D$5:$H$5,0,AN$8+1)-INDEX($D$5:$H$5,0,AN$8))+AM96)))</f>
        <v>182.89375626200317</v>
      </c>
      <c r="AO96" s="5" cm="1">
        <f t="array" ref="AO96">IF(AO$8=-1,AP96,IF(AO$8=99,AN96,IF(AO$8=0,INDEX($E96:$I96,0,AO$6),(INDEX($E96:$I96,0,AO$8+1)-INDEX($E96:$I96,0,AO$8))/(INDEX($D$5:$H$5,0,AO$8+1)-INDEX($D$5:$H$5,0,AO$8))+AN96)))</f>
        <v>182.89375626200317</v>
      </c>
      <c r="AP96" s="5" cm="1">
        <f t="array" ref="AP96">IF(AP$8=-1,AQ96,IF(AP$8=99,AO96,IF(AP$8=0,INDEX($E96:$I96,0,AP$6),(INDEX($E96:$I96,0,AP$8+1)-INDEX($E96:$I96,0,AP$8))/(INDEX($D$5:$H$5,0,AP$8+1)-INDEX($D$5:$H$5,0,AP$8))+AO96)))</f>
        <v>182.89375626200317</v>
      </c>
      <c r="AQ96" s="5" cm="1">
        <f t="array" ref="AQ96">IF(AQ$8=-1,AR96,IF(AQ$8=99,AP96,IF(AQ$8=0,INDEX($E96:$I96,0,AQ$6),(INDEX($E96:$I96,0,AQ$8+1)-INDEX($E96:$I96,0,AQ$8))/(INDEX($D$5:$H$5,0,AQ$8+1)-INDEX($D$5:$H$5,0,AQ$8))+AP96)))</f>
        <v>182.89375626200317</v>
      </c>
      <c r="AR96" s="5" cm="1">
        <f t="array" ref="AR96">IF(AR$8=-1,AS96,IF(AR$8=99,AQ96,IF(AR$8=0,INDEX($E96:$I96,0,AR$6),(INDEX($E96:$I96,0,AR$8+1)-INDEX($E96:$I96,0,AR$8))/(INDEX($D$5:$H$5,0,AR$8+1)-INDEX($D$5:$H$5,0,AR$8))+AQ96)))</f>
        <v>182.89375626200317</v>
      </c>
      <c r="AS96" s="5" cm="1">
        <f t="array" ref="AS96">IF(AS$8=-1,AT96,IF(AS$8=99,AR96,IF(AS$8=0,INDEX($E96:$I96,0,AS$6),(INDEX($E96:$I96,0,AS$8+1)-INDEX($E96:$I96,0,AS$8))/(INDEX($D$5:$H$5,0,AS$8+1)-INDEX($D$5:$H$5,0,AS$8))+AR96)))</f>
        <v>182.89375626200317</v>
      </c>
      <c r="AT96" s="5" cm="1">
        <f t="array" ref="AT96">IF(AT$8=-1,AU96,IF(AT$8=99,AS96,IF(AT$8=0,INDEX($E96:$I96,0,AT$6),(INDEX($E96:$I96,0,AT$8+1)-INDEX($E96:$I96,0,AT$8))/(INDEX($D$5:$H$5,0,AT$8+1)-INDEX($D$5:$H$5,0,AT$8))+AS96)))</f>
        <v>182.89375626200317</v>
      </c>
      <c r="AU96" s="5" cm="1">
        <f t="array" ref="AU96">IF(AU$8=-1,AV96,IF(AU$8=99,AT96,IF(AU$8=0,INDEX($E96:$I96,0,AU$6),(INDEX($E96:$I96,0,AU$8+1)-INDEX($E96:$I96,0,AU$8))/(INDEX($D$5:$H$5,0,AU$8+1)-INDEX($D$5:$H$5,0,AU$8))+AT96)))</f>
        <v>182.89375626200317</v>
      </c>
      <c r="AV96" s="5" cm="1">
        <f t="array" ref="AV96">IF(AV$8=-1,AW96,IF(AV$8=99,AU96,IF(AV$8=0,INDEX($E96:$I96,0,AV$6),(INDEX($E96:$I96,0,AV$8+1)-INDEX($E96:$I96,0,AV$8))/(INDEX($D$5:$H$5,0,AV$8+1)-INDEX($D$5:$H$5,0,AV$8))+AU96)))</f>
        <v>182.89375626200317</v>
      </c>
    </row>
    <row r="97" spans="1:50">
      <c r="A97" t="s">
        <v>16</v>
      </c>
      <c r="B97" s="233" t="str">
        <f t="shared" si="35"/>
        <v>CEW</v>
      </c>
      <c r="C97" s="75" t="str">
        <f t="shared" si="33"/>
        <v>Commercial - Water Heating</v>
      </c>
      <c r="D97" s="75" t="s">
        <v>75</v>
      </c>
      <c r="E97" s="84">
        <f t="shared" si="36"/>
        <v>72.906473658117989</v>
      </c>
      <c r="F97" s="92">
        <f t="shared" si="36"/>
        <v>69.309069222923057</v>
      </c>
      <c r="G97" s="92">
        <f t="shared" si="34"/>
        <v>69.309069222923057</v>
      </c>
      <c r="H97" s="92">
        <f t="shared" si="37"/>
        <v>69.309069222923057</v>
      </c>
      <c r="I97" s="136">
        <f t="shared" si="38"/>
        <v>69.309069222923057</v>
      </c>
      <c r="J97" s="5" cm="1">
        <f t="array" ref="J97">IF(J$8=-1,K97,IF(J$8=99,I97,IF(J$8=0,INDEX($E97:$I97,0,J$6),(INDEX($E97:$I97,0,J$8+1)-INDEX($E97:$I97,0,J$8))/(INDEX($D$5:$H$5,0,J$8+1)-INDEX($D$5:$H$5,0,J$8))+I97)))</f>
        <v>72.906473658117989</v>
      </c>
      <c r="K97" s="5" cm="1">
        <f t="array" ref="K97">IF(K$8=-1,L97,IF(K$8=99,J97,IF(K$8=0,INDEX($E97:$I97,0,K$6),(INDEX($E97:$I97,0,K$8+1)-INDEX($E97:$I97,0,K$8))/(INDEX($D$5:$H$5,0,K$8+1)-INDEX($D$5:$H$5,0,K$8))+J97)))</f>
        <v>72.186992771079005</v>
      </c>
      <c r="L97" s="5" cm="1">
        <f t="array" ref="L97">IF(L$8=-1,M97,IF(L$8=99,K97,IF(L$8=0,INDEX($E97:$I97,0,L$6),(INDEX($E97:$I97,0,L$8+1)-INDEX($E97:$I97,0,L$8))/(INDEX($D$5:$H$5,0,L$8+1)-INDEX($D$5:$H$5,0,L$8))+K97)))</f>
        <v>71.467511884040022</v>
      </c>
      <c r="M97" s="5" cm="1">
        <f t="array" ref="M97">IF(M$8=-1,N97,IF(M$8=99,L97,IF(M$8=0,INDEX($E97:$I97,0,M$6),(INDEX($E97:$I97,0,M$8+1)-INDEX($E97:$I97,0,M$8))/(INDEX($D$5:$H$5,0,M$8+1)-INDEX($D$5:$H$5,0,M$8))+L97)))</f>
        <v>70.748030997001038</v>
      </c>
      <c r="N97" s="5" cm="1">
        <f t="array" ref="N97">IF(N$8=-1,O97,IF(N$8=99,M97,IF(N$8=0,INDEX($E97:$I97,0,N$6),(INDEX($E97:$I97,0,N$8+1)-INDEX($E97:$I97,0,N$8))/(INDEX($D$5:$H$5,0,N$8+1)-INDEX($D$5:$H$5,0,N$8))+M97)))</f>
        <v>70.028550109962055</v>
      </c>
      <c r="O97" s="5" cm="1">
        <f t="array" ref="O97">IF(O$8=-1,P97,IF(O$8=99,N97,IF(O$8=0,INDEX($E97:$I97,0,O$6),(INDEX($E97:$I97,0,O$8+1)-INDEX($E97:$I97,0,O$8))/(INDEX($D$5:$H$5,0,O$8+1)-INDEX($D$5:$H$5,0,O$8))+N97)))</f>
        <v>69.309069222923057</v>
      </c>
      <c r="P97" s="5" cm="1">
        <f t="array" ref="P97">IF(P$8=-1,Q97,IF(P$8=99,O97,IF(P$8=0,INDEX($E97:$I97,0,P$6),(INDEX($E97:$I97,0,P$8+1)-INDEX($E97:$I97,0,P$8))/(INDEX($D$5:$H$5,0,P$8+1)-INDEX($D$5:$H$5,0,P$8))+O97)))</f>
        <v>69.309069222923057</v>
      </c>
      <c r="Q97" s="5" cm="1">
        <f t="array" ref="Q97">IF(Q$8=-1,R97,IF(Q$8=99,P97,IF(Q$8=0,INDEX($E97:$I97,0,Q$6),(INDEX($E97:$I97,0,Q$8+1)-INDEX($E97:$I97,0,Q$8))/(INDEX($D$5:$H$5,0,Q$8+1)-INDEX($D$5:$H$5,0,Q$8))+P97)))</f>
        <v>69.309069222923057</v>
      </c>
      <c r="R97" s="5" cm="1">
        <f t="array" ref="R97">IF(R$8=-1,S97,IF(R$8=99,Q97,IF(R$8=0,INDEX($E97:$I97,0,R$6),(INDEX($E97:$I97,0,R$8+1)-INDEX($E97:$I97,0,R$8))/(INDEX($D$5:$H$5,0,R$8+1)-INDEX($D$5:$H$5,0,R$8))+Q97)))</f>
        <v>69.309069222923057</v>
      </c>
      <c r="S97" s="5" cm="1">
        <f t="array" ref="S97">IF(S$8=-1,T97,IF(S$8=99,R97,IF(S$8=0,INDEX($E97:$I97,0,S$6),(INDEX($E97:$I97,0,S$8+1)-INDEX($E97:$I97,0,S$8))/(INDEX($D$5:$H$5,0,S$8+1)-INDEX($D$5:$H$5,0,S$8))+R97)))</f>
        <v>69.309069222923057</v>
      </c>
      <c r="T97" s="5" cm="1">
        <f t="array" ref="T97">IF(T$8=-1,U97,IF(T$8=99,S97,IF(T$8=0,INDEX($E97:$I97,0,T$6),(INDEX($E97:$I97,0,T$8+1)-INDEX($E97:$I97,0,T$8))/(INDEX($D$5:$H$5,0,T$8+1)-INDEX($D$5:$H$5,0,T$8))+S97)))</f>
        <v>69.309069222923057</v>
      </c>
      <c r="U97" s="5" cm="1">
        <f t="array" ref="U97">IF(U$8=-1,V97,IF(U$8=99,T97,IF(U$8=0,INDEX($E97:$I97,0,U$6),(INDEX($E97:$I97,0,U$8+1)-INDEX($E97:$I97,0,U$8))/(INDEX($D$5:$H$5,0,U$8+1)-INDEX($D$5:$H$5,0,U$8))+T97)))</f>
        <v>69.309069222923057</v>
      </c>
      <c r="V97" s="5" cm="1">
        <f t="array" ref="V97">IF(V$8=-1,W97,IF(V$8=99,U97,IF(V$8=0,INDEX($E97:$I97,0,V$6),(INDEX($E97:$I97,0,V$8+1)-INDEX($E97:$I97,0,V$8))/(INDEX($D$5:$H$5,0,V$8+1)-INDEX($D$5:$H$5,0,V$8))+U97)))</f>
        <v>69.309069222923057</v>
      </c>
      <c r="W97" s="5" cm="1">
        <f t="array" ref="W97">IF(W$8=-1,X97,IF(W$8=99,V97,IF(W$8=0,INDEX($E97:$I97,0,W$6),(INDEX($E97:$I97,0,W$8+1)-INDEX($E97:$I97,0,W$8))/(INDEX($D$5:$H$5,0,W$8+1)-INDEX($D$5:$H$5,0,W$8))+V97)))</f>
        <v>69.309069222923057</v>
      </c>
      <c r="X97" s="5" cm="1">
        <f t="array" ref="X97">IF(X$8=-1,Y97,IF(X$8=99,W97,IF(X$8=0,INDEX($E97:$I97,0,X$6),(INDEX($E97:$I97,0,X$8+1)-INDEX($E97:$I97,0,X$8))/(INDEX($D$5:$H$5,0,X$8+1)-INDEX($D$5:$H$5,0,X$8))+W97)))</f>
        <v>69.309069222923057</v>
      </c>
      <c r="Y97" s="5" cm="1">
        <f t="array" ref="Y97">IF(Y$8=-1,Z97,IF(Y$8=99,X97,IF(Y$8=0,INDEX($E97:$I97,0,Y$6),(INDEX($E97:$I97,0,Y$8+1)-INDEX($E97:$I97,0,Y$8))/(INDEX($D$5:$H$5,0,Y$8+1)-INDEX($D$5:$H$5,0,Y$8))+X97)))</f>
        <v>69.309069222923057</v>
      </c>
      <c r="Z97" s="5" cm="1">
        <f t="array" ref="Z97">IF(Z$8=-1,AA97,IF(Z$8=99,Y97,IF(Z$8=0,INDEX($E97:$I97,0,Z$6),(INDEX($E97:$I97,0,Z$8+1)-INDEX($E97:$I97,0,Z$8))/(INDEX($D$5:$H$5,0,Z$8+1)-INDEX($D$5:$H$5,0,Z$8))+Y97)))</f>
        <v>69.309069222923057</v>
      </c>
      <c r="AA97" s="5" cm="1">
        <f t="array" ref="AA97">IF(AA$8=-1,AB97,IF(AA$8=99,Z97,IF(AA$8=0,INDEX($E97:$I97,0,AA$6),(INDEX($E97:$I97,0,AA$8+1)-INDEX($E97:$I97,0,AA$8))/(INDEX($D$5:$H$5,0,AA$8+1)-INDEX($D$5:$H$5,0,AA$8))+Z97)))</f>
        <v>69.309069222923057</v>
      </c>
      <c r="AB97" s="5" cm="1">
        <f t="array" ref="AB97">IF(AB$8=-1,AC97,IF(AB$8=99,AA97,IF(AB$8=0,INDEX($E97:$I97,0,AB$6),(INDEX($E97:$I97,0,AB$8+1)-INDEX($E97:$I97,0,AB$8))/(INDEX($D$5:$H$5,0,AB$8+1)-INDEX($D$5:$H$5,0,AB$8))+AA97)))</f>
        <v>69.309069222923057</v>
      </c>
      <c r="AC97" s="5" cm="1">
        <f t="array" ref="AC97">IF(AC$8=-1,AD97,IF(AC$8=99,AB97,IF(AC$8=0,INDEX($E97:$I97,0,AC$6),(INDEX($E97:$I97,0,AC$8+1)-INDEX($E97:$I97,0,AC$8))/(INDEX($D$5:$H$5,0,AC$8+1)-INDEX($D$5:$H$5,0,AC$8))+AB97)))</f>
        <v>69.309069222923057</v>
      </c>
      <c r="AD97" s="5" cm="1">
        <f t="array" ref="AD97">IF(AD$8=-1,AE97,IF(AD$8=99,AC97,IF(AD$8=0,INDEX($E97:$I97,0,AD$6),(INDEX($E97:$I97,0,AD$8+1)-INDEX($E97:$I97,0,AD$8))/(INDEX($D$5:$H$5,0,AD$8+1)-INDEX($D$5:$H$5,0,AD$8))+AC97)))</f>
        <v>69.309069222923057</v>
      </c>
      <c r="AE97" s="5" cm="1">
        <f t="array" ref="AE97">IF(AE$8=-1,AF97,IF(AE$8=99,AD97,IF(AE$8=0,INDEX($E97:$I97,0,AE$6),(INDEX($E97:$I97,0,AE$8+1)-INDEX($E97:$I97,0,AE$8))/(INDEX($D$5:$H$5,0,AE$8+1)-INDEX($D$5:$H$5,0,AE$8))+AD97)))</f>
        <v>69.309069222923057</v>
      </c>
      <c r="AF97" s="5" cm="1">
        <f t="array" ref="AF97">IF(AF$8=-1,AG97,IF(AF$8=99,AE97,IF(AF$8=0,INDEX($E97:$I97,0,AF$6),(INDEX($E97:$I97,0,AF$8+1)-INDEX($E97:$I97,0,AF$8))/(INDEX($D$5:$H$5,0,AF$8+1)-INDEX($D$5:$H$5,0,AF$8))+AE97)))</f>
        <v>69.309069222923057</v>
      </c>
      <c r="AG97" s="5" cm="1">
        <f t="array" ref="AG97">IF(AG$8=-1,AH97,IF(AG$8=99,AF97,IF(AG$8=0,INDEX($E97:$I97,0,AG$6),(INDEX($E97:$I97,0,AG$8+1)-INDEX($E97:$I97,0,AG$8))/(INDEX($D$5:$H$5,0,AG$8+1)-INDEX($D$5:$H$5,0,AG$8))+AF97)))</f>
        <v>69.309069222923057</v>
      </c>
      <c r="AH97" s="5" cm="1">
        <f t="array" ref="AH97">IF(AH$8=-1,AI97,IF(AH$8=99,AG97,IF(AH$8=0,INDEX($E97:$I97,0,AH$6),(INDEX($E97:$I97,0,AH$8+1)-INDEX($E97:$I97,0,AH$8))/(INDEX($D$5:$H$5,0,AH$8+1)-INDEX($D$5:$H$5,0,AH$8))+AG97)))</f>
        <v>69.309069222923057</v>
      </c>
      <c r="AI97" s="5" cm="1">
        <f t="array" ref="AI97">IF(AI$8=-1,AJ97,IF(AI$8=99,AH97,IF(AI$8=0,INDEX($E97:$I97,0,AI$6),(INDEX($E97:$I97,0,AI$8+1)-INDEX($E97:$I97,0,AI$8))/(INDEX($D$5:$H$5,0,AI$8+1)-INDEX($D$5:$H$5,0,AI$8))+AH97)))</f>
        <v>69.309069222923057</v>
      </c>
      <c r="AJ97" s="5" cm="1">
        <f t="array" ref="AJ97">IF(AJ$8=-1,AK97,IF(AJ$8=99,AI97,IF(AJ$8=0,INDEX($E97:$I97,0,AJ$6),(INDEX($E97:$I97,0,AJ$8+1)-INDEX($E97:$I97,0,AJ$8))/(INDEX($D$5:$H$5,0,AJ$8+1)-INDEX($D$5:$H$5,0,AJ$8))+AI97)))</f>
        <v>69.309069222923057</v>
      </c>
      <c r="AK97" s="5" cm="1">
        <f t="array" ref="AK97">IF(AK$8=-1,AL97,IF(AK$8=99,AJ97,IF(AK$8=0,INDEX($E97:$I97,0,AK$6),(INDEX($E97:$I97,0,AK$8+1)-INDEX($E97:$I97,0,AK$8))/(INDEX($D$5:$H$5,0,AK$8+1)-INDEX($D$5:$H$5,0,AK$8))+AJ97)))</f>
        <v>69.309069222923057</v>
      </c>
      <c r="AL97" s="5" cm="1">
        <f t="array" ref="AL97">IF(AL$8=-1,AM97,IF(AL$8=99,AK97,IF(AL$8=0,INDEX($E97:$I97,0,AL$6),(INDEX($E97:$I97,0,AL$8+1)-INDEX($E97:$I97,0,AL$8))/(INDEX($D$5:$H$5,0,AL$8+1)-INDEX($D$5:$H$5,0,AL$8))+AK97)))</f>
        <v>69.309069222923057</v>
      </c>
      <c r="AM97" s="5" cm="1">
        <f t="array" ref="AM97">IF(AM$8=-1,AN97,IF(AM$8=99,AL97,IF(AM$8=0,INDEX($E97:$I97,0,AM$6),(INDEX($E97:$I97,0,AM$8+1)-INDEX($E97:$I97,0,AM$8))/(INDEX($D$5:$H$5,0,AM$8+1)-INDEX($D$5:$H$5,0,AM$8))+AL97)))</f>
        <v>69.309069222923057</v>
      </c>
      <c r="AN97" s="5" cm="1">
        <f t="array" ref="AN97">IF(AN$8=-1,AO97,IF(AN$8=99,AM97,IF(AN$8=0,INDEX($E97:$I97,0,AN$6),(INDEX($E97:$I97,0,AN$8+1)-INDEX($E97:$I97,0,AN$8))/(INDEX($D$5:$H$5,0,AN$8+1)-INDEX($D$5:$H$5,0,AN$8))+AM97)))</f>
        <v>69.309069222923057</v>
      </c>
      <c r="AO97" s="5" cm="1">
        <f t="array" ref="AO97">IF(AO$8=-1,AP97,IF(AO$8=99,AN97,IF(AO$8=0,INDEX($E97:$I97,0,AO$6),(INDEX($E97:$I97,0,AO$8+1)-INDEX($E97:$I97,0,AO$8))/(INDEX($D$5:$H$5,0,AO$8+1)-INDEX($D$5:$H$5,0,AO$8))+AN97)))</f>
        <v>69.309069222923057</v>
      </c>
      <c r="AP97" s="5" cm="1">
        <f t="array" ref="AP97">IF(AP$8=-1,AQ97,IF(AP$8=99,AO97,IF(AP$8=0,INDEX($E97:$I97,0,AP$6),(INDEX($E97:$I97,0,AP$8+1)-INDEX($E97:$I97,0,AP$8))/(INDEX($D$5:$H$5,0,AP$8+1)-INDEX($D$5:$H$5,0,AP$8))+AO97)))</f>
        <v>69.309069222923057</v>
      </c>
      <c r="AQ97" s="5" cm="1">
        <f t="array" ref="AQ97">IF(AQ$8=-1,AR97,IF(AQ$8=99,AP97,IF(AQ$8=0,INDEX($E97:$I97,0,AQ$6),(INDEX($E97:$I97,0,AQ$8+1)-INDEX($E97:$I97,0,AQ$8))/(INDEX($D$5:$H$5,0,AQ$8+1)-INDEX($D$5:$H$5,0,AQ$8))+AP97)))</f>
        <v>69.309069222923057</v>
      </c>
      <c r="AR97" s="5" cm="1">
        <f t="array" ref="AR97">IF(AR$8=-1,AS97,IF(AR$8=99,AQ97,IF(AR$8=0,INDEX($E97:$I97,0,AR$6),(INDEX($E97:$I97,0,AR$8+1)-INDEX($E97:$I97,0,AR$8))/(INDEX($D$5:$H$5,0,AR$8+1)-INDEX($D$5:$H$5,0,AR$8))+AQ97)))</f>
        <v>69.309069222923057</v>
      </c>
      <c r="AS97" s="5" cm="1">
        <f t="array" ref="AS97">IF(AS$8=-1,AT97,IF(AS$8=99,AR97,IF(AS$8=0,INDEX($E97:$I97,0,AS$6),(INDEX($E97:$I97,0,AS$8+1)-INDEX($E97:$I97,0,AS$8))/(INDEX($D$5:$H$5,0,AS$8+1)-INDEX($D$5:$H$5,0,AS$8))+AR97)))</f>
        <v>69.309069222923057</v>
      </c>
      <c r="AT97" s="5" cm="1">
        <f t="array" ref="AT97">IF(AT$8=-1,AU97,IF(AT$8=99,AS97,IF(AT$8=0,INDEX($E97:$I97,0,AT$6),(INDEX($E97:$I97,0,AT$8+1)-INDEX($E97:$I97,0,AT$8))/(INDEX($D$5:$H$5,0,AT$8+1)-INDEX($D$5:$H$5,0,AT$8))+AS97)))</f>
        <v>69.309069222923057</v>
      </c>
      <c r="AU97" s="5" cm="1">
        <f t="array" ref="AU97">IF(AU$8=-1,AV97,IF(AU$8=99,AT97,IF(AU$8=0,INDEX($E97:$I97,0,AU$6),(INDEX($E97:$I97,0,AU$8+1)-INDEX($E97:$I97,0,AU$8))/(INDEX($D$5:$H$5,0,AU$8+1)-INDEX($D$5:$H$5,0,AU$8))+AT97)))</f>
        <v>69.309069222923057</v>
      </c>
      <c r="AV97" s="5" cm="1">
        <f t="array" ref="AV97">IF(AV$8=-1,AW97,IF(AV$8=99,AU97,IF(AV$8=0,INDEX($E97:$I97,0,AV$6),(INDEX($E97:$I97,0,AV$8+1)-INDEX($E97:$I97,0,AV$8))/(INDEX($D$5:$H$5,0,AV$8+1)-INDEX($D$5:$H$5,0,AV$8))+AU97)))</f>
        <v>69.309069222923057</v>
      </c>
    </row>
    <row r="98" spans="1:50">
      <c r="A98" t="s">
        <v>16</v>
      </c>
      <c r="B98" s="233" t="str">
        <f t="shared" si="35"/>
        <v>CEG</v>
      </c>
      <c r="C98" s="95" t="str">
        <f t="shared" si="33"/>
        <v>Commercial - Public lights</v>
      </c>
      <c r="D98" s="95" t="s">
        <v>75</v>
      </c>
      <c r="E98" s="159">
        <f>D62/$J$34</f>
        <v>387.77678995775307</v>
      </c>
      <c r="F98" s="159">
        <f>E62/$O$34</f>
        <v>318.5892465812355</v>
      </c>
      <c r="G98" s="154">
        <f t="shared" si="34"/>
        <v>318.5892465812355</v>
      </c>
      <c r="H98" s="92">
        <f>IF($L$57=-1,G98,((F98-E98)*2/5+E98)*(1+$I$91))</f>
        <v>318.5892465812355</v>
      </c>
      <c r="I98" s="155">
        <f t="shared" si="38"/>
        <v>318.5892465812355</v>
      </c>
      <c r="J98" s="5" cm="1">
        <f t="array" ref="J98">IF(J$8=-1,K98,IF(J$8=99,I98,IF(J$8=0,INDEX($E98:$I98,0,J$6),(INDEX($E98:$I98,0,J$8+1)-INDEX($E98:$I98,0,J$8))/(INDEX($D$5:$H$5,0,J$8+1)-INDEX($D$5:$H$5,0,J$8))+I98)))</f>
        <v>387.77678995775307</v>
      </c>
      <c r="K98" s="5" cm="1">
        <f t="array" ref="K98">IF(K$8=-1,L98,IF(K$8=99,J98,IF(K$8=0,INDEX($E98:$I98,0,K$6),(INDEX($E98:$I98,0,K$8+1)-INDEX($E98:$I98,0,K$8))/(INDEX($D$5:$H$5,0,K$8+1)-INDEX($D$5:$H$5,0,K$8))+J98)))</f>
        <v>373.93928128244954</v>
      </c>
      <c r="L98" s="5" cm="1">
        <f t="array" ref="L98">IF(L$8=-1,M98,IF(L$8=99,K98,IF(L$8=0,INDEX($E98:$I98,0,L$6),(INDEX($E98:$I98,0,L$8+1)-INDEX($E98:$I98,0,L$8))/(INDEX($D$5:$H$5,0,L$8+1)-INDEX($D$5:$H$5,0,L$8))+K98)))</f>
        <v>360.10177260714602</v>
      </c>
      <c r="M98" s="5" cm="1">
        <f t="array" ref="M98">IF(M$8=-1,N98,IF(M$8=99,L98,IF(M$8=0,INDEX($E98:$I98,0,M$6),(INDEX($E98:$I98,0,M$8+1)-INDEX($E98:$I98,0,M$8))/(INDEX($D$5:$H$5,0,M$8+1)-INDEX($D$5:$H$5,0,M$8))+L98)))</f>
        <v>346.26426393184249</v>
      </c>
      <c r="N98" s="5" cm="1">
        <f t="array" ref="N98">IF(N$8=-1,O98,IF(N$8=99,M98,IF(N$8=0,INDEX($E98:$I98,0,N$6),(INDEX($E98:$I98,0,N$8+1)-INDEX($E98:$I98,0,N$8))/(INDEX($D$5:$H$5,0,N$8+1)-INDEX($D$5:$H$5,0,N$8))+M98)))</f>
        <v>332.42675525653897</v>
      </c>
      <c r="O98" s="5" cm="1">
        <f t="array" ref="O98">IF(O$8=-1,P98,IF(O$8=99,N98,IF(O$8=0,INDEX($E98:$I98,0,O$6),(INDEX($E98:$I98,0,O$8+1)-INDEX($E98:$I98,0,O$8))/(INDEX($D$5:$H$5,0,O$8+1)-INDEX($D$5:$H$5,0,O$8))+N98)))</f>
        <v>318.5892465812355</v>
      </c>
      <c r="P98" s="5" cm="1">
        <f t="array" ref="P98">IF(P$8=-1,Q98,IF(P$8=99,O98,IF(P$8=0,INDEX($E98:$I98,0,P$6),(INDEX($E98:$I98,0,P$8+1)-INDEX($E98:$I98,0,P$8))/(INDEX($D$5:$H$5,0,P$8+1)-INDEX($D$5:$H$5,0,P$8))+O98)))</f>
        <v>318.5892465812355</v>
      </c>
      <c r="Q98" s="5" cm="1">
        <f t="array" ref="Q98">IF(Q$8=-1,R98,IF(Q$8=99,P98,IF(Q$8=0,INDEX($E98:$I98,0,Q$6),(INDEX($E98:$I98,0,Q$8+1)-INDEX($E98:$I98,0,Q$8))/(INDEX($D$5:$H$5,0,Q$8+1)-INDEX($D$5:$H$5,0,Q$8))+P98)))</f>
        <v>318.5892465812355</v>
      </c>
      <c r="R98" s="5" cm="1">
        <f t="array" ref="R98">IF(R$8=-1,S98,IF(R$8=99,Q98,IF(R$8=0,INDEX($E98:$I98,0,R$6),(INDEX($E98:$I98,0,R$8+1)-INDEX($E98:$I98,0,R$8))/(INDEX($D$5:$H$5,0,R$8+1)-INDEX($D$5:$H$5,0,R$8))+Q98)))</f>
        <v>318.5892465812355</v>
      </c>
      <c r="S98" s="5" cm="1">
        <f t="array" ref="S98">IF(S$8=-1,T98,IF(S$8=99,R98,IF(S$8=0,INDEX($E98:$I98,0,S$6),(INDEX($E98:$I98,0,S$8+1)-INDEX($E98:$I98,0,S$8))/(INDEX($D$5:$H$5,0,S$8+1)-INDEX($D$5:$H$5,0,S$8))+R98)))</f>
        <v>318.5892465812355</v>
      </c>
      <c r="T98" s="5" cm="1">
        <f t="array" ref="T98">IF(T$8=-1,U98,IF(T$8=99,S98,IF(T$8=0,INDEX($E98:$I98,0,T$6),(INDEX($E98:$I98,0,T$8+1)-INDEX($E98:$I98,0,T$8))/(INDEX($D$5:$H$5,0,T$8+1)-INDEX($D$5:$H$5,0,T$8))+S98)))</f>
        <v>318.5892465812355</v>
      </c>
      <c r="U98" s="5" cm="1">
        <f t="array" ref="U98">IF(U$8=-1,V98,IF(U$8=99,T98,IF(U$8=0,INDEX($E98:$I98,0,U$6),(INDEX($E98:$I98,0,U$8+1)-INDEX($E98:$I98,0,U$8))/(INDEX($D$5:$H$5,0,U$8+1)-INDEX($D$5:$H$5,0,U$8))+T98)))</f>
        <v>318.5892465812355</v>
      </c>
      <c r="V98" s="5" cm="1">
        <f t="array" ref="V98">IF(V$8=-1,W98,IF(V$8=99,U98,IF(V$8=0,INDEX($E98:$I98,0,V$6),(INDEX($E98:$I98,0,V$8+1)-INDEX($E98:$I98,0,V$8))/(INDEX($D$5:$H$5,0,V$8+1)-INDEX($D$5:$H$5,0,V$8))+U98)))</f>
        <v>318.5892465812355</v>
      </c>
      <c r="W98" s="5" cm="1">
        <f t="array" ref="W98">IF(W$8=-1,X98,IF(W$8=99,V98,IF(W$8=0,INDEX($E98:$I98,0,W$6),(INDEX($E98:$I98,0,W$8+1)-INDEX($E98:$I98,0,W$8))/(INDEX($D$5:$H$5,0,W$8+1)-INDEX($D$5:$H$5,0,W$8))+V98)))</f>
        <v>318.5892465812355</v>
      </c>
      <c r="X98" s="5" cm="1">
        <f t="array" ref="X98">IF(X$8=-1,Y98,IF(X$8=99,W98,IF(X$8=0,INDEX($E98:$I98,0,X$6),(INDEX($E98:$I98,0,X$8+1)-INDEX($E98:$I98,0,X$8))/(INDEX($D$5:$H$5,0,X$8+1)-INDEX($D$5:$H$5,0,X$8))+W98)))</f>
        <v>318.5892465812355</v>
      </c>
      <c r="Y98" s="5" cm="1">
        <f t="array" ref="Y98">IF(Y$8=-1,Z98,IF(Y$8=99,X98,IF(Y$8=0,INDEX($E98:$I98,0,Y$6),(INDEX($E98:$I98,0,Y$8+1)-INDEX($E98:$I98,0,Y$8))/(INDEX($D$5:$H$5,0,Y$8+1)-INDEX($D$5:$H$5,0,Y$8))+X98)))</f>
        <v>318.5892465812355</v>
      </c>
      <c r="Z98" s="5" cm="1">
        <f t="array" ref="Z98">IF(Z$8=-1,AA98,IF(Z$8=99,Y98,IF(Z$8=0,INDEX($E98:$I98,0,Z$6),(INDEX($E98:$I98,0,Z$8+1)-INDEX($E98:$I98,0,Z$8))/(INDEX($D$5:$H$5,0,Z$8+1)-INDEX($D$5:$H$5,0,Z$8))+Y98)))</f>
        <v>318.5892465812355</v>
      </c>
      <c r="AA98" s="5" cm="1">
        <f t="array" ref="AA98">IF(AA$8=-1,AB98,IF(AA$8=99,Z98,IF(AA$8=0,INDEX($E98:$I98,0,AA$6),(INDEX($E98:$I98,0,AA$8+1)-INDEX($E98:$I98,0,AA$8))/(INDEX($D$5:$H$5,0,AA$8+1)-INDEX($D$5:$H$5,0,AA$8))+Z98)))</f>
        <v>318.5892465812355</v>
      </c>
      <c r="AB98" s="5" cm="1">
        <f t="array" ref="AB98">IF(AB$8=-1,AC98,IF(AB$8=99,AA98,IF(AB$8=0,INDEX($E98:$I98,0,AB$6),(INDEX($E98:$I98,0,AB$8+1)-INDEX($E98:$I98,0,AB$8))/(INDEX($D$5:$H$5,0,AB$8+1)-INDEX($D$5:$H$5,0,AB$8))+AA98)))</f>
        <v>318.5892465812355</v>
      </c>
      <c r="AC98" s="5" cm="1">
        <f t="array" ref="AC98">IF(AC$8=-1,AD98,IF(AC$8=99,AB98,IF(AC$8=0,INDEX($E98:$I98,0,AC$6),(INDEX($E98:$I98,0,AC$8+1)-INDEX($E98:$I98,0,AC$8))/(INDEX($D$5:$H$5,0,AC$8+1)-INDEX($D$5:$H$5,0,AC$8))+AB98)))</f>
        <v>318.5892465812355</v>
      </c>
      <c r="AD98" s="5" cm="1">
        <f t="array" ref="AD98">IF(AD$8=-1,AE98,IF(AD$8=99,AC98,IF(AD$8=0,INDEX($E98:$I98,0,AD$6),(INDEX($E98:$I98,0,AD$8+1)-INDEX($E98:$I98,0,AD$8))/(INDEX($D$5:$H$5,0,AD$8+1)-INDEX($D$5:$H$5,0,AD$8))+AC98)))</f>
        <v>318.5892465812355</v>
      </c>
      <c r="AE98" s="5" cm="1">
        <f t="array" ref="AE98">IF(AE$8=-1,AF98,IF(AE$8=99,AD98,IF(AE$8=0,INDEX($E98:$I98,0,AE$6),(INDEX($E98:$I98,0,AE$8+1)-INDEX($E98:$I98,0,AE$8))/(INDEX($D$5:$H$5,0,AE$8+1)-INDEX($D$5:$H$5,0,AE$8))+AD98)))</f>
        <v>318.5892465812355</v>
      </c>
      <c r="AF98" s="5" cm="1">
        <f t="array" ref="AF98">IF(AF$8=-1,AG98,IF(AF$8=99,AE98,IF(AF$8=0,INDEX($E98:$I98,0,AF$6),(INDEX($E98:$I98,0,AF$8+1)-INDEX($E98:$I98,0,AF$8))/(INDEX($D$5:$H$5,0,AF$8+1)-INDEX($D$5:$H$5,0,AF$8))+AE98)))</f>
        <v>318.5892465812355</v>
      </c>
      <c r="AG98" s="5" cm="1">
        <f t="array" ref="AG98">IF(AG$8=-1,AH98,IF(AG$8=99,AF98,IF(AG$8=0,INDEX($E98:$I98,0,AG$6),(INDEX($E98:$I98,0,AG$8+1)-INDEX($E98:$I98,0,AG$8))/(INDEX($D$5:$H$5,0,AG$8+1)-INDEX($D$5:$H$5,0,AG$8))+AF98)))</f>
        <v>318.5892465812355</v>
      </c>
      <c r="AH98" s="5" cm="1">
        <f t="array" ref="AH98">IF(AH$8=-1,AI98,IF(AH$8=99,AG98,IF(AH$8=0,INDEX($E98:$I98,0,AH$6),(INDEX($E98:$I98,0,AH$8+1)-INDEX($E98:$I98,0,AH$8))/(INDEX($D$5:$H$5,0,AH$8+1)-INDEX($D$5:$H$5,0,AH$8))+AG98)))</f>
        <v>318.5892465812355</v>
      </c>
      <c r="AI98" s="5" cm="1">
        <f t="array" ref="AI98">IF(AI$8=-1,AJ98,IF(AI$8=99,AH98,IF(AI$8=0,INDEX($E98:$I98,0,AI$6),(INDEX($E98:$I98,0,AI$8+1)-INDEX($E98:$I98,0,AI$8))/(INDEX($D$5:$H$5,0,AI$8+1)-INDEX($D$5:$H$5,0,AI$8))+AH98)))</f>
        <v>318.5892465812355</v>
      </c>
      <c r="AJ98" s="5" cm="1">
        <f t="array" ref="AJ98">IF(AJ$8=-1,AK98,IF(AJ$8=99,AI98,IF(AJ$8=0,INDEX($E98:$I98,0,AJ$6),(INDEX($E98:$I98,0,AJ$8+1)-INDEX($E98:$I98,0,AJ$8))/(INDEX($D$5:$H$5,0,AJ$8+1)-INDEX($D$5:$H$5,0,AJ$8))+AI98)))</f>
        <v>318.5892465812355</v>
      </c>
      <c r="AK98" s="5" cm="1">
        <f t="array" ref="AK98">IF(AK$8=-1,AL98,IF(AK$8=99,AJ98,IF(AK$8=0,INDEX($E98:$I98,0,AK$6),(INDEX($E98:$I98,0,AK$8+1)-INDEX($E98:$I98,0,AK$8))/(INDEX($D$5:$H$5,0,AK$8+1)-INDEX($D$5:$H$5,0,AK$8))+AJ98)))</f>
        <v>318.5892465812355</v>
      </c>
      <c r="AL98" s="5" cm="1">
        <f t="array" ref="AL98">IF(AL$8=-1,AM98,IF(AL$8=99,AK98,IF(AL$8=0,INDEX($E98:$I98,0,AL$6),(INDEX($E98:$I98,0,AL$8+1)-INDEX($E98:$I98,0,AL$8))/(INDEX($D$5:$H$5,0,AL$8+1)-INDEX($D$5:$H$5,0,AL$8))+AK98)))</f>
        <v>318.5892465812355</v>
      </c>
      <c r="AM98" s="5" cm="1">
        <f t="array" ref="AM98">IF(AM$8=-1,AN98,IF(AM$8=99,AL98,IF(AM$8=0,INDEX($E98:$I98,0,AM$6),(INDEX($E98:$I98,0,AM$8+1)-INDEX($E98:$I98,0,AM$8))/(INDEX($D$5:$H$5,0,AM$8+1)-INDEX($D$5:$H$5,0,AM$8))+AL98)))</f>
        <v>318.5892465812355</v>
      </c>
      <c r="AN98" s="5" cm="1">
        <f t="array" ref="AN98">IF(AN$8=-1,AO98,IF(AN$8=99,AM98,IF(AN$8=0,INDEX($E98:$I98,0,AN$6),(INDEX($E98:$I98,0,AN$8+1)-INDEX($E98:$I98,0,AN$8))/(INDEX($D$5:$H$5,0,AN$8+1)-INDEX($D$5:$H$5,0,AN$8))+AM98)))</f>
        <v>318.5892465812355</v>
      </c>
      <c r="AO98" s="5" cm="1">
        <f t="array" ref="AO98">IF(AO$8=-1,AP98,IF(AO$8=99,AN98,IF(AO$8=0,INDEX($E98:$I98,0,AO$6),(INDEX($E98:$I98,0,AO$8+1)-INDEX($E98:$I98,0,AO$8))/(INDEX($D$5:$H$5,0,AO$8+1)-INDEX($D$5:$H$5,0,AO$8))+AN98)))</f>
        <v>318.5892465812355</v>
      </c>
      <c r="AP98" s="5" cm="1">
        <f t="array" ref="AP98">IF(AP$8=-1,AQ98,IF(AP$8=99,AO98,IF(AP$8=0,INDEX($E98:$I98,0,AP$6),(INDEX($E98:$I98,0,AP$8+1)-INDEX($E98:$I98,0,AP$8))/(INDEX($D$5:$H$5,0,AP$8+1)-INDEX($D$5:$H$5,0,AP$8))+AO98)))</f>
        <v>318.5892465812355</v>
      </c>
      <c r="AQ98" s="5" cm="1">
        <f t="array" ref="AQ98">IF(AQ$8=-1,AR98,IF(AQ$8=99,AP98,IF(AQ$8=0,INDEX($E98:$I98,0,AQ$6),(INDEX($E98:$I98,0,AQ$8+1)-INDEX($E98:$I98,0,AQ$8))/(INDEX($D$5:$H$5,0,AQ$8+1)-INDEX($D$5:$H$5,0,AQ$8))+AP98)))</f>
        <v>318.5892465812355</v>
      </c>
      <c r="AR98" s="5" cm="1">
        <f t="array" ref="AR98">IF(AR$8=-1,AS98,IF(AR$8=99,AQ98,IF(AR$8=0,INDEX($E98:$I98,0,AR$6),(INDEX($E98:$I98,0,AR$8+1)-INDEX($E98:$I98,0,AR$8))/(INDEX($D$5:$H$5,0,AR$8+1)-INDEX($D$5:$H$5,0,AR$8))+AQ98)))</f>
        <v>318.5892465812355</v>
      </c>
      <c r="AS98" s="5" cm="1">
        <f t="array" ref="AS98">IF(AS$8=-1,AT98,IF(AS$8=99,AR98,IF(AS$8=0,INDEX($E98:$I98,0,AS$6),(INDEX($E98:$I98,0,AS$8+1)-INDEX($E98:$I98,0,AS$8))/(INDEX($D$5:$H$5,0,AS$8+1)-INDEX($D$5:$H$5,0,AS$8))+AR98)))</f>
        <v>318.5892465812355</v>
      </c>
      <c r="AT98" s="5" cm="1">
        <f t="array" ref="AT98">IF(AT$8=-1,AU98,IF(AT$8=99,AS98,IF(AT$8=0,INDEX($E98:$I98,0,AT$6),(INDEX($E98:$I98,0,AT$8+1)-INDEX($E98:$I98,0,AT$8))/(INDEX($D$5:$H$5,0,AT$8+1)-INDEX($D$5:$H$5,0,AT$8))+AS98)))</f>
        <v>318.5892465812355</v>
      </c>
      <c r="AU98" s="5" cm="1">
        <f t="array" ref="AU98">IF(AU$8=-1,AV98,IF(AU$8=99,AT98,IF(AU$8=0,INDEX($E98:$I98,0,AU$6),(INDEX($E98:$I98,0,AU$8+1)-INDEX($E98:$I98,0,AU$8))/(INDEX($D$5:$H$5,0,AU$8+1)-INDEX($D$5:$H$5,0,AU$8))+AT98)))</f>
        <v>318.5892465812355</v>
      </c>
      <c r="AV98" s="5" cm="1">
        <f t="array" ref="AV98">IF(AV$8=-1,AW98,IF(AV$8=99,AU98,IF(AV$8=0,INDEX($E98:$I98,0,AV$6),(INDEX($E98:$I98,0,AV$8+1)-INDEX($E98:$I98,0,AV$8))/(INDEX($D$5:$H$5,0,AV$8+1)-INDEX($D$5:$H$5,0,AV$8))+AU98)))</f>
        <v>318.5892465812355</v>
      </c>
    </row>
    <row r="99" spans="1:50">
      <c r="A99" t="s">
        <v>16</v>
      </c>
      <c r="B99" s="233" t="str">
        <f t="shared" si="35"/>
        <v>CET</v>
      </c>
      <c r="C99" s="95" t="str">
        <f t="shared" si="33"/>
        <v>Commercial - Public Water</v>
      </c>
      <c r="D99" s="95" t="s">
        <v>75</v>
      </c>
      <c r="E99" s="159">
        <f>D63/$J$34</f>
        <v>133.99608918927126</v>
      </c>
      <c r="F99" s="159">
        <f>E63/$O$34</f>
        <v>110.08836579490193</v>
      </c>
      <c r="G99" s="154">
        <f t="shared" si="34"/>
        <v>110.08836579490193</v>
      </c>
      <c r="H99" s="92">
        <f>IF($L$57=-1,G99,((F99-E99)*2/5+E99)*(1+$I$91))</f>
        <v>110.08836579490193</v>
      </c>
      <c r="I99" s="155">
        <f t="shared" si="38"/>
        <v>110.08836579490193</v>
      </c>
      <c r="J99" s="5" cm="1">
        <f t="array" ref="J99">IF(J$8=-1,K99,IF(J$8=99,I99,IF(J$8=0,INDEX($E99:$I99,0,J$6),(INDEX($E99:$I99,0,J$8+1)-INDEX($E99:$I99,0,J$8))/(INDEX($D$5:$H$5,0,J$8+1)-INDEX($D$5:$H$5,0,J$8))+I99)))</f>
        <v>133.99608918927126</v>
      </c>
      <c r="K99" s="5" cm="1">
        <f t="array" ref="K99">IF(K$8=-1,L99,IF(K$8=99,J99,IF(K$8=0,INDEX($E99:$I99,0,K$6),(INDEX($E99:$I99,0,K$8+1)-INDEX($E99:$I99,0,K$8))/(INDEX($D$5:$H$5,0,K$8+1)-INDEX($D$5:$H$5,0,K$8))+J99)))</f>
        <v>129.21454451039739</v>
      </c>
      <c r="L99" s="5" cm="1">
        <f t="array" ref="L99">IF(L$8=-1,M99,IF(L$8=99,K99,IF(L$8=0,INDEX($E99:$I99,0,L$6),(INDEX($E99:$I99,0,L$8+1)-INDEX($E99:$I99,0,L$8))/(INDEX($D$5:$H$5,0,L$8+1)-INDEX($D$5:$H$5,0,L$8))+K99)))</f>
        <v>124.43299983152352</v>
      </c>
      <c r="M99" s="5" cm="1">
        <f t="array" ref="M99">IF(M$8=-1,N99,IF(M$8=99,L99,IF(M$8=0,INDEX($E99:$I99,0,M$6),(INDEX($E99:$I99,0,M$8+1)-INDEX($E99:$I99,0,M$8))/(INDEX($D$5:$H$5,0,M$8+1)-INDEX($D$5:$H$5,0,M$8))+L99)))</f>
        <v>119.65145515264965</v>
      </c>
      <c r="N99" s="5" cm="1">
        <f t="array" ref="N99">IF(N$8=-1,O99,IF(N$8=99,M99,IF(N$8=0,INDEX($E99:$I99,0,N$6),(INDEX($E99:$I99,0,N$8+1)-INDEX($E99:$I99,0,N$8))/(INDEX($D$5:$H$5,0,N$8+1)-INDEX($D$5:$H$5,0,N$8))+M99)))</f>
        <v>114.86991047377578</v>
      </c>
      <c r="O99" s="5" cm="1">
        <f t="array" ref="O99">IF(O$8=-1,P99,IF(O$8=99,N99,IF(O$8=0,INDEX($E99:$I99,0,O$6),(INDEX($E99:$I99,0,O$8+1)-INDEX($E99:$I99,0,O$8))/(INDEX($D$5:$H$5,0,O$8+1)-INDEX($D$5:$H$5,0,O$8))+N99)))</f>
        <v>110.08836579490193</v>
      </c>
      <c r="P99" s="5" cm="1">
        <f t="array" ref="P99">IF(P$8=-1,Q99,IF(P$8=99,O99,IF(P$8=0,INDEX($E99:$I99,0,P$6),(INDEX($E99:$I99,0,P$8+1)-INDEX($E99:$I99,0,P$8))/(INDEX($D$5:$H$5,0,P$8+1)-INDEX($D$5:$H$5,0,P$8))+O99)))</f>
        <v>110.08836579490193</v>
      </c>
      <c r="Q99" s="5" cm="1">
        <f t="array" ref="Q99">IF(Q$8=-1,R99,IF(Q$8=99,P99,IF(Q$8=0,INDEX($E99:$I99,0,Q$6),(INDEX($E99:$I99,0,Q$8+1)-INDEX($E99:$I99,0,Q$8))/(INDEX($D$5:$H$5,0,Q$8+1)-INDEX($D$5:$H$5,0,Q$8))+P99)))</f>
        <v>110.08836579490193</v>
      </c>
      <c r="R99" s="5" cm="1">
        <f t="array" ref="R99">IF(R$8=-1,S99,IF(R$8=99,Q99,IF(R$8=0,INDEX($E99:$I99,0,R$6),(INDEX($E99:$I99,0,R$8+1)-INDEX($E99:$I99,0,R$8))/(INDEX($D$5:$H$5,0,R$8+1)-INDEX($D$5:$H$5,0,R$8))+Q99)))</f>
        <v>110.08836579490193</v>
      </c>
      <c r="S99" s="5" cm="1">
        <f t="array" ref="S99">IF(S$8=-1,T99,IF(S$8=99,R99,IF(S$8=0,INDEX($E99:$I99,0,S$6),(INDEX($E99:$I99,0,S$8+1)-INDEX($E99:$I99,0,S$8))/(INDEX($D$5:$H$5,0,S$8+1)-INDEX($D$5:$H$5,0,S$8))+R99)))</f>
        <v>110.08836579490193</v>
      </c>
      <c r="T99" s="5" cm="1">
        <f t="array" ref="T99">IF(T$8=-1,U99,IF(T$8=99,S99,IF(T$8=0,INDEX($E99:$I99,0,T$6),(INDEX($E99:$I99,0,T$8+1)-INDEX($E99:$I99,0,T$8))/(INDEX($D$5:$H$5,0,T$8+1)-INDEX($D$5:$H$5,0,T$8))+S99)))</f>
        <v>110.08836579490193</v>
      </c>
      <c r="U99" s="5" cm="1">
        <f t="array" ref="U99">IF(U$8=-1,V99,IF(U$8=99,T99,IF(U$8=0,INDEX($E99:$I99,0,U$6),(INDEX($E99:$I99,0,U$8+1)-INDEX($E99:$I99,0,U$8))/(INDEX($D$5:$H$5,0,U$8+1)-INDEX($D$5:$H$5,0,U$8))+T99)))</f>
        <v>110.08836579490193</v>
      </c>
      <c r="V99" s="5" cm="1">
        <f t="array" ref="V99">IF(V$8=-1,W99,IF(V$8=99,U99,IF(V$8=0,INDEX($E99:$I99,0,V$6),(INDEX($E99:$I99,0,V$8+1)-INDEX($E99:$I99,0,V$8))/(INDEX($D$5:$H$5,0,V$8+1)-INDEX($D$5:$H$5,0,V$8))+U99)))</f>
        <v>110.08836579490193</v>
      </c>
      <c r="W99" s="5" cm="1">
        <f t="array" ref="W99">IF(W$8=-1,X99,IF(W$8=99,V99,IF(W$8=0,INDEX($E99:$I99,0,W$6),(INDEX($E99:$I99,0,W$8+1)-INDEX($E99:$I99,0,W$8))/(INDEX($D$5:$H$5,0,W$8+1)-INDEX($D$5:$H$5,0,W$8))+V99)))</f>
        <v>110.08836579490193</v>
      </c>
      <c r="X99" s="5" cm="1">
        <f t="array" ref="X99">IF(X$8=-1,Y99,IF(X$8=99,W99,IF(X$8=0,INDEX($E99:$I99,0,X$6),(INDEX($E99:$I99,0,X$8+1)-INDEX($E99:$I99,0,X$8))/(INDEX($D$5:$H$5,0,X$8+1)-INDEX($D$5:$H$5,0,X$8))+W99)))</f>
        <v>110.08836579490193</v>
      </c>
      <c r="Y99" s="5" cm="1">
        <f t="array" ref="Y99">IF(Y$8=-1,Z99,IF(Y$8=99,X99,IF(Y$8=0,INDEX($E99:$I99,0,Y$6),(INDEX($E99:$I99,0,Y$8+1)-INDEX($E99:$I99,0,Y$8))/(INDEX($D$5:$H$5,0,Y$8+1)-INDEX($D$5:$H$5,0,Y$8))+X99)))</f>
        <v>110.08836579490193</v>
      </c>
      <c r="Z99" s="5" cm="1">
        <f t="array" ref="Z99">IF(Z$8=-1,AA99,IF(Z$8=99,Y99,IF(Z$8=0,INDEX($E99:$I99,0,Z$6),(INDEX($E99:$I99,0,Z$8+1)-INDEX($E99:$I99,0,Z$8))/(INDEX($D$5:$H$5,0,Z$8+1)-INDEX($D$5:$H$5,0,Z$8))+Y99)))</f>
        <v>110.08836579490193</v>
      </c>
      <c r="AA99" s="5" cm="1">
        <f t="array" ref="AA99">IF(AA$8=-1,AB99,IF(AA$8=99,Z99,IF(AA$8=0,INDEX($E99:$I99,0,AA$6),(INDEX($E99:$I99,0,AA$8+1)-INDEX($E99:$I99,0,AA$8))/(INDEX($D$5:$H$5,0,AA$8+1)-INDEX($D$5:$H$5,0,AA$8))+Z99)))</f>
        <v>110.08836579490193</v>
      </c>
      <c r="AB99" s="5" cm="1">
        <f t="array" ref="AB99">IF(AB$8=-1,AC99,IF(AB$8=99,AA99,IF(AB$8=0,INDEX($E99:$I99,0,AB$6),(INDEX($E99:$I99,0,AB$8+1)-INDEX($E99:$I99,0,AB$8))/(INDEX($D$5:$H$5,0,AB$8+1)-INDEX($D$5:$H$5,0,AB$8))+AA99)))</f>
        <v>110.08836579490193</v>
      </c>
      <c r="AC99" s="5" cm="1">
        <f t="array" ref="AC99">IF(AC$8=-1,AD99,IF(AC$8=99,AB99,IF(AC$8=0,INDEX($E99:$I99,0,AC$6),(INDEX($E99:$I99,0,AC$8+1)-INDEX($E99:$I99,0,AC$8))/(INDEX($D$5:$H$5,0,AC$8+1)-INDEX($D$5:$H$5,0,AC$8))+AB99)))</f>
        <v>110.08836579490193</v>
      </c>
      <c r="AD99" s="5" cm="1">
        <f t="array" ref="AD99">IF(AD$8=-1,AE99,IF(AD$8=99,AC99,IF(AD$8=0,INDEX($E99:$I99,0,AD$6),(INDEX($E99:$I99,0,AD$8+1)-INDEX($E99:$I99,0,AD$8))/(INDEX($D$5:$H$5,0,AD$8+1)-INDEX($D$5:$H$5,0,AD$8))+AC99)))</f>
        <v>110.08836579490193</v>
      </c>
      <c r="AE99" s="5" cm="1">
        <f t="array" ref="AE99">IF(AE$8=-1,AF99,IF(AE$8=99,AD99,IF(AE$8=0,INDEX($E99:$I99,0,AE$6),(INDEX($E99:$I99,0,AE$8+1)-INDEX($E99:$I99,0,AE$8))/(INDEX($D$5:$H$5,0,AE$8+1)-INDEX($D$5:$H$5,0,AE$8))+AD99)))</f>
        <v>110.08836579490193</v>
      </c>
      <c r="AF99" s="5" cm="1">
        <f t="array" ref="AF99">IF(AF$8=-1,AG99,IF(AF$8=99,AE99,IF(AF$8=0,INDEX($E99:$I99,0,AF$6),(INDEX($E99:$I99,0,AF$8+1)-INDEX($E99:$I99,0,AF$8))/(INDEX($D$5:$H$5,0,AF$8+1)-INDEX($D$5:$H$5,0,AF$8))+AE99)))</f>
        <v>110.08836579490193</v>
      </c>
      <c r="AG99" s="5" cm="1">
        <f t="array" ref="AG99">IF(AG$8=-1,AH99,IF(AG$8=99,AF99,IF(AG$8=0,INDEX($E99:$I99,0,AG$6),(INDEX($E99:$I99,0,AG$8+1)-INDEX($E99:$I99,0,AG$8))/(INDEX($D$5:$H$5,0,AG$8+1)-INDEX($D$5:$H$5,0,AG$8))+AF99)))</f>
        <v>110.08836579490193</v>
      </c>
      <c r="AH99" s="5" cm="1">
        <f t="array" ref="AH99">IF(AH$8=-1,AI99,IF(AH$8=99,AG99,IF(AH$8=0,INDEX($E99:$I99,0,AH$6),(INDEX($E99:$I99,0,AH$8+1)-INDEX($E99:$I99,0,AH$8))/(INDEX($D$5:$H$5,0,AH$8+1)-INDEX($D$5:$H$5,0,AH$8))+AG99)))</f>
        <v>110.08836579490193</v>
      </c>
      <c r="AI99" s="5" cm="1">
        <f t="array" ref="AI99">IF(AI$8=-1,AJ99,IF(AI$8=99,AH99,IF(AI$8=0,INDEX($E99:$I99,0,AI$6),(INDEX($E99:$I99,0,AI$8+1)-INDEX($E99:$I99,0,AI$8))/(INDEX($D$5:$H$5,0,AI$8+1)-INDEX($D$5:$H$5,0,AI$8))+AH99)))</f>
        <v>110.08836579490193</v>
      </c>
      <c r="AJ99" s="5" cm="1">
        <f t="array" ref="AJ99">IF(AJ$8=-1,AK99,IF(AJ$8=99,AI99,IF(AJ$8=0,INDEX($E99:$I99,0,AJ$6),(INDEX($E99:$I99,0,AJ$8+1)-INDEX($E99:$I99,0,AJ$8))/(INDEX($D$5:$H$5,0,AJ$8+1)-INDEX($D$5:$H$5,0,AJ$8))+AI99)))</f>
        <v>110.08836579490193</v>
      </c>
      <c r="AK99" s="5" cm="1">
        <f t="array" ref="AK99">IF(AK$8=-1,AL99,IF(AK$8=99,AJ99,IF(AK$8=0,INDEX($E99:$I99,0,AK$6),(INDEX($E99:$I99,0,AK$8+1)-INDEX($E99:$I99,0,AK$8))/(INDEX($D$5:$H$5,0,AK$8+1)-INDEX($D$5:$H$5,0,AK$8))+AJ99)))</f>
        <v>110.08836579490193</v>
      </c>
      <c r="AL99" s="5" cm="1">
        <f t="array" ref="AL99">IF(AL$8=-1,AM99,IF(AL$8=99,AK99,IF(AL$8=0,INDEX($E99:$I99,0,AL$6),(INDEX($E99:$I99,0,AL$8+1)-INDEX($E99:$I99,0,AL$8))/(INDEX($D$5:$H$5,0,AL$8+1)-INDEX($D$5:$H$5,0,AL$8))+AK99)))</f>
        <v>110.08836579490193</v>
      </c>
      <c r="AM99" s="5" cm="1">
        <f t="array" ref="AM99">IF(AM$8=-1,AN99,IF(AM$8=99,AL99,IF(AM$8=0,INDEX($E99:$I99,0,AM$6),(INDEX($E99:$I99,0,AM$8+1)-INDEX($E99:$I99,0,AM$8))/(INDEX($D$5:$H$5,0,AM$8+1)-INDEX($D$5:$H$5,0,AM$8))+AL99)))</f>
        <v>110.08836579490193</v>
      </c>
      <c r="AN99" s="5" cm="1">
        <f t="array" ref="AN99">IF(AN$8=-1,AO99,IF(AN$8=99,AM99,IF(AN$8=0,INDEX($E99:$I99,0,AN$6),(INDEX($E99:$I99,0,AN$8+1)-INDEX($E99:$I99,0,AN$8))/(INDEX($D$5:$H$5,0,AN$8+1)-INDEX($D$5:$H$5,0,AN$8))+AM99)))</f>
        <v>110.08836579490193</v>
      </c>
      <c r="AO99" s="5" cm="1">
        <f t="array" ref="AO99">IF(AO$8=-1,AP99,IF(AO$8=99,AN99,IF(AO$8=0,INDEX($E99:$I99,0,AO$6),(INDEX($E99:$I99,0,AO$8+1)-INDEX($E99:$I99,0,AO$8))/(INDEX($D$5:$H$5,0,AO$8+1)-INDEX($D$5:$H$5,0,AO$8))+AN99)))</f>
        <v>110.08836579490193</v>
      </c>
      <c r="AP99" s="5" cm="1">
        <f t="array" ref="AP99">IF(AP$8=-1,AQ99,IF(AP$8=99,AO99,IF(AP$8=0,INDEX($E99:$I99,0,AP$6),(INDEX($E99:$I99,0,AP$8+1)-INDEX($E99:$I99,0,AP$8))/(INDEX($D$5:$H$5,0,AP$8+1)-INDEX($D$5:$H$5,0,AP$8))+AO99)))</f>
        <v>110.08836579490193</v>
      </c>
      <c r="AQ99" s="5" cm="1">
        <f t="array" ref="AQ99">IF(AQ$8=-1,AR99,IF(AQ$8=99,AP99,IF(AQ$8=0,INDEX($E99:$I99,0,AQ$6),(INDEX($E99:$I99,0,AQ$8+1)-INDEX($E99:$I99,0,AQ$8))/(INDEX($D$5:$H$5,0,AQ$8+1)-INDEX($D$5:$H$5,0,AQ$8))+AP99)))</f>
        <v>110.08836579490193</v>
      </c>
      <c r="AR99" s="5" cm="1">
        <f t="array" ref="AR99">IF(AR$8=-1,AS99,IF(AR$8=99,AQ99,IF(AR$8=0,INDEX($E99:$I99,0,AR$6),(INDEX($E99:$I99,0,AR$8+1)-INDEX($E99:$I99,0,AR$8))/(INDEX($D$5:$H$5,0,AR$8+1)-INDEX($D$5:$H$5,0,AR$8))+AQ99)))</f>
        <v>110.08836579490193</v>
      </c>
      <c r="AS99" s="5" cm="1">
        <f t="array" ref="AS99">IF(AS$8=-1,AT99,IF(AS$8=99,AR99,IF(AS$8=0,INDEX($E99:$I99,0,AS$6),(INDEX($E99:$I99,0,AS$8+1)-INDEX($E99:$I99,0,AS$8))/(INDEX($D$5:$H$5,0,AS$8+1)-INDEX($D$5:$H$5,0,AS$8))+AR99)))</f>
        <v>110.08836579490193</v>
      </c>
      <c r="AT99" s="5" cm="1">
        <f t="array" ref="AT99">IF(AT$8=-1,AU99,IF(AT$8=99,AS99,IF(AT$8=0,INDEX($E99:$I99,0,AT$6),(INDEX($E99:$I99,0,AT$8+1)-INDEX($E99:$I99,0,AT$8))/(INDEX($D$5:$H$5,0,AT$8+1)-INDEX($D$5:$H$5,0,AT$8))+AS99)))</f>
        <v>110.08836579490193</v>
      </c>
      <c r="AU99" s="5" cm="1">
        <f t="array" ref="AU99">IF(AU$8=-1,AV99,IF(AU$8=99,AT99,IF(AU$8=0,INDEX($E99:$I99,0,AU$6),(INDEX($E99:$I99,0,AU$8+1)-INDEX($E99:$I99,0,AU$8))/(INDEX($D$5:$H$5,0,AU$8+1)-INDEX($D$5:$H$5,0,AU$8))+AT99)))</f>
        <v>110.08836579490193</v>
      </c>
      <c r="AV99" s="5" cm="1">
        <f t="array" ref="AV99">IF(AV$8=-1,AW99,IF(AV$8=99,AU99,IF(AV$8=0,INDEX($E99:$I99,0,AV$6),(INDEX($E99:$I99,0,AV$8+1)-INDEX($E99:$I99,0,AV$8))/(INDEX($D$5:$H$5,0,AV$8+1)-INDEX($D$5:$H$5,0,AV$8))+AU99)))</f>
        <v>110.08836579490193</v>
      </c>
    </row>
    <row r="100" spans="1:50">
      <c r="A100" t="s">
        <v>16</v>
      </c>
      <c r="B100" s="233" t="str">
        <f t="shared" si="35"/>
        <v>CEO</v>
      </c>
      <c r="C100" s="75" t="str">
        <f t="shared" si="33"/>
        <v>Commercial - Other</v>
      </c>
      <c r="D100" s="75" t="s">
        <v>75</v>
      </c>
      <c r="E100" s="84">
        <f t="shared" si="36"/>
        <v>141.24997285391134</v>
      </c>
      <c r="F100" s="92">
        <f t="shared" si="36"/>
        <v>122.09850463575508</v>
      </c>
      <c r="G100" s="92">
        <f t="shared" si="34"/>
        <v>122.09850463575508</v>
      </c>
      <c r="H100" s="92">
        <f t="shared" ref="H100" si="39">IF($L$57=-1,G100,((F100-E100)*2/5+E100)*(1+$H$91))</f>
        <v>122.09850463575508</v>
      </c>
      <c r="I100" s="136">
        <f t="shared" si="38"/>
        <v>122.09850463575508</v>
      </c>
      <c r="J100" s="5" cm="1">
        <f t="array" ref="J100">IF(J$8=-1,K100,IF(J$8=99,I100,IF(J$8=0,INDEX($E100:$I100,0,J$6),(INDEX($E100:$I100,0,J$8+1)-INDEX($E100:$I100,0,J$8))/(INDEX($D$5:$H$5,0,J$8+1)-INDEX($D$5:$H$5,0,J$8))+I100)))</f>
        <v>141.24997285391134</v>
      </c>
      <c r="K100" s="5" cm="1">
        <f t="array" ref="K100">IF(K$8=-1,L100,IF(K$8=99,J100,IF(K$8=0,INDEX($E100:$I100,0,K$6),(INDEX($E100:$I100,0,K$8+1)-INDEX($E100:$I100,0,K$8))/(INDEX($D$5:$H$5,0,K$8+1)-INDEX($D$5:$H$5,0,K$8))+J100)))</f>
        <v>137.41967921028009</v>
      </c>
      <c r="L100" s="5" cm="1">
        <f t="array" ref="L100">IF(L$8=-1,M100,IF(L$8=99,K100,IF(L$8=0,INDEX($E100:$I100,0,L$6),(INDEX($E100:$I100,0,L$8+1)-INDEX($E100:$I100,0,L$8))/(INDEX($D$5:$H$5,0,L$8+1)-INDEX($D$5:$H$5,0,L$8))+K100)))</f>
        <v>133.58938556664884</v>
      </c>
      <c r="M100" s="5" cm="1">
        <f t="array" ref="M100">IF(M$8=-1,N100,IF(M$8=99,L100,IF(M$8=0,INDEX($E100:$I100,0,M$6),(INDEX($E100:$I100,0,M$8+1)-INDEX($E100:$I100,0,M$8))/(INDEX($D$5:$H$5,0,M$8+1)-INDEX($D$5:$H$5,0,M$8))+L100)))</f>
        <v>129.75909192301759</v>
      </c>
      <c r="N100" s="5" cm="1">
        <f t="array" ref="N100">IF(N$8=-1,O100,IF(N$8=99,M100,IF(N$8=0,INDEX($E100:$I100,0,N$6),(INDEX($E100:$I100,0,N$8+1)-INDEX($E100:$I100,0,N$8))/(INDEX($D$5:$H$5,0,N$8+1)-INDEX($D$5:$H$5,0,N$8))+M100)))</f>
        <v>125.92879827938634</v>
      </c>
      <c r="O100" s="5" cm="1">
        <f t="array" ref="O100">IF(O$8=-1,P100,IF(O$8=99,N100,IF(O$8=0,INDEX($E100:$I100,0,O$6),(INDEX($E100:$I100,0,O$8+1)-INDEX($E100:$I100,0,O$8))/(INDEX($D$5:$H$5,0,O$8+1)-INDEX($D$5:$H$5,0,O$8))+N100)))</f>
        <v>122.09850463575508</v>
      </c>
      <c r="P100" s="5" cm="1">
        <f t="array" ref="P100">IF(P$8=-1,Q100,IF(P$8=99,O100,IF(P$8=0,INDEX($E100:$I100,0,P$6),(INDEX($E100:$I100,0,P$8+1)-INDEX($E100:$I100,0,P$8))/(INDEX($D$5:$H$5,0,P$8+1)-INDEX($D$5:$H$5,0,P$8))+O100)))</f>
        <v>122.09850463575508</v>
      </c>
      <c r="Q100" s="5" cm="1">
        <f t="array" ref="Q100">IF(Q$8=-1,R100,IF(Q$8=99,P100,IF(Q$8=0,INDEX($E100:$I100,0,Q$6),(INDEX($E100:$I100,0,Q$8+1)-INDEX($E100:$I100,0,Q$8))/(INDEX($D$5:$H$5,0,Q$8+1)-INDEX($D$5:$H$5,0,Q$8))+P100)))</f>
        <v>122.09850463575508</v>
      </c>
      <c r="R100" s="5" cm="1">
        <f t="array" ref="R100">IF(R$8=-1,S100,IF(R$8=99,Q100,IF(R$8=0,INDEX($E100:$I100,0,R$6),(INDEX($E100:$I100,0,R$8+1)-INDEX($E100:$I100,0,R$8))/(INDEX($D$5:$H$5,0,R$8+1)-INDEX($D$5:$H$5,0,R$8))+Q100)))</f>
        <v>122.09850463575508</v>
      </c>
      <c r="S100" s="5" cm="1">
        <f t="array" ref="S100">IF(S$8=-1,T100,IF(S$8=99,R100,IF(S$8=0,INDEX($E100:$I100,0,S$6),(INDEX($E100:$I100,0,S$8+1)-INDEX($E100:$I100,0,S$8))/(INDEX($D$5:$H$5,0,S$8+1)-INDEX($D$5:$H$5,0,S$8))+R100)))</f>
        <v>122.09850463575508</v>
      </c>
      <c r="T100" s="5" cm="1">
        <f t="array" ref="T100">IF(T$8=-1,U100,IF(T$8=99,S100,IF(T$8=0,INDEX($E100:$I100,0,T$6),(INDEX($E100:$I100,0,T$8+1)-INDEX($E100:$I100,0,T$8))/(INDEX($D$5:$H$5,0,T$8+1)-INDEX($D$5:$H$5,0,T$8))+S100)))</f>
        <v>122.09850463575508</v>
      </c>
      <c r="U100" s="5" cm="1">
        <f t="array" ref="U100">IF(U$8=-1,V100,IF(U$8=99,T100,IF(U$8=0,INDEX($E100:$I100,0,U$6),(INDEX($E100:$I100,0,U$8+1)-INDEX($E100:$I100,0,U$8))/(INDEX($D$5:$H$5,0,U$8+1)-INDEX($D$5:$H$5,0,U$8))+T100)))</f>
        <v>122.09850463575508</v>
      </c>
      <c r="V100" s="5" cm="1">
        <f t="array" ref="V100">IF(V$8=-1,W100,IF(V$8=99,U100,IF(V$8=0,INDEX($E100:$I100,0,V$6),(INDEX($E100:$I100,0,V$8+1)-INDEX($E100:$I100,0,V$8))/(INDEX($D$5:$H$5,0,V$8+1)-INDEX($D$5:$H$5,0,V$8))+U100)))</f>
        <v>122.09850463575508</v>
      </c>
      <c r="W100" s="5" cm="1">
        <f t="array" ref="W100">IF(W$8=-1,X100,IF(W$8=99,V100,IF(W$8=0,INDEX($E100:$I100,0,W$6),(INDEX($E100:$I100,0,W$8+1)-INDEX($E100:$I100,0,W$8))/(INDEX($D$5:$H$5,0,W$8+1)-INDEX($D$5:$H$5,0,W$8))+V100)))</f>
        <v>122.09850463575508</v>
      </c>
      <c r="X100" s="5" cm="1">
        <f t="array" ref="X100">IF(X$8=-1,Y100,IF(X$8=99,W100,IF(X$8=0,INDEX($E100:$I100,0,X$6),(INDEX($E100:$I100,0,X$8+1)-INDEX($E100:$I100,0,X$8))/(INDEX($D$5:$H$5,0,X$8+1)-INDEX($D$5:$H$5,0,X$8))+W100)))</f>
        <v>122.09850463575508</v>
      </c>
      <c r="Y100" s="5" cm="1">
        <f t="array" ref="Y100">IF(Y$8=-1,Z100,IF(Y$8=99,X100,IF(Y$8=0,INDEX($E100:$I100,0,Y$6),(INDEX($E100:$I100,0,Y$8+1)-INDEX($E100:$I100,0,Y$8))/(INDEX($D$5:$H$5,0,Y$8+1)-INDEX($D$5:$H$5,0,Y$8))+X100)))</f>
        <v>122.09850463575508</v>
      </c>
      <c r="Z100" s="5" cm="1">
        <f t="array" ref="Z100">IF(Z$8=-1,AA100,IF(Z$8=99,Y100,IF(Z$8=0,INDEX($E100:$I100,0,Z$6),(INDEX($E100:$I100,0,Z$8+1)-INDEX($E100:$I100,0,Z$8))/(INDEX($D$5:$H$5,0,Z$8+1)-INDEX($D$5:$H$5,0,Z$8))+Y100)))</f>
        <v>122.09850463575508</v>
      </c>
      <c r="AA100" s="5" cm="1">
        <f t="array" ref="AA100">IF(AA$8=-1,AB100,IF(AA$8=99,Z100,IF(AA$8=0,INDEX($E100:$I100,0,AA$6),(INDEX($E100:$I100,0,AA$8+1)-INDEX($E100:$I100,0,AA$8))/(INDEX($D$5:$H$5,0,AA$8+1)-INDEX($D$5:$H$5,0,AA$8))+Z100)))</f>
        <v>122.09850463575508</v>
      </c>
      <c r="AB100" s="5" cm="1">
        <f t="array" ref="AB100">IF(AB$8=-1,AC100,IF(AB$8=99,AA100,IF(AB$8=0,INDEX($E100:$I100,0,AB$6),(INDEX($E100:$I100,0,AB$8+1)-INDEX($E100:$I100,0,AB$8))/(INDEX($D$5:$H$5,0,AB$8+1)-INDEX($D$5:$H$5,0,AB$8))+AA100)))</f>
        <v>122.09850463575508</v>
      </c>
      <c r="AC100" s="5" cm="1">
        <f t="array" ref="AC100">IF(AC$8=-1,AD100,IF(AC$8=99,AB100,IF(AC$8=0,INDEX($E100:$I100,0,AC$6),(INDEX($E100:$I100,0,AC$8+1)-INDEX($E100:$I100,0,AC$8))/(INDEX($D$5:$H$5,0,AC$8+1)-INDEX($D$5:$H$5,0,AC$8))+AB100)))</f>
        <v>122.09850463575508</v>
      </c>
      <c r="AD100" s="5" cm="1">
        <f t="array" ref="AD100">IF(AD$8=-1,AE100,IF(AD$8=99,AC100,IF(AD$8=0,INDEX($E100:$I100,0,AD$6),(INDEX($E100:$I100,0,AD$8+1)-INDEX($E100:$I100,0,AD$8))/(INDEX($D$5:$H$5,0,AD$8+1)-INDEX($D$5:$H$5,0,AD$8))+AC100)))</f>
        <v>122.09850463575508</v>
      </c>
      <c r="AE100" s="5" cm="1">
        <f t="array" ref="AE100">IF(AE$8=-1,AF100,IF(AE$8=99,AD100,IF(AE$8=0,INDEX($E100:$I100,0,AE$6),(INDEX($E100:$I100,0,AE$8+1)-INDEX($E100:$I100,0,AE$8))/(INDEX($D$5:$H$5,0,AE$8+1)-INDEX($D$5:$H$5,0,AE$8))+AD100)))</f>
        <v>122.09850463575508</v>
      </c>
      <c r="AF100" s="5" cm="1">
        <f t="array" ref="AF100">IF(AF$8=-1,AG100,IF(AF$8=99,AE100,IF(AF$8=0,INDEX($E100:$I100,0,AF$6),(INDEX($E100:$I100,0,AF$8+1)-INDEX($E100:$I100,0,AF$8))/(INDEX($D$5:$H$5,0,AF$8+1)-INDEX($D$5:$H$5,0,AF$8))+AE100)))</f>
        <v>122.09850463575508</v>
      </c>
      <c r="AG100" s="5" cm="1">
        <f t="array" ref="AG100">IF(AG$8=-1,AH100,IF(AG$8=99,AF100,IF(AG$8=0,INDEX($E100:$I100,0,AG$6),(INDEX($E100:$I100,0,AG$8+1)-INDEX($E100:$I100,0,AG$8))/(INDEX($D$5:$H$5,0,AG$8+1)-INDEX($D$5:$H$5,0,AG$8))+AF100)))</f>
        <v>122.09850463575508</v>
      </c>
      <c r="AH100" s="5" cm="1">
        <f t="array" ref="AH100">IF(AH$8=-1,AI100,IF(AH$8=99,AG100,IF(AH$8=0,INDEX($E100:$I100,0,AH$6),(INDEX($E100:$I100,0,AH$8+1)-INDEX($E100:$I100,0,AH$8))/(INDEX($D$5:$H$5,0,AH$8+1)-INDEX($D$5:$H$5,0,AH$8))+AG100)))</f>
        <v>122.09850463575508</v>
      </c>
      <c r="AI100" s="5" cm="1">
        <f t="array" ref="AI100">IF(AI$8=-1,AJ100,IF(AI$8=99,AH100,IF(AI$8=0,INDEX($E100:$I100,0,AI$6),(INDEX($E100:$I100,0,AI$8+1)-INDEX($E100:$I100,0,AI$8))/(INDEX($D$5:$H$5,0,AI$8+1)-INDEX($D$5:$H$5,0,AI$8))+AH100)))</f>
        <v>122.09850463575508</v>
      </c>
      <c r="AJ100" s="5" cm="1">
        <f t="array" ref="AJ100">IF(AJ$8=-1,AK100,IF(AJ$8=99,AI100,IF(AJ$8=0,INDEX($E100:$I100,0,AJ$6),(INDEX($E100:$I100,0,AJ$8+1)-INDEX($E100:$I100,0,AJ$8))/(INDEX($D$5:$H$5,0,AJ$8+1)-INDEX($D$5:$H$5,0,AJ$8))+AI100)))</f>
        <v>122.09850463575508</v>
      </c>
      <c r="AK100" s="5" cm="1">
        <f t="array" ref="AK100">IF(AK$8=-1,AL100,IF(AK$8=99,AJ100,IF(AK$8=0,INDEX($E100:$I100,0,AK$6),(INDEX($E100:$I100,0,AK$8+1)-INDEX($E100:$I100,0,AK$8))/(INDEX($D$5:$H$5,0,AK$8+1)-INDEX($D$5:$H$5,0,AK$8))+AJ100)))</f>
        <v>122.09850463575508</v>
      </c>
      <c r="AL100" s="5" cm="1">
        <f t="array" ref="AL100">IF(AL$8=-1,AM100,IF(AL$8=99,AK100,IF(AL$8=0,INDEX($E100:$I100,0,AL$6),(INDEX($E100:$I100,0,AL$8+1)-INDEX($E100:$I100,0,AL$8))/(INDEX($D$5:$H$5,0,AL$8+1)-INDEX($D$5:$H$5,0,AL$8))+AK100)))</f>
        <v>122.09850463575508</v>
      </c>
      <c r="AM100" s="5" cm="1">
        <f t="array" ref="AM100">IF(AM$8=-1,AN100,IF(AM$8=99,AL100,IF(AM$8=0,INDEX($E100:$I100,0,AM$6),(INDEX($E100:$I100,0,AM$8+1)-INDEX($E100:$I100,0,AM$8))/(INDEX($D$5:$H$5,0,AM$8+1)-INDEX($D$5:$H$5,0,AM$8))+AL100)))</f>
        <v>122.09850463575508</v>
      </c>
      <c r="AN100" s="5" cm="1">
        <f t="array" ref="AN100">IF(AN$8=-1,AO100,IF(AN$8=99,AM100,IF(AN$8=0,INDEX($E100:$I100,0,AN$6),(INDEX($E100:$I100,0,AN$8+1)-INDEX($E100:$I100,0,AN$8))/(INDEX($D$5:$H$5,0,AN$8+1)-INDEX($D$5:$H$5,0,AN$8))+AM100)))</f>
        <v>122.09850463575508</v>
      </c>
      <c r="AO100" s="5" cm="1">
        <f t="array" ref="AO100">IF(AO$8=-1,AP100,IF(AO$8=99,AN100,IF(AO$8=0,INDEX($E100:$I100,0,AO$6),(INDEX($E100:$I100,0,AO$8+1)-INDEX($E100:$I100,0,AO$8))/(INDEX($D$5:$H$5,0,AO$8+1)-INDEX($D$5:$H$5,0,AO$8))+AN100)))</f>
        <v>122.09850463575508</v>
      </c>
      <c r="AP100" s="5" cm="1">
        <f t="array" ref="AP100">IF(AP$8=-1,AQ100,IF(AP$8=99,AO100,IF(AP$8=0,INDEX($E100:$I100,0,AP$6),(INDEX($E100:$I100,0,AP$8+1)-INDEX($E100:$I100,0,AP$8))/(INDEX($D$5:$H$5,0,AP$8+1)-INDEX($D$5:$H$5,0,AP$8))+AO100)))</f>
        <v>122.09850463575508</v>
      </c>
      <c r="AQ100" s="5" cm="1">
        <f t="array" ref="AQ100">IF(AQ$8=-1,AR100,IF(AQ$8=99,AP100,IF(AQ$8=0,INDEX($E100:$I100,0,AQ$6),(INDEX($E100:$I100,0,AQ$8+1)-INDEX($E100:$I100,0,AQ$8))/(INDEX($D$5:$H$5,0,AQ$8+1)-INDEX($D$5:$H$5,0,AQ$8))+AP100)))</f>
        <v>122.09850463575508</v>
      </c>
      <c r="AR100" s="5" cm="1">
        <f t="array" ref="AR100">IF(AR$8=-1,AS100,IF(AR$8=99,AQ100,IF(AR$8=0,INDEX($E100:$I100,0,AR$6),(INDEX($E100:$I100,0,AR$8+1)-INDEX($E100:$I100,0,AR$8))/(INDEX($D$5:$H$5,0,AR$8+1)-INDEX($D$5:$H$5,0,AR$8))+AQ100)))</f>
        <v>122.09850463575508</v>
      </c>
      <c r="AS100" s="5" cm="1">
        <f t="array" ref="AS100">IF(AS$8=-1,AT100,IF(AS$8=99,AR100,IF(AS$8=0,INDEX($E100:$I100,0,AS$6),(INDEX($E100:$I100,0,AS$8+1)-INDEX($E100:$I100,0,AS$8))/(INDEX($D$5:$H$5,0,AS$8+1)-INDEX($D$5:$H$5,0,AS$8))+AR100)))</f>
        <v>122.09850463575508</v>
      </c>
      <c r="AT100" s="5" cm="1">
        <f t="array" ref="AT100">IF(AT$8=-1,AU100,IF(AT$8=99,AS100,IF(AT$8=0,INDEX($E100:$I100,0,AT$6),(INDEX($E100:$I100,0,AT$8+1)-INDEX($E100:$I100,0,AT$8))/(INDEX($D$5:$H$5,0,AT$8+1)-INDEX($D$5:$H$5,0,AT$8))+AS100)))</f>
        <v>122.09850463575508</v>
      </c>
      <c r="AU100" s="5" cm="1">
        <f t="array" ref="AU100">IF(AU$8=-1,AV100,IF(AU$8=99,AT100,IF(AU$8=0,INDEX($E100:$I100,0,AU$6),(INDEX($E100:$I100,0,AU$8+1)-INDEX($E100:$I100,0,AU$8))/(INDEX($D$5:$H$5,0,AU$8+1)-INDEX($D$5:$H$5,0,AU$8))+AT100)))</f>
        <v>122.09850463575508</v>
      </c>
      <c r="AV100" s="5" cm="1">
        <f t="array" ref="AV100">IF(AV$8=-1,AW100,IF(AV$8=99,AU100,IF(AV$8=0,INDEX($E100:$I100,0,AV$6),(INDEX($E100:$I100,0,AV$8+1)-INDEX($E100:$I100,0,AV$8))/(INDEX($D$5:$H$5,0,AV$8+1)-INDEX($D$5:$H$5,0,AV$8))+AU100)))</f>
        <v>122.09850463575508</v>
      </c>
    </row>
    <row r="101" spans="1:50">
      <c r="A101" t="s">
        <v>16</v>
      </c>
      <c r="B101" s="233"/>
      <c r="I101" s="137"/>
      <c r="K101" s="7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row>
    <row r="102" spans="1:50">
      <c r="A102" t="s">
        <v>16</v>
      </c>
      <c r="E102" s="84"/>
      <c r="F102" s="84"/>
      <c r="G102" s="84"/>
      <c r="H102" s="84"/>
      <c r="I102" s="157"/>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row>
    <row r="103" spans="1:50" ht="18.75">
      <c r="A103" t="s">
        <v>16</v>
      </c>
      <c r="B103" s="147" t="s">
        <v>76</v>
      </c>
      <c r="I103" s="137"/>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row>
    <row r="104" spans="1:50" ht="15.75" thickBot="1">
      <c r="A104" t="s">
        <v>16</v>
      </c>
      <c r="B104" s="72"/>
      <c r="C104" s="72" t="s">
        <v>257</v>
      </c>
      <c r="D104" s="72"/>
      <c r="E104" s="72"/>
      <c r="F104" s="85"/>
      <c r="G104" s="85"/>
      <c r="H104" s="85"/>
      <c r="I104" s="158"/>
      <c r="J104" s="85">
        <f t="shared" ref="J104:AV104" si="40">J67</f>
        <v>2012</v>
      </c>
      <c r="K104" s="85">
        <f t="shared" si="40"/>
        <v>2013</v>
      </c>
      <c r="L104" s="85">
        <f t="shared" si="40"/>
        <v>2014</v>
      </c>
      <c r="M104" s="85">
        <f t="shared" si="40"/>
        <v>2015</v>
      </c>
      <c r="N104" s="85">
        <f t="shared" si="40"/>
        <v>2016</v>
      </c>
      <c r="O104" s="85">
        <f t="shared" si="40"/>
        <v>2017</v>
      </c>
      <c r="P104" s="85">
        <f t="shared" si="40"/>
        <v>2018</v>
      </c>
      <c r="Q104" s="85">
        <f t="shared" si="40"/>
        <v>2019</v>
      </c>
      <c r="R104" s="85">
        <f t="shared" si="40"/>
        <v>2020</v>
      </c>
      <c r="S104" s="85">
        <f t="shared" si="40"/>
        <v>2021</v>
      </c>
      <c r="T104" s="85">
        <f t="shared" si="40"/>
        <v>2022</v>
      </c>
      <c r="U104" s="85">
        <f t="shared" si="40"/>
        <v>2023</v>
      </c>
      <c r="V104" s="85">
        <f t="shared" si="40"/>
        <v>2024</v>
      </c>
      <c r="W104" s="85">
        <f t="shared" si="40"/>
        <v>2025</v>
      </c>
      <c r="X104" s="85">
        <f t="shared" si="40"/>
        <v>2026</v>
      </c>
      <c r="Y104" s="85">
        <f t="shared" si="40"/>
        <v>2027</v>
      </c>
      <c r="Z104" s="85">
        <f t="shared" si="40"/>
        <v>2028</v>
      </c>
      <c r="AA104" s="85">
        <f t="shared" si="40"/>
        <v>2029</v>
      </c>
      <c r="AB104" s="85">
        <f t="shared" si="40"/>
        <v>2030</v>
      </c>
      <c r="AC104" s="85">
        <f t="shared" si="40"/>
        <v>2031</v>
      </c>
      <c r="AD104" s="85">
        <f t="shared" si="40"/>
        <v>2032</v>
      </c>
      <c r="AE104" s="85">
        <f t="shared" si="40"/>
        <v>2033</v>
      </c>
      <c r="AF104" s="85">
        <f t="shared" si="40"/>
        <v>2034</v>
      </c>
      <c r="AG104" s="85">
        <f t="shared" si="40"/>
        <v>2035</v>
      </c>
      <c r="AH104" s="85">
        <f t="shared" si="40"/>
        <v>2036</v>
      </c>
      <c r="AI104" s="85">
        <f t="shared" si="40"/>
        <v>2037</v>
      </c>
      <c r="AJ104" s="85">
        <f t="shared" si="40"/>
        <v>2038</v>
      </c>
      <c r="AK104" s="85">
        <f t="shared" si="40"/>
        <v>2039</v>
      </c>
      <c r="AL104" s="85">
        <f t="shared" si="40"/>
        <v>2040</v>
      </c>
      <c r="AM104" s="85">
        <f t="shared" si="40"/>
        <v>2041</v>
      </c>
      <c r="AN104" s="85">
        <f t="shared" si="40"/>
        <v>2042</v>
      </c>
      <c r="AO104" s="85">
        <f t="shared" si="40"/>
        <v>2043</v>
      </c>
      <c r="AP104" s="85">
        <f t="shared" si="40"/>
        <v>2044</v>
      </c>
      <c r="AQ104" s="85">
        <f t="shared" si="40"/>
        <v>2045</v>
      </c>
      <c r="AR104" s="85">
        <f t="shared" si="40"/>
        <v>2046</v>
      </c>
      <c r="AS104" s="85">
        <f t="shared" si="40"/>
        <v>2047</v>
      </c>
      <c r="AT104" s="85">
        <f t="shared" si="40"/>
        <v>2048</v>
      </c>
      <c r="AU104" s="85">
        <f t="shared" si="40"/>
        <v>2049</v>
      </c>
      <c r="AV104" s="85">
        <f t="shared" si="40"/>
        <v>2050</v>
      </c>
    </row>
    <row r="105" spans="1:50">
      <c r="A105" t="s">
        <v>16</v>
      </c>
      <c r="B105" s="233" t="s">
        <v>248</v>
      </c>
      <c r="C105" s="75" t="str">
        <f t="shared" ref="C105:C113" si="41">C70</f>
        <v>Commercial - Cooling</v>
      </c>
      <c r="I105" s="137"/>
      <c r="J105" s="75">
        <v>1</v>
      </c>
      <c r="K105" s="75">
        <v>1</v>
      </c>
      <c r="L105" s="75">
        <v>1</v>
      </c>
      <c r="M105" s="75">
        <v>1</v>
      </c>
      <c r="N105" s="75">
        <v>1</v>
      </c>
      <c r="O105" s="75">
        <v>1</v>
      </c>
      <c r="P105" s="75">
        <v>1</v>
      </c>
      <c r="Q105" s="75">
        <v>1</v>
      </c>
      <c r="R105" s="75">
        <v>1</v>
      </c>
      <c r="S105" s="75">
        <v>1</v>
      </c>
      <c r="T105" s="75">
        <v>1</v>
      </c>
      <c r="U105" s="75">
        <v>1</v>
      </c>
      <c r="V105" s="75">
        <v>1</v>
      </c>
      <c r="W105" s="75">
        <v>1</v>
      </c>
      <c r="X105" s="75">
        <v>1</v>
      </c>
      <c r="Y105" s="75">
        <v>1</v>
      </c>
      <c r="Z105" s="75">
        <v>1</v>
      </c>
      <c r="AA105" s="75">
        <v>1</v>
      </c>
      <c r="AB105" s="75">
        <v>1</v>
      </c>
      <c r="AC105" s="75">
        <v>1</v>
      </c>
      <c r="AD105" s="75">
        <v>1</v>
      </c>
      <c r="AE105" s="75">
        <v>1</v>
      </c>
      <c r="AF105" s="75">
        <v>1</v>
      </c>
      <c r="AG105" s="75">
        <v>1</v>
      </c>
      <c r="AH105" s="75">
        <v>1</v>
      </c>
      <c r="AI105" s="75">
        <v>1</v>
      </c>
      <c r="AJ105" s="75">
        <v>1</v>
      </c>
      <c r="AK105" s="75">
        <v>1</v>
      </c>
      <c r="AL105" s="75">
        <v>1</v>
      </c>
      <c r="AM105" s="75">
        <v>1</v>
      </c>
      <c r="AN105" s="75">
        <v>1</v>
      </c>
      <c r="AO105" s="75">
        <v>1</v>
      </c>
      <c r="AP105" s="75">
        <v>1</v>
      </c>
      <c r="AQ105" s="75">
        <v>1</v>
      </c>
      <c r="AR105" s="75">
        <v>1</v>
      </c>
      <c r="AS105" s="75">
        <v>1</v>
      </c>
      <c r="AT105" s="75">
        <v>1</v>
      </c>
      <c r="AU105" s="75">
        <v>1</v>
      </c>
      <c r="AV105" s="75">
        <v>1</v>
      </c>
    </row>
    <row r="106" spans="1:50">
      <c r="A106" t="s">
        <v>16</v>
      </c>
      <c r="B106" s="233" t="s">
        <v>249</v>
      </c>
      <c r="C106" s="75" t="str">
        <f t="shared" si="41"/>
        <v>Commercial - Space Heating</v>
      </c>
      <c r="I106" s="137"/>
      <c r="J106" s="75">
        <v>1</v>
      </c>
      <c r="K106" s="75">
        <v>1</v>
      </c>
      <c r="L106" s="75">
        <v>1</v>
      </c>
      <c r="M106" s="75">
        <v>1</v>
      </c>
      <c r="N106" s="75">
        <v>1</v>
      </c>
      <c r="O106" s="75">
        <v>1</v>
      </c>
      <c r="P106" s="75">
        <v>1</v>
      </c>
      <c r="Q106" s="75">
        <v>1</v>
      </c>
      <c r="R106" s="75">
        <v>1</v>
      </c>
      <c r="S106" s="75">
        <v>1</v>
      </c>
      <c r="T106" s="75">
        <v>1</v>
      </c>
      <c r="U106" s="75">
        <v>1</v>
      </c>
      <c r="V106" s="75">
        <v>1</v>
      </c>
      <c r="W106" s="75">
        <v>1</v>
      </c>
      <c r="X106" s="75">
        <v>1</v>
      </c>
      <c r="Y106" s="75">
        <v>1</v>
      </c>
      <c r="Z106" s="75">
        <v>1</v>
      </c>
      <c r="AA106" s="75">
        <v>1</v>
      </c>
      <c r="AB106" s="75">
        <v>1</v>
      </c>
      <c r="AC106" s="75">
        <v>1</v>
      </c>
      <c r="AD106" s="75">
        <v>1</v>
      </c>
      <c r="AE106" s="75">
        <v>1</v>
      </c>
      <c r="AF106" s="75">
        <v>1</v>
      </c>
      <c r="AG106" s="75">
        <v>1</v>
      </c>
      <c r="AH106" s="75">
        <v>1</v>
      </c>
      <c r="AI106" s="75">
        <v>1</v>
      </c>
      <c r="AJ106" s="75">
        <v>1</v>
      </c>
      <c r="AK106" s="75">
        <v>1</v>
      </c>
      <c r="AL106" s="75">
        <v>1</v>
      </c>
      <c r="AM106" s="75">
        <v>1</v>
      </c>
      <c r="AN106" s="75">
        <v>1</v>
      </c>
      <c r="AO106" s="75">
        <v>1</v>
      </c>
      <c r="AP106" s="75">
        <v>1</v>
      </c>
      <c r="AQ106" s="75">
        <v>1</v>
      </c>
      <c r="AR106" s="75">
        <v>1</v>
      </c>
      <c r="AS106" s="75">
        <v>1</v>
      </c>
      <c r="AT106" s="75">
        <v>1</v>
      </c>
      <c r="AU106" s="75">
        <v>1</v>
      </c>
      <c r="AV106" s="75">
        <v>1</v>
      </c>
      <c r="AX106" s="129">
        <v>0.01</v>
      </c>
    </row>
    <row r="107" spans="1:50">
      <c r="A107" t="s">
        <v>16</v>
      </c>
      <c r="B107" s="233" t="s">
        <v>250</v>
      </c>
      <c r="C107" s="75" t="str">
        <f t="shared" si="41"/>
        <v>Commercial - Cooking</v>
      </c>
      <c r="I107" s="137"/>
      <c r="J107" s="75">
        <v>1</v>
      </c>
      <c r="K107" s="75">
        <v>1</v>
      </c>
      <c r="L107" s="75">
        <v>1</v>
      </c>
      <c r="M107" s="75">
        <v>1</v>
      </c>
      <c r="N107" s="75">
        <v>1</v>
      </c>
      <c r="O107" s="75">
        <v>1</v>
      </c>
      <c r="P107" s="75">
        <v>1</v>
      </c>
      <c r="Q107" s="75">
        <v>1</v>
      </c>
      <c r="R107" s="75">
        <v>1</v>
      </c>
      <c r="S107" s="75">
        <v>1</v>
      </c>
      <c r="T107" s="75">
        <v>1</v>
      </c>
      <c r="U107" s="75">
        <v>1</v>
      </c>
      <c r="V107" s="75">
        <v>1</v>
      </c>
      <c r="W107" s="75">
        <v>1</v>
      </c>
      <c r="X107" s="75">
        <v>1</v>
      </c>
      <c r="Y107" s="75">
        <v>1</v>
      </c>
      <c r="Z107" s="75">
        <v>1</v>
      </c>
      <c r="AA107" s="75">
        <v>1</v>
      </c>
      <c r="AB107" s="75">
        <v>1</v>
      </c>
      <c r="AC107" s="75">
        <v>1</v>
      </c>
      <c r="AD107" s="75">
        <v>1</v>
      </c>
      <c r="AE107" s="75">
        <v>1</v>
      </c>
      <c r="AF107" s="75">
        <v>1</v>
      </c>
      <c r="AG107" s="75">
        <v>1</v>
      </c>
      <c r="AH107" s="75">
        <v>1</v>
      </c>
      <c r="AI107" s="75">
        <v>1</v>
      </c>
      <c r="AJ107" s="75">
        <v>1</v>
      </c>
      <c r="AK107" s="75">
        <v>1</v>
      </c>
      <c r="AL107" s="75">
        <v>1</v>
      </c>
      <c r="AM107" s="75">
        <v>1</v>
      </c>
      <c r="AN107" s="75">
        <v>1</v>
      </c>
      <c r="AO107" s="75">
        <v>1</v>
      </c>
      <c r="AP107" s="75">
        <v>1</v>
      </c>
      <c r="AQ107" s="75">
        <v>1</v>
      </c>
      <c r="AR107" s="75">
        <v>1</v>
      </c>
      <c r="AS107" s="75">
        <v>1</v>
      </c>
      <c r="AT107" s="75">
        <v>1</v>
      </c>
      <c r="AU107" s="75">
        <v>1</v>
      </c>
      <c r="AV107" s="75">
        <v>1</v>
      </c>
      <c r="AX107" s="128" t="s">
        <v>477</v>
      </c>
    </row>
    <row r="108" spans="1:50">
      <c r="A108" t="s">
        <v>16</v>
      </c>
      <c r="B108" s="233" t="s">
        <v>251</v>
      </c>
      <c r="C108" s="75" t="str">
        <f t="shared" si="41"/>
        <v>Commercial - Lighting</v>
      </c>
      <c r="I108" s="137"/>
      <c r="J108" s="75">
        <v>1</v>
      </c>
      <c r="K108" s="75">
        <v>1</v>
      </c>
      <c r="L108" s="75">
        <v>1</v>
      </c>
      <c r="M108" s="75">
        <v>1</v>
      </c>
      <c r="N108" s="75">
        <v>1</v>
      </c>
      <c r="O108" s="75">
        <v>1</v>
      </c>
      <c r="P108" s="75">
        <v>1</v>
      </c>
      <c r="Q108" s="75">
        <v>1</v>
      </c>
      <c r="R108" s="75">
        <v>1</v>
      </c>
      <c r="S108" s="75">
        <v>1</v>
      </c>
      <c r="T108" s="75">
        <v>1</v>
      </c>
      <c r="U108" s="75">
        <v>1</v>
      </c>
      <c r="V108" s="75">
        <v>1</v>
      </c>
      <c r="W108" s="75">
        <v>1</v>
      </c>
      <c r="X108" s="75">
        <v>1</v>
      </c>
      <c r="Y108" s="75">
        <v>1</v>
      </c>
      <c r="Z108" s="75">
        <v>1</v>
      </c>
      <c r="AA108" s="75">
        <v>1</v>
      </c>
      <c r="AB108" s="75">
        <v>1</v>
      </c>
      <c r="AC108" s="75">
        <v>1</v>
      </c>
      <c r="AD108" s="75">
        <v>1</v>
      </c>
      <c r="AE108" s="75">
        <v>1</v>
      </c>
      <c r="AF108" s="75">
        <v>1</v>
      </c>
      <c r="AG108" s="75">
        <v>1</v>
      </c>
      <c r="AH108" s="75">
        <v>1</v>
      </c>
      <c r="AI108" s="75">
        <v>1</v>
      </c>
      <c r="AJ108" s="75">
        <v>1</v>
      </c>
      <c r="AK108" s="75">
        <v>1</v>
      </c>
      <c r="AL108" s="75">
        <v>1</v>
      </c>
      <c r="AM108" s="75">
        <v>1</v>
      </c>
      <c r="AN108" s="75">
        <v>1</v>
      </c>
      <c r="AO108" s="75">
        <v>1</v>
      </c>
      <c r="AP108" s="75">
        <v>1</v>
      </c>
      <c r="AQ108" s="75">
        <v>1</v>
      </c>
      <c r="AR108" s="75">
        <v>1</v>
      </c>
      <c r="AS108" s="75">
        <v>1</v>
      </c>
      <c r="AT108" s="75">
        <v>1</v>
      </c>
      <c r="AU108" s="75">
        <v>1</v>
      </c>
      <c r="AV108" s="75">
        <v>1</v>
      </c>
      <c r="AX108" s="128" t="s">
        <v>478</v>
      </c>
    </row>
    <row r="109" spans="1:50">
      <c r="A109" t="s">
        <v>16</v>
      </c>
      <c r="B109" s="233" t="s">
        <v>252</v>
      </c>
      <c r="C109" s="75" t="str">
        <f t="shared" si="41"/>
        <v>Commercial - Refrigeration</v>
      </c>
      <c r="I109" s="137"/>
      <c r="J109" s="75">
        <v>1</v>
      </c>
      <c r="K109" s="75">
        <v>1</v>
      </c>
      <c r="L109" s="75">
        <v>1</v>
      </c>
      <c r="M109" s="75">
        <v>1</v>
      </c>
      <c r="N109" s="75">
        <v>1</v>
      </c>
      <c r="O109" s="75">
        <v>1</v>
      </c>
      <c r="P109" s="75">
        <v>1</v>
      </c>
      <c r="Q109" s="75">
        <v>1</v>
      </c>
      <c r="R109" s="75">
        <v>1</v>
      </c>
      <c r="S109" s="75">
        <v>1</v>
      </c>
      <c r="T109" s="75">
        <v>1</v>
      </c>
      <c r="U109" s="75">
        <v>1</v>
      </c>
      <c r="V109" s="75">
        <v>1</v>
      </c>
      <c r="W109" s="75">
        <v>1</v>
      </c>
      <c r="X109" s="75">
        <v>1</v>
      </c>
      <c r="Y109" s="75">
        <v>1</v>
      </c>
      <c r="Z109" s="75">
        <v>1</v>
      </c>
      <c r="AA109" s="75">
        <v>1</v>
      </c>
      <c r="AB109" s="75">
        <v>1</v>
      </c>
      <c r="AC109" s="75">
        <v>1</v>
      </c>
      <c r="AD109" s="75">
        <v>1</v>
      </c>
      <c r="AE109" s="75">
        <v>1</v>
      </c>
      <c r="AF109" s="75">
        <v>1</v>
      </c>
      <c r="AG109" s="75">
        <v>1</v>
      </c>
      <c r="AH109" s="75">
        <v>1</v>
      </c>
      <c r="AI109" s="75">
        <v>1</v>
      </c>
      <c r="AJ109" s="75">
        <v>1</v>
      </c>
      <c r="AK109" s="75">
        <v>1</v>
      </c>
      <c r="AL109" s="75">
        <v>1</v>
      </c>
      <c r="AM109" s="75">
        <v>1</v>
      </c>
      <c r="AN109" s="75">
        <v>1</v>
      </c>
      <c r="AO109" s="75">
        <v>1</v>
      </c>
      <c r="AP109" s="75">
        <v>1</v>
      </c>
      <c r="AQ109" s="75">
        <v>1</v>
      </c>
      <c r="AR109" s="75">
        <v>1</v>
      </c>
      <c r="AS109" s="75">
        <v>1</v>
      </c>
      <c r="AT109" s="75">
        <v>1</v>
      </c>
      <c r="AU109" s="75">
        <v>1</v>
      </c>
      <c r="AV109" s="75">
        <v>1</v>
      </c>
    </row>
    <row r="110" spans="1:50">
      <c r="A110" t="s">
        <v>16</v>
      </c>
      <c r="B110" s="233" t="s">
        <v>253</v>
      </c>
      <c r="C110" s="75" t="str">
        <f t="shared" si="41"/>
        <v>Commercial - Water Heating</v>
      </c>
      <c r="I110" s="137"/>
      <c r="J110" s="75">
        <v>1</v>
      </c>
      <c r="K110" s="75">
        <v>1</v>
      </c>
      <c r="L110" s="75">
        <v>1</v>
      </c>
      <c r="M110" s="75">
        <v>1</v>
      </c>
      <c r="N110" s="75">
        <v>1</v>
      </c>
      <c r="O110" s="75">
        <v>1</v>
      </c>
      <c r="P110" s="75">
        <v>1</v>
      </c>
      <c r="Q110" s="75">
        <v>1</v>
      </c>
      <c r="R110" s="75">
        <v>1</v>
      </c>
      <c r="S110" s="75">
        <v>1</v>
      </c>
      <c r="T110" s="75">
        <v>1</v>
      </c>
      <c r="U110" s="75">
        <v>1</v>
      </c>
      <c r="V110" s="75">
        <v>1</v>
      </c>
      <c r="W110" s="75">
        <v>1</v>
      </c>
      <c r="X110" s="75">
        <v>1</v>
      </c>
      <c r="Y110" s="75">
        <v>1</v>
      </c>
      <c r="Z110" s="75">
        <v>1</v>
      </c>
      <c r="AA110" s="75">
        <v>1</v>
      </c>
      <c r="AB110" s="75">
        <v>1</v>
      </c>
      <c r="AC110" s="75">
        <v>1</v>
      </c>
      <c r="AD110" s="75">
        <v>1</v>
      </c>
      <c r="AE110" s="75">
        <v>1</v>
      </c>
      <c r="AF110" s="75">
        <v>1</v>
      </c>
      <c r="AG110" s="75">
        <v>1</v>
      </c>
      <c r="AH110" s="75">
        <v>1</v>
      </c>
      <c r="AI110" s="75">
        <v>1</v>
      </c>
      <c r="AJ110" s="75">
        <v>1</v>
      </c>
      <c r="AK110" s="75">
        <v>1</v>
      </c>
      <c r="AL110" s="75">
        <v>1</v>
      </c>
      <c r="AM110" s="75">
        <v>1</v>
      </c>
      <c r="AN110" s="75">
        <v>1</v>
      </c>
      <c r="AO110" s="75">
        <v>1</v>
      </c>
      <c r="AP110" s="75">
        <v>1</v>
      </c>
      <c r="AQ110" s="75">
        <v>1</v>
      </c>
      <c r="AR110" s="75">
        <v>1</v>
      </c>
      <c r="AS110" s="75">
        <v>1</v>
      </c>
      <c r="AT110" s="75">
        <v>1</v>
      </c>
      <c r="AU110" s="75">
        <v>1</v>
      </c>
      <c r="AV110" s="75">
        <v>1</v>
      </c>
    </row>
    <row r="111" spans="1:50">
      <c r="A111" t="s">
        <v>16</v>
      </c>
      <c r="B111" s="233" t="s">
        <v>254</v>
      </c>
      <c r="C111" s="75" t="str">
        <f t="shared" si="41"/>
        <v>Commercial - Public lights</v>
      </c>
      <c r="I111" s="137"/>
      <c r="J111" s="75">
        <v>1</v>
      </c>
      <c r="K111" s="75">
        <v>1</v>
      </c>
      <c r="L111" s="75">
        <v>1</v>
      </c>
      <c r="M111" s="75">
        <v>1</v>
      </c>
      <c r="N111" s="75">
        <v>1</v>
      </c>
      <c r="O111" s="75">
        <v>1</v>
      </c>
      <c r="P111" s="75">
        <v>1</v>
      </c>
      <c r="Q111" s="75">
        <v>1</v>
      </c>
      <c r="R111" s="75">
        <v>1</v>
      </c>
      <c r="S111" s="75">
        <v>1</v>
      </c>
      <c r="T111" s="75">
        <v>1</v>
      </c>
      <c r="U111" s="75">
        <v>1</v>
      </c>
      <c r="V111" s="75">
        <v>1</v>
      </c>
      <c r="W111" s="75">
        <v>1</v>
      </c>
      <c r="X111" s="75">
        <v>1</v>
      </c>
      <c r="Y111" s="75">
        <v>1</v>
      </c>
      <c r="Z111" s="75">
        <v>1</v>
      </c>
      <c r="AA111" s="75">
        <v>1</v>
      </c>
      <c r="AB111" s="75">
        <v>1</v>
      </c>
      <c r="AC111" s="75">
        <v>1</v>
      </c>
      <c r="AD111" s="75">
        <v>1</v>
      </c>
      <c r="AE111" s="75">
        <v>1</v>
      </c>
      <c r="AF111" s="75">
        <v>1</v>
      </c>
      <c r="AG111" s="75">
        <v>1</v>
      </c>
      <c r="AH111" s="75">
        <v>1</v>
      </c>
      <c r="AI111" s="75">
        <v>1</v>
      </c>
      <c r="AJ111" s="75">
        <v>1</v>
      </c>
      <c r="AK111" s="75">
        <v>1</v>
      </c>
      <c r="AL111" s="75">
        <v>1</v>
      </c>
      <c r="AM111" s="75">
        <v>1</v>
      </c>
      <c r="AN111" s="75">
        <v>1</v>
      </c>
      <c r="AO111" s="75">
        <v>1</v>
      </c>
      <c r="AP111" s="75">
        <v>1</v>
      </c>
      <c r="AQ111" s="75">
        <v>1</v>
      </c>
      <c r="AR111" s="75">
        <v>1</v>
      </c>
      <c r="AS111" s="75">
        <v>1</v>
      </c>
      <c r="AT111" s="75">
        <v>1</v>
      </c>
      <c r="AU111" s="75">
        <v>1</v>
      </c>
      <c r="AV111" s="75">
        <v>1</v>
      </c>
    </row>
    <row r="112" spans="1:50">
      <c r="A112" t="s">
        <v>16</v>
      </c>
      <c r="B112" s="233" t="s">
        <v>255</v>
      </c>
      <c r="C112" s="75" t="str">
        <f t="shared" si="41"/>
        <v>Commercial - Public Water</v>
      </c>
      <c r="I112" s="137"/>
      <c r="J112" s="75">
        <v>1</v>
      </c>
      <c r="K112" s="75">
        <v>1</v>
      </c>
      <c r="L112" s="75">
        <v>1</v>
      </c>
      <c r="M112" s="75">
        <v>1</v>
      </c>
      <c r="N112" s="75">
        <v>1</v>
      </c>
      <c r="O112" s="75">
        <v>1</v>
      </c>
      <c r="P112" s="75">
        <v>1</v>
      </c>
      <c r="Q112" s="75">
        <v>1</v>
      </c>
      <c r="R112" s="75">
        <v>1</v>
      </c>
      <c r="S112" s="75">
        <v>1</v>
      </c>
      <c r="T112" s="75">
        <v>1</v>
      </c>
      <c r="U112" s="75">
        <v>1</v>
      </c>
      <c r="V112" s="75">
        <v>1</v>
      </c>
      <c r="W112" s="75">
        <v>1</v>
      </c>
      <c r="X112" s="75">
        <v>1</v>
      </c>
      <c r="Y112" s="75">
        <v>1</v>
      </c>
      <c r="Z112" s="75">
        <v>1</v>
      </c>
      <c r="AA112" s="75">
        <v>1</v>
      </c>
      <c r="AB112" s="75">
        <v>1</v>
      </c>
      <c r="AC112" s="75">
        <v>1</v>
      </c>
      <c r="AD112" s="75">
        <v>1</v>
      </c>
      <c r="AE112" s="75">
        <v>1</v>
      </c>
      <c r="AF112" s="75">
        <v>1</v>
      </c>
      <c r="AG112" s="75">
        <v>1</v>
      </c>
      <c r="AH112" s="75">
        <v>1</v>
      </c>
      <c r="AI112" s="75">
        <v>1</v>
      </c>
      <c r="AJ112" s="75">
        <v>1</v>
      </c>
      <c r="AK112" s="75">
        <v>1</v>
      </c>
      <c r="AL112" s="75">
        <v>1</v>
      </c>
      <c r="AM112" s="75">
        <v>1</v>
      </c>
      <c r="AN112" s="75">
        <v>1</v>
      </c>
      <c r="AO112" s="75">
        <v>1</v>
      </c>
      <c r="AP112" s="75">
        <v>1</v>
      </c>
      <c r="AQ112" s="75">
        <v>1</v>
      </c>
      <c r="AR112" s="75">
        <v>1</v>
      </c>
      <c r="AS112" s="75">
        <v>1</v>
      </c>
      <c r="AT112" s="75">
        <v>1</v>
      </c>
      <c r="AU112" s="75">
        <v>1</v>
      </c>
      <c r="AV112" s="75">
        <v>1</v>
      </c>
    </row>
    <row r="113" spans="1:48">
      <c r="A113" t="s">
        <v>16</v>
      </c>
      <c r="B113" s="233" t="s">
        <v>256</v>
      </c>
      <c r="C113" s="75" t="str">
        <f t="shared" si="41"/>
        <v>Commercial - Other</v>
      </c>
      <c r="I113" s="137"/>
      <c r="J113" s="75">
        <v>1</v>
      </c>
      <c r="K113" s="75">
        <v>1</v>
      </c>
      <c r="L113" s="75">
        <v>1</v>
      </c>
      <c r="M113" s="75">
        <v>1</v>
      </c>
      <c r="N113" s="75">
        <v>1</v>
      </c>
      <c r="O113" s="75">
        <v>1</v>
      </c>
      <c r="P113" s="75">
        <v>1</v>
      </c>
      <c r="Q113" s="75">
        <v>1</v>
      </c>
      <c r="R113" s="75">
        <v>1</v>
      </c>
      <c r="S113" s="75">
        <v>1</v>
      </c>
      <c r="T113" s="75">
        <v>1</v>
      </c>
      <c r="U113" s="75">
        <v>1</v>
      </c>
      <c r="V113" s="75">
        <v>1</v>
      </c>
      <c r="W113" s="75">
        <v>1</v>
      </c>
      <c r="X113" s="75">
        <v>1</v>
      </c>
      <c r="Y113" s="75">
        <v>1</v>
      </c>
      <c r="Z113" s="75">
        <v>1</v>
      </c>
      <c r="AA113" s="75">
        <v>1</v>
      </c>
      <c r="AB113" s="75">
        <v>1</v>
      </c>
      <c r="AC113" s="75">
        <v>1</v>
      </c>
      <c r="AD113" s="75">
        <v>1</v>
      </c>
      <c r="AE113" s="75">
        <v>1</v>
      </c>
      <c r="AF113" s="75">
        <v>1</v>
      </c>
      <c r="AG113" s="75">
        <v>1</v>
      </c>
      <c r="AH113" s="75">
        <v>1</v>
      </c>
      <c r="AI113" s="75">
        <v>1</v>
      </c>
      <c r="AJ113" s="75">
        <v>1</v>
      </c>
      <c r="AK113" s="75">
        <v>1</v>
      </c>
      <c r="AL113" s="75">
        <v>1</v>
      </c>
      <c r="AM113" s="75">
        <v>1</v>
      </c>
      <c r="AN113" s="75">
        <v>1</v>
      </c>
      <c r="AO113" s="75">
        <v>1</v>
      </c>
      <c r="AP113" s="75">
        <v>1</v>
      </c>
      <c r="AQ113" s="75">
        <v>1</v>
      </c>
      <c r="AR113" s="75">
        <v>1</v>
      </c>
      <c r="AS113" s="75">
        <v>1</v>
      </c>
      <c r="AT113" s="75">
        <v>1</v>
      </c>
      <c r="AU113" s="75">
        <v>1</v>
      </c>
      <c r="AV113" s="75">
        <v>1</v>
      </c>
    </row>
    <row r="114" spans="1:48">
      <c r="A114" t="s">
        <v>16</v>
      </c>
      <c r="B114" s="233"/>
      <c r="I114" s="137"/>
      <c r="K114" s="75"/>
    </row>
    <row r="115" spans="1:48" ht="15.75" thickBot="1">
      <c r="A115" t="s">
        <v>16</v>
      </c>
      <c r="B115" s="233"/>
      <c r="C115" s="72" t="s">
        <v>258</v>
      </c>
      <c r="I115" s="137"/>
      <c r="K115" s="75"/>
    </row>
    <row r="116" spans="1:48">
      <c r="A116" t="s">
        <v>16</v>
      </c>
      <c r="B116" s="233" t="str">
        <f>B105</f>
        <v>CNC</v>
      </c>
      <c r="C116" s="233" t="str">
        <f>C105</f>
        <v>Commercial - Cooling</v>
      </c>
      <c r="E116" s="81">
        <v>0</v>
      </c>
      <c r="I116" s="137"/>
      <c r="J116" s="139">
        <f t="shared" ref="J116:Y124" si="42">(1-$E116)</f>
        <v>1</v>
      </c>
      <c r="K116" s="96">
        <f t="shared" si="42"/>
        <v>1</v>
      </c>
      <c r="L116" s="96">
        <f t="shared" si="42"/>
        <v>1</v>
      </c>
      <c r="M116" s="96">
        <f t="shared" si="42"/>
        <v>1</v>
      </c>
      <c r="N116" s="96">
        <f t="shared" si="42"/>
        <v>1</v>
      </c>
      <c r="O116" s="96">
        <f t="shared" si="42"/>
        <v>1</v>
      </c>
      <c r="P116" s="96">
        <f t="shared" si="42"/>
        <v>1</v>
      </c>
      <c r="Q116" s="96">
        <f t="shared" si="42"/>
        <v>1</v>
      </c>
      <c r="R116" s="96">
        <f t="shared" si="42"/>
        <v>1</v>
      </c>
      <c r="S116" s="96">
        <f t="shared" si="42"/>
        <v>1</v>
      </c>
      <c r="T116" s="96">
        <f t="shared" si="42"/>
        <v>1</v>
      </c>
      <c r="U116" s="96">
        <f t="shared" si="42"/>
        <v>1</v>
      </c>
      <c r="V116" s="96">
        <f t="shared" si="42"/>
        <v>1</v>
      </c>
      <c r="W116" s="96">
        <f t="shared" si="42"/>
        <v>1</v>
      </c>
      <c r="X116" s="96">
        <f t="shared" si="42"/>
        <v>1</v>
      </c>
      <c r="Y116" s="96">
        <f t="shared" si="42"/>
        <v>1</v>
      </c>
      <c r="Z116" s="96">
        <f t="shared" ref="Z116:AV124" si="43">(1-$E116)</f>
        <v>1</v>
      </c>
      <c r="AA116" s="96">
        <f t="shared" si="43"/>
        <v>1</v>
      </c>
      <c r="AB116" s="96">
        <f t="shared" si="43"/>
        <v>1</v>
      </c>
      <c r="AC116" s="96">
        <f t="shared" si="43"/>
        <v>1</v>
      </c>
      <c r="AD116" s="96">
        <f t="shared" si="43"/>
        <v>1</v>
      </c>
      <c r="AE116" s="96">
        <f t="shared" si="43"/>
        <v>1</v>
      </c>
      <c r="AF116" s="96">
        <f t="shared" si="43"/>
        <v>1</v>
      </c>
      <c r="AG116" s="96">
        <f t="shared" si="43"/>
        <v>1</v>
      </c>
      <c r="AH116" s="96">
        <f t="shared" si="43"/>
        <v>1</v>
      </c>
      <c r="AI116" s="96">
        <f t="shared" si="43"/>
        <v>1</v>
      </c>
      <c r="AJ116" s="96">
        <f t="shared" si="43"/>
        <v>1</v>
      </c>
      <c r="AK116" s="96">
        <f t="shared" si="43"/>
        <v>1</v>
      </c>
      <c r="AL116" s="96">
        <f t="shared" si="43"/>
        <v>1</v>
      </c>
      <c r="AM116" s="96">
        <f t="shared" si="43"/>
        <v>1</v>
      </c>
      <c r="AN116" s="96">
        <f t="shared" si="43"/>
        <v>1</v>
      </c>
      <c r="AO116" s="96">
        <f t="shared" si="43"/>
        <v>1</v>
      </c>
      <c r="AP116" s="96">
        <f t="shared" si="43"/>
        <v>1</v>
      </c>
      <c r="AQ116" s="96">
        <f t="shared" si="43"/>
        <v>1</v>
      </c>
      <c r="AR116" s="96">
        <f t="shared" si="43"/>
        <v>1</v>
      </c>
      <c r="AS116" s="96">
        <f t="shared" si="43"/>
        <v>1</v>
      </c>
      <c r="AT116" s="96">
        <f t="shared" si="43"/>
        <v>1</v>
      </c>
      <c r="AU116" s="96">
        <f t="shared" si="43"/>
        <v>1</v>
      </c>
      <c r="AV116" s="96">
        <f t="shared" si="43"/>
        <v>1</v>
      </c>
    </row>
    <row r="117" spans="1:48">
      <c r="A117" t="s">
        <v>16</v>
      </c>
      <c r="B117" s="233" t="str">
        <f t="shared" ref="B117:C124" si="44">B106</f>
        <v>CNH</v>
      </c>
      <c r="C117" s="233" t="str">
        <f t="shared" si="44"/>
        <v>Commercial - Space Heating</v>
      </c>
      <c r="E117" s="81">
        <v>0</v>
      </c>
      <c r="I117" s="137"/>
      <c r="J117" s="139">
        <f t="shared" si="42"/>
        <v>1</v>
      </c>
      <c r="K117" s="96">
        <f t="shared" si="42"/>
        <v>1</v>
      </c>
      <c r="L117" s="96">
        <f t="shared" si="42"/>
        <v>1</v>
      </c>
      <c r="M117" s="96">
        <f t="shared" si="42"/>
        <v>1</v>
      </c>
      <c r="N117" s="96">
        <f t="shared" si="42"/>
        <v>1</v>
      </c>
      <c r="O117" s="96">
        <f t="shared" si="42"/>
        <v>1</v>
      </c>
      <c r="P117" s="96">
        <f t="shared" si="42"/>
        <v>1</v>
      </c>
      <c r="Q117" s="96">
        <f t="shared" si="42"/>
        <v>1</v>
      </c>
      <c r="R117" s="96">
        <f t="shared" si="42"/>
        <v>1</v>
      </c>
      <c r="S117" s="96">
        <f t="shared" si="42"/>
        <v>1</v>
      </c>
      <c r="T117" s="96">
        <f t="shared" si="42"/>
        <v>1</v>
      </c>
      <c r="U117" s="96">
        <f t="shared" si="42"/>
        <v>1</v>
      </c>
      <c r="V117" s="96">
        <f t="shared" si="42"/>
        <v>1</v>
      </c>
      <c r="W117" s="96">
        <f t="shared" si="42"/>
        <v>1</v>
      </c>
      <c r="X117" s="96">
        <f t="shared" si="42"/>
        <v>1</v>
      </c>
      <c r="Y117" s="96">
        <f t="shared" si="42"/>
        <v>1</v>
      </c>
      <c r="Z117" s="96">
        <f t="shared" si="43"/>
        <v>1</v>
      </c>
      <c r="AA117" s="96">
        <f t="shared" si="43"/>
        <v>1</v>
      </c>
      <c r="AB117" s="96">
        <f t="shared" si="43"/>
        <v>1</v>
      </c>
      <c r="AC117" s="96">
        <f t="shared" si="43"/>
        <v>1</v>
      </c>
      <c r="AD117" s="96">
        <f t="shared" si="43"/>
        <v>1</v>
      </c>
      <c r="AE117" s="96">
        <f t="shared" si="43"/>
        <v>1</v>
      </c>
      <c r="AF117" s="96">
        <f t="shared" si="43"/>
        <v>1</v>
      </c>
      <c r="AG117" s="96">
        <f t="shared" si="43"/>
        <v>1</v>
      </c>
      <c r="AH117" s="96">
        <f t="shared" si="43"/>
        <v>1</v>
      </c>
      <c r="AI117" s="96">
        <f t="shared" si="43"/>
        <v>1</v>
      </c>
      <c r="AJ117" s="96">
        <f t="shared" si="43"/>
        <v>1</v>
      </c>
      <c r="AK117" s="96">
        <f t="shared" si="43"/>
        <v>1</v>
      </c>
      <c r="AL117" s="96">
        <f t="shared" si="43"/>
        <v>1</v>
      </c>
      <c r="AM117" s="96">
        <f t="shared" si="43"/>
        <v>1</v>
      </c>
      <c r="AN117" s="96">
        <f t="shared" si="43"/>
        <v>1</v>
      </c>
      <c r="AO117" s="96">
        <f t="shared" si="43"/>
        <v>1</v>
      </c>
      <c r="AP117" s="96">
        <f t="shared" si="43"/>
        <v>1</v>
      </c>
      <c r="AQ117" s="96">
        <f t="shared" si="43"/>
        <v>1</v>
      </c>
      <c r="AR117" s="96">
        <f t="shared" si="43"/>
        <v>1</v>
      </c>
      <c r="AS117" s="96">
        <f t="shared" si="43"/>
        <v>1</v>
      </c>
      <c r="AT117" s="96">
        <f t="shared" si="43"/>
        <v>1</v>
      </c>
      <c r="AU117" s="96">
        <f t="shared" si="43"/>
        <v>1</v>
      </c>
      <c r="AV117" s="96">
        <f t="shared" si="43"/>
        <v>1</v>
      </c>
    </row>
    <row r="118" spans="1:48">
      <c r="A118" t="s">
        <v>16</v>
      </c>
      <c r="B118" s="233" t="str">
        <f t="shared" si="44"/>
        <v>CNK</v>
      </c>
      <c r="C118" s="233" t="str">
        <f t="shared" si="44"/>
        <v>Commercial - Cooking</v>
      </c>
      <c r="E118" s="81">
        <v>0</v>
      </c>
      <c r="I118" s="137"/>
      <c r="J118" s="139">
        <f t="shared" si="42"/>
        <v>1</v>
      </c>
      <c r="K118" s="96">
        <f t="shared" si="42"/>
        <v>1</v>
      </c>
      <c r="L118" s="96">
        <f t="shared" si="42"/>
        <v>1</v>
      </c>
      <c r="M118" s="96">
        <f>(1-$E118)</f>
        <v>1</v>
      </c>
      <c r="N118" s="96">
        <f t="shared" si="42"/>
        <v>1</v>
      </c>
      <c r="O118" s="96">
        <f t="shared" si="42"/>
        <v>1</v>
      </c>
      <c r="P118" s="96">
        <f t="shared" si="42"/>
        <v>1</v>
      </c>
      <c r="Q118" s="96">
        <f t="shared" si="42"/>
        <v>1</v>
      </c>
      <c r="R118" s="96">
        <f t="shared" si="42"/>
        <v>1</v>
      </c>
      <c r="S118" s="96">
        <f t="shared" si="42"/>
        <v>1</v>
      </c>
      <c r="T118" s="96">
        <f t="shared" si="42"/>
        <v>1</v>
      </c>
      <c r="U118" s="96">
        <f t="shared" si="42"/>
        <v>1</v>
      </c>
      <c r="V118" s="96">
        <f t="shared" si="42"/>
        <v>1</v>
      </c>
      <c r="W118" s="96">
        <f t="shared" si="42"/>
        <v>1</v>
      </c>
      <c r="X118" s="96">
        <f t="shared" si="42"/>
        <v>1</v>
      </c>
      <c r="Y118" s="96">
        <f t="shared" si="42"/>
        <v>1</v>
      </c>
      <c r="Z118" s="96">
        <f t="shared" si="43"/>
        <v>1</v>
      </c>
      <c r="AA118" s="96">
        <f t="shared" si="43"/>
        <v>1</v>
      </c>
      <c r="AB118" s="96">
        <f t="shared" si="43"/>
        <v>1</v>
      </c>
      <c r="AC118" s="96">
        <f t="shared" si="43"/>
        <v>1</v>
      </c>
      <c r="AD118" s="96">
        <f t="shared" si="43"/>
        <v>1</v>
      </c>
      <c r="AE118" s="96">
        <f t="shared" si="43"/>
        <v>1</v>
      </c>
      <c r="AF118" s="96">
        <f t="shared" si="43"/>
        <v>1</v>
      </c>
      <c r="AG118" s="96">
        <f t="shared" si="43"/>
        <v>1</v>
      </c>
      <c r="AH118" s="96">
        <f t="shared" si="43"/>
        <v>1</v>
      </c>
      <c r="AI118" s="96">
        <f t="shared" si="43"/>
        <v>1</v>
      </c>
      <c r="AJ118" s="96">
        <f t="shared" si="43"/>
        <v>1</v>
      </c>
      <c r="AK118" s="96">
        <f t="shared" si="43"/>
        <v>1</v>
      </c>
      <c r="AL118" s="96">
        <f t="shared" si="43"/>
        <v>1</v>
      </c>
      <c r="AM118" s="96">
        <f t="shared" si="43"/>
        <v>1</v>
      </c>
      <c r="AN118" s="96">
        <f t="shared" si="43"/>
        <v>1</v>
      </c>
      <c r="AO118" s="96">
        <f t="shared" si="43"/>
        <v>1</v>
      </c>
      <c r="AP118" s="96">
        <f t="shared" si="43"/>
        <v>1</v>
      </c>
      <c r="AQ118" s="96">
        <f t="shared" si="43"/>
        <v>1</v>
      </c>
      <c r="AR118" s="96">
        <f t="shared" si="43"/>
        <v>1</v>
      </c>
      <c r="AS118" s="96">
        <f t="shared" si="43"/>
        <v>1</v>
      </c>
      <c r="AT118" s="96">
        <f t="shared" si="43"/>
        <v>1</v>
      </c>
      <c r="AU118" s="96">
        <f t="shared" si="43"/>
        <v>1</v>
      </c>
      <c r="AV118" s="96">
        <f t="shared" si="43"/>
        <v>1</v>
      </c>
    </row>
    <row r="119" spans="1:48">
      <c r="A119" t="s">
        <v>16</v>
      </c>
      <c r="B119" s="233" t="str">
        <f t="shared" si="44"/>
        <v>CNL</v>
      </c>
      <c r="C119" s="233" t="str">
        <f t="shared" si="44"/>
        <v>Commercial - Lighting</v>
      </c>
      <c r="E119" s="81">
        <v>0</v>
      </c>
      <c r="I119" s="137"/>
      <c r="J119" s="139">
        <f t="shared" si="42"/>
        <v>1</v>
      </c>
      <c r="K119" s="96">
        <f t="shared" si="42"/>
        <v>1</v>
      </c>
      <c r="L119" s="96">
        <f t="shared" si="42"/>
        <v>1</v>
      </c>
      <c r="M119" s="96">
        <f t="shared" si="42"/>
        <v>1</v>
      </c>
      <c r="N119" s="96">
        <f t="shared" si="42"/>
        <v>1</v>
      </c>
      <c r="O119" s="96">
        <f t="shared" si="42"/>
        <v>1</v>
      </c>
      <c r="P119" s="96">
        <f t="shared" si="42"/>
        <v>1</v>
      </c>
      <c r="Q119" s="96">
        <f t="shared" si="42"/>
        <v>1</v>
      </c>
      <c r="R119" s="96">
        <f t="shared" si="42"/>
        <v>1</v>
      </c>
      <c r="S119" s="96">
        <f t="shared" si="42"/>
        <v>1</v>
      </c>
      <c r="T119" s="96">
        <f t="shared" si="42"/>
        <v>1</v>
      </c>
      <c r="U119" s="96">
        <f t="shared" si="42"/>
        <v>1</v>
      </c>
      <c r="V119" s="96">
        <f t="shared" si="42"/>
        <v>1</v>
      </c>
      <c r="W119" s="96">
        <f t="shared" si="42"/>
        <v>1</v>
      </c>
      <c r="X119" s="96">
        <f t="shared" si="42"/>
        <v>1</v>
      </c>
      <c r="Y119" s="96">
        <f t="shared" si="42"/>
        <v>1</v>
      </c>
      <c r="Z119" s="96">
        <f t="shared" si="43"/>
        <v>1</v>
      </c>
      <c r="AA119" s="96">
        <f t="shared" si="43"/>
        <v>1</v>
      </c>
      <c r="AB119" s="96">
        <f t="shared" si="43"/>
        <v>1</v>
      </c>
      <c r="AC119" s="96">
        <f t="shared" si="43"/>
        <v>1</v>
      </c>
      <c r="AD119" s="96">
        <f t="shared" si="43"/>
        <v>1</v>
      </c>
      <c r="AE119" s="96">
        <f t="shared" si="43"/>
        <v>1</v>
      </c>
      <c r="AF119" s="96">
        <f t="shared" si="43"/>
        <v>1</v>
      </c>
      <c r="AG119" s="96">
        <f t="shared" si="43"/>
        <v>1</v>
      </c>
      <c r="AH119" s="96">
        <f t="shared" si="43"/>
        <v>1</v>
      </c>
      <c r="AI119" s="96">
        <f t="shared" si="43"/>
        <v>1</v>
      </c>
      <c r="AJ119" s="96">
        <f t="shared" si="43"/>
        <v>1</v>
      </c>
      <c r="AK119" s="96">
        <f t="shared" si="43"/>
        <v>1</v>
      </c>
      <c r="AL119" s="96">
        <f t="shared" si="43"/>
        <v>1</v>
      </c>
      <c r="AM119" s="96">
        <f t="shared" si="43"/>
        <v>1</v>
      </c>
      <c r="AN119" s="96">
        <f t="shared" si="43"/>
        <v>1</v>
      </c>
      <c r="AO119" s="96">
        <f t="shared" si="43"/>
        <v>1</v>
      </c>
      <c r="AP119" s="96">
        <f t="shared" si="43"/>
        <v>1</v>
      </c>
      <c r="AQ119" s="96">
        <f t="shared" si="43"/>
        <v>1</v>
      </c>
      <c r="AR119" s="96">
        <f t="shared" si="43"/>
        <v>1</v>
      </c>
      <c r="AS119" s="96">
        <f t="shared" si="43"/>
        <v>1</v>
      </c>
      <c r="AT119" s="96">
        <f t="shared" si="43"/>
        <v>1</v>
      </c>
      <c r="AU119" s="96">
        <f t="shared" si="43"/>
        <v>1</v>
      </c>
      <c r="AV119" s="96">
        <f t="shared" si="43"/>
        <v>1</v>
      </c>
    </row>
    <row r="120" spans="1:48">
      <c r="A120" t="s">
        <v>16</v>
      </c>
      <c r="B120" s="233" t="str">
        <f t="shared" si="44"/>
        <v>CNR</v>
      </c>
      <c r="C120" s="233" t="str">
        <f t="shared" si="44"/>
        <v>Commercial - Refrigeration</v>
      </c>
      <c r="E120" s="81">
        <v>0</v>
      </c>
      <c r="I120" s="137"/>
      <c r="J120" s="139">
        <f t="shared" si="42"/>
        <v>1</v>
      </c>
      <c r="K120" s="96">
        <f t="shared" si="42"/>
        <v>1</v>
      </c>
      <c r="L120" s="96">
        <f t="shared" si="42"/>
        <v>1</v>
      </c>
      <c r="M120" s="96">
        <f t="shared" si="42"/>
        <v>1</v>
      </c>
      <c r="N120" s="96">
        <f t="shared" si="42"/>
        <v>1</v>
      </c>
      <c r="O120" s="96">
        <f t="shared" si="42"/>
        <v>1</v>
      </c>
      <c r="P120" s="96">
        <f t="shared" si="42"/>
        <v>1</v>
      </c>
      <c r="Q120" s="96">
        <f t="shared" si="42"/>
        <v>1</v>
      </c>
      <c r="R120" s="96">
        <f t="shared" si="42"/>
        <v>1</v>
      </c>
      <c r="S120" s="96">
        <f t="shared" si="42"/>
        <v>1</v>
      </c>
      <c r="T120" s="96">
        <f t="shared" si="42"/>
        <v>1</v>
      </c>
      <c r="U120" s="96">
        <f t="shared" si="42"/>
        <v>1</v>
      </c>
      <c r="V120" s="96">
        <f t="shared" si="42"/>
        <v>1</v>
      </c>
      <c r="W120" s="96">
        <f t="shared" si="42"/>
        <v>1</v>
      </c>
      <c r="X120" s="96">
        <f t="shared" si="42"/>
        <v>1</v>
      </c>
      <c r="Y120" s="96">
        <f t="shared" si="42"/>
        <v>1</v>
      </c>
      <c r="Z120" s="96">
        <f t="shared" si="43"/>
        <v>1</v>
      </c>
      <c r="AA120" s="96">
        <f t="shared" si="43"/>
        <v>1</v>
      </c>
      <c r="AB120" s="96">
        <f t="shared" si="43"/>
        <v>1</v>
      </c>
      <c r="AC120" s="96">
        <f t="shared" si="43"/>
        <v>1</v>
      </c>
      <c r="AD120" s="96">
        <f t="shared" si="43"/>
        <v>1</v>
      </c>
      <c r="AE120" s="96">
        <f t="shared" si="43"/>
        <v>1</v>
      </c>
      <c r="AF120" s="96">
        <f t="shared" si="43"/>
        <v>1</v>
      </c>
      <c r="AG120" s="96">
        <f t="shared" si="43"/>
        <v>1</v>
      </c>
      <c r="AH120" s="96">
        <f t="shared" si="43"/>
        <v>1</v>
      </c>
      <c r="AI120" s="96">
        <f t="shared" si="43"/>
        <v>1</v>
      </c>
      <c r="AJ120" s="96">
        <f t="shared" si="43"/>
        <v>1</v>
      </c>
      <c r="AK120" s="96">
        <f t="shared" si="43"/>
        <v>1</v>
      </c>
      <c r="AL120" s="96">
        <f t="shared" si="43"/>
        <v>1</v>
      </c>
      <c r="AM120" s="96">
        <f t="shared" si="43"/>
        <v>1</v>
      </c>
      <c r="AN120" s="96">
        <f t="shared" si="43"/>
        <v>1</v>
      </c>
      <c r="AO120" s="96">
        <f t="shared" si="43"/>
        <v>1</v>
      </c>
      <c r="AP120" s="96">
        <f t="shared" si="43"/>
        <v>1</v>
      </c>
      <c r="AQ120" s="96">
        <f t="shared" si="43"/>
        <v>1</v>
      </c>
      <c r="AR120" s="96">
        <f t="shared" si="43"/>
        <v>1</v>
      </c>
      <c r="AS120" s="96">
        <f t="shared" si="43"/>
        <v>1</v>
      </c>
      <c r="AT120" s="96">
        <f t="shared" si="43"/>
        <v>1</v>
      </c>
      <c r="AU120" s="96">
        <f t="shared" si="43"/>
        <v>1</v>
      </c>
      <c r="AV120" s="96">
        <f t="shared" si="43"/>
        <v>1</v>
      </c>
    </row>
    <row r="121" spans="1:48">
      <c r="A121" t="s">
        <v>16</v>
      </c>
      <c r="B121" s="233" t="str">
        <f t="shared" si="44"/>
        <v>CNW</v>
      </c>
      <c r="C121" s="233" t="str">
        <f t="shared" si="44"/>
        <v>Commercial - Water Heating</v>
      </c>
      <c r="E121" s="81">
        <v>0</v>
      </c>
      <c r="I121" s="137"/>
      <c r="J121" s="139">
        <f t="shared" si="42"/>
        <v>1</v>
      </c>
      <c r="K121" s="96">
        <f t="shared" si="42"/>
        <v>1</v>
      </c>
      <c r="L121" s="96">
        <f t="shared" si="42"/>
        <v>1</v>
      </c>
      <c r="M121" s="96">
        <f t="shared" si="42"/>
        <v>1</v>
      </c>
      <c r="N121" s="96">
        <f t="shared" si="42"/>
        <v>1</v>
      </c>
      <c r="O121" s="96">
        <f t="shared" si="42"/>
        <v>1</v>
      </c>
      <c r="P121" s="96">
        <f t="shared" si="42"/>
        <v>1</v>
      </c>
      <c r="Q121" s="96">
        <f t="shared" si="42"/>
        <v>1</v>
      </c>
      <c r="R121" s="96">
        <f t="shared" si="42"/>
        <v>1</v>
      </c>
      <c r="S121" s="96">
        <f t="shared" si="42"/>
        <v>1</v>
      </c>
      <c r="T121" s="96">
        <f t="shared" si="42"/>
        <v>1</v>
      </c>
      <c r="U121" s="96">
        <f t="shared" si="42"/>
        <v>1</v>
      </c>
      <c r="V121" s="96">
        <f t="shared" si="42"/>
        <v>1</v>
      </c>
      <c r="W121" s="96">
        <f t="shared" si="42"/>
        <v>1</v>
      </c>
      <c r="X121" s="96">
        <f t="shared" si="42"/>
        <v>1</v>
      </c>
      <c r="Y121" s="96">
        <f t="shared" si="42"/>
        <v>1</v>
      </c>
      <c r="Z121" s="96">
        <f t="shared" si="43"/>
        <v>1</v>
      </c>
      <c r="AA121" s="96">
        <f t="shared" si="43"/>
        <v>1</v>
      </c>
      <c r="AB121" s="96">
        <f t="shared" si="43"/>
        <v>1</v>
      </c>
      <c r="AC121" s="96">
        <f t="shared" si="43"/>
        <v>1</v>
      </c>
      <c r="AD121" s="96">
        <f t="shared" si="43"/>
        <v>1</v>
      </c>
      <c r="AE121" s="96">
        <f t="shared" si="43"/>
        <v>1</v>
      </c>
      <c r="AF121" s="96">
        <f t="shared" si="43"/>
        <v>1</v>
      </c>
      <c r="AG121" s="96">
        <f t="shared" si="43"/>
        <v>1</v>
      </c>
      <c r="AH121" s="96">
        <f t="shared" si="43"/>
        <v>1</v>
      </c>
      <c r="AI121" s="96">
        <f t="shared" si="43"/>
        <v>1</v>
      </c>
      <c r="AJ121" s="96">
        <f t="shared" si="43"/>
        <v>1</v>
      </c>
      <c r="AK121" s="96">
        <f t="shared" si="43"/>
        <v>1</v>
      </c>
      <c r="AL121" s="96">
        <f t="shared" si="43"/>
        <v>1</v>
      </c>
      <c r="AM121" s="96">
        <f t="shared" si="43"/>
        <v>1</v>
      </c>
      <c r="AN121" s="96">
        <f t="shared" si="43"/>
        <v>1</v>
      </c>
      <c r="AO121" s="96">
        <f t="shared" si="43"/>
        <v>1</v>
      </c>
      <c r="AP121" s="96">
        <f t="shared" si="43"/>
        <v>1</v>
      </c>
      <c r="AQ121" s="96">
        <f t="shared" si="43"/>
        <v>1</v>
      </c>
      <c r="AR121" s="96">
        <f t="shared" si="43"/>
        <v>1</v>
      </c>
      <c r="AS121" s="96">
        <f t="shared" si="43"/>
        <v>1</v>
      </c>
      <c r="AT121" s="96">
        <f t="shared" si="43"/>
        <v>1</v>
      </c>
      <c r="AU121" s="96">
        <f t="shared" si="43"/>
        <v>1</v>
      </c>
      <c r="AV121" s="96">
        <f t="shared" si="43"/>
        <v>1</v>
      </c>
    </row>
    <row r="122" spans="1:48">
      <c r="A122" t="s">
        <v>16</v>
      </c>
      <c r="B122" s="233" t="str">
        <f t="shared" si="44"/>
        <v>CNG</v>
      </c>
      <c r="C122" s="233" t="str">
        <f t="shared" si="44"/>
        <v>Commercial - Public lights</v>
      </c>
      <c r="E122" s="81">
        <v>0</v>
      </c>
      <c r="I122" s="137"/>
      <c r="J122" s="139">
        <f t="shared" si="42"/>
        <v>1</v>
      </c>
      <c r="K122" s="96">
        <f t="shared" si="42"/>
        <v>1</v>
      </c>
      <c r="L122" s="96">
        <f t="shared" si="42"/>
        <v>1</v>
      </c>
      <c r="M122" s="96">
        <f t="shared" si="42"/>
        <v>1</v>
      </c>
      <c r="N122" s="96">
        <f t="shared" si="42"/>
        <v>1</v>
      </c>
      <c r="O122" s="96">
        <f t="shared" si="42"/>
        <v>1</v>
      </c>
      <c r="P122" s="96">
        <f t="shared" si="42"/>
        <v>1</v>
      </c>
      <c r="Q122" s="96">
        <f t="shared" si="42"/>
        <v>1</v>
      </c>
      <c r="R122" s="96">
        <f t="shared" si="42"/>
        <v>1</v>
      </c>
      <c r="S122" s="96">
        <f t="shared" si="42"/>
        <v>1</v>
      </c>
      <c r="T122" s="96">
        <f t="shared" si="42"/>
        <v>1</v>
      </c>
      <c r="U122" s="96">
        <f t="shared" si="42"/>
        <v>1</v>
      </c>
      <c r="V122" s="96">
        <f t="shared" si="42"/>
        <v>1</v>
      </c>
      <c r="W122" s="96">
        <f t="shared" si="42"/>
        <v>1</v>
      </c>
      <c r="X122" s="96">
        <f t="shared" si="42"/>
        <v>1</v>
      </c>
      <c r="Y122" s="96">
        <f t="shared" si="42"/>
        <v>1</v>
      </c>
      <c r="Z122" s="96">
        <f t="shared" si="43"/>
        <v>1</v>
      </c>
      <c r="AA122" s="96">
        <f t="shared" si="43"/>
        <v>1</v>
      </c>
      <c r="AB122" s="96">
        <f t="shared" si="43"/>
        <v>1</v>
      </c>
      <c r="AC122" s="96">
        <f t="shared" si="43"/>
        <v>1</v>
      </c>
      <c r="AD122" s="96">
        <f t="shared" si="43"/>
        <v>1</v>
      </c>
      <c r="AE122" s="96">
        <f t="shared" si="43"/>
        <v>1</v>
      </c>
      <c r="AF122" s="96">
        <f t="shared" si="43"/>
        <v>1</v>
      </c>
      <c r="AG122" s="96">
        <f t="shared" si="43"/>
        <v>1</v>
      </c>
      <c r="AH122" s="96">
        <f t="shared" si="43"/>
        <v>1</v>
      </c>
      <c r="AI122" s="96">
        <f t="shared" si="43"/>
        <v>1</v>
      </c>
      <c r="AJ122" s="96">
        <f t="shared" si="43"/>
        <v>1</v>
      </c>
      <c r="AK122" s="96">
        <f t="shared" si="43"/>
        <v>1</v>
      </c>
      <c r="AL122" s="96">
        <f t="shared" si="43"/>
        <v>1</v>
      </c>
      <c r="AM122" s="96">
        <f t="shared" si="43"/>
        <v>1</v>
      </c>
      <c r="AN122" s="96">
        <f t="shared" si="43"/>
        <v>1</v>
      </c>
      <c r="AO122" s="96">
        <f t="shared" si="43"/>
        <v>1</v>
      </c>
      <c r="AP122" s="96">
        <f t="shared" si="43"/>
        <v>1</v>
      </c>
      <c r="AQ122" s="96">
        <f t="shared" si="43"/>
        <v>1</v>
      </c>
      <c r="AR122" s="96">
        <f t="shared" si="43"/>
        <v>1</v>
      </c>
      <c r="AS122" s="96">
        <f t="shared" si="43"/>
        <v>1</v>
      </c>
      <c r="AT122" s="96">
        <f t="shared" si="43"/>
        <v>1</v>
      </c>
      <c r="AU122" s="96">
        <f t="shared" si="43"/>
        <v>1</v>
      </c>
      <c r="AV122" s="96">
        <f t="shared" si="43"/>
        <v>1</v>
      </c>
    </row>
    <row r="123" spans="1:48">
      <c r="A123" t="s">
        <v>16</v>
      </c>
      <c r="B123" s="233" t="str">
        <f t="shared" si="44"/>
        <v>CNT</v>
      </c>
      <c r="C123" s="233" t="str">
        <f t="shared" si="44"/>
        <v>Commercial - Public Water</v>
      </c>
      <c r="E123" s="81">
        <v>0</v>
      </c>
      <c r="I123" s="137"/>
      <c r="J123" s="139">
        <f t="shared" si="42"/>
        <v>1</v>
      </c>
      <c r="K123" s="96">
        <f t="shared" si="42"/>
        <v>1</v>
      </c>
      <c r="L123" s="96">
        <f t="shared" si="42"/>
        <v>1</v>
      </c>
      <c r="M123" s="96">
        <f t="shared" si="42"/>
        <v>1</v>
      </c>
      <c r="N123" s="96">
        <f t="shared" si="42"/>
        <v>1</v>
      </c>
      <c r="O123" s="96">
        <f t="shared" si="42"/>
        <v>1</v>
      </c>
      <c r="P123" s="96">
        <f t="shared" si="42"/>
        <v>1</v>
      </c>
      <c r="Q123" s="96">
        <f t="shared" si="42"/>
        <v>1</v>
      </c>
      <c r="R123" s="96">
        <f t="shared" si="42"/>
        <v>1</v>
      </c>
      <c r="S123" s="96">
        <f t="shared" si="42"/>
        <v>1</v>
      </c>
      <c r="T123" s="96">
        <f t="shared" si="42"/>
        <v>1</v>
      </c>
      <c r="U123" s="96">
        <f t="shared" si="42"/>
        <v>1</v>
      </c>
      <c r="V123" s="96">
        <f t="shared" si="42"/>
        <v>1</v>
      </c>
      <c r="W123" s="96">
        <f t="shared" si="42"/>
        <v>1</v>
      </c>
      <c r="X123" s="96">
        <f t="shared" si="42"/>
        <v>1</v>
      </c>
      <c r="Y123" s="96">
        <f t="shared" si="42"/>
        <v>1</v>
      </c>
      <c r="Z123" s="96">
        <f t="shared" si="43"/>
        <v>1</v>
      </c>
      <c r="AA123" s="96">
        <f t="shared" si="43"/>
        <v>1</v>
      </c>
      <c r="AB123" s="96">
        <f t="shared" si="43"/>
        <v>1</v>
      </c>
      <c r="AC123" s="96">
        <f t="shared" si="43"/>
        <v>1</v>
      </c>
      <c r="AD123" s="96">
        <f t="shared" si="43"/>
        <v>1</v>
      </c>
      <c r="AE123" s="96">
        <f t="shared" si="43"/>
        <v>1</v>
      </c>
      <c r="AF123" s="96">
        <f t="shared" si="43"/>
        <v>1</v>
      </c>
      <c r="AG123" s="96">
        <f t="shared" si="43"/>
        <v>1</v>
      </c>
      <c r="AH123" s="96">
        <f t="shared" si="43"/>
        <v>1</v>
      </c>
      <c r="AI123" s="96">
        <f t="shared" si="43"/>
        <v>1</v>
      </c>
      <c r="AJ123" s="96">
        <f t="shared" si="43"/>
        <v>1</v>
      </c>
      <c r="AK123" s="96">
        <f t="shared" si="43"/>
        <v>1</v>
      </c>
      <c r="AL123" s="96">
        <f t="shared" si="43"/>
        <v>1</v>
      </c>
      <c r="AM123" s="96">
        <f t="shared" si="43"/>
        <v>1</v>
      </c>
      <c r="AN123" s="96">
        <f t="shared" si="43"/>
        <v>1</v>
      </c>
      <c r="AO123" s="96">
        <f t="shared" si="43"/>
        <v>1</v>
      </c>
      <c r="AP123" s="96">
        <f t="shared" si="43"/>
        <v>1</v>
      </c>
      <c r="AQ123" s="96">
        <f t="shared" si="43"/>
        <v>1</v>
      </c>
      <c r="AR123" s="96">
        <f t="shared" si="43"/>
        <v>1</v>
      </c>
      <c r="AS123" s="96">
        <f t="shared" si="43"/>
        <v>1</v>
      </c>
      <c r="AT123" s="96">
        <f t="shared" si="43"/>
        <v>1</v>
      </c>
      <c r="AU123" s="96">
        <f t="shared" si="43"/>
        <v>1</v>
      </c>
      <c r="AV123" s="96">
        <f t="shared" si="43"/>
        <v>1</v>
      </c>
    </row>
    <row r="124" spans="1:48">
      <c r="A124" t="s">
        <v>16</v>
      </c>
      <c r="B124" s="233" t="str">
        <f t="shared" si="44"/>
        <v>CNO</v>
      </c>
      <c r="C124" s="233" t="str">
        <f t="shared" si="44"/>
        <v>Commercial - Other</v>
      </c>
      <c r="E124" s="81">
        <v>0</v>
      </c>
      <c r="I124" s="137"/>
      <c r="J124" s="139">
        <f t="shared" si="42"/>
        <v>1</v>
      </c>
      <c r="K124" s="96">
        <f t="shared" si="42"/>
        <v>1</v>
      </c>
      <c r="L124" s="96">
        <f t="shared" si="42"/>
        <v>1</v>
      </c>
      <c r="M124" s="96">
        <f t="shared" si="42"/>
        <v>1</v>
      </c>
      <c r="N124" s="96">
        <f t="shared" si="42"/>
        <v>1</v>
      </c>
      <c r="O124" s="96">
        <f t="shared" si="42"/>
        <v>1</v>
      </c>
      <c r="P124" s="96">
        <f t="shared" si="42"/>
        <v>1</v>
      </c>
      <c r="Q124" s="96">
        <f t="shared" si="42"/>
        <v>1</v>
      </c>
      <c r="R124" s="96">
        <f t="shared" si="42"/>
        <v>1</v>
      </c>
      <c r="S124" s="96">
        <f t="shared" si="42"/>
        <v>1</v>
      </c>
      <c r="T124" s="96">
        <f t="shared" si="42"/>
        <v>1</v>
      </c>
      <c r="U124" s="96">
        <f t="shared" si="42"/>
        <v>1</v>
      </c>
      <c r="V124" s="96">
        <f t="shared" si="42"/>
        <v>1</v>
      </c>
      <c r="W124" s="96">
        <f t="shared" si="42"/>
        <v>1</v>
      </c>
      <c r="X124" s="96">
        <f t="shared" si="42"/>
        <v>1</v>
      </c>
      <c r="Y124" s="96">
        <f t="shared" si="42"/>
        <v>1</v>
      </c>
      <c r="Z124" s="96">
        <f t="shared" si="43"/>
        <v>1</v>
      </c>
      <c r="AA124" s="96">
        <f t="shared" si="43"/>
        <v>1</v>
      </c>
      <c r="AB124" s="96">
        <f t="shared" si="43"/>
        <v>1</v>
      </c>
      <c r="AC124" s="96">
        <f t="shared" si="43"/>
        <v>1</v>
      </c>
      <c r="AD124" s="96">
        <f t="shared" si="43"/>
        <v>1</v>
      </c>
      <c r="AE124" s="96">
        <f t="shared" si="43"/>
        <v>1</v>
      </c>
      <c r="AF124" s="96">
        <f t="shared" si="43"/>
        <v>1</v>
      </c>
      <c r="AG124" s="96">
        <f t="shared" si="43"/>
        <v>1</v>
      </c>
      <c r="AH124" s="96">
        <f t="shared" si="43"/>
        <v>1</v>
      </c>
      <c r="AI124" s="96">
        <f t="shared" si="43"/>
        <v>1</v>
      </c>
      <c r="AJ124" s="96">
        <f t="shared" si="43"/>
        <v>1</v>
      </c>
      <c r="AK124" s="96">
        <f t="shared" si="43"/>
        <v>1</v>
      </c>
      <c r="AL124" s="96">
        <f t="shared" si="43"/>
        <v>1</v>
      </c>
      <c r="AM124" s="96">
        <f t="shared" si="43"/>
        <v>1</v>
      </c>
      <c r="AN124" s="96">
        <f t="shared" si="43"/>
        <v>1</v>
      </c>
      <c r="AO124" s="96">
        <f t="shared" si="43"/>
        <v>1</v>
      </c>
      <c r="AP124" s="96">
        <f t="shared" si="43"/>
        <v>1</v>
      </c>
      <c r="AQ124" s="96">
        <f t="shared" si="43"/>
        <v>1</v>
      </c>
      <c r="AR124" s="96">
        <f t="shared" si="43"/>
        <v>1</v>
      </c>
      <c r="AS124" s="96">
        <f t="shared" si="43"/>
        <v>1</v>
      </c>
      <c r="AT124" s="96">
        <f t="shared" si="43"/>
        <v>1</v>
      </c>
      <c r="AU124" s="96">
        <f t="shared" si="43"/>
        <v>1</v>
      </c>
      <c r="AV124" s="96">
        <f t="shared" si="43"/>
        <v>1</v>
      </c>
    </row>
    <row r="125" spans="1:48">
      <c r="A125" t="s">
        <v>16</v>
      </c>
      <c r="B125" s="233"/>
      <c r="C125" s="233"/>
      <c r="I125" s="137"/>
      <c r="K125" s="75"/>
    </row>
    <row r="126" spans="1:48" ht="15.75" thickBot="1">
      <c r="A126" t="s">
        <v>16</v>
      </c>
      <c r="B126" s="233"/>
      <c r="C126" s="72" t="s">
        <v>259</v>
      </c>
      <c r="I126" s="137"/>
      <c r="K126" s="75"/>
    </row>
    <row r="127" spans="1:48">
      <c r="A127" t="s">
        <v>16</v>
      </c>
      <c r="B127" s="233" t="str">
        <f t="shared" ref="B127:C135" si="45">B116</f>
        <v>CNC</v>
      </c>
      <c r="C127" s="233" t="str">
        <f t="shared" si="45"/>
        <v>Commercial - Cooling</v>
      </c>
      <c r="E127" s="130">
        <f t="shared" ref="E127:E135" si="46">E116+$AX$106</f>
        <v>0.01</v>
      </c>
      <c r="I127" s="137"/>
      <c r="J127" s="140">
        <f t="shared" ref="J127:AV133" si="47">J116*(1-$E127)</f>
        <v>0.99</v>
      </c>
      <c r="K127" s="93">
        <f t="shared" si="47"/>
        <v>0.99</v>
      </c>
      <c r="L127" s="93">
        <f t="shared" si="47"/>
        <v>0.99</v>
      </c>
      <c r="M127" s="93">
        <f t="shared" si="47"/>
        <v>0.99</v>
      </c>
      <c r="N127" s="93">
        <f t="shared" si="47"/>
        <v>0.99</v>
      </c>
      <c r="O127" s="93">
        <f t="shared" si="47"/>
        <v>0.99</v>
      </c>
      <c r="P127" s="93">
        <f t="shared" si="47"/>
        <v>0.99</v>
      </c>
      <c r="Q127" s="93">
        <f t="shared" si="47"/>
        <v>0.99</v>
      </c>
      <c r="R127" s="93">
        <f t="shared" si="47"/>
        <v>0.99</v>
      </c>
      <c r="S127" s="93">
        <f t="shared" si="47"/>
        <v>0.99</v>
      </c>
      <c r="T127" s="93">
        <f t="shared" si="47"/>
        <v>0.99</v>
      </c>
      <c r="U127" s="93">
        <f t="shared" si="47"/>
        <v>0.99</v>
      </c>
      <c r="V127" s="93">
        <f t="shared" si="47"/>
        <v>0.99</v>
      </c>
      <c r="W127" s="93">
        <f t="shared" si="47"/>
        <v>0.99</v>
      </c>
      <c r="X127" s="93">
        <f t="shared" si="47"/>
        <v>0.99</v>
      </c>
      <c r="Y127" s="93">
        <f t="shared" si="47"/>
        <v>0.99</v>
      </c>
      <c r="Z127" s="93">
        <f t="shared" si="47"/>
        <v>0.99</v>
      </c>
      <c r="AA127" s="93">
        <f t="shared" si="47"/>
        <v>0.99</v>
      </c>
      <c r="AB127" s="93">
        <f t="shared" si="47"/>
        <v>0.99</v>
      </c>
      <c r="AC127" s="93">
        <f t="shared" si="47"/>
        <v>0.99</v>
      </c>
      <c r="AD127" s="93">
        <f t="shared" si="47"/>
        <v>0.99</v>
      </c>
      <c r="AE127" s="93">
        <f t="shared" si="47"/>
        <v>0.99</v>
      </c>
      <c r="AF127" s="93">
        <f t="shared" si="47"/>
        <v>0.99</v>
      </c>
      <c r="AG127" s="93">
        <f t="shared" si="47"/>
        <v>0.99</v>
      </c>
      <c r="AH127" s="93">
        <f t="shared" si="47"/>
        <v>0.99</v>
      </c>
      <c r="AI127" s="93">
        <f t="shared" si="47"/>
        <v>0.99</v>
      </c>
      <c r="AJ127" s="93">
        <f t="shared" si="47"/>
        <v>0.99</v>
      </c>
      <c r="AK127" s="93">
        <f t="shared" si="47"/>
        <v>0.99</v>
      </c>
      <c r="AL127" s="93">
        <f t="shared" si="47"/>
        <v>0.99</v>
      </c>
      <c r="AM127" s="93">
        <f t="shared" si="47"/>
        <v>0.99</v>
      </c>
      <c r="AN127" s="93">
        <f t="shared" si="47"/>
        <v>0.99</v>
      </c>
      <c r="AO127" s="93">
        <f t="shared" si="47"/>
        <v>0.99</v>
      </c>
      <c r="AP127" s="93">
        <f t="shared" si="47"/>
        <v>0.99</v>
      </c>
      <c r="AQ127" s="93">
        <f t="shared" si="47"/>
        <v>0.99</v>
      </c>
      <c r="AR127" s="93">
        <f t="shared" si="47"/>
        <v>0.99</v>
      </c>
      <c r="AS127" s="93">
        <f t="shared" si="47"/>
        <v>0.99</v>
      </c>
      <c r="AT127" s="93">
        <f t="shared" si="47"/>
        <v>0.99</v>
      </c>
      <c r="AU127" s="93">
        <f t="shared" si="47"/>
        <v>0.99</v>
      </c>
      <c r="AV127" s="93">
        <f t="shared" si="47"/>
        <v>0.99</v>
      </c>
    </row>
    <row r="128" spans="1:48">
      <c r="A128" t="s">
        <v>16</v>
      </c>
      <c r="B128" s="233" t="str">
        <f t="shared" si="45"/>
        <v>CNH</v>
      </c>
      <c r="C128" s="233" t="str">
        <f t="shared" si="45"/>
        <v>Commercial - Space Heating</v>
      </c>
      <c r="E128" s="130">
        <f t="shared" si="46"/>
        <v>0.01</v>
      </c>
      <c r="I128" s="137"/>
      <c r="J128" s="140">
        <f t="shared" si="47"/>
        <v>0.99</v>
      </c>
      <c r="K128" s="93">
        <f t="shared" si="47"/>
        <v>0.99</v>
      </c>
      <c r="L128" s="93">
        <f t="shared" si="47"/>
        <v>0.99</v>
      </c>
      <c r="M128" s="93">
        <f t="shared" si="47"/>
        <v>0.99</v>
      </c>
      <c r="N128" s="93">
        <f t="shared" si="47"/>
        <v>0.99</v>
      </c>
      <c r="O128" s="93">
        <f t="shared" si="47"/>
        <v>0.99</v>
      </c>
      <c r="P128" s="93">
        <f t="shared" si="47"/>
        <v>0.99</v>
      </c>
      <c r="Q128" s="93">
        <f t="shared" si="47"/>
        <v>0.99</v>
      </c>
      <c r="R128" s="93">
        <f t="shared" si="47"/>
        <v>0.99</v>
      </c>
      <c r="S128" s="93">
        <f t="shared" si="47"/>
        <v>0.99</v>
      </c>
      <c r="T128" s="93">
        <f t="shared" si="47"/>
        <v>0.99</v>
      </c>
      <c r="U128" s="93">
        <f t="shared" si="47"/>
        <v>0.99</v>
      </c>
      <c r="V128" s="93">
        <f t="shared" si="47"/>
        <v>0.99</v>
      </c>
      <c r="W128" s="93">
        <f t="shared" si="47"/>
        <v>0.99</v>
      </c>
      <c r="X128" s="93">
        <f t="shared" si="47"/>
        <v>0.99</v>
      </c>
      <c r="Y128" s="93">
        <f t="shared" si="47"/>
        <v>0.99</v>
      </c>
      <c r="Z128" s="93">
        <f t="shared" si="47"/>
        <v>0.99</v>
      </c>
      <c r="AA128" s="93">
        <f t="shared" si="47"/>
        <v>0.99</v>
      </c>
      <c r="AB128" s="93">
        <f t="shared" si="47"/>
        <v>0.99</v>
      </c>
      <c r="AC128" s="93">
        <f t="shared" si="47"/>
        <v>0.99</v>
      </c>
      <c r="AD128" s="93">
        <f t="shared" si="47"/>
        <v>0.99</v>
      </c>
      <c r="AE128" s="93">
        <f t="shared" si="47"/>
        <v>0.99</v>
      </c>
      <c r="AF128" s="93">
        <f t="shared" si="47"/>
        <v>0.99</v>
      </c>
      <c r="AG128" s="93">
        <f t="shared" si="47"/>
        <v>0.99</v>
      </c>
      <c r="AH128" s="93">
        <f t="shared" si="47"/>
        <v>0.99</v>
      </c>
      <c r="AI128" s="93">
        <f t="shared" si="47"/>
        <v>0.99</v>
      </c>
      <c r="AJ128" s="93">
        <f t="shared" si="47"/>
        <v>0.99</v>
      </c>
      <c r="AK128" s="93">
        <f t="shared" si="47"/>
        <v>0.99</v>
      </c>
      <c r="AL128" s="93">
        <f t="shared" si="47"/>
        <v>0.99</v>
      </c>
      <c r="AM128" s="93">
        <f t="shared" si="47"/>
        <v>0.99</v>
      </c>
      <c r="AN128" s="93">
        <f t="shared" si="47"/>
        <v>0.99</v>
      </c>
      <c r="AO128" s="93">
        <f t="shared" si="47"/>
        <v>0.99</v>
      </c>
      <c r="AP128" s="93">
        <f t="shared" si="47"/>
        <v>0.99</v>
      </c>
      <c r="AQ128" s="93">
        <f t="shared" si="47"/>
        <v>0.99</v>
      </c>
      <c r="AR128" s="93">
        <f t="shared" si="47"/>
        <v>0.99</v>
      </c>
      <c r="AS128" s="93">
        <f t="shared" si="47"/>
        <v>0.99</v>
      </c>
      <c r="AT128" s="93">
        <f t="shared" si="47"/>
        <v>0.99</v>
      </c>
      <c r="AU128" s="93">
        <f t="shared" si="47"/>
        <v>0.99</v>
      </c>
      <c r="AV128" s="93">
        <f t="shared" si="47"/>
        <v>0.99</v>
      </c>
    </row>
    <row r="129" spans="1:48">
      <c r="A129" t="s">
        <v>16</v>
      </c>
      <c r="B129" s="233" t="str">
        <f t="shared" si="45"/>
        <v>CNK</v>
      </c>
      <c r="C129" s="233" t="str">
        <f t="shared" si="45"/>
        <v>Commercial - Cooking</v>
      </c>
      <c r="E129" s="130">
        <f t="shared" si="46"/>
        <v>0.01</v>
      </c>
      <c r="I129" s="137"/>
      <c r="J129" s="140">
        <f t="shared" si="47"/>
        <v>0.99</v>
      </c>
      <c r="K129" s="93">
        <f t="shared" si="47"/>
        <v>0.99</v>
      </c>
      <c r="L129" s="93">
        <f t="shared" si="47"/>
        <v>0.99</v>
      </c>
      <c r="M129" s="93">
        <f t="shared" si="47"/>
        <v>0.99</v>
      </c>
      <c r="N129" s="93">
        <f t="shared" si="47"/>
        <v>0.99</v>
      </c>
      <c r="O129" s="93">
        <f t="shared" si="47"/>
        <v>0.99</v>
      </c>
      <c r="P129" s="93">
        <f t="shared" si="47"/>
        <v>0.99</v>
      </c>
      <c r="Q129" s="93">
        <f t="shared" si="47"/>
        <v>0.99</v>
      </c>
      <c r="R129" s="93">
        <f t="shared" si="47"/>
        <v>0.99</v>
      </c>
      <c r="S129" s="93">
        <f t="shared" si="47"/>
        <v>0.99</v>
      </c>
      <c r="T129" s="93">
        <f t="shared" si="47"/>
        <v>0.99</v>
      </c>
      <c r="U129" s="93">
        <f t="shared" si="47"/>
        <v>0.99</v>
      </c>
      <c r="V129" s="93">
        <f t="shared" si="47"/>
        <v>0.99</v>
      </c>
      <c r="W129" s="93">
        <f t="shared" si="47"/>
        <v>0.99</v>
      </c>
      <c r="X129" s="93">
        <f t="shared" si="47"/>
        <v>0.99</v>
      </c>
      <c r="Y129" s="93">
        <f t="shared" si="47"/>
        <v>0.99</v>
      </c>
      <c r="Z129" s="93">
        <f t="shared" si="47"/>
        <v>0.99</v>
      </c>
      <c r="AA129" s="93">
        <f t="shared" si="47"/>
        <v>0.99</v>
      </c>
      <c r="AB129" s="93">
        <f t="shared" si="47"/>
        <v>0.99</v>
      </c>
      <c r="AC129" s="93">
        <f t="shared" si="47"/>
        <v>0.99</v>
      </c>
      <c r="AD129" s="93">
        <f t="shared" si="47"/>
        <v>0.99</v>
      </c>
      <c r="AE129" s="93">
        <f t="shared" si="47"/>
        <v>0.99</v>
      </c>
      <c r="AF129" s="93">
        <f t="shared" si="47"/>
        <v>0.99</v>
      </c>
      <c r="AG129" s="93">
        <f t="shared" si="47"/>
        <v>0.99</v>
      </c>
      <c r="AH129" s="93">
        <f t="shared" si="47"/>
        <v>0.99</v>
      </c>
      <c r="AI129" s="93">
        <f t="shared" si="47"/>
        <v>0.99</v>
      </c>
      <c r="AJ129" s="93">
        <f t="shared" si="47"/>
        <v>0.99</v>
      </c>
      <c r="AK129" s="93">
        <f t="shared" si="47"/>
        <v>0.99</v>
      </c>
      <c r="AL129" s="93">
        <f t="shared" si="47"/>
        <v>0.99</v>
      </c>
      <c r="AM129" s="93">
        <f t="shared" si="47"/>
        <v>0.99</v>
      </c>
      <c r="AN129" s="93">
        <f t="shared" si="47"/>
        <v>0.99</v>
      </c>
      <c r="AO129" s="93">
        <f t="shared" si="47"/>
        <v>0.99</v>
      </c>
      <c r="AP129" s="93">
        <f t="shared" si="47"/>
        <v>0.99</v>
      </c>
      <c r="AQ129" s="93">
        <f t="shared" si="47"/>
        <v>0.99</v>
      </c>
      <c r="AR129" s="93">
        <f t="shared" si="47"/>
        <v>0.99</v>
      </c>
      <c r="AS129" s="93">
        <f t="shared" si="47"/>
        <v>0.99</v>
      </c>
      <c r="AT129" s="93">
        <f t="shared" si="47"/>
        <v>0.99</v>
      </c>
      <c r="AU129" s="93">
        <f t="shared" si="47"/>
        <v>0.99</v>
      </c>
      <c r="AV129" s="93">
        <f t="shared" si="47"/>
        <v>0.99</v>
      </c>
    </row>
    <row r="130" spans="1:48">
      <c r="A130" t="s">
        <v>16</v>
      </c>
      <c r="B130" s="233" t="str">
        <f t="shared" si="45"/>
        <v>CNL</v>
      </c>
      <c r="C130" s="233" t="str">
        <f t="shared" si="45"/>
        <v>Commercial - Lighting</v>
      </c>
      <c r="E130" s="130">
        <f t="shared" si="46"/>
        <v>0.01</v>
      </c>
      <c r="I130" s="137"/>
      <c r="J130" s="140">
        <f t="shared" si="47"/>
        <v>0.99</v>
      </c>
      <c r="K130" s="93">
        <f t="shared" si="47"/>
        <v>0.99</v>
      </c>
      <c r="L130" s="93">
        <f t="shared" si="47"/>
        <v>0.99</v>
      </c>
      <c r="M130" s="93">
        <f t="shared" si="47"/>
        <v>0.99</v>
      </c>
      <c r="N130" s="93">
        <f t="shared" si="47"/>
        <v>0.99</v>
      </c>
      <c r="O130" s="93">
        <f t="shared" si="47"/>
        <v>0.99</v>
      </c>
      <c r="P130" s="93">
        <f t="shared" si="47"/>
        <v>0.99</v>
      </c>
      <c r="Q130" s="93">
        <f t="shared" si="47"/>
        <v>0.99</v>
      </c>
      <c r="R130" s="93">
        <f t="shared" si="47"/>
        <v>0.99</v>
      </c>
      <c r="S130" s="93">
        <f t="shared" si="47"/>
        <v>0.99</v>
      </c>
      <c r="T130" s="93">
        <f t="shared" si="47"/>
        <v>0.99</v>
      </c>
      <c r="U130" s="93">
        <f t="shared" si="47"/>
        <v>0.99</v>
      </c>
      <c r="V130" s="93">
        <f t="shared" si="47"/>
        <v>0.99</v>
      </c>
      <c r="W130" s="93">
        <f t="shared" si="47"/>
        <v>0.99</v>
      </c>
      <c r="X130" s="93">
        <f t="shared" si="47"/>
        <v>0.99</v>
      </c>
      <c r="Y130" s="93">
        <f t="shared" si="47"/>
        <v>0.99</v>
      </c>
      <c r="Z130" s="93">
        <f t="shared" si="47"/>
        <v>0.99</v>
      </c>
      <c r="AA130" s="93">
        <f t="shared" si="47"/>
        <v>0.99</v>
      </c>
      <c r="AB130" s="93">
        <f t="shared" si="47"/>
        <v>0.99</v>
      </c>
      <c r="AC130" s="93">
        <f t="shared" si="47"/>
        <v>0.99</v>
      </c>
      <c r="AD130" s="93">
        <f t="shared" si="47"/>
        <v>0.99</v>
      </c>
      <c r="AE130" s="93">
        <f t="shared" si="47"/>
        <v>0.99</v>
      </c>
      <c r="AF130" s="93">
        <f t="shared" si="47"/>
        <v>0.99</v>
      </c>
      <c r="AG130" s="93">
        <f t="shared" si="47"/>
        <v>0.99</v>
      </c>
      <c r="AH130" s="93">
        <f t="shared" si="47"/>
        <v>0.99</v>
      </c>
      <c r="AI130" s="93">
        <f t="shared" si="47"/>
        <v>0.99</v>
      </c>
      <c r="AJ130" s="93">
        <f t="shared" si="47"/>
        <v>0.99</v>
      </c>
      <c r="AK130" s="93">
        <f t="shared" si="47"/>
        <v>0.99</v>
      </c>
      <c r="AL130" s="93">
        <f t="shared" si="47"/>
        <v>0.99</v>
      </c>
      <c r="AM130" s="93">
        <f t="shared" si="47"/>
        <v>0.99</v>
      </c>
      <c r="AN130" s="93">
        <f t="shared" si="47"/>
        <v>0.99</v>
      </c>
      <c r="AO130" s="93">
        <f t="shared" si="47"/>
        <v>0.99</v>
      </c>
      <c r="AP130" s="93">
        <f t="shared" si="47"/>
        <v>0.99</v>
      </c>
      <c r="AQ130" s="93">
        <f t="shared" si="47"/>
        <v>0.99</v>
      </c>
      <c r="AR130" s="93">
        <f t="shared" si="47"/>
        <v>0.99</v>
      </c>
      <c r="AS130" s="93">
        <f t="shared" si="47"/>
        <v>0.99</v>
      </c>
      <c r="AT130" s="93">
        <f t="shared" si="47"/>
        <v>0.99</v>
      </c>
      <c r="AU130" s="93">
        <f t="shared" si="47"/>
        <v>0.99</v>
      </c>
      <c r="AV130" s="93">
        <f t="shared" si="47"/>
        <v>0.99</v>
      </c>
    </row>
    <row r="131" spans="1:48">
      <c r="A131" t="s">
        <v>16</v>
      </c>
      <c r="B131" s="233" t="str">
        <f t="shared" si="45"/>
        <v>CNR</v>
      </c>
      <c r="C131" s="233" t="str">
        <f t="shared" si="45"/>
        <v>Commercial - Refrigeration</v>
      </c>
      <c r="E131" s="130">
        <f t="shared" si="46"/>
        <v>0.01</v>
      </c>
      <c r="H131" s="233"/>
      <c r="I131" s="137"/>
      <c r="J131" s="140">
        <f t="shared" si="47"/>
        <v>0.99</v>
      </c>
      <c r="K131" s="93">
        <f t="shared" si="47"/>
        <v>0.99</v>
      </c>
      <c r="L131" s="93">
        <f t="shared" si="47"/>
        <v>0.99</v>
      </c>
      <c r="M131" s="93">
        <f t="shared" si="47"/>
        <v>0.99</v>
      </c>
      <c r="N131" s="93">
        <f>N120*(1-$E131)</f>
        <v>0.99</v>
      </c>
      <c r="O131" s="93">
        <f t="shared" si="47"/>
        <v>0.99</v>
      </c>
      <c r="P131" s="93">
        <f t="shared" si="47"/>
        <v>0.99</v>
      </c>
      <c r="Q131" s="93">
        <f t="shared" si="47"/>
        <v>0.99</v>
      </c>
      <c r="R131" s="93">
        <f t="shared" si="47"/>
        <v>0.99</v>
      </c>
      <c r="S131" s="93">
        <f t="shared" si="47"/>
        <v>0.99</v>
      </c>
      <c r="T131" s="93">
        <f t="shared" si="47"/>
        <v>0.99</v>
      </c>
      <c r="U131" s="93">
        <f t="shared" si="47"/>
        <v>0.99</v>
      </c>
      <c r="V131" s="93">
        <f t="shared" si="47"/>
        <v>0.99</v>
      </c>
      <c r="W131" s="93">
        <f t="shared" si="47"/>
        <v>0.99</v>
      </c>
      <c r="X131" s="93">
        <f t="shared" si="47"/>
        <v>0.99</v>
      </c>
      <c r="Y131" s="93">
        <f t="shared" si="47"/>
        <v>0.99</v>
      </c>
      <c r="Z131" s="93">
        <f t="shared" si="47"/>
        <v>0.99</v>
      </c>
      <c r="AA131" s="93">
        <f t="shared" si="47"/>
        <v>0.99</v>
      </c>
      <c r="AB131" s="93">
        <f t="shared" si="47"/>
        <v>0.99</v>
      </c>
      <c r="AC131" s="93">
        <f t="shared" si="47"/>
        <v>0.99</v>
      </c>
      <c r="AD131" s="93">
        <f t="shared" si="47"/>
        <v>0.99</v>
      </c>
      <c r="AE131" s="93">
        <f t="shared" si="47"/>
        <v>0.99</v>
      </c>
      <c r="AF131" s="93">
        <f t="shared" si="47"/>
        <v>0.99</v>
      </c>
      <c r="AG131" s="93">
        <f t="shared" si="47"/>
        <v>0.99</v>
      </c>
      <c r="AH131" s="93">
        <f t="shared" si="47"/>
        <v>0.99</v>
      </c>
      <c r="AI131" s="93">
        <f t="shared" si="47"/>
        <v>0.99</v>
      </c>
      <c r="AJ131" s="93">
        <f t="shared" si="47"/>
        <v>0.99</v>
      </c>
      <c r="AK131" s="93">
        <f t="shared" si="47"/>
        <v>0.99</v>
      </c>
      <c r="AL131" s="93">
        <f t="shared" si="47"/>
        <v>0.99</v>
      </c>
      <c r="AM131" s="93">
        <f t="shared" si="47"/>
        <v>0.99</v>
      </c>
      <c r="AN131" s="93">
        <f t="shared" si="47"/>
        <v>0.99</v>
      </c>
      <c r="AO131" s="93">
        <f t="shared" si="47"/>
        <v>0.99</v>
      </c>
      <c r="AP131" s="93">
        <f t="shared" si="47"/>
        <v>0.99</v>
      </c>
      <c r="AQ131" s="93">
        <f t="shared" si="47"/>
        <v>0.99</v>
      </c>
      <c r="AR131" s="93">
        <f t="shared" si="47"/>
        <v>0.99</v>
      </c>
      <c r="AS131" s="93">
        <f t="shared" si="47"/>
        <v>0.99</v>
      </c>
      <c r="AT131" s="93">
        <f t="shared" si="47"/>
        <v>0.99</v>
      </c>
      <c r="AU131" s="93">
        <f t="shared" si="47"/>
        <v>0.99</v>
      </c>
      <c r="AV131" s="93">
        <f t="shared" si="47"/>
        <v>0.99</v>
      </c>
    </row>
    <row r="132" spans="1:48">
      <c r="A132" t="s">
        <v>16</v>
      </c>
      <c r="B132" s="233" t="str">
        <f t="shared" si="45"/>
        <v>CNW</v>
      </c>
      <c r="C132" s="233" t="str">
        <f t="shared" si="45"/>
        <v>Commercial - Water Heating</v>
      </c>
      <c r="E132" s="130">
        <f t="shared" si="46"/>
        <v>0.01</v>
      </c>
      <c r="I132" s="137"/>
      <c r="J132" s="140">
        <f t="shared" si="47"/>
        <v>0.99</v>
      </c>
      <c r="K132" s="93">
        <f t="shared" si="47"/>
        <v>0.99</v>
      </c>
      <c r="L132" s="93">
        <f t="shared" si="47"/>
        <v>0.99</v>
      </c>
      <c r="M132" s="93">
        <f t="shared" si="47"/>
        <v>0.99</v>
      </c>
      <c r="N132" s="93">
        <f t="shared" si="47"/>
        <v>0.99</v>
      </c>
      <c r="O132" s="93">
        <f t="shared" si="47"/>
        <v>0.99</v>
      </c>
      <c r="P132" s="93">
        <f t="shared" si="47"/>
        <v>0.99</v>
      </c>
      <c r="Q132" s="93">
        <f t="shared" si="47"/>
        <v>0.99</v>
      </c>
      <c r="R132" s="93">
        <f t="shared" si="47"/>
        <v>0.99</v>
      </c>
      <c r="S132" s="93">
        <f t="shared" si="47"/>
        <v>0.99</v>
      </c>
      <c r="T132" s="93">
        <f t="shared" si="47"/>
        <v>0.99</v>
      </c>
      <c r="U132" s="93">
        <f t="shared" si="47"/>
        <v>0.99</v>
      </c>
      <c r="V132" s="93">
        <f t="shared" si="47"/>
        <v>0.99</v>
      </c>
      <c r="W132" s="93">
        <f t="shared" si="47"/>
        <v>0.99</v>
      </c>
      <c r="X132" s="93">
        <f t="shared" si="47"/>
        <v>0.99</v>
      </c>
      <c r="Y132" s="93">
        <f t="shared" si="47"/>
        <v>0.99</v>
      </c>
      <c r="Z132" s="93">
        <f t="shared" si="47"/>
        <v>0.99</v>
      </c>
      <c r="AA132" s="93">
        <f t="shared" si="47"/>
        <v>0.99</v>
      </c>
      <c r="AB132" s="93">
        <f t="shared" si="47"/>
        <v>0.99</v>
      </c>
      <c r="AC132" s="93">
        <f t="shared" si="47"/>
        <v>0.99</v>
      </c>
      <c r="AD132" s="93">
        <f t="shared" si="47"/>
        <v>0.99</v>
      </c>
      <c r="AE132" s="93">
        <f t="shared" si="47"/>
        <v>0.99</v>
      </c>
      <c r="AF132" s="93">
        <f t="shared" si="47"/>
        <v>0.99</v>
      </c>
      <c r="AG132" s="93">
        <f t="shared" si="47"/>
        <v>0.99</v>
      </c>
      <c r="AH132" s="93">
        <f t="shared" si="47"/>
        <v>0.99</v>
      </c>
      <c r="AI132" s="93">
        <f t="shared" si="47"/>
        <v>0.99</v>
      </c>
      <c r="AJ132" s="93">
        <f t="shared" si="47"/>
        <v>0.99</v>
      </c>
      <c r="AK132" s="93">
        <f t="shared" si="47"/>
        <v>0.99</v>
      </c>
      <c r="AL132" s="93">
        <f t="shared" si="47"/>
        <v>0.99</v>
      </c>
      <c r="AM132" s="93">
        <f t="shared" si="47"/>
        <v>0.99</v>
      </c>
      <c r="AN132" s="93">
        <f t="shared" si="47"/>
        <v>0.99</v>
      </c>
      <c r="AO132" s="93">
        <f t="shared" si="47"/>
        <v>0.99</v>
      </c>
      <c r="AP132" s="93">
        <f t="shared" si="47"/>
        <v>0.99</v>
      </c>
      <c r="AQ132" s="93">
        <f t="shared" si="47"/>
        <v>0.99</v>
      </c>
      <c r="AR132" s="93">
        <f t="shared" si="47"/>
        <v>0.99</v>
      </c>
      <c r="AS132" s="93">
        <f t="shared" si="47"/>
        <v>0.99</v>
      </c>
      <c r="AT132" s="93">
        <f t="shared" si="47"/>
        <v>0.99</v>
      </c>
      <c r="AU132" s="93">
        <f t="shared" si="47"/>
        <v>0.99</v>
      </c>
      <c r="AV132" s="93">
        <f t="shared" si="47"/>
        <v>0.99</v>
      </c>
    </row>
    <row r="133" spans="1:48">
      <c r="A133" t="s">
        <v>16</v>
      </c>
      <c r="B133" s="233" t="str">
        <f t="shared" si="45"/>
        <v>CNG</v>
      </c>
      <c r="C133" s="233" t="str">
        <f t="shared" si="45"/>
        <v>Commercial - Public lights</v>
      </c>
      <c r="E133" s="130">
        <f t="shared" si="46"/>
        <v>0.01</v>
      </c>
      <c r="I133" s="137"/>
      <c r="J133" s="140">
        <f t="shared" si="47"/>
        <v>0.99</v>
      </c>
      <c r="K133" s="93">
        <f t="shared" si="47"/>
        <v>0.99</v>
      </c>
      <c r="L133" s="93">
        <f t="shared" si="47"/>
        <v>0.99</v>
      </c>
      <c r="M133" s="93">
        <f t="shared" si="47"/>
        <v>0.99</v>
      </c>
      <c r="N133" s="93">
        <f t="shared" si="47"/>
        <v>0.99</v>
      </c>
      <c r="O133" s="93">
        <f t="shared" si="47"/>
        <v>0.99</v>
      </c>
      <c r="P133" s="93">
        <f t="shared" si="47"/>
        <v>0.99</v>
      </c>
      <c r="Q133" s="93">
        <f t="shared" si="47"/>
        <v>0.99</v>
      </c>
      <c r="R133" s="93">
        <f t="shared" si="47"/>
        <v>0.99</v>
      </c>
      <c r="S133" s="93">
        <f t="shared" si="47"/>
        <v>0.99</v>
      </c>
      <c r="T133" s="93">
        <f t="shared" si="47"/>
        <v>0.99</v>
      </c>
      <c r="U133" s="93">
        <f t="shared" si="47"/>
        <v>0.99</v>
      </c>
      <c r="V133" s="93">
        <f t="shared" si="47"/>
        <v>0.99</v>
      </c>
      <c r="W133" s="93">
        <f t="shared" si="47"/>
        <v>0.99</v>
      </c>
      <c r="X133" s="93">
        <f t="shared" si="47"/>
        <v>0.99</v>
      </c>
      <c r="Y133" s="93">
        <f t="shared" si="47"/>
        <v>0.99</v>
      </c>
      <c r="Z133" s="93">
        <f t="shared" si="47"/>
        <v>0.99</v>
      </c>
      <c r="AA133" s="93">
        <f t="shared" si="47"/>
        <v>0.99</v>
      </c>
      <c r="AB133" s="93">
        <f t="shared" si="47"/>
        <v>0.99</v>
      </c>
      <c r="AC133" s="93">
        <f t="shared" si="47"/>
        <v>0.99</v>
      </c>
      <c r="AD133" s="93">
        <f t="shared" si="47"/>
        <v>0.99</v>
      </c>
      <c r="AE133" s="93">
        <f t="shared" si="47"/>
        <v>0.99</v>
      </c>
      <c r="AF133" s="93">
        <f t="shared" ref="AF133:AV135" si="48">AF122*(1-$E133)</f>
        <v>0.99</v>
      </c>
      <c r="AG133" s="93">
        <f t="shared" si="48"/>
        <v>0.99</v>
      </c>
      <c r="AH133" s="93">
        <f t="shared" si="48"/>
        <v>0.99</v>
      </c>
      <c r="AI133" s="93">
        <f t="shared" si="48"/>
        <v>0.99</v>
      </c>
      <c r="AJ133" s="93">
        <f t="shared" si="48"/>
        <v>0.99</v>
      </c>
      <c r="AK133" s="93">
        <f t="shared" si="48"/>
        <v>0.99</v>
      </c>
      <c r="AL133" s="93">
        <f t="shared" si="48"/>
        <v>0.99</v>
      </c>
      <c r="AM133" s="93">
        <f t="shared" si="48"/>
        <v>0.99</v>
      </c>
      <c r="AN133" s="93">
        <f t="shared" si="48"/>
        <v>0.99</v>
      </c>
      <c r="AO133" s="93">
        <f t="shared" si="48"/>
        <v>0.99</v>
      </c>
      <c r="AP133" s="93">
        <f t="shared" si="48"/>
        <v>0.99</v>
      </c>
      <c r="AQ133" s="93">
        <f t="shared" si="48"/>
        <v>0.99</v>
      </c>
      <c r="AR133" s="93">
        <f t="shared" si="48"/>
        <v>0.99</v>
      </c>
      <c r="AS133" s="93">
        <f t="shared" si="48"/>
        <v>0.99</v>
      </c>
      <c r="AT133" s="93">
        <f t="shared" si="48"/>
        <v>0.99</v>
      </c>
      <c r="AU133" s="93">
        <f t="shared" si="48"/>
        <v>0.99</v>
      </c>
      <c r="AV133" s="93">
        <f t="shared" si="48"/>
        <v>0.99</v>
      </c>
    </row>
    <row r="134" spans="1:48">
      <c r="A134" t="s">
        <v>16</v>
      </c>
      <c r="B134" s="233" t="str">
        <f t="shared" si="45"/>
        <v>CNT</v>
      </c>
      <c r="C134" s="233" t="str">
        <f t="shared" si="45"/>
        <v>Commercial - Public Water</v>
      </c>
      <c r="E134" s="130">
        <f t="shared" si="46"/>
        <v>0.01</v>
      </c>
      <c r="I134" s="137"/>
      <c r="J134" s="140">
        <f t="shared" ref="J134:AV135" si="49">J123*(1-$E134)</f>
        <v>0.99</v>
      </c>
      <c r="K134" s="93">
        <f t="shared" si="49"/>
        <v>0.99</v>
      </c>
      <c r="L134" s="93">
        <f t="shared" si="49"/>
        <v>0.99</v>
      </c>
      <c r="M134" s="93">
        <f t="shared" si="49"/>
        <v>0.99</v>
      </c>
      <c r="N134" s="93">
        <f t="shared" si="49"/>
        <v>0.99</v>
      </c>
      <c r="O134" s="93">
        <f t="shared" si="49"/>
        <v>0.99</v>
      </c>
      <c r="P134" s="93">
        <f t="shared" si="49"/>
        <v>0.99</v>
      </c>
      <c r="Q134" s="93">
        <f t="shared" si="49"/>
        <v>0.99</v>
      </c>
      <c r="R134" s="93">
        <f t="shared" si="49"/>
        <v>0.99</v>
      </c>
      <c r="S134" s="93">
        <f t="shared" si="49"/>
        <v>0.99</v>
      </c>
      <c r="T134" s="93">
        <f t="shared" si="49"/>
        <v>0.99</v>
      </c>
      <c r="U134" s="93">
        <f t="shared" si="49"/>
        <v>0.99</v>
      </c>
      <c r="V134" s="93">
        <f t="shared" si="49"/>
        <v>0.99</v>
      </c>
      <c r="W134" s="93">
        <f t="shared" si="49"/>
        <v>0.99</v>
      </c>
      <c r="X134" s="93">
        <f t="shared" si="49"/>
        <v>0.99</v>
      </c>
      <c r="Y134" s="93">
        <f t="shared" si="49"/>
        <v>0.99</v>
      </c>
      <c r="Z134" s="93">
        <f t="shared" si="49"/>
        <v>0.99</v>
      </c>
      <c r="AA134" s="93">
        <f t="shared" si="49"/>
        <v>0.99</v>
      </c>
      <c r="AB134" s="93">
        <f t="shared" si="49"/>
        <v>0.99</v>
      </c>
      <c r="AC134" s="93">
        <f t="shared" si="49"/>
        <v>0.99</v>
      </c>
      <c r="AD134" s="93">
        <f t="shared" si="49"/>
        <v>0.99</v>
      </c>
      <c r="AE134" s="93">
        <f t="shared" si="49"/>
        <v>0.99</v>
      </c>
      <c r="AF134" s="93">
        <f t="shared" si="49"/>
        <v>0.99</v>
      </c>
      <c r="AG134" s="93">
        <f t="shared" si="49"/>
        <v>0.99</v>
      </c>
      <c r="AH134" s="93">
        <f t="shared" si="49"/>
        <v>0.99</v>
      </c>
      <c r="AI134" s="93">
        <f t="shared" si="48"/>
        <v>0.99</v>
      </c>
      <c r="AJ134" s="93">
        <f t="shared" si="48"/>
        <v>0.99</v>
      </c>
      <c r="AK134" s="93">
        <f t="shared" si="48"/>
        <v>0.99</v>
      </c>
      <c r="AL134" s="93">
        <f t="shared" si="48"/>
        <v>0.99</v>
      </c>
      <c r="AM134" s="93">
        <f t="shared" si="48"/>
        <v>0.99</v>
      </c>
      <c r="AN134" s="93">
        <f t="shared" si="48"/>
        <v>0.99</v>
      </c>
      <c r="AO134" s="93">
        <f t="shared" si="48"/>
        <v>0.99</v>
      </c>
      <c r="AP134" s="93">
        <f t="shared" si="48"/>
        <v>0.99</v>
      </c>
      <c r="AQ134" s="93">
        <f t="shared" si="48"/>
        <v>0.99</v>
      </c>
      <c r="AR134" s="93">
        <f t="shared" si="48"/>
        <v>0.99</v>
      </c>
      <c r="AS134" s="93">
        <f t="shared" si="49"/>
        <v>0.99</v>
      </c>
      <c r="AT134" s="93">
        <f t="shared" si="49"/>
        <v>0.99</v>
      </c>
      <c r="AU134" s="93">
        <f t="shared" si="49"/>
        <v>0.99</v>
      </c>
      <c r="AV134" s="93">
        <f t="shared" si="49"/>
        <v>0.99</v>
      </c>
    </row>
    <row r="135" spans="1:48">
      <c r="A135" t="s">
        <v>16</v>
      </c>
      <c r="B135" s="233" t="str">
        <f t="shared" si="45"/>
        <v>CNO</v>
      </c>
      <c r="C135" s="233" t="str">
        <f t="shared" si="45"/>
        <v>Commercial - Other</v>
      </c>
      <c r="E135" s="130">
        <f t="shared" si="46"/>
        <v>0.01</v>
      </c>
      <c r="I135" s="137"/>
      <c r="J135" s="140">
        <f t="shared" si="49"/>
        <v>0.99</v>
      </c>
      <c r="K135" s="93">
        <f t="shared" si="49"/>
        <v>0.99</v>
      </c>
      <c r="L135" s="93">
        <f t="shared" si="49"/>
        <v>0.99</v>
      </c>
      <c r="M135" s="93">
        <f t="shared" si="49"/>
        <v>0.99</v>
      </c>
      <c r="N135" s="93">
        <f t="shared" si="49"/>
        <v>0.99</v>
      </c>
      <c r="O135" s="93">
        <f t="shared" si="49"/>
        <v>0.99</v>
      </c>
      <c r="P135" s="93">
        <f t="shared" si="49"/>
        <v>0.99</v>
      </c>
      <c r="Q135" s="93">
        <f t="shared" si="49"/>
        <v>0.99</v>
      </c>
      <c r="R135" s="93">
        <f t="shared" si="49"/>
        <v>0.99</v>
      </c>
      <c r="S135" s="93">
        <f t="shared" si="49"/>
        <v>0.99</v>
      </c>
      <c r="T135" s="93">
        <f t="shared" si="49"/>
        <v>0.99</v>
      </c>
      <c r="U135" s="93">
        <f t="shared" si="49"/>
        <v>0.99</v>
      </c>
      <c r="V135" s="93">
        <f t="shared" si="49"/>
        <v>0.99</v>
      </c>
      <c r="W135" s="93">
        <f t="shared" si="49"/>
        <v>0.99</v>
      </c>
      <c r="X135" s="93">
        <f t="shared" si="49"/>
        <v>0.99</v>
      </c>
      <c r="Y135" s="93">
        <f t="shared" si="49"/>
        <v>0.99</v>
      </c>
      <c r="Z135" s="93">
        <f t="shared" si="49"/>
        <v>0.99</v>
      </c>
      <c r="AA135" s="93">
        <f t="shared" si="49"/>
        <v>0.99</v>
      </c>
      <c r="AB135" s="93">
        <f t="shared" si="49"/>
        <v>0.99</v>
      </c>
      <c r="AC135" s="93">
        <f t="shared" si="49"/>
        <v>0.99</v>
      </c>
      <c r="AD135" s="93">
        <f t="shared" si="49"/>
        <v>0.99</v>
      </c>
      <c r="AE135" s="93">
        <f t="shared" si="49"/>
        <v>0.99</v>
      </c>
      <c r="AF135" s="93">
        <f t="shared" si="49"/>
        <v>0.99</v>
      </c>
      <c r="AG135" s="93">
        <f t="shared" si="49"/>
        <v>0.99</v>
      </c>
      <c r="AH135" s="93">
        <f t="shared" si="49"/>
        <v>0.99</v>
      </c>
      <c r="AI135" s="93">
        <f t="shared" si="48"/>
        <v>0.99</v>
      </c>
      <c r="AJ135" s="93">
        <f t="shared" si="48"/>
        <v>0.99</v>
      </c>
      <c r="AK135" s="93">
        <f t="shared" si="48"/>
        <v>0.99</v>
      </c>
      <c r="AL135" s="93">
        <f t="shared" si="48"/>
        <v>0.99</v>
      </c>
      <c r="AM135" s="93">
        <f t="shared" si="48"/>
        <v>0.99</v>
      </c>
      <c r="AN135" s="93">
        <f t="shared" si="48"/>
        <v>0.99</v>
      </c>
      <c r="AO135" s="93">
        <f t="shared" si="48"/>
        <v>0.99</v>
      </c>
      <c r="AP135" s="93">
        <f t="shared" si="48"/>
        <v>0.99</v>
      </c>
      <c r="AQ135" s="93">
        <f t="shared" si="48"/>
        <v>0.99</v>
      </c>
      <c r="AR135" s="93">
        <f t="shared" si="48"/>
        <v>0.99</v>
      </c>
      <c r="AS135" s="93">
        <f t="shared" si="49"/>
        <v>0.99</v>
      </c>
      <c r="AT135" s="93">
        <f t="shared" si="49"/>
        <v>0.99</v>
      </c>
      <c r="AU135" s="93">
        <f t="shared" si="49"/>
        <v>0.99</v>
      </c>
      <c r="AV135" s="93">
        <f t="shared" si="49"/>
        <v>0.99</v>
      </c>
    </row>
    <row r="136" spans="1:48">
      <c r="A136" t="s">
        <v>16</v>
      </c>
      <c r="B136" s="233"/>
      <c r="C136" s="233"/>
      <c r="I136" s="137"/>
      <c r="K136" s="75"/>
    </row>
    <row r="137" spans="1:48" ht="15.75" thickBot="1">
      <c r="A137" t="s">
        <v>16</v>
      </c>
      <c r="B137" s="233"/>
      <c r="C137" s="72" t="s">
        <v>260</v>
      </c>
      <c r="I137" s="137"/>
      <c r="K137" s="75"/>
    </row>
    <row r="138" spans="1:48">
      <c r="A138" t="s">
        <v>16</v>
      </c>
      <c r="B138" s="233" t="str">
        <f t="shared" ref="B138:C146" si="50">B127</f>
        <v>CNC</v>
      </c>
      <c r="C138" s="233" t="str">
        <f t="shared" si="50"/>
        <v>Commercial - Cooling</v>
      </c>
      <c r="E138" s="130">
        <f t="shared" ref="E138:E146" si="51">E127+$AX$106</f>
        <v>0.02</v>
      </c>
      <c r="I138" s="137"/>
      <c r="J138" s="140">
        <f t="shared" ref="J138:AV144" si="52">J127*(1-$E138)</f>
        <v>0.97019999999999995</v>
      </c>
      <c r="K138" s="93">
        <f t="shared" si="52"/>
        <v>0.97019999999999995</v>
      </c>
      <c r="L138" s="93">
        <f t="shared" si="52"/>
        <v>0.97019999999999995</v>
      </c>
      <c r="M138" s="93">
        <f t="shared" si="52"/>
        <v>0.97019999999999995</v>
      </c>
      <c r="N138" s="93">
        <f t="shared" si="52"/>
        <v>0.97019999999999995</v>
      </c>
      <c r="O138" s="93">
        <f t="shared" si="52"/>
        <v>0.97019999999999995</v>
      </c>
      <c r="P138" s="93">
        <f t="shared" si="52"/>
        <v>0.97019999999999995</v>
      </c>
      <c r="Q138" s="93">
        <f t="shared" si="52"/>
        <v>0.97019999999999995</v>
      </c>
      <c r="R138" s="93">
        <f t="shared" si="52"/>
        <v>0.97019999999999995</v>
      </c>
      <c r="S138" s="93">
        <f t="shared" si="52"/>
        <v>0.97019999999999995</v>
      </c>
      <c r="T138" s="93">
        <f t="shared" si="52"/>
        <v>0.97019999999999995</v>
      </c>
      <c r="U138" s="93">
        <f t="shared" si="52"/>
        <v>0.97019999999999995</v>
      </c>
      <c r="V138" s="93">
        <f t="shared" si="52"/>
        <v>0.97019999999999995</v>
      </c>
      <c r="W138" s="93">
        <f t="shared" si="52"/>
        <v>0.97019999999999995</v>
      </c>
      <c r="X138" s="93">
        <f t="shared" si="52"/>
        <v>0.97019999999999995</v>
      </c>
      <c r="Y138" s="93">
        <f t="shared" si="52"/>
        <v>0.97019999999999995</v>
      </c>
      <c r="Z138" s="93">
        <f t="shared" si="52"/>
        <v>0.97019999999999995</v>
      </c>
      <c r="AA138" s="93">
        <f t="shared" si="52"/>
        <v>0.97019999999999995</v>
      </c>
      <c r="AB138" s="93">
        <f t="shared" si="52"/>
        <v>0.97019999999999995</v>
      </c>
      <c r="AC138" s="93">
        <f t="shared" si="52"/>
        <v>0.97019999999999995</v>
      </c>
      <c r="AD138" s="93">
        <f t="shared" si="52"/>
        <v>0.97019999999999995</v>
      </c>
      <c r="AE138" s="93">
        <f t="shared" si="52"/>
        <v>0.97019999999999995</v>
      </c>
      <c r="AF138" s="93">
        <f t="shared" si="52"/>
        <v>0.97019999999999995</v>
      </c>
      <c r="AG138" s="93">
        <f t="shared" si="52"/>
        <v>0.97019999999999995</v>
      </c>
      <c r="AH138" s="93">
        <f t="shared" si="52"/>
        <v>0.97019999999999995</v>
      </c>
      <c r="AI138" s="93">
        <f t="shared" si="52"/>
        <v>0.97019999999999995</v>
      </c>
      <c r="AJ138" s="93">
        <f t="shared" si="52"/>
        <v>0.97019999999999995</v>
      </c>
      <c r="AK138" s="93">
        <f t="shared" si="52"/>
        <v>0.97019999999999995</v>
      </c>
      <c r="AL138" s="93">
        <f t="shared" si="52"/>
        <v>0.97019999999999995</v>
      </c>
      <c r="AM138" s="93">
        <f t="shared" si="52"/>
        <v>0.97019999999999995</v>
      </c>
      <c r="AN138" s="93">
        <f t="shared" si="52"/>
        <v>0.97019999999999995</v>
      </c>
      <c r="AO138" s="93">
        <f t="shared" si="52"/>
        <v>0.97019999999999995</v>
      </c>
      <c r="AP138" s="93">
        <f t="shared" si="52"/>
        <v>0.97019999999999995</v>
      </c>
      <c r="AQ138" s="93">
        <f t="shared" si="52"/>
        <v>0.97019999999999995</v>
      </c>
      <c r="AR138" s="93">
        <f t="shared" si="52"/>
        <v>0.97019999999999995</v>
      </c>
      <c r="AS138" s="93">
        <f t="shared" si="52"/>
        <v>0.97019999999999995</v>
      </c>
      <c r="AT138" s="93">
        <f t="shared" si="52"/>
        <v>0.97019999999999995</v>
      </c>
      <c r="AU138" s="93">
        <f t="shared" si="52"/>
        <v>0.97019999999999995</v>
      </c>
      <c r="AV138" s="93">
        <f t="shared" si="52"/>
        <v>0.97019999999999995</v>
      </c>
    </row>
    <row r="139" spans="1:48">
      <c r="A139" t="s">
        <v>16</v>
      </c>
      <c r="B139" s="233" t="str">
        <f t="shared" si="50"/>
        <v>CNH</v>
      </c>
      <c r="C139" s="233" t="str">
        <f t="shared" si="50"/>
        <v>Commercial - Space Heating</v>
      </c>
      <c r="E139" s="130">
        <f t="shared" si="51"/>
        <v>0.02</v>
      </c>
      <c r="I139" s="137"/>
      <c r="J139" s="140">
        <f t="shared" si="52"/>
        <v>0.97019999999999995</v>
      </c>
      <c r="K139" s="93">
        <f t="shared" si="52"/>
        <v>0.97019999999999995</v>
      </c>
      <c r="L139" s="93">
        <f t="shared" si="52"/>
        <v>0.97019999999999995</v>
      </c>
      <c r="M139" s="93">
        <f t="shared" si="52"/>
        <v>0.97019999999999995</v>
      </c>
      <c r="N139" s="93">
        <f t="shared" si="52"/>
        <v>0.97019999999999995</v>
      </c>
      <c r="O139" s="93">
        <f t="shared" si="52"/>
        <v>0.97019999999999995</v>
      </c>
      <c r="P139" s="93">
        <f t="shared" si="52"/>
        <v>0.97019999999999995</v>
      </c>
      <c r="Q139" s="93">
        <f t="shared" si="52"/>
        <v>0.97019999999999995</v>
      </c>
      <c r="R139" s="93">
        <f t="shared" si="52"/>
        <v>0.97019999999999995</v>
      </c>
      <c r="S139" s="93">
        <f t="shared" si="52"/>
        <v>0.97019999999999995</v>
      </c>
      <c r="T139" s="93">
        <f t="shared" si="52"/>
        <v>0.97019999999999995</v>
      </c>
      <c r="U139" s="93">
        <f t="shared" si="52"/>
        <v>0.97019999999999995</v>
      </c>
      <c r="V139" s="93">
        <f t="shared" si="52"/>
        <v>0.97019999999999995</v>
      </c>
      <c r="W139" s="93">
        <f t="shared" si="52"/>
        <v>0.97019999999999995</v>
      </c>
      <c r="X139" s="93">
        <f t="shared" si="52"/>
        <v>0.97019999999999995</v>
      </c>
      <c r="Y139" s="93">
        <f t="shared" si="52"/>
        <v>0.97019999999999995</v>
      </c>
      <c r="Z139" s="93">
        <f t="shared" si="52"/>
        <v>0.97019999999999995</v>
      </c>
      <c r="AA139" s="93">
        <f t="shared" si="52"/>
        <v>0.97019999999999995</v>
      </c>
      <c r="AB139" s="93">
        <f t="shared" si="52"/>
        <v>0.97019999999999995</v>
      </c>
      <c r="AC139" s="93">
        <f t="shared" si="52"/>
        <v>0.97019999999999995</v>
      </c>
      <c r="AD139" s="93">
        <f t="shared" si="52"/>
        <v>0.97019999999999995</v>
      </c>
      <c r="AE139" s="93">
        <f t="shared" si="52"/>
        <v>0.97019999999999995</v>
      </c>
      <c r="AF139" s="93">
        <f t="shared" si="52"/>
        <v>0.97019999999999995</v>
      </c>
      <c r="AG139" s="93">
        <f t="shared" si="52"/>
        <v>0.97019999999999995</v>
      </c>
      <c r="AH139" s="93">
        <f t="shared" si="52"/>
        <v>0.97019999999999995</v>
      </c>
      <c r="AI139" s="93">
        <f t="shared" si="52"/>
        <v>0.97019999999999995</v>
      </c>
      <c r="AJ139" s="93">
        <f t="shared" si="52"/>
        <v>0.97019999999999995</v>
      </c>
      <c r="AK139" s="93">
        <f t="shared" si="52"/>
        <v>0.97019999999999995</v>
      </c>
      <c r="AL139" s="93">
        <f t="shared" si="52"/>
        <v>0.97019999999999995</v>
      </c>
      <c r="AM139" s="93">
        <f t="shared" si="52"/>
        <v>0.97019999999999995</v>
      </c>
      <c r="AN139" s="93">
        <f t="shared" si="52"/>
        <v>0.97019999999999995</v>
      </c>
      <c r="AO139" s="93">
        <f t="shared" si="52"/>
        <v>0.97019999999999995</v>
      </c>
      <c r="AP139" s="93">
        <f t="shared" si="52"/>
        <v>0.97019999999999995</v>
      </c>
      <c r="AQ139" s="93">
        <f t="shared" si="52"/>
        <v>0.97019999999999995</v>
      </c>
      <c r="AR139" s="93">
        <f t="shared" si="52"/>
        <v>0.97019999999999995</v>
      </c>
      <c r="AS139" s="93">
        <f t="shared" si="52"/>
        <v>0.97019999999999995</v>
      </c>
      <c r="AT139" s="93">
        <f t="shared" si="52"/>
        <v>0.97019999999999995</v>
      </c>
      <c r="AU139" s="93">
        <f t="shared" si="52"/>
        <v>0.97019999999999995</v>
      </c>
      <c r="AV139" s="93">
        <f t="shared" si="52"/>
        <v>0.97019999999999995</v>
      </c>
    </row>
    <row r="140" spans="1:48">
      <c r="A140" t="s">
        <v>16</v>
      </c>
      <c r="B140" s="233" t="str">
        <f t="shared" si="50"/>
        <v>CNK</v>
      </c>
      <c r="C140" s="233" t="str">
        <f t="shared" si="50"/>
        <v>Commercial - Cooking</v>
      </c>
      <c r="E140" s="130">
        <f t="shared" si="51"/>
        <v>0.02</v>
      </c>
      <c r="I140" s="137"/>
      <c r="J140" s="140">
        <f t="shared" si="52"/>
        <v>0.97019999999999995</v>
      </c>
      <c r="K140" s="93">
        <f t="shared" si="52"/>
        <v>0.97019999999999995</v>
      </c>
      <c r="L140" s="93">
        <f t="shared" si="52"/>
        <v>0.97019999999999995</v>
      </c>
      <c r="M140" s="93">
        <f t="shared" si="52"/>
        <v>0.97019999999999995</v>
      </c>
      <c r="N140" s="93">
        <f t="shared" si="52"/>
        <v>0.97019999999999995</v>
      </c>
      <c r="O140" s="93">
        <f t="shared" si="52"/>
        <v>0.97019999999999995</v>
      </c>
      <c r="P140" s="93">
        <f t="shared" si="52"/>
        <v>0.97019999999999995</v>
      </c>
      <c r="Q140" s="93">
        <f t="shared" si="52"/>
        <v>0.97019999999999995</v>
      </c>
      <c r="R140" s="93">
        <f t="shared" si="52"/>
        <v>0.97019999999999995</v>
      </c>
      <c r="S140" s="93">
        <f t="shared" si="52"/>
        <v>0.97019999999999995</v>
      </c>
      <c r="T140" s="93">
        <f t="shared" si="52"/>
        <v>0.97019999999999995</v>
      </c>
      <c r="U140" s="93">
        <f t="shared" si="52"/>
        <v>0.97019999999999995</v>
      </c>
      <c r="V140" s="93">
        <f t="shared" si="52"/>
        <v>0.97019999999999995</v>
      </c>
      <c r="W140" s="93">
        <f t="shared" si="52"/>
        <v>0.97019999999999995</v>
      </c>
      <c r="X140" s="93">
        <f t="shared" si="52"/>
        <v>0.97019999999999995</v>
      </c>
      <c r="Y140" s="93">
        <f t="shared" si="52"/>
        <v>0.97019999999999995</v>
      </c>
      <c r="Z140" s="93">
        <f t="shared" si="52"/>
        <v>0.97019999999999995</v>
      </c>
      <c r="AA140" s="93">
        <f t="shared" si="52"/>
        <v>0.97019999999999995</v>
      </c>
      <c r="AB140" s="93">
        <f t="shared" si="52"/>
        <v>0.97019999999999995</v>
      </c>
      <c r="AC140" s="93">
        <f t="shared" si="52"/>
        <v>0.97019999999999995</v>
      </c>
      <c r="AD140" s="93">
        <f t="shared" si="52"/>
        <v>0.97019999999999995</v>
      </c>
      <c r="AE140" s="93">
        <f t="shared" si="52"/>
        <v>0.97019999999999995</v>
      </c>
      <c r="AF140" s="93">
        <f t="shared" si="52"/>
        <v>0.97019999999999995</v>
      </c>
      <c r="AG140" s="93">
        <f t="shared" si="52"/>
        <v>0.97019999999999995</v>
      </c>
      <c r="AH140" s="93">
        <f t="shared" si="52"/>
        <v>0.97019999999999995</v>
      </c>
      <c r="AI140" s="93">
        <f t="shared" si="52"/>
        <v>0.97019999999999995</v>
      </c>
      <c r="AJ140" s="93">
        <f t="shared" si="52"/>
        <v>0.97019999999999995</v>
      </c>
      <c r="AK140" s="93">
        <f t="shared" si="52"/>
        <v>0.97019999999999995</v>
      </c>
      <c r="AL140" s="93">
        <f t="shared" si="52"/>
        <v>0.97019999999999995</v>
      </c>
      <c r="AM140" s="93">
        <f t="shared" si="52"/>
        <v>0.97019999999999995</v>
      </c>
      <c r="AN140" s="93">
        <f t="shared" si="52"/>
        <v>0.97019999999999995</v>
      </c>
      <c r="AO140" s="93">
        <f t="shared" si="52"/>
        <v>0.97019999999999995</v>
      </c>
      <c r="AP140" s="93">
        <f t="shared" si="52"/>
        <v>0.97019999999999995</v>
      </c>
      <c r="AQ140" s="93">
        <f t="shared" si="52"/>
        <v>0.97019999999999995</v>
      </c>
      <c r="AR140" s="93">
        <f t="shared" si="52"/>
        <v>0.97019999999999995</v>
      </c>
      <c r="AS140" s="93">
        <f t="shared" si="52"/>
        <v>0.97019999999999995</v>
      </c>
      <c r="AT140" s="93">
        <f t="shared" si="52"/>
        <v>0.97019999999999995</v>
      </c>
      <c r="AU140" s="93">
        <f t="shared" si="52"/>
        <v>0.97019999999999995</v>
      </c>
      <c r="AV140" s="93">
        <f t="shared" si="52"/>
        <v>0.97019999999999995</v>
      </c>
    </row>
    <row r="141" spans="1:48">
      <c r="A141" t="s">
        <v>16</v>
      </c>
      <c r="B141" s="233" t="str">
        <f t="shared" si="50"/>
        <v>CNL</v>
      </c>
      <c r="C141" s="233" t="str">
        <f t="shared" si="50"/>
        <v>Commercial - Lighting</v>
      </c>
      <c r="E141" s="130">
        <f t="shared" si="51"/>
        <v>0.02</v>
      </c>
      <c r="I141" s="137"/>
      <c r="J141" s="140">
        <f t="shared" si="52"/>
        <v>0.97019999999999995</v>
      </c>
      <c r="K141" s="93">
        <f t="shared" si="52"/>
        <v>0.97019999999999995</v>
      </c>
      <c r="L141" s="93">
        <f t="shared" si="52"/>
        <v>0.97019999999999995</v>
      </c>
      <c r="M141" s="93">
        <f t="shared" si="52"/>
        <v>0.97019999999999995</v>
      </c>
      <c r="N141" s="93">
        <f t="shared" si="52"/>
        <v>0.97019999999999995</v>
      </c>
      <c r="O141" s="93">
        <f t="shared" si="52"/>
        <v>0.97019999999999995</v>
      </c>
      <c r="P141" s="93">
        <f t="shared" si="52"/>
        <v>0.97019999999999995</v>
      </c>
      <c r="Q141" s="93">
        <f t="shared" si="52"/>
        <v>0.97019999999999995</v>
      </c>
      <c r="R141" s="93">
        <f t="shared" si="52"/>
        <v>0.97019999999999995</v>
      </c>
      <c r="S141" s="93">
        <f t="shared" si="52"/>
        <v>0.97019999999999995</v>
      </c>
      <c r="T141" s="93">
        <f t="shared" si="52"/>
        <v>0.97019999999999995</v>
      </c>
      <c r="U141" s="93">
        <f t="shared" si="52"/>
        <v>0.97019999999999995</v>
      </c>
      <c r="V141" s="93">
        <f t="shared" si="52"/>
        <v>0.97019999999999995</v>
      </c>
      <c r="W141" s="93">
        <f t="shared" si="52"/>
        <v>0.97019999999999995</v>
      </c>
      <c r="X141" s="93">
        <f t="shared" si="52"/>
        <v>0.97019999999999995</v>
      </c>
      <c r="Y141" s="93">
        <f t="shared" si="52"/>
        <v>0.97019999999999995</v>
      </c>
      <c r="Z141" s="93">
        <f t="shared" si="52"/>
        <v>0.97019999999999995</v>
      </c>
      <c r="AA141" s="93">
        <f t="shared" si="52"/>
        <v>0.97019999999999995</v>
      </c>
      <c r="AB141" s="93">
        <f t="shared" si="52"/>
        <v>0.97019999999999995</v>
      </c>
      <c r="AC141" s="93">
        <f t="shared" si="52"/>
        <v>0.97019999999999995</v>
      </c>
      <c r="AD141" s="93">
        <f t="shared" si="52"/>
        <v>0.97019999999999995</v>
      </c>
      <c r="AE141" s="93">
        <f t="shared" si="52"/>
        <v>0.97019999999999995</v>
      </c>
      <c r="AF141" s="93">
        <f t="shared" si="52"/>
        <v>0.97019999999999995</v>
      </c>
      <c r="AG141" s="93">
        <f t="shared" si="52"/>
        <v>0.97019999999999995</v>
      </c>
      <c r="AH141" s="93">
        <f t="shared" si="52"/>
        <v>0.97019999999999995</v>
      </c>
      <c r="AI141" s="93">
        <f t="shared" si="52"/>
        <v>0.97019999999999995</v>
      </c>
      <c r="AJ141" s="93">
        <f t="shared" si="52"/>
        <v>0.97019999999999995</v>
      </c>
      <c r="AK141" s="93">
        <f t="shared" si="52"/>
        <v>0.97019999999999995</v>
      </c>
      <c r="AL141" s="93">
        <f t="shared" si="52"/>
        <v>0.97019999999999995</v>
      </c>
      <c r="AM141" s="93">
        <f t="shared" si="52"/>
        <v>0.97019999999999995</v>
      </c>
      <c r="AN141" s="93">
        <f t="shared" si="52"/>
        <v>0.97019999999999995</v>
      </c>
      <c r="AO141" s="93">
        <f t="shared" si="52"/>
        <v>0.97019999999999995</v>
      </c>
      <c r="AP141" s="93">
        <f t="shared" si="52"/>
        <v>0.97019999999999995</v>
      </c>
      <c r="AQ141" s="93">
        <f t="shared" si="52"/>
        <v>0.97019999999999995</v>
      </c>
      <c r="AR141" s="93">
        <f t="shared" si="52"/>
        <v>0.97019999999999995</v>
      </c>
      <c r="AS141" s="93">
        <f t="shared" si="52"/>
        <v>0.97019999999999995</v>
      </c>
      <c r="AT141" s="93">
        <f t="shared" si="52"/>
        <v>0.97019999999999995</v>
      </c>
      <c r="AU141" s="93">
        <f t="shared" si="52"/>
        <v>0.97019999999999995</v>
      </c>
      <c r="AV141" s="93">
        <f t="shared" si="52"/>
        <v>0.97019999999999995</v>
      </c>
    </row>
    <row r="142" spans="1:48">
      <c r="A142" t="s">
        <v>16</v>
      </c>
      <c r="B142" s="233" t="str">
        <f t="shared" si="50"/>
        <v>CNR</v>
      </c>
      <c r="C142" s="233" t="str">
        <f t="shared" si="50"/>
        <v>Commercial - Refrigeration</v>
      </c>
      <c r="E142" s="130">
        <f t="shared" si="51"/>
        <v>0.02</v>
      </c>
      <c r="I142" s="137"/>
      <c r="J142" s="140">
        <f t="shared" si="52"/>
        <v>0.97019999999999995</v>
      </c>
      <c r="K142" s="93">
        <f t="shared" si="52"/>
        <v>0.97019999999999995</v>
      </c>
      <c r="L142" s="93">
        <f t="shared" si="52"/>
        <v>0.97019999999999995</v>
      </c>
      <c r="M142" s="93">
        <f t="shared" si="52"/>
        <v>0.97019999999999995</v>
      </c>
      <c r="N142" s="93">
        <f t="shared" si="52"/>
        <v>0.97019999999999995</v>
      </c>
      <c r="O142" s="93">
        <f t="shared" si="52"/>
        <v>0.97019999999999995</v>
      </c>
      <c r="P142" s="93">
        <f t="shared" si="52"/>
        <v>0.97019999999999995</v>
      </c>
      <c r="Q142" s="93">
        <f t="shared" si="52"/>
        <v>0.97019999999999995</v>
      </c>
      <c r="R142" s="93">
        <f t="shared" si="52"/>
        <v>0.97019999999999995</v>
      </c>
      <c r="S142" s="93">
        <f t="shared" si="52"/>
        <v>0.97019999999999995</v>
      </c>
      <c r="T142" s="93">
        <f t="shared" si="52"/>
        <v>0.97019999999999995</v>
      </c>
      <c r="U142" s="93">
        <f t="shared" si="52"/>
        <v>0.97019999999999995</v>
      </c>
      <c r="V142" s="93">
        <f t="shared" si="52"/>
        <v>0.97019999999999995</v>
      </c>
      <c r="W142" s="93">
        <f t="shared" si="52"/>
        <v>0.97019999999999995</v>
      </c>
      <c r="X142" s="93">
        <f t="shared" si="52"/>
        <v>0.97019999999999995</v>
      </c>
      <c r="Y142" s="93">
        <f t="shared" si="52"/>
        <v>0.97019999999999995</v>
      </c>
      <c r="Z142" s="93">
        <f t="shared" si="52"/>
        <v>0.97019999999999995</v>
      </c>
      <c r="AA142" s="93">
        <f t="shared" si="52"/>
        <v>0.97019999999999995</v>
      </c>
      <c r="AB142" s="93">
        <f t="shared" si="52"/>
        <v>0.97019999999999995</v>
      </c>
      <c r="AC142" s="93">
        <f t="shared" si="52"/>
        <v>0.97019999999999995</v>
      </c>
      <c r="AD142" s="93">
        <f t="shared" si="52"/>
        <v>0.97019999999999995</v>
      </c>
      <c r="AE142" s="93">
        <f t="shared" si="52"/>
        <v>0.97019999999999995</v>
      </c>
      <c r="AF142" s="93">
        <f t="shared" si="52"/>
        <v>0.97019999999999995</v>
      </c>
      <c r="AG142" s="93">
        <f t="shared" si="52"/>
        <v>0.97019999999999995</v>
      </c>
      <c r="AH142" s="93">
        <f t="shared" si="52"/>
        <v>0.97019999999999995</v>
      </c>
      <c r="AI142" s="93">
        <f t="shared" si="52"/>
        <v>0.97019999999999995</v>
      </c>
      <c r="AJ142" s="93">
        <f t="shared" si="52"/>
        <v>0.97019999999999995</v>
      </c>
      <c r="AK142" s="93">
        <f t="shared" si="52"/>
        <v>0.97019999999999995</v>
      </c>
      <c r="AL142" s="93">
        <f t="shared" si="52"/>
        <v>0.97019999999999995</v>
      </c>
      <c r="AM142" s="93">
        <f t="shared" si="52"/>
        <v>0.97019999999999995</v>
      </c>
      <c r="AN142" s="93">
        <f t="shared" si="52"/>
        <v>0.97019999999999995</v>
      </c>
      <c r="AO142" s="93">
        <f t="shared" si="52"/>
        <v>0.97019999999999995</v>
      </c>
      <c r="AP142" s="93">
        <f t="shared" si="52"/>
        <v>0.97019999999999995</v>
      </c>
      <c r="AQ142" s="93">
        <f t="shared" si="52"/>
        <v>0.97019999999999995</v>
      </c>
      <c r="AR142" s="93">
        <f t="shared" si="52"/>
        <v>0.97019999999999995</v>
      </c>
      <c r="AS142" s="93">
        <f t="shared" si="52"/>
        <v>0.97019999999999995</v>
      </c>
      <c r="AT142" s="93">
        <f t="shared" si="52"/>
        <v>0.97019999999999995</v>
      </c>
      <c r="AU142" s="93">
        <f t="shared" si="52"/>
        <v>0.97019999999999995</v>
      </c>
      <c r="AV142" s="93">
        <f t="shared" si="52"/>
        <v>0.97019999999999995</v>
      </c>
    </row>
    <row r="143" spans="1:48">
      <c r="A143" t="s">
        <v>16</v>
      </c>
      <c r="B143" s="233" t="str">
        <f t="shared" si="50"/>
        <v>CNW</v>
      </c>
      <c r="C143" s="233" t="str">
        <f t="shared" si="50"/>
        <v>Commercial - Water Heating</v>
      </c>
      <c r="E143" s="130">
        <f t="shared" si="51"/>
        <v>0.02</v>
      </c>
      <c r="I143" s="137"/>
      <c r="J143" s="140">
        <f t="shared" si="52"/>
        <v>0.97019999999999995</v>
      </c>
      <c r="K143" s="93">
        <f t="shared" si="52"/>
        <v>0.97019999999999995</v>
      </c>
      <c r="L143" s="93">
        <f t="shared" si="52"/>
        <v>0.97019999999999995</v>
      </c>
      <c r="M143" s="93">
        <f t="shared" si="52"/>
        <v>0.97019999999999995</v>
      </c>
      <c r="N143" s="93">
        <f t="shared" si="52"/>
        <v>0.97019999999999995</v>
      </c>
      <c r="O143" s="93">
        <f t="shared" si="52"/>
        <v>0.97019999999999995</v>
      </c>
      <c r="P143" s="93">
        <f t="shared" si="52"/>
        <v>0.97019999999999995</v>
      </c>
      <c r="Q143" s="93">
        <f t="shared" si="52"/>
        <v>0.97019999999999995</v>
      </c>
      <c r="R143" s="93">
        <f t="shared" si="52"/>
        <v>0.97019999999999995</v>
      </c>
      <c r="S143" s="93">
        <f t="shared" si="52"/>
        <v>0.97019999999999995</v>
      </c>
      <c r="T143" s="93">
        <f t="shared" si="52"/>
        <v>0.97019999999999995</v>
      </c>
      <c r="U143" s="93">
        <f t="shared" si="52"/>
        <v>0.97019999999999995</v>
      </c>
      <c r="V143" s="93">
        <f t="shared" si="52"/>
        <v>0.97019999999999995</v>
      </c>
      <c r="W143" s="93">
        <f t="shared" si="52"/>
        <v>0.97019999999999995</v>
      </c>
      <c r="X143" s="93">
        <f t="shared" si="52"/>
        <v>0.97019999999999995</v>
      </c>
      <c r="Y143" s="93">
        <f t="shared" si="52"/>
        <v>0.97019999999999995</v>
      </c>
      <c r="Z143" s="93">
        <f t="shared" si="52"/>
        <v>0.97019999999999995</v>
      </c>
      <c r="AA143" s="93">
        <f t="shared" si="52"/>
        <v>0.97019999999999995</v>
      </c>
      <c r="AB143" s="93">
        <f t="shared" si="52"/>
        <v>0.97019999999999995</v>
      </c>
      <c r="AC143" s="93">
        <f t="shared" si="52"/>
        <v>0.97019999999999995</v>
      </c>
      <c r="AD143" s="93">
        <f t="shared" si="52"/>
        <v>0.97019999999999995</v>
      </c>
      <c r="AE143" s="93">
        <f t="shared" si="52"/>
        <v>0.97019999999999995</v>
      </c>
      <c r="AF143" s="93">
        <f t="shared" si="52"/>
        <v>0.97019999999999995</v>
      </c>
      <c r="AG143" s="93">
        <f t="shared" si="52"/>
        <v>0.97019999999999995</v>
      </c>
      <c r="AH143" s="93">
        <f t="shared" si="52"/>
        <v>0.97019999999999995</v>
      </c>
      <c r="AI143" s="93">
        <f t="shared" si="52"/>
        <v>0.97019999999999995</v>
      </c>
      <c r="AJ143" s="93">
        <f t="shared" si="52"/>
        <v>0.97019999999999995</v>
      </c>
      <c r="AK143" s="93">
        <f t="shared" si="52"/>
        <v>0.97019999999999995</v>
      </c>
      <c r="AL143" s="93">
        <f t="shared" si="52"/>
        <v>0.97019999999999995</v>
      </c>
      <c r="AM143" s="93">
        <f t="shared" si="52"/>
        <v>0.97019999999999995</v>
      </c>
      <c r="AN143" s="93">
        <f t="shared" si="52"/>
        <v>0.97019999999999995</v>
      </c>
      <c r="AO143" s="93">
        <f t="shared" si="52"/>
        <v>0.97019999999999995</v>
      </c>
      <c r="AP143" s="93">
        <f t="shared" si="52"/>
        <v>0.97019999999999995</v>
      </c>
      <c r="AQ143" s="93">
        <f t="shared" si="52"/>
        <v>0.97019999999999995</v>
      </c>
      <c r="AR143" s="93">
        <f t="shared" si="52"/>
        <v>0.97019999999999995</v>
      </c>
      <c r="AS143" s="93">
        <f t="shared" si="52"/>
        <v>0.97019999999999995</v>
      </c>
      <c r="AT143" s="93">
        <f t="shared" si="52"/>
        <v>0.97019999999999995</v>
      </c>
      <c r="AU143" s="93">
        <f t="shared" si="52"/>
        <v>0.97019999999999995</v>
      </c>
      <c r="AV143" s="93">
        <f t="shared" si="52"/>
        <v>0.97019999999999995</v>
      </c>
    </row>
    <row r="144" spans="1:48">
      <c r="A144" t="s">
        <v>16</v>
      </c>
      <c r="B144" s="233" t="str">
        <f t="shared" si="50"/>
        <v>CNG</v>
      </c>
      <c r="C144" s="233" t="str">
        <f t="shared" si="50"/>
        <v>Commercial - Public lights</v>
      </c>
      <c r="E144" s="130">
        <f t="shared" si="51"/>
        <v>0.02</v>
      </c>
      <c r="I144" s="137"/>
      <c r="J144" s="140">
        <f t="shared" si="52"/>
        <v>0.97019999999999995</v>
      </c>
      <c r="K144" s="93">
        <f t="shared" si="52"/>
        <v>0.97019999999999995</v>
      </c>
      <c r="L144" s="93">
        <f t="shared" si="52"/>
        <v>0.97019999999999995</v>
      </c>
      <c r="M144" s="93">
        <f t="shared" si="52"/>
        <v>0.97019999999999995</v>
      </c>
      <c r="N144" s="93">
        <f t="shared" si="52"/>
        <v>0.97019999999999995</v>
      </c>
      <c r="O144" s="93">
        <f t="shared" si="52"/>
        <v>0.97019999999999995</v>
      </c>
      <c r="P144" s="93">
        <f t="shared" si="52"/>
        <v>0.97019999999999995</v>
      </c>
      <c r="Q144" s="93">
        <f t="shared" si="52"/>
        <v>0.97019999999999995</v>
      </c>
      <c r="R144" s="93">
        <f t="shared" si="52"/>
        <v>0.97019999999999995</v>
      </c>
      <c r="S144" s="93">
        <f t="shared" si="52"/>
        <v>0.97019999999999995</v>
      </c>
      <c r="T144" s="93">
        <f t="shared" si="52"/>
        <v>0.97019999999999995</v>
      </c>
      <c r="U144" s="93">
        <f t="shared" si="52"/>
        <v>0.97019999999999995</v>
      </c>
      <c r="V144" s="93">
        <f t="shared" si="52"/>
        <v>0.97019999999999995</v>
      </c>
      <c r="W144" s="93">
        <f t="shared" si="52"/>
        <v>0.97019999999999995</v>
      </c>
      <c r="X144" s="93">
        <f t="shared" si="52"/>
        <v>0.97019999999999995</v>
      </c>
      <c r="Y144" s="93">
        <f t="shared" si="52"/>
        <v>0.97019999999999995</v>
      </c>
      <c r="Z144" s="93">
        <f t="shared" si="52"/>
        <v>0.97019999999999995</v>
      </c>
      <c r="AA144" s="93">
        <f t="shared" si="52"/>
        <v>0.97019999999999995</v>
      </c>
      <c r="AB144" s="93">
        <f t="shared" si="52"/>
        <v>0.97019999999999995</v>
      </c>
      <c r="AC144" s="93">
        <f t="shared" si="52"/>
        <v>0.97019999999999995</v>
      </c>
      <c r="AD144" s="93">
        <f t="shared" si="52"/>
        <v>0.97019999999999995</v>
      </c>
      <c r="AE144" s="93">
        <f t="shared" ref="AE144:AV146" si="53">AE133*(1-$E144)</f>
        <v>0.97019999999999995</v>
      </c>
      <c r="AF144" s="93">
        <f t="shared" si="53"/>
        <v>0.97019999999999995</v>
      </c>
      <c r="AG144" s="93">
        <f t="shared" si="53"/>
        <v>0.97019999999999995</v>
      </c>
      <c r="AH144" s="93">
        <f t="shared" si="53"/>
        <v>0.97019999999999995</v>
      </c>
      <c r="AI144" s="93">
        <f t="shared" si="53"/>
        <v>0.97019999999999995</v>
      </c>
      <c r="AJ144" s="93">
        <f t="shared" si="53"/>
        <v>0.97019999999999995</v>
      </c>
      <c r="AK144" s="93">
        <f t="shared" si="53"/>
        <v>0.97019999999999995</v>
      </c>
      <c r="AL144" s="93">
        <f t="shared" si="53"/>
        <v>0.97019999999999995</v>
      </c>
      <c r="AM144" s="93">
        <f t="shared" si="53"/>
        <v>0.97019999999999995</v>
      </c>
      <c r="AN144" s="93">
        <f t="shared" si="53"/>
        <v>0.97019999999999995</v>
      </c>
      <c r="AO144" s="93">
        <f t="shared" si="53"/>
        <v>0.97019999999999995</v>
      </c>
      <c r="AP144" s="93">
        <f t="shared" si="53"/>
        <v>0.97019999999999995</v>
      </c>
      <c r="AQ144" s="93">
        <f t="shared" si="53"/>
        <v>0.97019999999999995</v>
      </c>
      <c r="AR144" s="93">
        <f t="shared" si="53"/>
        <v>0.97019999999999995</v>
      </c>
      <c r="AS144" s="93">
        <f t="shared" si="53"/>
        <v>0.97019999999999995</v>
      </c>
      <c r="AT144" s="93">
        <f t="shared" si="53"/>
        <v>0.97019999999999995</v>
      </c>
      <c r="AU144" s="93">
        <f t="shared" si="53"/>
        <v>0.97019999999999995</v>
      </c>
      <c r="AV144" s="93">
        <f t="shared" si="53"/>
        <v>0.97019999999999995</v>
      </c>
    </row>
    <row r="145" spans="1:48">
      <c r="A145" t="s">
        <v>16</v>
      </c>
      <c r="B145" s="233" t="str">
        <f t="shared" si="50"/>
        <v>CNT</v>
      </c>
      <c r="C145" s="233" t="str">
        <f t="shared" si="50"/>
        <v>Commercial - Public Water</v>
      </c>
      <c r="E145" s="130">
        <f t="shared" si="51"/>
        <v>0.02</v>
      </c>
      <c r="I145" s="137"/>
      <c r="J145" s="140">
        <f t="shared" ref="J145:AV146" si="54">J134*(1-$E145)</f>
        <v>0.97019999999999995</v>
      </c>
      <c r="K145" s="93">
        <f t="shared" si="54"/>
        <v>0.97019999999999995</v>
      </c>
      <c r="L145" s="93">
        <f t="shared" si="54"/>
        <v>0.97019999999999995</v>
      </c>
      <c r="M145" s="93">
        <f t="shared" si="54"/>
        <v>0.97019999999999995</v>
      </c>
      <c r="N145" s="93">
        <f t="shared" si="54"/>
        <v>0.97019999999999995</v>
      </c>
      <c r="O145" s="93">
        <f t="shared" si="54"/>
        <v>0.97019999999999995</v>
      </c>
      <c r="P145" s="93">
        <f t="shared" si="54"/>
        <v>0.97019999999999995</v>
      </c>
      <c r="Q145" s="93">
        <f t="shared" si="54"/>
        <v>0.97019999999999995</v>
      </c>
      <c r="R145" s="93">
        <f t="shared" si="54"/>
        <v>0.97019999999999995</v>
      </c>
      <c r="S145" s="93">
        <f t="shared" si="54"/>
        <v>0.97019999999999995</v>
      </c>
      <c r="T145" s="93">
        <f t="shared" si="54"/>
        <v>0.97019999999999995</v>
      </c>
      <c r="U145" s="93">
        <f t="shared" si="54"/>
        <v>0.97019999999999995</v>
      </c>
      <c r="V145" s="93">
        <f t="shared" si="54"/>
        <v>0.97019999999999995</v>
      </c>
      <c r="W145" s="93">
        <f t="shared" si="54"/>
        <v>0.97019999999999995</v>
      </c>
      <c r="X145" s="93">
        <f t="shared" si="54"/>
        <v>0.97019999999999995</v>
      </c>
      <c r="Y145" s="93">
        <f t="shared" si="54"/>
        <v>0.97019999999999995</v>
      </c>
      <c r="Z145" s="93">
        <f t="shared" si="54"/>
        <v>0.97019999999999995</v>
      </c>
      <c r="AA145" s="93">
        <f t="shared" si="54"/>
        <v>0.97019999999999995</v>
      </c>
      <c r="AB145" s="93">
        <f t="shared" si="54"/>
        <v>0.97019999999999995</v>
      </c>
      <c r="AC145" s="93">
        <f t="shared" si="54"/>
        <v>0.97019999999999995</v>
      </c>
      <c r="AD145" s="93">
        <f t="shared" si="54"/>
        <v>0.97019999999999995</v>
      </c>
      <c r="AE145" s="93">
        <f t="shared" si="54"/>
        <v>0.97019999999999995</v>
      </c>
      <c r="AF145" s="93">
        <f t="shared" si="54"/>
        <v>0.97019999999999995</v>
      </c>
      <c r="AG145" s="93">
        <f t="shared" si="54"/>
        <v>0.97019999999999995</v>
      </c>
      <c r="AH145" s="93">
        <f t="shared" si="54"/>
        <v>0.97019999999999995</v>
      </c>
      <c r="AI145" s="93">
        <f t="shared" si="53"/>
        <v>0.97019999999999995</v>
      </c>
      <c r="AJ145" s="93">
        <f t="shared" si="53"/>
        <v>0.97019999999999995</v>
      </c>
      <c r="AK145" s="93">
        <f t="shared" si="53"/>
        <v>0.97019999999999995</v>
      </c>
      <c r="AL145" s="93">
        <f t="shared" si="53"/>
        <v>0.97019999999999995</v>
      </c>
      <c r="AM145" s="93">
        <f t="shared" si="53"/>
        <v>0.97019999999999995</v>
      </c>
      <c r="AN145" s="93">
        <f t="shared" si="53"/>
        <v>0.97019999999999995</v>
      </c>
      <c r="AO145" s="93">
        <f t="shared" si="53"/>
        <v>0.97019999999999995</v>
      </c>
      <c r="AP145" s="93">
        <f t="shared" si="53"/>
        <v>0.97019999999999995</v>
      </c>
      <c r="AQ145" s="93">
        <f t="shared" si="53"/>
        <v>0.97019999999999995</v>
      </c>
      <c r="AR145" s="93">
        <f t="shared" si="53"/>
        <v>0.97019999999999995</v>
      </c>
      <c r="AS145" s="93">
        <f t="shared" si="54"/>
        <v>0.97019999999999995</v>
      </c>
      <c r="AT145" s="93">
        <f t="shared" si="54"/>
        <v>0.97019999999999995</v>
      </c>
      <c r="AU145" s="93">
        <f t="shared" si="54"/>
        <v>0.97019999999999995</v>
      </c>
      <c r="AV145" s="93">
        <f t="shared" si="54"/>
        <v>0.97019999999999995</v>
      </c>
    </row>
    <row r="146" spans="1:48">
      <c r="A146" t="s">
        <v>16</v>
      </c>
      <c r="B146" s="233" t="str">
        <f t="shared" si="50"/>
        <v>CNO</v>
      </c>
      <c r="C146" s="233" t="str">
        <f t="shared" si="50"/>
        <v>Commercial - Other</v>
      </c>
      <c r="E146" s="130">
        <f t="shared" si="51"/>
        <v>0.02</v>
      </c>
      <c r="I146" s="137"/>
      <c r="J146" s="140">
        <f t="shared" si="54"/>
        <v>0.97019999999999995</v>
      </c>
      <c r="K146" s="93">
        <f t="shared" si="54"/>
        <v>0.97019999999999995</v>
      </c>
      <c r="L146" s="93">
        <f t="shared" si="54"/>
        <v>0.97019999999999995</v>
      </c>
      <c r="M146" s="93">
        <f t="shared" si="54"/>
        <v>0.97019999999999995</v>
      </c>
      <c r="N146" s="93">
        <f t="shared" si="54"/>
        <v>0.97019999999999995</v>
      </c>
      <c r="O146" s="93">
        <f t="shared" si="54"/>
        <v>0.97019999999999995</v>
      </c>
      <c r="P146" s="93">
        <f t="shared" si="54"/>
        <v>0.97019999999999995</v>
      </c>
      <c r="Q146" s="93">
        <f t="shared" si="54"/>
        <v>0.97019999999999995</v>
      </c>
      <c r="R146" s="93">
        <f t="shared" si="54"/>
        <v>0.97019999999999995</v>
      </c>
      <c r="S146" s="93">
        <f t="shared" si="54"/>
        <v>0.97019999999999995</v>
      </c>
      <c r="T146" s="93">
        <f t="shared" si="54"/>
        <v>0.97019999999999995</v>
      </c>
      <c r="U146" s="93">
        <f t="shared" si="54"/>
        <v>0.97019999999999995</v>
      </c>
      <c r="V146" s="93">
        <f t="shared" si="54"/>
        <v>0.97019999999999995</v>
      </c>
      <c r="W146" s="93">
        <f t="shared" si="54"/>
        <v>0.97019999999999995</v>
      </c>
      <c r="X146" s="93">
        <f t="shared" si="54"/>
        <v>0.97019999999999995</v>
      </c>
      <c r="Y146" s="93">
        <f t="shared" si="54"/>
        <v>0.97019999999999995</v>
      </c>
      <c r="Z146" s="93">
        <f t="shared" si="54"/>
        <v>0.97019999999999995</v>
      </c>
      <c r="AA146" s="93">
        <f t="shared" si="54"/>
        <v>0.97019999999999995</v>
      </c>
      <c r="AB146" s="93">
        <f t="shared" si="54"/>
        <v>0.97019999999999995</v>
      </c>
      <c r="AC146" s="93">
        <f t="shared" si="54"/>
        <v>0.97019999999999995</v>
      </c>
      <c r="AD146" s="93">
        <f t="shared" si="54"/>
        <v>0.97019999999999995</v>
      </c>
      <c r="AE146" s="93">
        <f t="shared" si="54"/>
        <v>0.97019999999999995</v>
      </c>
      <c r="AF146" s="93">
        <f t="shared" si="54"/>
        <v>0.97019999999999995</v>
      </c>
      <c r="AG146" s="93">
        <f t="shared" si="54"/>
        <v>0.97019999999999995</v>
      </c>
      <c r="AH146" s="93">
        <f t="shared" si="54"/>
        <v>0.97019999999999995</v>
      </c>
      <c r="AI146" s="93">
        <f t="shared" si="53"/>
        <v>0.97019999999999995</v>
      </c>
      <c r="AJ146" s="93">
        <f t="shared" si="53"/>
        <v>0.97019999999999995</v>
      </c>
      <c r="AK146" s="93">
        <f t="shared" si="53"/>
        <v>0.97019999999999995</v>
      </c>
      <c r="AL146" s="93">
        <f t="shared" si="53"/>
        <v>0.97019999999999995</v>
      </c>
      <c r="AM146" s="93">
        <f t="shared" si="53"/>
        <v>0.97019999999999995</v>
      </c>
      <c r="AN146" s="93">
        <f t="shared" si="53"/>
        <v>0.97019999999999995</v>
      </c>
      <c r="AO146" s="93">
        <f t="shared" si="53"/>
        <v>0.97019999999999995</v>
      </c>
      <c r="AP146" s="93">
        <f t="shared" si="53"/>
        <v>0.97019999999999995</v>
      </c>
      <c r="AQ146" s="93">
        <f t="shared" si="53"/>
        <v>0.97019999999999995</v>
      </c>
      <c r="AR146" s="93">
        <f t="shared" si="53"/>
        <v>0.97019999999999995</v>
      </c>
      <c r="AS146" s="93">
        <f t="shared" si="54"/>
        <v>0.97019999999999995</v>
      </c>
      <c r="AT146" s="93">
        <f t="shared" si="54"/>
        <v>0.97019999999999995</v>
      </c>
      <c r="AU146" s="93">
        <f t="shared" si="54"/>
        <v>0.97019999999999995</v>
      </c>
      <c r="AV146" s="93">
        <f t="shared" si="54"/>
        <v>0.97019999999999995</v>
      </c>
    </row>
    <row r="147" spans="1:48">
      <c r="A147" t="s">
        <v>16</v>
      </c>
      <c r="I147" s="137"/>
      <c r="K147" s="75"/>
    </row>
    <row r="148" spans="1:48" ht="19.5" thickBot="1">
      <c r="A148" t="s">
        <v>16</v>
      </c>
      <c r="B148" s="146" t="s">
        <v>480</v>
      </c>
      <c r="C148" s="73"/>
      <c r="D148" s="73"/>
      <c r="E148" s="73"/>
      <c r="F148" s="73"/>
      <c r="G148" s="73"/>
      <c r="H148" s="73"/>
      <c r="I148" s="138"/>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row>
    <row r="149" spans="1:48">
      <c r="A149" t="s">
        <v>16</v>
      </c>
      <c r="B149" s="145"/>
      <c r="C149" s="145"/>
      <c r="D149" s="145"/>
      <c r="E149" s="145"/>
      <c r="F149" s="145"/>
      <c r="G149" s="145"/>
      <c r="H149" s="145"/>
      <c r="I149" s="144"/>
      <c r="K149" s="75"/>
    </row>
    <row r="150" spans="1:48" ht="15.75" thickBot="1">
      <c r="A150" t="s">
        <v>16</v>
      </c>
      <c r="B150" s="73" t="s">
        <v>494</v>
      </c>
      <c r="C150" s="145"/>
      <c r="D150" s="145"/>
      <c r="E150" s="145"/>
      <c r="F150" s="145"/>
      <c r="G150" s="145"/>
      <c r="H150" s="145"/>
      <c r="I150" s="144"/>
      <c r="K150" s="75"/>
    </row>
    <row r="151" spans="1:48">
      <c r="A151" t="s">
        <v>16</v>
      </c>
      <c r="B151" s="75" t="str">
        <f>B92</f>
        <v>CEC</v>
      </c>
      <c r="C151" s="75" t="str">
        <f>C92</f>
        <v>Commercial - Cooling</v>
      </c>
      <c r="D151" s="145"/>
      <c r="E151" s="145"/>
      <c r="F151" s="145"/>
      <c r="G151" s="145"/>
      <c r="H151" s="145"/>
      <c r="I151" s="144"/>
      <c r="J151" s="143">
        <f t="shared" ref="J151:AV157" si="55">J92*J$34/1000</f>
        <v>27.932878870776872</v>
      </c>
      <c r="K151" s="143">
        <f t="shared" si="55"/>
        <v>27.177942001479515</v>
      </c>
      <c r="L151" s="143">
        <f t="shared" si="55"/>
        <v>26.482954035311195</v>
      </c>
      <c r="M151" s="143">
        <f t="shared" si="55"/>
        <v>25.727350426489295</v>
      </c>
      <c r="N151" s="143">
        <f t="shared" si="55"/>
        <v>24.939742625372652</v>
      </c>
      <c r="O151" s="143">
        <f t="shared" si="55"/>
        <v>24.056668064799556</v>
      </c>
      <c r="P151" s="143">
        <f>P92*P$34/1000</f>
        <v>24.229725056384154</v>
      </c>
      <c r="Q151" s="143">
        <f>Q92*Q$34/1000</f>
        <v>24.372414300706755</v>
      </c>
      <c r="R151" s="143">
        <f t="shared" si="55"/>
        <v>24.372414300706755</v>
      </c>
      <c r="S151" s="143">
        <f t="shared" si="55"/>
        <v>24.76442376983136</v>
      </c>
      <c r="T151" s="143">
        <f t="shared" si="55"/>
        <v>25.075319384547505</v>
      </c>
      <c r="U151" s="143">
        <f t="shared" si="55"/>
        <v>25.375522550166561</v>
      </c>
      <c r="V151" s="143">
        <f t="shared" si="55"/>
        <v>25.686920781938618</v>
      </c>
      <c r="W151" s="143">
        <f t="shared" si="55"/>
        <v>25.974626912158037</v>
      </c>
      <c r="X151" s="143">
        <f t="shared" si="55"/>
        <v>26.228400464115683</v>
      </c>
      <c r="Y151" s="143">
        <f t="shared" si="55"/>
        <v>26.478588867461031</v>
      </c>
      <c r="Z151" s="143">
        <f t="shared" si="55"/>
        <v>26.735474265745616</v>
      </c>
      <c r="AA151" s="143">
        <f t="shared" si="55"/>
        <v>27.045912549973782</v>
      </c>
      <c r="AB151" s="143">
        <f t="shared" si="55"/>
        <v>27.334466228149122</v>
      </c>
      <c r="AC151" s="143">
        <f t="shared" si="55"/>
        <v>27.664008051234273</v>
      </c>
      <c r="AD151" s="143">
        <f t="shared" si="55"/>
        <v>27.998998378586169</v>
      </c>
      <c r="AE151" s="143">
        <f t="shared" si="55"/>
        <v>28.393427051601524</v>
      </c>
      <c r="AF151" s="143">
        <f t="shared" si="55"/>
        <v>28.800043278375153</v>
      </c>
      <c r="AG151" s="143">
        <f t="shared" si="55"/>
        <v>29.181974203113207</v>
      </c>
      <c r="AH151" s="143">
        <f t="shared" si="55"/>
        <v>29.537521711541935</v>
      </c>
      <c r="AI151" s="143">
        <f t="shared" si="55"/>
        <v>29.816271527371363</v>
      </c>
      <c r="AJ151" s="143">
        <f t="shared" si="55"/>
        <v>30.145860038889598</v>
      </c>
      <c r="AK151" s="143">
        <f t="shared" si="55"/>
        <v>30.531718952544821</v>
      </c>
      <c r="AL151" s="143">
        <f t="shared" si="55"/>
        <v>30.889805996240863</v>
      </c>
      <c r="AM151" s="143">
        <f t="shared" si="55"/>
        <v>31.298748921222469</v>
      </c>
      <c r="AN151" s="143">
        <f t="shared" si="55"/>
        <v>31.701087052654312</v>
      </c>
      <c r="AO151" s="143">
        <f t="shared" si="55"/>
        <v>32.097110233174661</v>
      </c>
      <c r="AP151" s="143">
        <f t="shared" si="55"/>
        <v>32.48708798865254</v>
      </c>
      <c r="AQ151" s="143">
        <f t="shared" si="55"/>
        <v>32.871271456435345</v>
      </c>
      <c r="AR151" s="143">
        <f t="shared" si="55"/>
        <v>33.15943195888017</v>
      </c>
      <c r="AS151" s="143">
        <f t="shared" si="55"/>
        <v>33.444480185737987</v>
      </c>
      <c r="AT151" s="143">
        <f t="shared" si="55"/>
        <v>33.72650833100105</v>
      </c>
      <c r="AU151" s="143">
        <f t="shared" si="55"/>
        <v>34.005604187137365</v>
      </c>
      <c r="AV151" s="143">
        <f t="shared" si="55"/>
        <v>34.292364137484519</v>
      </c>
    </row>
    <row r="152" spans="1:48">
      <c r="A152" t="s">
        <v>16</v>
      </c>
      <c r="B152" s="75" t="str">
        <f t="shared" ref="B152:C159" si="56">B93</f>
        <v>CEH</v>
      </c>
      <c r="C152" s="75" t="str">
        <f t="shared" si="56"/>
        <v>Commercial - Space Heating</v>
      </c>
      <c r="D152" s="145"/>
      <c r="E152" s="145"/>
      <c r="F152" s="145"/>
      <c r="G152" s="145"/>
      <c r="H152" s="145"/>
      <c r="I152" s="144"/>
      <c r="J152" s="143">
        <f t="shared" si="55"/>
        <v>1.5703509815003798</v>
      </c>
      <c r="K152" s="143">
        <f t="shared" si="55"/>
        <v>1.7092027157283503</v>
      </c>
      <c r="L152" s="143">
        <f t="shared" si="55"/>
        <v>1.855729423279425</v>
      </c>
      <c r="M152" s="143">
        <f t="shared" si="55"/>
        <v>2.0023592180722973</v>
      </c>
      <c r="N152" s="143">
        <f t="shared" si="55"/>
        <v>2.1506332692372587</v>
      </c>
      <c r="O152" s="143">
        <f t="shared" si="55"/>
        <v>2.2941963422736769</v>
      </c>
      <c r="P152" s="143">
        <f t="shared" si="55"/>
        <v>2.3107001538584244</v>
      </c>
      <c r="Q152" s="143">
        <f t="shared" si="55"/>
        <v>2.3243079045878652</v>
      </c>
      <c r="R152" s="143">
        <f t="shared" si="55"/>
        <v>2.3243079045878652</v>
      </c>
      <c r="S152" s="143">
        <f t="shared" si="55"/>
        <v>2.361692412192153</v>
      </c>
      <c r="T152" s="143">
        <f t="shared" si="55"/>
        <v>2.3913413885254284</v>
      </c>
      <c r="U152" s="143">
        <f t="shared" si="55"/>
        <v>2.4199706651420843</v>
      </c>
      <c r="V152" s="143">
        <f t="shared" si="55"/>
        <v>2.4496675742234917</v>
      </c>
      <c r="W152" s="143">
        <f t="shared" si="55"/>
        <v>2.4771050543359148</v>
      </c>
      <c r="X152" s="143">
        <f t="shared" si="55"/>
        <v>2.5013065087143342</v>
      </c>
      <c r="Y152" s="143">
        <f t="shared" si="55"/>
        <v>2.52516606059775</v>
      </c>
      <c r="Z152" s="143">
        <f t="shared" si="55"/>
        <v>2.5496642803653642</v>
      </c>
      <c r="AA152" s="143">
        <f t="shared" si="55"/>
        <v>2.5792696427646606</v>
      </c>
      <c r="AB152" s="143">
        <f t="shared" si="55"/>
        <v>2.6067879504220763</v>
      </c>
      <c r="AC152" s="143">
        <f t="shared" si="55"/>
        <v>2.6382151473685398</v>
      </c>
      <c r="AD152" s="143">
        <f t="shared" si="55"/>
        <v>2.670161948215509</v>
      </c>
      <c r="AE152" s="143">
        <f t="shared" si="55"/>
        <v>2.7077771664361796</v>
      </c>
      <c r="AF152" s="143">
        <f t="shared" si="55"/>
        <v>2.7465546670302117</v>
      </c>
      <c r="AG152" s="143">
        <f t="shared" si="55"/>
        <v>2.7829780207621173</v>
      </c>
      <c r="AH152" s="143">
        <f t="shared" si="55"/>
        <v>2.8168852846917907</v>
      </c>
      <c r="AI152" s="143">
        <f t="shared" si="55"/>
        <v>2.8434686338972059</v>
      </c>
      <c r="AJ152" s="143">
        <f t="shared" si="55"/>
        <v>2.8749002833485688</v>
      </c>
      <c r="AK152" s="143">
        <f t="shared" si="55"/>
        <v>2.9116982349999372</v>
      </c>
      <c r="AL152" s="143">
        <f t="shared" si="55"/>
        <v>2.9458476851087458</v>
      </c>
      <c r="AM152" s="143">
        <f t="shared" si="55"/>
        <v>2.9848470743909337</v>
      </c>
      <c r="AN152" s="143">
        <f t="shared" si="55"/>
        <v>3.0232165886978128</v>
      </c>
      <c r="AO152" s="143">
        <f t="shared" si="55"/>
        <v>3.0609838692604439</v>
      </c>
      <c r="AP152" s="143">
        <f t="shared" si="55"/>
        <v>3.0981746197740025</v>
      </c>
      <c r="AQ152" s="143">
        <f t="shared" si="55"/>
        <v>3.134812790287691</v>
      </c>
      <c r="AR152" s="143">
        <f t="shared" si="55"/>
        <v>3.1622936022154238</v>
      </c>
      <c r="AS152" s="143">
        <f t="shared" si="55"/>
        <v>3.1894776078170008</v>
      </c>
      <c r="AT152" s="143">
        <f t="shared" si="55"/>
        <v>3.2163735992958671</v>
      </c>
      <c r="AU152" s="143">
        <f t="shared" si="55"/>
        <v>3.2429899490982153</v>
      </c>
      <c r="AV152" s="143">
        <f t="shared" si="55"/>
        <v>3.2703371955009555</v>
      </c>
    </row>
    <row r="153" spans="1:48">
      <c r="A153" t="s">
        <v>16</v>
      </c>
      <c r="B153" s="75" t="str">
        <f t="shared" si="56"/>
        <v>CEK</v>
      </c>
      <c r="C153" s="75" t="str">
        <f t="shared" si="56"/>
        <v>Commercial - Cooking</v>
      </c>
      <c r="D153" s="145"/>
      <c r="E153" s="145"/>
      <c r="F153" s="145"/>
      <c r="G153" s="145"/>
      <c r="H153" s="145"/>
      <c r="I153" s="144"/>
      <c r="J153" s="143">
        <f t="shared" si="55"/>
        <v>1.9788999513059524</v>
      </c>
      <c r="K153" s="143">
        <f t="shared" si="55"/>
        <v>1.9150740151967034</v>
      </c>
      <c r="L153" s="143">
        <f t="shared" si="55"/>
        <v>1.8552495695318501</v>
      </c>
      <c r="M153" s="143">
        <f t="shared" si="55"/>
        <v>1.7909305310659525</v>
      </c>
      <c r="N153" s="143">
        <f t="shared" si="55"/>
        <v>1.7241477141403778</v>
      </c>
      <c r="O153" s="143">
        <f t="shared" si="55"/>
        <v>1.6505641448308161</v>
      </c>
      <c r="P153" s="143">
        <f t="shared" si="55"/>
        <v>1.6624378450686219</v>
      </c>
      <c r="Q153" s="143">
        <f t="shared" si="55"/>
        <v>1.6722279685344938</v>
      </c>
      <c r="R153" s="143">
        <f t="shared" si="55"/>
        <v>1.6722279685344938</v>
      </c>
      <c r="S153" s="143">
        <f t="shared" si="55"/>
        <v>1.6991243272666492</v>
      </c>
      <c r="T153" s="143">
        <f t="shared" si="55"/>
        <v>1.7204553425615925</v>
      </c>
      <c r="U153" s="143">
        <f t="shared" si="55"/>
        <v>1.7410527328569076</v>
      </c>
      <c r="V153" s="143">
        <f t="shared" si="55"/>
        <v>1.7624182334633172</v>
      </c>
      <c r="W153" s="143">
        <f t="shared" si="55"/>
        <v>1.782158183381114</v>
      </c>
      <c r="X153" s="143">
        <f t="shared" si="55"/>
        <v>1.7995699681153661</v>
      </c>
      <c r="Y153" s="143">
        <f t="shared" si="55"/>
        <v>1.8167357704160825</v>
      </c>
      <c r="Z153" s="143">
        <f t="shared" si="55"/>
        <v>1.8343610636028613</v>
      </c>
      <c r="AA153" s="143">
        <f t="shared" si="55"/>
        <v>1.8556607007658135</v>
      </c>
      <c r="AB153" s="143">
        <f t="shared" si="55"/>
        <v>1.875458802222439</v>
      </c>
      <c r="AC153" s="143">
        <f t="shared" si="55"/>
        <v>1.898069161892423</v>
      </c>
      <c r="AD153" s="143">
        <f t="shared" si="55"/>
        <v>1.9210533516273776</v>
      </c>
      <c r="AE153" s="143">
        <f t="shared" si="55"/>
        <v>1.9481156955737093</v>
      </c>
      <c r="AF153" s="143">
        <f t="shared" si="55"/>
        <v>1.9760142458971015</v>
      </c>
      <c r="AG153" s="143">
        <f t="shared" si="55"/>
        <v>2.0022191005543069</v>
      </c>
      <c r="AH153" s="143">
        <f t="shared" si="55"/>
        <v>2.0266137493733214</v>
      </c>
      <c r="AI153" s="143">
        <f t="shared" si="55"/>
        <v>2.0457391931025581</v>
      </c>
      <c r="AJ153" s="143">
        <f t="shared" si="55"/>
        <v>2.0683527561360924</v>
      </c>
      <c r="AK153" s="143">
        <f t="shared" si="55"/>
        <v>2.0948271160153227</v>
      </c>
      <c r="AL153" s="143">
        <f t="shared" si="55"/>
        <v>2.1193960061650765</v>
      </c>
      <c r="AM153" s="143">
        <f t="shared" si="55"/>
        <v>2.1474541947487453</v>
      </c>
      <c r="AN153" s="143">
        <f t="shared" si="55"/>
        <v>2.1750592185222302</v>
      </c>
      <c r="AO153" s="143">
        <f t="shared" si="55"/>
        <v>2.2022309640244773</v>
      </c>
      <c r="AP153" s="143">
        <f t="shared" si="55"/>
        <v>2.2289879238303629</v>
      </c>
      <c r="AQ153" s="143">
        <f t="shared" si="55"/>
        <v>2.2553473288506671</v>
      </c>
      <c r="AR153" s="143">
        <f t="shared" si="55"/>
        <v>2.2751184539296139</v>
      </c>
      <c r="AS153" s="143">
        <f t="shared" si="55"/>
        <v>2.2946760411038554</v>
      </c>
      <c r="AT153" s="143">
        <f t="shared" si="55"/>
        <v>2.3140264159417367</v>
      </c>
      <c r="AU153" s="143">
        <f t="shared" si="55"/>
        <v>2.3331756020164085</v>
      </c>
      <c r="AV153" s="143">
        <f t="shared" si="55"/>
        <v>2.3528506331113852</v>
      </c>
    </row>
    <row r="154" spans="1:48">
      <c r="A154" t="s">
        <v>16</v>
      </c>
      <c r="B154" s="75" t="str">
        <f t="shared" si="56"/>
        <v>CEL</v>
      </c>
      <c r="C154" s="75" t="str">
        <f t="shared" si="56"/>
        <v>Commercial - Lighting</v>
      </c>
      <c r="D154" s="145"/>
      <c r="E154" s="145"/>
      <c r="F154" s="145"/>
      <c r="G154" s="145"/>
      <c r="H154" s="145"/>
      <c r="I154" s="144"/>
      <c r="J154" s="143">
        <f t="shared" si="55"/>
        <v>24.308054381137783</v>
      </c>
      <c r="K154" s="143">
        <f t="shared" si="55"/>
        <v>23.651084988254869</v>
      </c>
      <c r="L154" s="143">
        <f t="shared" si="55"/>
        <v>23.046284983428656</v>
      </c>
      <c r="M154" s="143">
        <f t="shared" si="55"/>
        <v>22.388735373207769</v>
      </c>
      <c r="N154" s="143">
        <f t="shared" si="55"/>
        <v>21.703334725851605</v>
      </c>
      <c r="O154" s="143">
        <f t="shared" si="55"/>
        <v>20.934855954282259</v>
      </c>
      <c r="P154" s="143">
        <f t="shared" si="55"/>
        <v>21.085455496203284</v>
      </c>
      <c r="Q154" s="143">
        <f t="shared" si="55"/>
        <v>21.209628086026306</v>
      </c>
      <c r="R154" s="143">
        <f t="shared" si="55"/>
        <v>21.209628086026306</v>
      </c>
      <c r="S154" s="143">
        <f t="shared" si="55"/>
        <v>21.550766840018866</v>
      </c>
      <c r="T154" s="143">
        <f t="shared" si="55"/>
        <v>21.821317811307534</v>
      </c>
      <c r="U154" s="143">
        <f t="shared" si="55"/>
        <v>22.082563882971563</v>
      </c>
      <c r="V154" s="143">
        <f t="shared" si="55"/>
        <v>22.353552247154266</v>
      </c>
      <c r="W154" s="143">
        <f t="shared" si="55"/>
        <v>22.603923012427476</v>
      </c>
      <c r="X154" s="143">
        <f t="shared" si="55"/>
        <v>22.824764599505514</v>
      </c>
      <c r="Y154" s="143">
        <f t="shared" si="55"/>
        <v>23.042486279472104</v>
      </c>
      <c r="Z154" s="143">
        <f t="shared" si="55"/>
        <v>23.266035891386782</v>
      </c>
      <c r="AA154" s="143">
        <f t="shared" si="55"/>
        <v>23.536188879552284</v>
      </c>
      <c r="AB154" s="143">
        <f t="shared" si="55"/>
        <v>23.787297207247843</v>
      </c>
      <c r="AC154" s="143">
        <f t="shared" si="55"/>
        <v>24.074074685268332</v>
      </c>
      <c r="AD154" s="143">
        <f t="shared" si="55"/>
        <v>24.365593620072584</v>
      </c>
      <c r="AE154" s="143">
        <f t="shared" si="55"/>
        <v>24.708837640049627</v>
      </c>
      <c r="AF154" s="143">
        <f t="shared" si="55"/>
        <v>25.062687645929508</v>
      </c>
      <c r="AG154" s="143">
        <f t="shared" si="55"/>
        <v>25.395055739147558</v>
      </c>
      <c r="AH154" s="143">
        <f t="shared" si="55"/>
        <v>25.704464168187268</v>
      </c>
      <c r="AI154" s="143">
        <f t="shared" si="55"/>
        <v>25.947040871908367</v>
      </c>
      <c r="AJ154" s="143">
        <f t="shared" si="55"/>
        <v>26.233858979646101</v>
      </c>
      <c r="AK154" s="143">
        <f t="shared" si="55"/>
        <v>26.569645330203425</v>
      </c>
      <c r="AL154" s="143">
        <f t="shared" si="55"/>
        <v>26.881263741310008</v>
      </c>
      <c r="AM154" s="143">
        <f t="shared" si="55"/>
        <v>27.237138511870597</v>
      </c>
      <c r="AN154" s="143">
        <f t="shared" si="55"/>
        <v>27.587265586981445</v>
      </c>
      <c r="AO154" s="143">
        <f t="shared" si="55"/>
        <v>27.931897196663147</v>
      </c>
      <c r="AP154" s="143">
        <f t="shared" si="55"/>
        <v>28.271267890655871</v>
      </c>
      <c r="AQ154" s="143">
        <f t="shared" si="55"/>
        <v>28.605596216440031</v>
      </c>
      <c r="AR154" s="143">
        <f t="shared" si="55"/>
        <v>28.856362390464895</v>
      </c>
      <c r="AS154" s="143">
        <f t="shared" si="55"/>
        <v>29.104420166097746</v>
      </c>
      <c r="AT154" s="143">
        <f t="shared" si="55"/>
        <v>29.349849773399637</v>
      </c>
      <c r="AU154" s="143">
        <f t="shared" si="55"/>
        <v>29.592727612089206</v>
      </c>
      <c r="AV154" s="143">
        <f t="shared" si="55"/>
        <v>29.842274982398514</v>
      </c>
    </row>
    <row r="155" spans="1:48">
      <c r="A155" t="s">
        <v>16</v>
      </c>
      <c r="B155" s="75" t="str">
        <f t="shared" si="56"/>
        <v>CER</v>
      </c>
      <c r="C155" s="75" t="str">
        <f t="shared" si="56"/>
        <v>Commercial - Refrigeration</v>
      </c>
      <c r="D155" s="145"/>
      <c r="E155" s="145"/>
      <c r="F155" s="145"/>
      <c r="G155" s="145"/>
      <c r="H155" s="145"/>
      <c r="I155" s="144"/>
      <c r="J155" s="143">
        <f t="shared" si="55"/>
        <v>5.9132780747494111</v>
      </c>
      <c r="K155" s="143">
        <f t="shared" si="55"/>
        <v>5.7534609768524074</v>
      </c>
      <c r="L155" s="143">
        <f t="shared" si="55"/>
        <v>5.6063348205557402</v>
      </c>
      <c r="M155" s="143">
        <f t="shared" si="55"/>
        <v>5.4463765765838827</v>
      </c>
      <c r="N155" s="143">
        <f t="shared" si="55"/>
        <v>5.2796431738655141</v>
      </c>
      <c r="O155" s="143">
        <f t="shared" si="55"/>
        <v>5.0926998422610916</v>
      </c>
      <c r="P155" s="143">
        <f t="shared" si="55"/>
        <v>5.1293353111203324</v>
      </c>
      <c r="Q155" s="143">
        <f t="shared" si="55"/>
        <v>5.1595420500625941</v>
      </c>
      <c r="R155" s="143">
        <f t="shared" si="55"/>
        <v>5.1595420500625941</v>
      </c>
      <c r="S155" s="143">
        <f t="shared" si="55"/>
        <v>5.2425288775067864</v>
      </c>
      <c r="T155" s="143">
        <f t="shared" si="55"/>
        <v>5.3083442283176216</v>
      </c>
      <c r="U155" s="143">
        <f t="shared" si="55"/>
        <v>5.3718960306734713</v>
      </c>
      <c r="V155" s="143">
        <f t="shared" si="55"/>
        <v>5.4378177834928669</v>
      </c>
      <c r="W155" s="143">
        <f t="shared" si="55"/>
        <v>5.4987240137338667</v>
      </c>
      <c r="X155" s="143">
        <f t="shared" si="55"/>
        <v>5.5524468536775986</v>
      </c>
      <c r="Y155" s="143">
        <f t="shared" si="55"/>
        <v>5.6054107320842164</v>
      </c>
      <c r="Z155" s="143">
        <f t="shared" si="55"/>
        <v>5.6597923373754888</v>
      </c>
      <c r="AA155" s="143">
        <f t="shared" si="55"/>
        <v>5.7255108731619933</v>
      </c>
      <c r="AB155" s="143">
        <f t="shared" si="55"/>
        <v>5.7865965258953267</v>
      </c>
      <c r="AC155" s="143">
        <f t="shared" si="55"/>
        <v>5.8563592039986947</v>
      </c>
      <c r="AD155" s="143">
        <f t="shared" si="55"/>
        <v>5.9272753085343961</v>
      </c>
      <c r="AE155" s="143">
        <f t="shared" si="55"/>
        <v>6.0107742717090895</v>
      </c>
      <c r="AF155" s="143">
        <f t="shared" si="55"/>
        <v>6.0968532909802953</v>
      </c>
      <c r="AG155" s="143">
        <f t="shared" si="55"/>
        <v>6.1777065311268053</v>
      </c>
      <c r="AH155" s="143">
        <f t="shared" si="55"/>
        <v>6.2529745081888812</v>
      </c>
      <c r="AI155" s="143">
        <f t="shared" si="55"/>
        <v>6.3119847227074084</v>
      </c>
      <c r="AJ155" s="143">
        <f t="shared" si="55"/>
        <v>6.3817572845642188</v>
      </c>
      <c r="AK155" s="143">
        <f t="shared" si="55"/>
        <v>6.4634420641610388</v>
      </c>
      <c r="AL155" s="143">
        <f t="shared" si="55"/>
        <v>6.5392476506219062</v>
      </c>
      <c r="AM155" s="143">
        <f t="shared" si="55"/>
        <v>6.6258192225427486</v>
      </c>
      <c r="AN155" s="143">
        <f t="shared" si="55"/>
        <v>6.710992586242134</v>
      </c>
      <c r="AO155" s="143">
        <f t="shared" si="55"/>
        <v>6.794829100240463</v>
      </c>
      <c r="AP155" s="143">
        <f t="shared" si="55"/>
        <v>6.8773858220798259</v>
      </c>
      <c r="AQ155" s="143">
        <f t="shared" si="55"/>
        <v>6.9587159165262653</v>
      </c>
      <c r="AR155" s="143">
        <f t="shared" si="55"/>
        <v>7.0197183355393102</v>
      </c>
      <c r="AS155" s="143">
        <f t="shared" si="55"/>
        <v>7.0800618983321852</v>
      </c>
      <c r="AT155" s="143">
        <f t="shared" si="55"/>
        <v>7.1397661220021309</v>
      </c>
      <c r="AU155" s="143">
        <f t="shared" si="55"/>
        <v>7.1988495918614053</v>
      </c>
      <c r="AV155" s="143">
        <f t="shared" si="55"/>
        <v>7.2595555196302053</v>
      </c>
    </row>
    <row r="156" spans="1:48">
      <c r="A156" t="s">
        <v>16</v>
      </c>
      <c r="B156" s="75" t="str">
        <f t="shared" si="56"/>
        <v>CEW</v>
      </c>
      <c r="C156" s="75" t="str">
        <f t="shared" si="56"/>
        <v>Commercial - Water Heating</v>
      </c>
      <c r="D156" s="145"/>
      <c r="E156" s="145"/>
      <c r="F156" s="145"/>
      <c r="G156" s="145"/>
      <c r="H156" s="145"/>
      <c r="I156" s="144"/>
      <c r="J156" s="143">
        <f t="shared" si="55"/>
        <v>1.9366218046150063</v>
      </c>
      <c r="K156" s="143">
        <f t="shared" si="55"/>
        <v>1.9347251007785318</v>
      </c>
      <c r="L156" s="143">
        <f t="shared" si="55"/>
        <v>1.9381824990609346</v>
      </c>
      <c r="M156" s="143">
        <f t="shared" si="55"/>
        <v>1.9384142079955711</v>
      </c>
      <c r="N156" s="143">
        <f t="shared" si="55"/>
        <v>1.9373851612697315</v>
      </c>
      <c r="O156" s="143">
        <f t="shared" si="55"/>
        <v>1.9299198240162896</v>
      </c>
      <c r="P156" s="143">
        <f t="shared" si="55"/>
        <v>1.9438031314570416</v>
      </c>
      <c r="Q156" s="143">
        <f t="shared" si="55"/>
        <v>1.9552502196635348</v>
      </c>
      <c r="R156" s="143">
        <f t="shared" si="55"/>
        <v>1.9552502196635348</v>
      </c>
      <c r="S156" s="143">
        <f t="shared" si="55"/>
        <v>1.9866987495941066</v>
      </c>
      <c r="T156" s="143">
        <f t="shared" si="55"/>
        <v>2.0116400094736644</v>
      </c>
      <c r="U156" s="143">
        <f t="shared" si="55"/>
        <v>2.0357234793457208</v>
      </c>
      <c r="V156" s="143">
        <f t="shared" si="55"/>
        <v>2.0607050611276083</v>
      </c>
      <c r="W156" s="143">
        <f t="shared" si="55"/>
        <v>2.0837859700342714</v>
      </c>
      <c r="X156" s="143">
        <f t="shared" si="55"/>
        <v>2.1041446750475692</v>
      </c>
      <c r="Y156" s="143">
        <f t="shared" si="55"/>
        <v>2.1242157654435698</v>
      </c>
      <c r="Z156" s="143">
        <f t="shared" si="55"/>
        <v>2.1448241149171681</v>
      </c>
      <c r="AA156" s="143">
        <f t="shared" si="55"/>
        <v>2.1697286859596638</v>
      </c>
      <c r="AB156" s="143">
        <f t="shared" si="55"/>
        <v>2.1928775884719891</v>
      </c>
      <c r="AC156" s="143">
        <f t="shared" si="55"/>
        <v>2.2193147199775405</v>
      </c>
      <c r="AD156" s="143">
        <f t="shared" si="55"/>
        <v>2.2461889517651135</v>
      </c>
      <c r="AE156" s="143">
        <f t="shared" si="55"/>
        <v>2.2778315596758327</v>
      </c>
      <c r="AF156" s="143">
        <f t="shared" si="55"/>
        <v>2.3104519007265281</v>
      </c>
      <c r="AG156" s="143">
        <f t="shared" si="55"/>
        <v>2.3410918904820246</v>
      </c>
      <c r="AH156" s="143">
        <f t="shared" si="55"/>
        <v>2.3696152995862239</v>
      </c>
      <c r="AI156" s="143">
        <f t="shared" si="55"/>
        <v>2.3919776979890708</v>
      </c>
      <c r="AJ156" s="143">
        <f t="shared" si="55"/>
        <v>2.4184185750229852</v>
      </c>
      <c r="AK156" s="143">
        <f t="shared" si="55"/>
        <v>2.449373683383409</v>
      </c>
      <c r="AL156" s="143">
        <f t="shared" si="55"/>
        <v>2.4781008239205304</v>
      </c>
      <c r="AM156" s="143">
        <f t="shared" si="55"/>
        <v>2.5109078217843792</v>
      </c>
      <c r="AN156" s="143">
        <f t="shared" si="55"/>
        <v>2.5431849573260279</v>
      </c>
      <c r="AO156" s="143">
        <f t="shared" si="55"/>
        <v>2.5749554828533991</v>
      </c>
      <c r="AP156" s="143">
        <f t="shared" si="55"/>
        <v>2.6062410207838744</v>
      </c>
      <c r="AQ156" s="143">
        <f t="shared" si="55"/>
        <v>2.637061718335846</v>
      </c>
      <c r="AR156" s="143">
        <f t="shared" si="55"/>
        <v>2.6601790787561987</v>
      </c>
      <c r="AS156" s="143">
        <f t="shared" si="55"/>
        <v>2.6830467602793324</v>
      </c>
      <c r="AT156" s="143">
        <f t="shared" si="55"/>
        <v>2.7056721590672121</v>
      </c>
      <c r="AU156" s="143">
        <f t="shared" si="55"/>
        <v>2.7280623181743424</v>
      </c>
      <c r="AV156" s="143">
        <f t="shared" si="55"/>
        <v>2.751067320837977</v>
      </c>
    </row>
    <row r="157" spans="1:48">
      <c r="A157" t="s">
        <v>16</v>
      </c>
      <c r="B157" s="75" t="str">
        <f t="shared" si="56"/>
        <v>CEG</v>
      </c>
      <c r="C157" s="75" t="str">
        <f t="shared" si="56"/>
        <v>Commercial - Public lights</v>
      </c>
      <c r="D157" s="145"/>
      <c r="E157" s="145"/>
      <c r="F157" s="145"/>
      <c r="G157" s="145"/>
      <c r="H157" s="145"/>
      <c r="I157" s="144"/>
      <c r="J157" s="143">
        <f t="shared" si="55"/>
        <v>10.30055287377321</v>
      </c>
      <c r="K157" s="143">
        <f t="shared" si="55"/>
        <v>10.022161692737667</v>
      </c>
      <c r="L157" s="143">
        <f t="shared" si="55"/>
        <v>9.765877321718456</v>
      </c>
      <c r="M157" s="143">
        <f t="shared" si="55"/>
        <v>9.4872402732319685</v>
      </c>
      <c r="N157" s="143">
        <f t="shared" si="55"/>
        <v>9.1968013307681549</v>
      </c>
      <c r="O157" s="143">
        <f t="shared" si="55"/>
        <v>8.8711579824850144</v>
      </c>
      <c r="P157" s="143">
        <f t="shared" si="55"/>
        <v>8.9349746302512507</v>
      </c>
      <c r="Q157" s="143">
        <f t="shared" si="55"/>
        <v>8.9875928409435009</v>
      </c>
      <c r="R157" s="143">
        <f t="shared" si="55"/>
        <v>8.9875928409435009</v>
      </c>
      <c r="S157" s="143">
        <f t="shared" si="55"/>
        <v>9.1321505960684899</v>
      </c>
      <c r="T157" s="143">
        <f t="shared" si="55"/>
        <v>9.2467967352087772</v>
      </c>
      <c r="U157" s="143">
        <f t="shared" si="55"/>
        <v>9.3574999174564297</v>
      </c>
      <c r="V157" s="143">
        <f t="shared" si="55"/>
        <v>9.472331402102407</v>
      </c>
      <c r="W157" s="143">
        <f t="shared" si="55"/>
        <v>9.5784261666321822</v>
      </c>
      <c r="X157" s="143">
        <f t="shared" si="55"/>
        <v>9.6720079238867012</v>
      </c>
      <c r="Y157" s="143">
        <f t="shared" si="55"/>
        <v>9.7642676185993658</v>
      </c>
      <c r="Z157" s="143">
        <f t="shared" si="55"/>
        <v>9.858996903030512</v>
      </c>
      <c r="AA157" s="143">
        <f t="shared" si="55"/>
        <v>9.9734743965795598</v>
      </c>
      <c r="AB157" s="143">
        <f t="shared" si="55"/>
        <v>10.079881703635776</v>
      </c>
      <c r="AC157" s="143">
        <f t="shared" si="55"/>
        <v>10.201403834903077</v>
      </c>
      <c r="AD157" s="143">
        <f t="shared" si="55"/>
        <v>10.324935161375153</v>
      </c>
      <c r="AE157" s="143">
        <f t="shared" si="55"/>
        <v>10.47038502424544</v>
      </c>
      <c r="AF157" s="143">
        <f t="shared" si="55"/>
        <v>10.620329180112517</v>
      </c>
      <c r="AG157" s="143">
        <f t="shared" ref="K157:AV159" si="57">AG98*AG$34/1000</f>
        <v>10.761170362383536</v>
      </c>
      <c r="AH157" s="143">
        <f t="shared" si="57"/>
        <v>10.89228237295184</v>
      </c>
      <c r="AI157" s="143">
        <f t="shared" si="57"/>
        <v>10.995074399143936</v>
      </c>
      <c r="AJ157" s="143">
        <f t="shared" si="57"/>
        <v>11.116613747278709</v>
      </c>
      <c r="AK157" s="143">
        <f t="shared" si="57"/>
        <v>11.258903418182644</v>
      </c>
      <c r="AL157" s="143">
        <f t="shared" si="57"/>
        <v>11.390951910000043</v>
      </c>
      <c r="AM157" s="143">
        <f t="shared" si="57"/>
        <v>11.541754061135832</v>
      </c>
      <c r="AN157" s="143">
        <f t="shared" si="57"/>
        <v>11.690120622818254</v>
      </c>
      <c r="AO157" s="143">
        <f t="shared" si="57"/>
        <v>11.836158477672429</v>
      </c>
      <c r="AP157" s="143">
        <f t="shared" si="57"/>
        <v>11.979967016293838</v>
      </c>
      <c r="AQ157" s="143">
        <f t="shared" si="57"/>
        <v>12.121638848310639</v>
      </c>
      <c r="AR157" s="143">
        <f t="shared" si="57"/>
        <v>12.227901167540157</v>
      </c>
      <c r="AS157" s="143">
        <f t="shared" si="57"/>
        <v>12.333015801298727</v>
      </c>
      <c r="AT157" s="143">
        <f t="shared" si="57"/>
        <v>12.437016747123673</v>
      </c>
      <c r="AU157" s="143">
        <f t="shared" si="57"/>
        <v>12.539936379442373</v>
      </c>
      <c r="AV157" s="143">
        <f t="shared" si="57"/>
        <v>12.645682229853861</v>
      </c>
    </row>
    <row r="158" spans="1:48">
      <c r="A158" t="s">
        <v>16</v>
      </c>
      <c r="B158" s="75" t="str">
        <f t="shared" si="56"/>
        <v>CET</v>
      </c>
      <c r="C158" s="75" t="str">
        <f t="shared" si="56"/>
        <v>Commercial - Public Water</v>
      </c>
      <c r="D158" s="145"/>
      <c r="E158" s="145"/>
      <c r="F158" s="145"/>
      <c r="G158" s="145"/>
      <c r="H158" s="145"/>
      <c r="I158" s="144"/>
      <c r="J158" s="143">
        <f t="shared" ref="J158:J159" si="58">J99*J$34/1000</f>
        <v>3.5593512487513528</v>
      </c>
      <c r="K158" s="143">
        <f t="shared" si="57"/>
        <v>3.4631533057862538</v>
      </c>
      <c r="L158" s="143">
        <f t="shared" si="57"/>
        <v>3.3745943607275568</v>
      </c>
      <c r="M158" s="143">
        <f t="shared" si="57"/>
        <v>3.2783114583792798</v>
      </c>
      <c r="N158" s="143">
        <f t="shared" si="57"/>
        <v>3.1779504170630659</v>
      </c>
      <c r="O158" s="143">
        <f t="shared" si="57"/>
        <v>3.0654245097100388</v>
      </c>
      <c r="P158" s="143">
        <f t="shared" si="57"/>
        <v>3.087476322627404</v>
      </c>
      <c r="Q158" s="143">
        <f t="shared" si="57"/>
        <v>3.1056585208287628</v>
      </c>
      <c r="R158" s="143">
        <f t="shared" si="57"/>
        <v>3.1056585208287628</v>
      </c>
      <c r="S158" s="143">
        <f t="shared" si="57"/>
        <v>3.1556103857942746</v>
      </c>
      <c r="T158" s="143">
        <f t="shared" si="57"/>
        <v>3.1952263057855692</v>
      </c>
      <c r="U158" s="143">
        <f t="shared" si="57"/>
        <v>3.2334797388587777</v>
      </c>
      <c r="V158" s="143">
        <f t="shared" si="57"/>
        <v>3.2731597049032515</v>
      </c>
      <c r="W158" s="143">
        <f t="shared" si="57"/>
        <v>3.3098207013801049</v>
      </c>
      <c r="X158" s="143">
        <f t="shared" si="57"/>
        <v>3.3421578340200737</v>
      </c>
      <c r="Y158" s="143">
        <f t="shared" si="57"/>
        <v>3.3740381285643655</v>
      </c>
      <c r="Z158" s="143">
        <f t="shared" si="57"/>
        <v>3.4067717886858357</v>
      </c>
      <c r="AA158" s="143">
        <f t="shared" si="57"/>
        <v>3.4463294332716128</v>
      </c>
      <c r="AB158" s="143">
        <f t="shared" si="57"/>
        <v>3.4830984286729318</v>
      </c>
      <c r="AC158" s="143">
        <f t="shared" si="57"/>
        <v>3.5250903445416921</v>
      </c>
      <c r="AD158" s="143">
        <f t="shared" si="57"/>
        <v>3.5677765368778145</v>
      </c>
      <c r="AE158" s="143">
        <f t="shared" si="57"/>
        <v>3.6180366692592747</v>
      </c>
      <c r="AF158" s="143">
        <f t="shared" si="57"/>
        <v>3.6698498024928643</v>
      </c>
      <c r="AG158" s="143">
        <f t="shared" si="57"/>
        <v>3.7185174074394274</v>
      </c>
      <c r="AH158" s="143">
        <f t="shared" si="57"/>
        <v>3.7638231016348147</v>
      </c>
      <c r="AI158" s="143">
        <f t="shared" si="57"/>
        <v>3.799342838417108</v>
      </c>
      <c r="AJ158" s="143">
        <f t="shared" si="57"/>
        <v>3.8413407035664049</v>
      </c>
      <c r="AK158" s="143">
        <f t="shared" si="57"/>
        <v>3.8905088330855366</v>
      </c>
      <c r="AL158" s="143">
        <f t="shared" si="57"/>
        <v>3.9361381279404468</v>
      </c>
      <c r="AM158" s="143">
        <f t="shared" si="57"/>
        <v>3.9882477410395865</v>
      </c>
      <c r="AN158" s="143">
        <f t="shared" si="57"/>
        <v>4.0395157373373261</v>
      </c>
      <c r="AO158" s="143">
        <f t="shared" si="57"/>
        <v>4.0899790500750015</v>
      </c>
      <c r="AP158" s="143">
        <f t="shared" si="57"/>
        <v>4.1396720236265967</v>
      </c>
      <c r="AQ158" s="143">
        <f t="shared" si="57"/>
        <v>4.1886266592059949</v>
      </c>
      <c r="AR158" s="143">
        <f t="shared" si="57"/>
        <v>4.2253455541313167</v>
      </c>
      <c r="AS158" s="143">
        <f t="shared" si="57"/>
        <v>4.2616678668766088</v>
      </c>
      <c r="AT158" s="143">
        <f t="shared" si="57"/>
        <v>4.2976053452750609</v>
      </c>
      <c r="AU158" s="143">
        <f t="shared" si="57"/>
        <v>4.3331691762949784</v>
      </c>
      <c r="AV158" s="143">
        <f t="shared" si="57"/>
        <v>4.3697096056607405</v>
      </c>
    </row>
    <row r="159" spans="1:48">
      <c r="A159" t="s">
        <v>16</v>
      </c>
      <c r="B159" s="75" t="str">
        <f t="shared" si="56"/>
        <v>CEO</v>
      </c>
      <c r="C159" s="75" t="str">
        <f t="shared" si="56"/>
        <v>Commercial - Other</v>
      </c>
      <c r="D159" s="145"/>
      <c r="E159" s="145"/>
      <c r="F159" s="145"/>
      <c r="G159" s="145"/>
      <c r="H159" s="145"/>
      <c r="I159" s="144"/>
      <c r="J159" s="143">
        <f t="shared" si="58"/>
        <v>3.7520368714157861</v>
      </c>
      <c r="K159" s="143">
        <f t="shared" si="57"/>
        <v>3.6830638388302628</v>
      </c>
      <c r="L159" s="143">
        <f t="shared" si="57"/>
        <v>3.6229134377267136</v>
      </c>
      <c r="M159" s="143">
        <f t="shared" si="57"/>
        <v>3.5552490133731456</v>
      </c>
      <c r="N159" s="143">
        <f t="shared" si="57"/>
        <v>3.4839017055174701</v>
      </c>
      <c r="O159" s="143">
        <f t="shared" si="57"/>
        <v>3.3998483491588085</v>
      </c>
      <c r="P159" s="143">
        <f t="shared" si="57"/>
        <v>3.4243059143363488</v>
      </c>
      <c r="Q159" s="143">
        <f t="shared" si="57"/>
        <v>3.4444717074730447</v>
      </c>
      <c r="R159" s="143">
        <f t="shared" si="57"/>
        <v>3.4444717074730447</v>
      </c>
      <c r="S159" s="143">
        <f t="shared" si="57"/>
        <v>3.4998730931873059</v>
      </c>
      <c r="T159" s="143">
        <f t="shared" si="57"/>
        <v>3.5438109294498448</v>
      </c>
      <c r="U159" s="143">
        <f t="shared" si="57"/>
        <v>3.5862376376827956</v>
      </c>
      <c r="V159" s="143">
        <f t="shared" si="57"/>
        <v>3.6302465071309435</v>
      </c>
      <c r="W159" s="143">
        <f t="shared" si="57"/>
        <v>3.6709070511944266</v>
      </c>
      <c r="X159" s="143">
        <f t="shared" si="57"/>
        <v>3.706772017587916</v>
      </c>
      <c r="Y159" s="143">
        <f t="shared" si="57"/>
        <v>3.7421303069321081</v>
      </c>
      <c r="Z159" s="143">
        <f t="shared" si="57"/>
        <v>3.7784350601476535</v>
      </c>
      <c r="AA159" s="143">
        <f t="shared" si="57"/>
        <v>3.8223082634235959</v>
      </c>
      <c r="AB159" s="143">
        <f t="shared" si="57"/>
        <v>3.8630885886018618</v>
      </c>
      <c r="AC159" s="143">
        <f t="shared" si="57"/>
        <v>3.9096616310604819</v>
      </c>
      <c r="AD159" s="143">
        <f t="shared" si="57"/>
        <v>3.9570046923840079</v>
      </c>
      <c r="AE159" s="143">
        <f t="shared" si="57"/>
        <v>4.012747976083979</v>
      </c>
      <c r="AF159" s="143">
        <f t="shared" si="57"/>
        <v>4.070213685949275</v>
      </c>
      <c r="AG159" s="143">
        <f t="shared" si="57"/>
        <v>4.1241907047311646</v>
      </c>
      <c r="AH159" s="143">
        <f t="shared" si="57"/>
        <v>4.1744390436250987</v>
      </c>
      <c r="AI159" s="143">
        <f t="shared" si="57"/>
        <v>4.2138338217640836</v>
      </c>
      <c r="AJ159" s="143">
        <f t="shared" si="57"/>
        <v>4.2604134625426262</v>
      </c>
      <c r="AK159" s="143">
        <f t="shared" si="57"/>
        <v>4.3149456108461761</v>
      </c>
      <c r="AL159" s="143">
        <f t="shared" si="57"/>
        <v>4.365552853756367</v>
      </c>
      <c r="AM159" s="143">
        <f t="shared" si="57"/>
        <v>4.4233473880889616</v>
      </c>
      <c r="AN159" s="143">
        <f t="shared" si="57"/>
        <v>4.4802084890638607</v>
      </c>
      <c r="AO159" s="143">
        <f t="shared" si="57"/>
        <v>4.5361771191706568</v>
      </c>
      <c r="AP159" s="143">
        <f t="shared" si="57"/>
        <v>4.5912913695979709</v>
      </c>
      <c r="AQ159" s="143">
        <f t="shared" si="57"/>
        <v>4.6455867327462315</v>
      </c>
      <c r="AR159" s="143">
        <f t="shared" si="57"/>
        <v>4.6863114917149655</v>
      </c>
      <c r="AS159" s="143">
        <f t="shared" si="57"/>
        <v>4.7265964031957548</v>
      </c>
      <c r="AT159" s="143">
        <f t="shared" si="57"/>
        <v>4.7664544966568352</v>
      </c>
      <c r="AU159" s="143">
        <f t="shared" si="57"/>
        <v>4.8058981795137541</v>
      </c>
      <c r="AV159" s="143">
        <f t="shared" si="57"/>
        <v>4.8464250031439633</v>
      </c>
    </row>
    <row r="160" spans="1:48">
      <c r="A160" t="s">
        <v>16</v>
      </c>
      <c r="B160" s="145"/>
      <c r="C160" s="145"/>
      <c r="D160" s="145"/>
      <c r="E160" s="145"/>
      <c r="F160" s="145"/>
      <c r="G160" s="145"/>
      <c r="H160" s="145"/>
      <c r="I160" s="144"/>
      <c r="K160" s="75"/>
    </row>
    <row r="161" spans="1:48" ht="15.75" thickBot="1">
      <c r="A161" t="s">
        <v>16</v>
      </c>
      <c r="B161" s="73" t="s">
        <v>479</v>
      </c>
      <c r="C161" s="73"/>
      <c r="D161" s="73"/>
      <c r="E161" s="73"/>
      <c r="F161" s="73"/>
      <c r="G161" s="73"/>
      <c r="H161" s="73"/>
      <c r="I161" s="137"/>
      <c r="K161" s="75"/>
    </row>
    <row r="162" spans="1:48">
      <c r="A162" t="s">
        <v>16</v>
      </c>
      <c r="B162" s="75" t="str">
        <f t="shared" ref="B162:B170" si="59">B70</f>
        <v>CEC</v>
      </c>
      <c r="C162" s="75" t="str">
        <f t="shared" ref="C162:C170" si="60">C138</f>
        <v>Commercial - Cooling</v>
      </c>
      <c r="E162" s="94"/>
      <c r="F162" s="94"/>
      <c r="I162" s="137"/>
      <c r="J162" s="143">
        <f t="shared" ref="J162:AV168" si="61">J$35*J70/1000</f>
        <v>111.73151548310749</v>
      </c>
      <c r="K162" s="143">
        <f t="shared" si="61"/>
        <v>108.71176800591805</v>
      </c>
      <c r="L162" s="143">
        <f t="shared" si="61"/>
        <v>105.93181614124477</v>
      </c>
      <c r="M162" s="143">
        <f t="shared" si="61"/>
        <v>102.90940170595718</v>
      </c>
      <c r="N162" s="143">
        <f t="shared" si="61"/>
        <v>99.758970501490609</v>
      </c>
      <c r="O162" s="143">
        <f t="shared" si="61"/>
        <v>96.226672259198224</v>
      </c>
      <c r="P162" s="143">
        <f t="shared" si="61"/>
        <v>95.264405536606233</v>
      </c>
      <c r="Q162" s="143">
        <f>Q$35*Q70/1000</f>
        <v>94.302138814014256</v>
      </c>
      <c r="R162" s="143">
        <f t="shared" si="61"/>
        <v>93.339872091422279</v>
      </c>
      <c r="S162" s="143">
        <f t="shared" si="61"/>
        <v>92.377605368830288</v>
      </c>
      <c r="T162" s="143">
        <f t="shared" si="61"/>
        <v>91.415338646238311</v>
      </c>
      <c r="U162" s="143">
        <f t="shared" si="61"/>
        <v>90.45307192364632</v>
      </c>
      <c r="V162" s="143">
        <f t="shared" si="61"/>
        <v>89.490805201054343</v>
      </c>
      <c r="W162" s="143">
        <f t="shared" si="61"/>
        <v>88.528538478462352</v>
      </c>
      <c r="X162" s="143">
        <f t="shared" si="61"/>
        <v>87.566271755870375</v>
      </c>
      <c r="Y162" s="143">
        <f t="shared" si="61"/>
        <v>86.604005033278398</v>
      </c>
      <c r="Z162" s="143">
        <f t="shared" si="61"/>
        <v>85.641738310686421</v>
      </c>
      <c r="AA162" s="143">
        <f t="shared" si="61"/>
        <v>84.679471588094415</v>
      </c>
      <c r="AB162" s="143">
        <f t="shared" si="61"/>
        <v>83.717204865502438</v>
      </c>
      <c r="AC162" s="143">
        <f t="shared" si="61"/>
        <v>82.754938142910476</v>
      </c>
      <c r="AD162" s="143">
        <f t="shared" si="61"/>
        <v>81.79267142031847</v>
      </c>
      <c r="AE162" s="143">
        <f t="shared" si="61"/>
        <v>80.830404697726493</v>
      </c>
      <c r="AF162" s="143">
        <f t="shared" si="61"/>
        <v>79.868137975134502</v>
      </c>
      <c r="AG162" s="143">
        <f t="shared" si="61"/>
        <v>78.905871252542539</v>
      </c>
      <c r="AH162" s="143">
        <f t="shared" si="61"/>
        <v>77.943604529950548</v>
      </c>
      <c r="AI162" s="143">
        <f t="shared" si="61"/>
        <v>76.981337807358543</v>
      </c>
      <c r="AJ162" s="143">
        <f t="shared" si="61"/>
        <v>76.01907108476658</v>
      </c>
      <c r="AK162" s="143">
        <f t="shared" si="61"/>
        <v>75.056804362174603</v>
      </c>
      <c r="AL162" s="143">
        <f t="shared" si="61"/>
        <v>74.094537639582612</v>
      </c>
      <c r="AM162" s="143">
        <f t="shared" si="61"/>
        <v>73.132270916990635</v>
      </c>
      <c r="AN162" s="143">
        <f t="shared" si="61"/>
        <v>72.170004194398643</v>
      </c>
      <c r="AO162" s="143">
        <f t="shared" si="61"/>
        <v>71.207737471806652</v>
      </c>
      <c r="AP162" s="143">
        <f t="shared" si="61"/>
        <v>70.245470749214675</v>
      </c>
      <c r="AQ162" s="143">
        <f t="shared" si="61"/>
        <v>69.283204026622698</v>
      </c>
      <c r="AR162" s="143">
        <f t="shared" si="61"/>
        <v>68.320937304030707</v>
      </c>
      <c r="AS162" s="143">
        <f t="shared" si="61"/>
        <v>67.35867058143873</v>
      </c>
      <c r="AT162" s="143">
        <f t="shared" si="61"/>
        <v>66.396403858846753</v>
      </c>
      <c r="AU162" s="143">
        <f t="shared" si="61"/>
        <v>65.434137136254762</v>
      </c>
      <c r="AV162" s="143">
        <f t="shared" si="61"/>
        <v>64.471870413662785</v>
      </c>
    </row>
    <row r="163" spans="1:48">
      <c r="A163" t="s">
        <v>16</v>
      </c>
      <c r="B163" s="75" t="str">
        <f t="shared" si="59"/>
        <v>CEH</v>
      </c>
      <c r="C163" s="75" t="str">
        <f t="shared" si="60"/>
        <v>Commercial - Space Heating</v>
      </c>
      <c r="E163" s="94"/>
      <c r="F163" s="94"/>
      <c r="I163" s="137"/>
      <c r="J163" s="143">
        <f t="shared" si="61"/>
        <v>6.2814039260015191</v>
      </c>
      <c r="K163" s="143">
        <f t="shared" si="61"/>
        <v>6.8368108629134001</v>
      </c>
      <c r="L163" s="143">
        <f t="shared" si="61"/>
        <v>7.4229176931176992</v>
      </c>
      <c r="M163" s="143">
        <f t="shared" si="61"/>
        <v>8.0094368722891875</v>
      </c>
      <c r="N163" s="143">
        <f t="shared" si="61"/>
        <v>8.6025330769490349</v>
      </c>
      <c r="O163" s="143">
        <f t="shared" si="61"/>
        <v>9.1767853690947074</v>
      </c>
      <c r="P163" s="143">
        <f t="shared" si="61"/>
        <v>9.0850175154037593</v>
      </c>
      <c r="Q163" s="143">
        <f t="shared" si="61"/>
        <v>8.9932496617128113</v>
      </c>
      <c r="R163" s="143">
        <f t="shared" si="61"/>
        <v>8.9014818080218649</v>
      </c>
      <c r="S163" s="143">
        <f t="shared" si="61"/>
        <v>8.8097139543309169</v>
      </c>
      <c r="T163" s="143">
        <f t="shared" si="61"/>
        <v>8.7179461006399706</v>
      </c>
      <c r="U163" s="143">
        <f t="shared" si="61"/>
        <v>8.6261782469490225</v>
      </c>
      <c r="V163" s="143">
        <f t="shared" si="61"/>
        <v>8.5344103932580762</v>
      </c>
      <c r="W163" s="143">
        <f t="shared" si="61"/>
        <v>8.4426425395671281</v>
      </c>
      <c r="X163" s="143">
        <f t="shared" si="61"/>
        <v>8.3508746858761818</v>
      </c>
      <c r="Y163" s="143">
        <f t="shared" si="61"/>
        <v>8.2591068321852337</v>
      </c>
      <c r="Z163" s="143">
        <f t="shared" si="61"/>
        <v>8.1673389784942874</v>
      </c>
      <c r="AA163" s="143">
        <f t="shared" si="61"/>
        <v>8.0755711248033393</v>
      </c>
      <c r="AB163" s="143">
        <f t="shared" si="61"/>
        <v>7.983803271112393</v>
      </c>
      <c r="AC163" s="143">
        <f t="shared" si="61"/>
        <v>7.8920354174214475</v>
      </c>
      <c r="AD163" s="143">
        <f t="shared" si="61"/>
        <v>7.8002675637304986</v>
      </c>
      <c r="AE163" s="143">
        <f t="shared" si="61"/>
        <v>7.7084997100395523</v>
      </c>
      <c r="AF163" s="143">
        <f t="shared" si="61"/>
        <v>7.6167318563486042</v>
      </c>
      <c r="AG163" s="143">
        <f t="shared" si="61"/>
        <v>7.5249640026576579</v>
      </c>
      <c r="AH163" s="143">
        <f t="shared" si="61"/>
        <v>7.4331961489667107</v>
      </c>
      <c r="AI163" s="143">
        <f t="shared" si="61"/>
        <v>7.3414282952757626</v>
      </c>
      <c r="AJ163" s="143">
        <f t="shared" si="61"/>
        <v>7.2496604415848163</v>
      </c>
      <c r="AK163" s="143">
        <f t="shared" si="61"/>
        <v>7.1578925878938691</v>
      </c>
      <c r="AL163" s="143">
        <f t="shared" si="61"/>
        <v>7.0661247342029219</v>
      </c>
      <c r="AM163" s="143">
        <f t="shared" si="61"/>
        <v>6.9743568805119747</v>
      </c>
      <c r="AN163" s="143">
        <f t="shared" si="61"/>
        <v>6.8825890268210266</v>
      </c>
      <c r="AO163" s="143">
        <f t="shared" si="61"/>
        <v>6.7908211731300803</v>
      </c>
      <c r="AP163" s="143">
        <f t="shared" si="61"/>
        <v>6.6990533194391331</v>
      </c>
      <c r="AQ163" s="143">
        <f t="shared" si="61"/>
        <v>6.6072854657481859</v>
      </c>
      <c r="AR163" s="143">
        <f t="shared" si="61"/>
        <v>6.5155176120572387</v>
      </c>
      <c r="AS163" s="143">
        <f t="shared" si="61"/>
        <v>6.4237497583662906</v>
      </c>
      <c r="AT163" s="143">
        <f t="shared" si="61"/>
        <v>6.3319819046753443</v>
      </c>
      <c r="AU163" s="143">
        <f t="shared" si="61"/>
        <v>6.240214050984398</v>
      </c>
      <c r="AV163" s="143">
        <f t="shared" si="61"/>
        <v>6.1484461972934508</v>
      </c>
    </row>
    <row r="164" spans="1:48">
      <c r="A164" t="s">
        <v>16</v>
      </c>
      <c r="B164" s="75" t="str">
        <f t="shared" si="59"/>
        <v>CEK</v>
      </c>
      <c r="C164" s="75" t="str">
        <f t="shared" si="60"/>
        <v>Commercial - Cooking</v>
      </c>
      <c r="E164" s="94"/>
      <c r="F164" s="94"/>
      <c r="I164" s="137"/>
      <c r="J164" s="143">
        <f t="shared" si="61"/>
        <v>7.9155998052238097</v>
      </c>
      <c r="K164" s="143">
        <f t="shared" si="61"/>
        <v>7.6602960607868127</v>
      </c>
      <c r="L164" s="143">
        <f t="shared" si="61"/>
        <v>7.4209982781273993</v>
      </c>
      <c r="M164" s="143">
        <f t="shared" si="61"/>
        <v>7.1637221242638089</v>
      </c>
      <c r="N164" s="143">
        <f t="shared" si="61"/>
        <v>6.8965908565615113</v>
      </c>
      <c r="O164" s="143">
        <f t="shared" si="61"/>
        <v>6.6022565793232646</v>
      </c>
      <c r="P164" s="143">
        <f t="shared" si="61"/>
        <v>6.5362340135300316</v>
      </c>
      <c r="Q164" s="143">
        <f t="shared" si="61"/>
        <v>6.4702114477367987</v>
      </c>
      <c r="R164" s="143">
        <f t="shared" si="61"/>
        <v>6.4041888819435666</v>
      </c>
      <c r="S164" s="143">
        <f t="shared" si="61"/>
        <v>6.3381663161503328</v>
      </c>
      <c r="T164" s="143">
        <f t="shared" si="61"/>
        <v>6.2721437503571007</v>
      </c>
      <c r="U164" s="143">
        <f t="shared" si="61"/>
        <v>6.2061211845638677</v>
      </c>
      <c r="V164" s="143">
        <f t="shared" si="61"/>
        <v>6.1400986187706357</v>
      </c>
      <c r="W164" s="143">
        <f t="shared" si="61"/>
        <v>6.0740760529774027</v>
      </c>
      <c r="X164" s="143">
        <f t="shared" si="61"/>
        <v>6.0080534871841698</v>
      </c>
      <c r="Y164" s="143">
        <f t="shared" si="61"/>
        <v>5.9420309213909377</v>
      </c>
      <c r="Z164" s="143">
        <f t="shared" si="61"/>
        <v>5.8760083555977047</v>
      </c>
      <c r="AA164" s="143">
        <f t="shared" si="61"/>
        <v>5.8099857898044709</v>
      </c>
      <c r="AB164" s="143">
        <f t="shared" si="61"/>
        <v>5.7439632240112397</v>
      </c>
      <c r="AC164" s="143">
        <f t="shared" si="61"/>
        <v>5.6779406582180076</v>
      </c>
      <c r="AD164" s="143">
        <f t="shared" si="61"/>
        <v>5.6119180924247738</v>
      </c>
      <c r="AE164" s="143">
        <f t="shared" si="61"/>
        <v>5.5458955266315417</v>
      </c>
      <c r="AF164" s="143">
        <f t="shared" si="61"/>
        <v>5.4798729608383079</v>
      </c>
      <c r="AG164" s="143">
        <f t="shared" si="61"/>
        <v>5.4138503950450758</v>
      </c>
      <c r="AH164" s="143">
        <f t="shared" si="61"/>
        <v>5.3478278292518437</v>
      </c>
      <c r="AI164" s="143">
        <f t="shared" si="61"/>
        <v>5.2818052634586099</v>
      </c>
      <c r="AJ164" s="143">
        <f t="shared" si="61"/>
        <v>5.2157826976653778</v>
      </c>
      <c r="AK164" s="143">
        <f t="shared" si="61"/>
        <v>5.1497601318721458</v>
      </c>
      <c r="AL164" s="143">
        <f t="shared" si="61"/>
        <v>5.0837375660789119</v>
      </c>
      <c r="AM164" s="143">
        <f t="shared" si="61"/>
        <v>5.0177150002856798</v>
      </c>
      <c r="AN164" s="143">
        <f t="shared" si="61"/>
        <v>4.951692434492446</v>
      </c>
      <c r="AO164" s="143">
        <f t="shared" si="61"/>
        <v>4.8856698686992139</v>
      </c>
      <c r="AP164" s="143">
        <f t="shared" si="61"/>
        <v>4.819647302905981</v>
      </c>
      <c r="AQ164" s="143">
        <f t="shared" si="61"/>
        <v>4.753624737112748</v>
      </c>
      <c r="AR164" s="143">
        <f t="shared" si="61"/>
        <v>4.687602171319516</v>
      </c>
      <c r="AS164" s="143">
        <f t="shared" si="61"/>
        <v>4.621579605526283</v>
      </c>
      <c r="AT164" s="143">
        <f t="shared" si="61"/>
        <v>4.5555570397330509</v>
      </c>
      <c r="AU164" s="143">
        <f t="shared" si="61"/>
        <v>4.489534473939818</v>
      </c>
      <c r="AV164" s="143">
        <f t="shared" si="61"/>
        <v>4.4235119081465859</v>
      </c>
    </row>
    <row r="165" spans="1:48">
      <c r="A165" t="s">
        <v>16</v>
      </c>
      <c r="B165" s="75" t="str">
        <f t="shared" si="59"/>
        <v>CEL</v>
      </c>
      <c r="C165" s="75" t="str">
        <f t="shared" si="60"/>
        <v>Commercial - Lighting</v>
      </c>
      <c r="E165" s="94"/>
      <c r="F165" s="94"/>
      <c r="I165" s="137"/>
      <c r="J165" s="143">
        <f t="shared" si="61"/>
        <v>97.232217524551132</v>
      </c>
      <c r="K165" s="143">
        <f t="shared" si="61"/>
        <v>94.604339953019476</v>
      </c>
      <c r="L165" s="143">
        <f t="shared" si="61"/>
        <v>92.185139933714609</v>
      </c>
      <c r="M165" s="143">
        <f t="shared" si="61"/>
        <v>89.554941492831063</v>
      </c>
      <c r="N165" s="143">
        <f t="shared" si="61"/>
        <v>86.813338903406418</v>
      </c>
      <c r="O165" s="143">
        <f t="shared" si="61"/>
        <v>83.739423817129037</v>
      </c>
      <c r="P165" s="143">
        <f t="shared" si="61"/>
        <v>82.902029578957737</v>
      </c>
      <c r="Q165" s="143">
        <f t="shared" si="61"/>
        <v>82.064635340786452</v>
      </c>
      <c r="R165" s="143">
        <f t="shared" si="61"/>
        <v>81.227241102615153</v>
      </c>
      <c r="S165" s="143">
        <f t="shared" si="61"/>
        <v>80.389846864443854</v>
      </c>
      <c r="T165" s="143">
        <f t="shared" si="61"/>
        <v>79.552452626272569</v>
      </c>
      <c r="U165" s="143">
        <f t="shared" si="61"/>
        <v>78.715058388101269</v>
      </c>
      <c r="V165" s="143">
        <f t="shared" si="61"/>
        <v>77.877664149929998</v>
      </c>
      <c r="W165" s="143">
        <f t="shared" si="61"/>
        <v>77.040269911758685</v>
      </c>
      <c r="X165" s="143">
        <f t="shared" si="61"/>
        <v>76.2028756735874</v>
      </c>
      <c r="Y165" s="143">
        <f t="shared" si="61"/>
        <v>75.365481435416115</v>
      </c>
      <c r="Z165" s="143">
        <f t="shared" si="61"/>
        <v>74.528087197244815</v>
      </c>
      <c r="AA165" s="143">
        <f t="shared" si="61"/>
        <v>73.69069295907353</v>
      </c>
      <c r="AB165" s="143">
        <f t="shared" si="61"/>
        <v>72.853298720902245</v>
      </c>
      <c r="AC165" s="143">
        <f t="shared" si="61"/>
        <v>72.01590448273096</v>
      </c>
      <c r="AD165" s="143">
        <f t="shared" si="61"/>
        <v>71.178510244559661</v>
      </c>
      <c r="AE165" s="143">
        <f t="shared" si="61"/>
        <v>70.341116006388376</v>
      </c>
      <c r="AF165" s="143">
        <f t="shared" si="61"/>
        <v>69.503721768217076</v>
      </c>
      <c r="AG165" s="143">
        <f t="shared" si="61"/>
        <v>68.666327530045791</v>
      </c>
      <c r="AH165" s="143">
        <f t="shared" si="61"/>
        <v>67.828933291874506</v>
      </c>
      <c r="AI165" s="143">
        <f t="shared" si="61"/>
        <v>66.991539053703193</v>
      </c>
      <c r="AJ165" s="143">
        <f t="shared" si="61"/>
        <v>66.154144815531922</v>
      </c>
      <c r="AK165" s="143">
        <f t="shared" si="61"/>
        <v>65.316750577360622</v>
      </c>
      <c r="AL165" s="143">
        <f t="shared" si="61"/>
        <v>64.479356339189337</v>
      </c>
      <c r="AM165" s="143">
        <f t="shared" si="61"/>
        <v>63.641962101018045</v>
      </c>
      <c r="AN165" s="143">
        <f t="shared" si="61"/>
        <v>62.804567862846753</v>
      </c>
      <c r="AO165" s="143">
        <f t="shared" si="61"/>
        <v>61.967173624675461</v>
      </c>
      <c r="AP165" s="143">
        <f t="shared" si="61"/>
        <v>61.129779386504168</v>
      </c>
      <c r="AQ165" s="143">
        <f t="shared" si="61"/>
        <v>60.292385148332876</v>
      </c>
      <c r="AR165" s="143">
        <f t="shared" si="61"/>
        <v>59.454990910161584</v>
      </c>
      <c r="AS165" s="143">
        <f t="shared" si="61"/>
        <v>58.617596671990292</v>
      </c>
      <c r="AT165" s="143">
        <f t="shared" si="61"/>
        <v>57.780202433819007</v>
      </c>
      <c r="AU165" s="143">
        <f t="shared" si="61"/>
        <v>56.942808195647721</v>
      </c>
      <c r="AV165" s="143">
        <f t="shared" si="61"/>
        <v>56.105413957476429</v>
      </c>
    </row>
    <row r="166" spans="1:48">
      <c r="A166" t="s">
        <v>16</v>
      </c>
      <c r="B166" s="75" t="str">
        <f t="shared" si="59"/>
        <v>CER</v>
      </c>
      <c r="C166" s="75" t="str">
        <f t="shared" si="60"/>
        <v>Commercial - Refrigeration</v>
      </c>
      <c r="E166" s="94"/>
      <c r="F166" s="94"/>
      <c r="I166" s="137"/>
      <c r="J166" s="143">
        <f t="shared" si="61"/>
        <v>23.653112298997645</v>
      </c>
      <c r="K166" s="143">
        <f t="shared" si="61"/>
        <v>23.013843907409626</v>
      </c>
      <c r="L166" s="143">
        <f t="shared" si="61"/>
        <v>22.425339282222957</v>
      </c>
      <c r="M166" s="143">
        <f t="shared" si="61"/>
        <v>21.785506306335531</v>
      </c>
      <c r="N166" s="143">
        <f t="shared" si="61"/>
        <v>21.118572695462056</v>
      </c>
      <c r="O166" s="143">
        <f t="shared" si="61"/>
        <v>20.370799369044367</v>
      </c>
      <c r="P166" s="143">
        <f t="shared" si="61"/>
        <v>20.16709137535392</v>
      </c>
      <c r="Q166" s="143">
        <f t="shared" si="61"/>
        <v>19.963383381663476</v>
      </c>
      <c r="R166" s="143">
        <f t="shared" si="61"/>
        <v>19.759675387973033</v>
      </c>
      <c r="S166" s="143">
        <f t="shared" si="61"/>
        <v>19.55596739428259</v>
      </c>
      <c r="T166" s="143">
        <f t="shared" si="61"/>
        <v>19.352259400592146</v>
      </c>
      <c r="U166" s="143">
        <f t="shared" si="61"/>
        <v>19.148551406901699</v>
      </c>
      <c r="V166" s="143">
        <f t="shared" si="61"/>
        <v>18.94484341321126</v>
      </c>
      <c r="W166" s="143">
        <f t="shared" si="61"/>
        <v>18.741135419520813</v>
      </c>
      <c r="X166" s="143">
        <f t="shared" si="61"/>
        <v>18.537427425830369</v>
      </c>
      <c r="Y166" s="143">
        <f t="shared" si="61"/>
        <v>18.333719432139926</v>
      </c>
      <c r="Z166" s="143">
        <f t="shared" si="61"/>
        <v>18.130011438449486</v>
      </c>
      <c r="AA166" s="143">
        <f t="shared" si="61"/>
        <v>17.926303444759036</v>
      </c>
      <c r="AB166" s="143">
        <f t="shared" si="61"/>
        <v>17.722595451068596</v>
      </c>
      <c r="AC166" s="143">
        <f t="shared" si="61"/>
        <v>17.518887457378153</v>
      </c>
      <c r="AD166" s="143">
        <f t="shared" si="61"/>
        <v>17.315179463687706</v>
      </c>
      <c r="AE166" s="143">
        <f t="shared" si="61"/>
        <v>17.111471469997266</v>
      </c>
      <c r="AF166" s="143">
        <f t="shared" si="61"/>
        <v>16.907763476306819</v>
      </c>
      <c r="AG166" s="143">
        <f t="shared" si="61"/>
        <v>16.704055482616376</v>
      </c>
      <c r="AH166" s="143">
        <f t="shared" si="61"/>
        <v>16.500347488925936</v>
      </c>
      <c r="AI166" s="143">
        <f t="shared" si="61"/>
        <v>16.296639495235485</v>
      </c>
      <c r="AJ166" s="143">
        <f t="shared" si="61"/>
        <v>16.092931501545046</v>
      </c>
      <c r="AK166" s="143">
        <f t="shared" si="61"/>
        <v>15.8892235078546</v>
      </c>
      <c r="AL166" s="143">
        <f t="shared" si="61"/>
        <v>15.685515514164157</v>
      </c>
      <c r="AM166" s="143">
        <f t="shared" si="61"/>
        <v>15.481807520473712</v>
      </c>
      <c r="AN166" s="143">
        <f t="shared" si="61"/>
        <v>15.278099526783267</v>
      </c>
      <c r="AO166" s="143">
        <f t="shared" si="61"/>
        <v>15.074391533092825</v>
      </c>
      <c r="AP166" s="143">
        <f t="shared" si="61"/>
        <v>14.87068353940238</v>
      </c>
      <c r="AQ166" s="143">
        <f t="shared" si="61"/>
        <v>14.666975545711935</v>
      </c>
      <c r="AR166" s="143">
        <f t="shared" si="61"/>
        <v>14.463267552021492</v>
      </c>
      <c r="AS166" s="143">
        <f t="shared" si="61"/>
        <v>14.259559558331048</v>
      </c>
      <c r="AT166" s="143">
        <f t="shared" si="61"/>
        <v>14.055851564640607</v>
      </c>
      <c r="AU166" s="143">
        <f t="shared" si="61"/>
        <v>13.852143570950162</v>
      </c>
      <c r="AV166" s="143">
        <f t="shared" si="61"/>
        <v>13.648435577259718</v>
      </c>
    </row>
    <row r="167" spans="1:48">
      <c r="A167" t="s">
        <v>16</v>
      </c>
      <c r="B167" s="75" t="str">
        <f t="shared" si="59"/>
        <v>CEW</v>
      </c>
      <c r="C167" s="75" t="str">
        <f t="shared" si="60"/>
        <v>Commercial - Water Heating</v>
      </c>
      <c r="E167" s="94"/>
      <c r="F167" s="94"/>
      <c r="I167" s="137"/>
      <c r="J167" s="143">
        <f t="shared" si="61"/>
        <v>7.7464872184600253</v>
      </c>
      <c r="K167" s="143">
        <f t="shared" si="61"/>
        <v>7.7389004031141262</v>
      </c>
      <c r="L167" s="143">
        <f t="shared" si="61"/>
        <v>7.7527299962437377</v>
      </c>
      <c r="M167" s="143">
        <f t="shared" si="61"/>
        <v>7.7536568319822834</v>
      </c>
      <c r="N167" s="143">
        <f t="shared" si="61"/>
        <v>7.7495406450789259</v>
      </c>
      <c r="O167" s="143">
        <f t="shared" si="61"/>
        <v>7.7196792960651583</v>
      </c>
      <c r="P167" s="143">
        <f t="shared" si="61"/>
        <v>7.6424825031045067</v>
      </c>
      <c r="Q167" s="143">
        <f t="shared" si="61"/>
        <v>7.5652857101438551</v>
      </c>
      <c r="R167" s="143">
        <f t="shared" si="61"/>
        <v>7.4880889171832035</v>
      </c>
      <c r="S167" s="143">
        <f t="shared" si="61"/>
        <v>7.4108921242225518</v>
      </c>
      <c r="T167" s="143">
        <f t="shared" si="61"/>
        <v>7.3336953312619002</v>
      </c>
      <c r="U167" s="143">
        <f t="shared" si="61"/>
        <v>7.2564985383012477</v>
      </c>
      <c r="V167" s="143">
        <f t="shared" si="61"/>
        <v>7.179301745340597</v>
      </c>
      <c r="W167" s="143">
        <f t="shared" si="61"/>
        <v>7.1021049523799435</v>
      </c>
      <c r="X167" s="143">
        <f t="shared" si="61"/>
        <v>7.0249081594192937</v>
      </c>
      <c r="Y167" s="143">
        <f t="shared" si="61"/>
        <v>6.9477113664586412</v>
      </c>
      <c r="Z167" s="143">
        <f t="shared" si="61"/>
        <v>6.8705145734979896</v>
      </c>
      <c r="AA167" s="143">
        <f t="shared" si="61"/>
        <v>6.793317780537337</v>
      </c>
      <c r="AB167" s="143">
        <f t="shared" si="61"/>
        <v>6.7161209875766863</v>
      </c>
      <c r="AC167" s="143">
        <f t="shared" si="61"/>
        <v>6.6389241946160356</v>
      </c>
      <c r="AD167" s="143">
        <f t="shared" si="61"/>
        <v>6.561727401655383</v>
      </c>
      <c r="AE167" s="143">
        <f t="shared" si="61"/>
        <v>6.4845306086947323</v>
      </c>
      <c r="AF167" s="143">
        <f t="shared" si="61"/>
        <v>6.4073338157340798</v>
      </c>
      <c r="AG167" s="143">
        <f t="shared" si="61"/>
        <v>6.330137022773429</v>
      </c>
      <c r="AH167" s="143">
        <f t="shared" si="61"/>
        <v>6.2529402298127774</v>
      </c>
      <c r="AI167" s="143">
        <f t="shared" si="61"/>
        <v>6.175743436852124</v>
      </c>
      <c r="AJ167" s="143">
        <f t="shared" si="61"/>
        <v>6.0985466438914733</v>
      </c>
      <c r="AK167" s="143">
        <f t="shared" si="61"/>
        <v>6.0213498509308216</v>
      </c>
      <c r="AL167" s="143">
        <f t="shared" si="61"/>
        <v>5.94415305797017</v>
      </c>
      <c r="AM167" s="143">
        <f t="shared" si="61"/>
        <v>5.8669562650095184</v>
      </c>
      <c r="AN167" s="143">
        <f t="shared" si="61"/>
        <v>5.7897594720488668</v>
      </c>
      <c r="AO167" s="143">
        <f t="shared" si="61"/>
        <v>5.7125626790882151</v>
      </c>
      <c r="AP167" s="143">
        <f t="shared" si="61"/>
        <v>5.6353658861275635</v>
      </c>
      <c r="AQ167" s="143">
        <f t="shared" si="61"/>
        <v>5.5581690931669119</v>
      </c>
      <c r="AR167" s="143">
        <f t="shared" si="61"/>
        <v>5.4809723002062603</v>
      </c>
      <c r="AS167" s="143">
        <f t="shared" si="61"/>
        <v>5.4037755072456086</v>
      </c>
      <c r="AT167" s="143">
        <f t="shared" si="61"/>
        <v>5.3265787142849579</v>
      </c>
      <c r="AU167" s="143">
        <f t="shared" si="61"/>
        <v>5.2493819213243054</v>
      </c>
      <c r="AV167" s="143">
        <f t="shared" si="61"/>
        <v>5.1721851283636537</v>
      </c>
    </row>
    <row r="168" spans="1:48">
      <c r="A168" t="s">
        <v>16</v>
      </c>
      <c r="B168" s="75" t="str">
        <f t="shared" si="59"/>
        <v>CEG</v>
      </c>
      <c r="C168" s="75" t="str">
        <f t="shared" si="60"/>
        <v>Commercial - Public lights</v>
      </c>
      <c r="E168" s="94"/>
      <c r="F168" s="94"/>
      <c r="I168" s="137"/>
      <c r="J168" s="143">
        <f t="shared" si="61"/>
        <v>0</v>
      </c>
      <c r="K168" s="143">
        <f t="shared" si="61"/>
        <v>0</v>
      </c>
      <c r="L168" s="143">
        <f t="shared" si="61"/>
        <v>0</v>
      </c>
      <c r="M168" s="143">
        <f t="shared" si="61"/>
        <v>0</v>
      </c>
      <c r="N168" s="143">
        <f t="shared" si="61"/>
        <v>0</v>
      </c>
      <c r="O168" s="143">
        <f t="shared" si="61"/>
        <v>0</v>
      </c>
      <c r="P168" s="143">
        <f t="shared" si="61"/>
        <v>0</v>
      </c>
      <c r="Q168" s="143">
        <f t="shared" si="61"/>
        <v>0</v>
      </c>
      <c r="R168" s="143">
        <f t="shared" si="61"/>
        <v>0</v>
      </c>
      <c r="S168" s="143">
        <f t="shared" si="61"/>
        <v>0</v>
      </c>
      <c r="T168" s="143">
        <f t="shared" si="61"/>
        <v>0</v>
      </c>
      <c r="U168" s="143">
        <f t="shared" si="61"/>
        <v>0</v>
      </c>
      <c r="V168" s="143">
        <f t="shared" si="61"/>
        <v>0</v>
      </c>
      <c r="W168" s="143">
        <f t="shared" si="61"/>
        <v>0</v>
      </c>
      <c r="X168" s="143">
        <f t="shared" si="61"/>
        <v>0</v>
      </c>
      <c r="Y168" s="143">
        <f t="shared" si="61"/>
        <v>0</v>
      </c>
      <c r="Z168" s="143">
        <f t="shared" si="61"/>
        <v>0</v>
      </c>
      <c r="AA168" s="143">
        <f t="shared" si="61"/>
        <v>0</v>
      </c>
      <c r="AB168" s="143">
        <f t="shared" si="61"/>
        <v>0</v>
      </c>
      <c r="AC168" s="143">
        <f t="shared" si="61"/>
        <v>0</v>
      </c>
      <c r="AD168" s="143">
        <f t="shared" si="61"/>
        <v>0</v>
      </c>
      <c r="AE168" s="143">
        <f t="shared" si="61"/>
        <v>0</v>
      </c>
      <c r="AF168" s="143">
        <f t="shared" ref="AF168:AV168" si="62">AF$35*AF76/1000</f>
        <v>0</v>
      </c>
      <c r="AG168" s="143">
        <f t="shared" si="62"/>
        <v>0</v>
      </c>
      <c r="AH168" s="143">
        <f t="shared" si="62"/>
        <v>0</v>
      </c>
      <c r="AI168" s="143">
        <f t="shared" si="62"/>
        <v>0</v>
      </c>
      <c r="AJ168" s="143">
        <f t="shared" si="62"/>
        <v>0</v>
      </c>
      <c r="AK168" s="143">
        <f t="shared" si="62"/>
        <v>0</v>
      </c>
      <c r="AL168" s="143">
        <f t="shared" si="62"/>
        <v>0</v>
      </c>
      <c r="AM168" s="143">
        <f t="shared" si="62"/>
        <v>0</v>
      </c>
      <c r="AN168" s="143">
        <f t="shared" si="62"/>
        <v>0</v>
      </c>
      <c r="AO168" s="143">
        <f t="shared" si="62"/>
        <v>0</v>
      </c>
      <c r="AP168" s="143">
        <f t="shared" si="62"/>
        <v>0</v>
      </c>
      <c r="AQ168" s="143">
        <f t="shared" si="62"/>
        <v>0</v>
      </c>
      <c r="AR168" s="143">
        <f t="shared" si="62"/>
        <v>0</v>
      </c>
      <c r="AS168" s="143">
        <f t="shared" si="62"/>
        <v>0</v>
      </c>
      <c r="AT168" s="143">
        <f t="shared" si="62"/>
        <v>0</v>
      </c>
      <c r="AU168" s="143">
        <f t="shared" si="62"/>
        <v>0</v>
      </c>
      <c r="AV168" s="143">
        <f t="shared" si="62"/>
        <v>0</v>
      </c>
    </row>
    <row r="169" spans="1:48">
      <c r="A169" t="s">
        <v>16</v>
      </c>
      <c r="B169" s="75" t="str">
        <f t="shared" si="59"/>
        <v>CET</v>
      </c>
      <c r="C169" s="75" t="str">
        <f t="shared" si="60"/>
        <v>Commercial - Public Water</v>
      </c>
      <c r="E169" s="94"/>
      <c r="F169" s="94"/>
      <c r="I169" s="137"/>
      <c r="J169" s="143">
        <f t="shared" ref="J169:AV170" si="63">J$35*J77/1000</f>
        <v>0</v>
      </c>
      <c r="K169" s="143">
        <f t="shared" si="63"/>
        <v>0</v>
      </c>
      <c r="L169" s="143">
        <f t="shared" si="63"/>
        <v>0</v>
      </c>
      <c r="M169" s="143">
        <f t="shared" si="63"/>
        <v>0</v>
      </c>
      <c r="N169" s="143">
        <f t="shared" si="63"/>
        <v>0</v>
      </c>
      <c r="O169" s="143">
        <f t="shared" si="63"/>
        <v>0</v>
      </c>
      <c r="P169" s="143">
        <f t="shared" si="63"/>
        <v>0</v>
      </c>
      <c r="Q169" s="143">
        <f t="shared" si="63"/>
        <v>0</v>
      </c>
      <c r="R169" s="143">
        <f t="shared" si="63"/>
        <v>0</v>
      </c>
      <c r="S169" s="143">
        <f t="shared" si="63"/>
        <v>0</v>
      </c>
      <c r="T169" s="143">
        <f t="shared" si="63"/>
        <v>0</v>
      </c>
      <c r="U169" s="143">
        <f t="shared" si="63"/>
        <v>0</v>
      </c>
      <c r="V169" s="143">
        <f t="shared" si="63"/>
        <v>0</v>
      </c>
      <c r="W169" s="143">
        <f t="shared" si="63"/>
        <v>0</v>
      </c>
      <c r="X169" s="143">
        <f t="shared" si="63"/>
        <v>0</v>
      </c>
      <c r="Y169" s="143">
        <f t="shared" si="63"/>
        <v>0</v>
      </c>
      <c r="Z169" s="143">
        <f t="shared" si="63"/>
        <v>0</v>
      </c>
      <c r="AA169" s="143">
        <f t="shared" si="63"/>
        <v>0</v>
      </c>
      <c r="AB169" s="143">
        <f t="shared" si="63"/>
        <v>0</v>
      </c>
      <c r="AC169" s="143">
        <f t="shared" si="63"/>
        <v>0</v>
      </c>
      <c r="AD169" s="143">
        <f t="shared" si="63"/>
        <v>0</v>
      </c>
      <c r="AE169" s="143">
        <f t="shared" si="63"/>
        <v>0</v>
      </c>
      <c r="AF169" s="143">
        <f t="shared" si="63"/>
        <v>0</v>
      </c>
      <c r="AG169" s="143">
        <f t="shared" si="63"/>
        <v>0</v>
      </c>
      <c r="AH169" s="143">
        <f t="shared" si="63"/>
        <v>0</v>
      </c>
      <c r="AI169" s="143">
        <f t="shared" si="63"/>
        <v>0</v>
      </c>
      <c r="AJ169" s="143">
        <f t="shared" si="63"/>
        <v>0</v>
      </c>
      <c r="AK169" s="143">
        <f t="shared" si="63"/>
        <v>0</v>
      </c>
      <c r="AL169" s="143">
        <f t="shared" si="63"/>
        <v>0</v>
      </c>
      <c r="AM169" s="143">
        <f t="shared" si="63"/>
        <v>0</v>
      </c>
      <c r="AN169" s="143">
        <f t="shared" si="63"/>
        <v>0</v>
      </c>
      <c r="AO169" s="143">
        <f t="shared" si="63"/>
        <v>0</v>
      </c>
      <c r="AP169" s="143">
        <f t="shared" si="63"/>
        <v>0</v>
      </c>
      <c r="AQ169" s="143">
        <f t="shared" si="63"/>
        <v>0</v>
      </c>
      <c r="AR169" s="143">
        <f t="shared" si="63"/>
        <v>0</v>
      </c>
      <c r="AS169" s="143">
        <f t="shared" si="63"/>
        <v>0</v>
      </c>
      <c r="AT169" s="143">
        <f t="shared" si="63"/>
        <v>0</v>
      </c>
      <c r="AU169" s="143">
        <f t="shared" si="63"/>
        <v>0</v>
      </c>
      <c r="AV169" s="143">
        <f t="shared" si="63"/>
        <v>0</v>
      </c>
    </row>
    <row r="170" spans="1:48">
      <c r="A170" t="s">
        <v>16</v>
      </c>
      <c r="B170" s="75" t="str">
        <f t="shared" si="59"/>
        <v>CEO</v>
      </c>
      <c r="C170" s="75" t="str">
        <f t="shared" si="60"/>
        <v>Commercial - Other</v>
      </c>
      <c r="E170" s="94"/>
      <c r="F170" s="94"/>
      <c r="I170" s="137"/>
      <c r="J170" s="143">
        <f t="shared" si="63"/>
        <v>15.008147485663144</v>
      </c>
      <c r="K170" s="143">
        <f t="shared" si="63"/>
        <v>14.732255355321049</v>
      </c>
      <c r="L170" s="143">
        <f t="shared" si="63"/>
        <v>14.491653750906853</v>
      </c>
      <c r="M170" s="143">
        <f t="shared" si="63"/>
        <v>14.220996053492581</v>
      </c>
      <c r="N170" s="143">
        <f t="shared" si="63"/>
        <v>13.935606822069881</v>
      </c>
      <c r="O170" s="143">
        <f t="shared" si="63"/>
        <v>13.599393396635234</v>
      </c>
      <c r="P170" s="143">
        <f t="shared" si="63"/>
        <v>13.463399462668882</v>
      </c>
      <c r="Q170" s="143">
        <f t="shared" si="63"/>
        <v>13.327405528702529</v>
      </c>
      <c r="R170" s="143">
        <f t="shared" si="63"/>
        <v>13.191411594736177</v>
      </c>
      <c r="S170" s="143">
        <f t="shared" si="63"/>
        <v>13.055417660769825</v>
      </c>
      <c r="T170" s="143">
        <f t="shared" si="63"/>
        <v>12.919423726803473</v>
      </c>
      <c r="U170" s="143">
        <f t="shared" si="63"/>
        <v>12.78342979283712</v>
      </c>
      <c r="V170" s="143">
        <f t="shared" si="63"/>
        <v>12.647435858870768</v>
      </c>
      <c r="W170" s="143">
        <f t="shared" si="63"/>
        <v>12.511441924904414</v>
      </c>
      <c r="X170" s="143">
        <f t="shared" si="63"/>
        <v>12.375447990938062</v>
      </c>
      <c r="Y170" s="143">
        <f t="shared" si="63"/>
        <v>12.239454056971709</v>
      </c>
      <c r="Z170" s="143">
        <f t="shared" si="63"/>
        <v>12.103460123005357</v>
      </c>
      <c r="AA170" s="143">
        <f t="shared" si="63"/>
        <v>11.967466189039003</v>
      </c>
      <c r="AB170" s="143">
        <f t="shared" si="63"/>
        <v>11.831472255072653</v>
      </c>
      <c r="AC170" s="143">
        <f t="shared" si="63"/>
        <v>11.695478321106302</v>
      </c>
      <c r="AD170" s="143">
        <f t="shared" si="63"/>
        <v>11.559484387139948</v>
      </c>
      <c r="AE170" s="143">
        <f t="shared" si="63"/>
        <v>11.423490453173596</v>
      </c>
      <c r="AF170" s="143">
        <f t="shared" si="63"/>
        <v>11.287496519207242</v>
      </c>
      <c r="AG170" s="143">
        <f t="shared" si="63"/>
        <v>11.151502585240891</v>
      </c>
      <c r="AH170" s="143">
        <f t="shared" si="63"/>
        <v>11.015508651274539</v>
      </c>
      <c r="AI170" s="143">
        <f t="shared" si="63"/>
        <v>10.879514717308185</v>
      </c>
      <c r="AJ170" s="143">
        <f t="shared" si="63"/>
        <v>10.743520783341834</v>
      </c>
      <c r="AK170" s="143">
        <f t="shared" si="63"/>
        <v>10.607526849375482</v>
      </c>
      <c r="AL170" s="143">
        <f t="shared" si="63"/>
        <v>10.471532915409128</v>
      </c>
      <c r="AM170" s="143">
        <f t="shared" si="63"/>
        <v>10.335538981442774</v>
      </c>
      <c r="AN170" s="143">
        <f t="shared" si="63"/>
        <v>10.199545047476422</v>
      </c>
      <c r="AO170" s="143">
        <f t="shared" si="63"/>
        <v>10.063551113510069</v>
      </c>
      <c r="AP170" s="143">
        <f t="shared" si="63"/>
        <v>9.927557179543717</v>
      </c>
      <c r="AQ170" s="143">
        <f t="shared" si="63"/>
        <v>9.7915632455773647</v>
      </c>
      <c r="AR170" s="143">
        <f t="shared" si="63"/>
        <v>9.6555693116110124</v>
      </c>
      <c r="AS170" s="143">
        <f t="shared" si="63"/>
        <v>9.5195753776446601</v>
      </c>
      <c r="AT170" s="143">
        <f t="shared" si="63"/>
        <v>9.3835814436783096</v>
      </c>
      <c r="AU170" s="143">
        <f t="shared" si="63"/>
        <v>9.2475875097119555</v>
      </c>
      <c r="AV170" s="143">
        <f t="shared" si="63"/>
        <v>9.1115935757456032</v>
      </c>
    </row>
    <row r="171" spans="1:48">
      <c r="A171" t="s">
        <v>16</v>
      </c>
      <c r="E171" s="94"/>
      <c r="F171" s="94"/>
      <c r="I171" s="137"/>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row>
    <row r="172" spans="1:48">
      <c r="A172" t="s">
        <v>16</v>
      </c>
      <c r="E172" s="94"/>
      <c r="F172" s="94"/>
      <c r="I172" s="141"/>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row>
    <row r="173" spans="1:48" ht="15.75" thickBot="1">
      <c r="A173" t="s">
        <v>16</v>
      </c>
      <c r="B173" s="142" t="s">
        <v>483</v>
      </c>
      <c r="C173" s="73"/>
      <c r="D173" s="73"/>
      <c r="I173" s="141" t="s">
        <v>109</v>
      </c>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row>
    <row r="174" spans="1:48">
      <c r="A174" t="s">
        <v>16</v>
      </c>
      <c r="B174" s="75" t="str">
        <f t="shared" ref="B174:B182" si="64">B105</f>
        <v>CNC</v>
      </c>
      <c r="C174" s="75" t="str">
        <f t="shared" ref="C174:C182" si="65">C162</f>
        <v>Commercial - Cooling</v>
      </c>
      <c r="E174" s="94"/>
      <c r="F174" s="94"/>
      <c r="I174" s="141"/>
      <c r="J174" s="143">
        <f t="shared" ref="J174:Y182" si="66">INDEX(J$49:J$52,MATCH($I$173,$B$49:$B$52,0),1)*INDEX(J$81:J$89,MATCH($B174,$B$81:$B$89,0))*INDEX(J$105:J$113,MATCH($B174,$B$105:$B$113,0))/1000</f>
        <v>0</v>
      </c>
      <c r="K174" s="143">
        <f t="shared" si="66"/>
        <v>0</v>
      </c>
      <c r="L174" s="143">
        <f t="shared" si="66"/>
        <v>0</v>
      </c>
      <c r="M174" s="143">
        <f t="shared" si="66"/>
        <v>0</v>
      </c>
      <c r="N174" s="143">
        <f t="shared" si="66"/>
        <v>0</v>
      </c>
      <c r="O174" s="143">
        <f t="shared" si="66"/>
        <v>0</v>
      </c>
      <c r="P174" s="143">
        <f t="shared" si="66"/>
        <v>0</v>
      </c>
      <c r="Q174" s="143">
        <f t="shared" si="66"/>
        <v>0</v>
      </c>
      <c r="R174" s="143">
        <f t="shared" si="66"/>
        <v>0</v>
      </c>
      <c r="S174" s="143">
        <f t="shared" si="66"/>
        <v>0</v>
      </c>
      <c r="T174" s="143">
        <f t="shared" si="66"/>
        <v>0</v>
      </c>
      <c r="U174" s="143">
        <f t="shared" si="66"/>
        <v>0</v>
      </c>
      <c r="V174" s="143">
        <f t="shared" si="66"/>
        <v>0</v>
      </c>
      <c r="W174" s="143">
        <f t="shared" si="66"/>
        <v>0</v>
      </c>
      <c r="X174" s="143">
        <f t="shared" si="66"/>
        <v>0</v>
      </c>
      <c r="Y174" s="143">
        <f t="shared" si="66"/>
        <v>0</v>
      </c>
      <c r="Z174" s="143">
        <f t="shared" ref="Z174:AO182" si="67">INDEX(Z$49:Z$52,MATCH($I$173,$B$49:$B$52,0),1)*INDEX(Z$81:Z$89,MATCH($B174,$B$81:$B$89,0))*INDEX(Z$105:Z$113,MATCH($B174,$B$105:$B$113,0))/1000</f>
        <v>0</v>
      </c>
      <c r="AA174" s="143">
        <f t="shared" si="67"/>
        <v>0</v>
      </c>
      <c r="AB174" s="143">
        <f t="shared" si="67"/>
        <v>0</v>
      </c>
      <c r="AC174" s="143">
        <f t="shared" si="67"/>
        <v>0</v>
      </c>
      <c r="AD174" s="143">
        <f t="shared" si="67"/>
        <v>0</v>
      </c>
      <c r="AE174" s="143">
        <f t="shared" si="67"/>
        <v>0</v>
      </c>
      <c r="AF174" s="143">
        <f t="shared" si="67"/>
        <v>0</v>
      </c>
      <c r="AG174" s="143">
        <f t="shared" si="67"/>
        <v>0</v>
      </c>
      <c r="AH174" s="143">
        <f t="shared" si="67"/>
        <v>0</v>
      </c>
      <c r="AI174" s="143">
        <f t="shared" si="67"/>
        <v>0</v>
      </c>
      <c r="AJ174" s="143">
        <f t="shared" si="67"/>
        <v>0</v>
      </c>
      <c r="AK174" s="143">
        <f t="shared" si="67"/>
        <v>0</v>
      </c>
      <c r="AL174" s="143">
        <f t="shared" si="67"/>
        <v>0</v>
      </c>
      <c r="AM174" s="143">
        <f t="shared" si="67"/>
        <v>0</v>
      </c>
      <c r="AN174" s="143">
        <f t="shared" si="67"/>
        <v>0</v>
      </c>
      <c r="AO174" s="143">
        <f t="shared" si="67"/>
        <v>0</v>
      </c>
      <c r="AP174" s="143">
        <f t="shared" ref="AN174:AV182" si="68">INDEX(AP$49:AP$52,MATCH($I$173,$B$49:$B$52,0),1)*INDEX(AP$81:AP$89,MATCH($B174,$B$81:$B$89,0))*INDEX(AP$105:AP$113,MATCH($B174,$B$105:$B$113,0))/1000</f>
        <v>0</v>
      </c>
      <c r="AQ174" s="143">
        <f t="shared" si="68"/>
        <v>0</v>
      </c>
      <c r="AR174" s="143">
        <f t="shared" si="68"/>
        <v>0</v>
      </c>
      <c r="AS174" s="143">
        <f t="shared" si="68"/>
        <v>0</v>
      </c>
      <c r="AT174" s="143">
        <f t="shared" si="68"/>
        <v>0</v>
      </c>
      <c r="AU174" s="143">
        <f t="shared" si="68"/>
        <v>0</v>
      </c>
      <c r="AV174" s="143">
        <f t="shared" si="68"/>
        <v>0</v>
      </c>
    </row>
    <row r="175" spans="1:48">
      <c r="A175" t="s">
        <v>16</v>
      </c>
      <c r="B175" s="75" t="str">
        <f t="shared" si="64"/>
        <v>CNH</v>
      </c>
      <c r="C175" s="75" t="str">
        <f t="shared" si="65"/>
        <v>Commercial - Space Heating</v>
      </c>
      <c r="E175" s="94"/>
      <c r="F175" s="94"/>
      <c r="I175" s="141"/>
      <c r="J175" s="143">
        <f t="shared" si="66"/>
        <v>0</v>
      </c>
      <c r="K175" s="143">
        <f t="shared" si="66"/>
        <v>0</v>
      </c>
      <c r="L175" s="143">
        <f t="shared" si="66"/>
        <v>0</v>
      </c>
      <c r="M175" s="143">
        <f t="shared" si="66"/>
        <v>0</v>
      </c>
      <c r="N175" s="143">
        <f t="shared" si="66"/>
        <v>0</v>
      </c>
      <c r="O175" s="143">
        <f t="shared" si="66"/>
        <v>0</v>
      </c>
      <c r="P175" s="143">
        <f t="shared" si="66"/>
        <v>0</v>
      </c>
      <c r="Q175" s="143">
        <f t="shared" si="66"/>
        <v>0</v>
      </c>
      <c r="R175" s="143">
        <f t="shared" si="66"/>
        <v>0</v>
      </c>
      <c r="S175" s="143">
        <f t="shared" si="66"/>
        <v>0</v>
      </c>
      <c r="T175" s="143">
        <f t="shared" si="66"/>
        <v>0</v>
      </c>
      <c r="U175" s="143">
        <f t="shared" si="66"/>
        <v>0</v>
      </c>
      <c r="V175" s="143">
        <f t="shared" si="66"/>
        <v>0</v>
      </c>
      <c r="W175" s="143">
        <f t="shared" si="66"/>
        <v>0</v>
      </c>
      <c r="X175" s="143">
        <f t="shared" si="66"/>
        <v>0</v>
      </c>
      <c r="Y175" s="143">
        <f t="shared" si="66"/>
        <v>0</v>
      </c>
      <c r="Z175" s="143">
        <f t="shared" si="67"/>
        <v>0</v>
      </c>
      <c r="AA175" s="143">
        <f t="shared" si="67"/>
        <v>0</v>
      </c>
      <c r="AB175" s="143">
        <f t="shared" si="67"/>
        <v>0</v>
      </c>
      <c r="AC175" s="143">
        <f t="shared" si="67"/>
        <v>0</v>
      </c>
      <c r="AD175" s="143">
        <f t="shared" si="67"/>
        <v>0</v>
      </c>
      <c r="AE175" s="143">
        <f t="shared" si="67"/>
        <v>0</v>
      </c>
      <c r="AF175" s="143">
        <f t="shared" si="67"/>
        <v>0</v>
      </c>
      <c r="AG175" s="143">
        <f t="shared" si="67"/>
        <v>0</v>
      </c>
      <c r="AH175" s="143">
        <f t="shared" si="67"/>
        <v>0</v>
      </c>
      <c r="AI175" s="143">
        <f t="shared" si="67"/>
        <v>0</v>
      </c>
      <c r="AJ175" s="143">
        <f t="shared" si="67"/>
        <v>0</v>
      </c>
      <c r="AK175" s="143">
        <f t="shared" si="67"/>
        <v>0</v>
      </c>
      <c r="AL175" s="143">
        <f t="shared" si="67"/>
        <v>0</v>
      </c>
      <c r="AM175" s="143">
        <f t="shared" si="67"/>
        <v>0</v>
      </c>
      <c r="AN175" s="143">
        <f t="shared" si="68"/>
        <v>0</v>
      </c>
      <c r="AO175" s="143">
        <f t="shared" si="68"/>
        <v>0</v>
      </c>
      <c r="AP175" s="143">
        <f t="shared" si="68"/>
        <v>0</v>
      </c>
      <c r="AQ175" s="143">
        <f t="shared" si="68"/>
        <v>0</v>
      </c>
      <c r="AR175" s="143">
        <f t="shared" si="68"/>
        <v>0</v>
      </c>
      <c r="AS175" s="143">
        <f t="shared" si="68"/>
        <v>0</v>
      </c>
      <c r="AT175" s="143">
        <f t="shared" si="68"/>
        <v>0</v>
      </c>
      <c r="AU175" s="143">
        <f t="shared" si="68"/>
        <v>0</v>
      </c>
      <c r="AV175" s="143">
        <f t="shared" si="68"/>
        <v>0</v>
      </c>
    </row>
    <row r="176" spans="1:48">
      <c r="A176" t="s">
        <v>16</v>
      </c>
      <c r="B176" s="75" t="str">
        <f t="shared" si="64"/>
        <v>CNK</v>
      </c>
      <c r="C176" s="75" t="str">
        <f t="shared" si="65"/>
        <v>Commercial - Cooking</v>
      </c>
      <c r="E176" s="94"/>
      <c r="F176" s="94"/>
      <c r="I176" s="141"/>
      <c r="J176" s="143">
        <f t="shared" si="66"/>
        <v>0</v>
      </c>
      <c r="K176" s="143">
        <f t="shared" si="66"/>
        <v>0</v>
      </c>
      <c r="L176" s="143">
        <f t="shared" si="66"/>
        <v>0</v>
      </c>
      <c r="M176" s="143">
        <f t="shared" si="66"/>
        <v>0</v>
      </c>
      <c r="N176" s="143">
        <f t="shared" si="66"/>
        <v>0</v>
      </c>
      <c r="O176" s="143">
        <f t="shared" si="66"/>
        <v>0</v>
      </c>
      <c r="P176" s="143">
        <f t="shared" si="66"/>
        <v>0</v>
      </c>
      <c r="Q176" s="143">
        <f t="shared" si="66"/>
        <v>0</v>
      </c>
      <c r="R176" s="143">
        <f t="shared" si="66"/>
        <v>0</v>
      </c>
      <c r="S176" s="143">
        <f t="shared" si="66"/>
        <v>0</v>
      </c>
      <c r="T176" s="143">
        <f t="shared" si="66"/>
        <v>0</v>
      </c>
      <c r="U176" s="143">
        <f t="shared" si="66"/>
        <v>0</v>
      </c>
      <c r="V176" s="143">
        <f t="shared" si="66"/>
        <v>0</v>
      </c>
      <c r="W176" s="143">
        <f t="shared" si="66"/>
        <v>0</v>
      </c>
      <c r="X176" s="143">
        <f t="shared" si="66"/>
        <v>0</v>
      </c>
      <c r="Y176" s="143">
        <f t="shared" si="66"/>
        <v>0</v>
      </c>
      <c r="Z176" s="143">
        <f t="shared" si="67"/>
        <v>0</v>
      </c>
      <c r="AA176" s="143">
        <f t="shared" si="67"/>
        <v>0</v>
      </c>
      <c r="AB176" s="143">
        <f t="shared" si="67"/>
        <v>0</v>
      </c>
      <c r="AC176" s="143">
        <f t="shared" si="67"/>
        <v>0</v>
      </c>
      <c r="AD176" s="143">
        <f t="shared" si="67"/>
        <v>0</v>
      </c>
      <c r="AE176" s="143">
        <f t="shared" si="67"/>
        <v>0</v>
      </c>
      <c r="AF176" s="143">
        <f t="shared" si="67"/>
        <v>0</v>
      </c>
      <c r="AG176" s="143">
        <f t="shared" si="67"/>
        <v>0</v>
      </c>
      <c r="AH176" s="143">
        <f t="shared" si="67"/>
        <v>0</v>
      </c>
      <c r="AI176" s="143">
        <f t="shared" si="67"/>
        <v>0</v>
      </c>
      <c r="AJ176" s="143">
        <f t="shared" si="67"/>
        <v>0</v>
      </c>
      <c r="AK176" s="143">
        <f t="shared" si="67"/>
        <v>0</v>
      </c>
      <c r="AL176" s="143">
        <f t="shared" si="67"/>
        <v>0</v>
      </c>
      <c r="AM176" s="143">
        <f t="shared" si="67"/>
        <v>0</v>
      </c>
      <c r="AN176" s="143">
        <f t="shared" si="68"/>
        <v>0</v>
      </c>
      <c r="AO176" s="143">
        <f t="shared" si="68"/>
        <v>0</v>
      </c>
      <c r="AP176" s="143">
        <f t="shared" si="68"/>
        <v>0</v>
      </c>
      <c r="AQ176" s="143">
        <f t="shared" si="68"/>
        <v>0</v>
      </c>
      <c r="AR176" s="143">
        <f t="shared" si="68"/>
        <v>0</v>
      </c>
      <c r="AS176" s="143">
        <f t="shared" si="68"/>
        <v>0</v>
      </c>
      <c r="AT176" s="143">
        <f t="shared" si="68"/>
        <v>0</v>
      </c>
      <c r="AU176" s="143">
        <f t="shared" si="68"/>
        <v>0</v>
      </c>
      <c r="AV176" s="143">
        <f t="shared" si="68"/>
        <v>0</v>
      </c>
    </row>
    <row r="177" spans="1:48">
      <c r="A177" t="s">
        <v>16</v>
      </c>
      <c r="B177" s="75" t="str">
        <f t="shared" si="64"/>
        <v>CNL</v>
      </c>
      <c r="C177" s="75" t="str">
        <f t="shared" si="65"/>
        <v>Commercial - Lighting</v>
      </c>
      <c r="E177" s="94"/>
      <c r="F177" s="94"/>
      <c r="I177" s="141"/>
      <c r="J177" s="143">
        <f t="shared" si="66"/>
        <v>0</v>
      </c>
      <c r="K177" s="143">
        <f t="shared" si="66"/>
        <v>0</v>
      </c>
      <c r="L177" s="143">
        <f t="shared" si="66"/>
        <v>0</v>
      </c>
      <c r="M177" s="143">
        <f t="shared" si="66"/>
        <v>0</v>
      </c>
      <c r="N177" s="143">
        <f t="shared" si="66"/>
        <v>0</v>
      </c>
      <c r="O177" s="143">
        <f t="shared" si="66"/>
        <v>0</v>
      </c>
      <c r="P177" s="143">
        <f t="shared" si="66"/>
        <v>0</v>
      </c>
      <c r="Q177" s="143">
        <f t="shared" si="66"/>
        <v>0</v>
      </c>
      <c r="R177" s="143">
        <f t="shared" si="66"/>
        <v>0</v>
      </c>
      <c r="S177" s="143">
        <f t="shared" si="66"/>
        <v>0</v>
      </c>
      <c r="T177" s="143">
        <f t="shared" si="66"/>
        <v>0</v>
      </c>
      <c r="U177" s="143">
        <f t="shared" si="66"/>
        <v>0</v>
      </c>
      <c r="V177" s="143">
        <f t="shared" si="66"/>
        <v>0</v>
      </c>
      <c r="W177" s="143">
        <f t="shared" si="66"/>
        <v>0</v>
      </c>
      <c r="X177" s="143">
        <f t="shared" si="66"/>
        <v>0</v>
      </c>
      <c r="Y177" s="143">
        <f t="shared" si="66"/>
        <v>0</v>
      </c>
      <c r="Z177" s="143">
        <f t="shared" si="67"/>
        <v>0</v>
      </c>
      <c r="AA177" s="143">
        <f t="shared" si="67"/>
        <v>0</v>
      </c>
      <c r="AB177" s="143">
        <f t="shared" si="67"/>
        <v>0</v>
      </c>
      <c r="AC177" s="143">
        <f t="shared" si="67"/>
        <v>0</v>
      </c>
      <c r="AD177" s="143">
        <f t="shared" si="67"/>
        <v>0</v>
      </c>
      <c r="AE177" s="143">
        <f t="shared" si="67"/>
        <v>0</v>
      </c>
      <c r="AF177" s="143">
        <f t="shared" si="67"/>
        <v>0</v>
      </c>
      <c r="AG177" s="143">
        <f t="shared" si="67"/>
        <v>0</v>
      </c>
      <c r="AH177" s="143">
        <f t="shared" si="67"/>
        <v>0</v>
      </c>
      <c r="AI177" s="143">
        <f t="shared" si="67"/>
        <v>0</v>
      </c>
      <c r="AJ177" s="143">
        <f t="shared" si="67"/>
        <v>0</v>
      </c>
      <c r="AK177" s="143">
        <f t="shared" si="67"/>
        <v>0</v>
      </c>
      <c r="AL177" s="143">
        <f t="shared" si="67"/>
        <v>0</v>
      </c>
      <c r="AM177" s="143">
        <f t="shared" si="67"/>
        <v>0</v>
      </c>
      <c r="AN177" s="143">
        <f t="shared" si="68"/>
        <v>0</v>
      </c>
      <c r="AO177" s="143">
        <f t="shared" si="68"/>
        <v>0</v>
      </c>
      <c r="AP177" s="143">
        <f t="shared" si="68"/>
        <v>0</v>
      </c>
      <c r="AQ177" s="143">
        <f t="shared" si="68"/>
        <v>0</v>
      </c>
      <c r="AR177" s="143">
        <f t="shared" si="68"/>
        <v>0</v>
      </c>
      <c r="AS177" s="143">
        <f t="shared" si="68"/>
        <v>0</v>
      </c>
      <c r="AT177" s="143">
        <f t="shared" si="68"/>
        <v>0</v>
      </c>
      <c r="AU177" s="143">
        <f t="shared" si="68"/>
        <v>0</v>
      </c>
      <c r="AV177" s="143">
        <f t="shared" si="68"/>
        <v>0</v>
      </c>
    </row>
    <row r="178" spans="1:48">
      <c r="A178" t="s">
        <v>16</v>
      </c>
      <c r="B178" s="75" t="str">
        <f t="shared" si="64"/>
        <v>CNR</v>
      </c>
      <c r="C178" s="75" t="str">
        <f t="shared" si="65"/>
        <v>Commercial - Refrigeration</v>
      </c>
      <c r="E178" s="94"/>
      <c r="F178" s="94"/>
      <c r="I178" s="141"/>
      <c r="J178" s="143">
        <f t="shared" si="66"/>
        <v>0</v>
      </c>
      <c r="K178" s="143">
        <f t="shared" si="66"/>
        <v>0</v>
      </c>
      <c r="L178" s="143">
        <f t="shared" si="66"/>
        <v>0</v>
      </c>
      <c r="M178" s="143">
        <f t="shared" si="66"/>
        <v>0</v>
      </c>
      <c r="N178" s="143">
        <f t="shared" si="66"/>
        <v>0</v>
      </c>
      <c r="O178" s="143">
        <f t="shared" si="66"/>
        <v>0</v>
      </c>
      <c r="P178" s="143">
        <f t="shared" si="66"/>
        <v>0</v>
      </c>
      <c r="Q178" s="143">
        <f t="shared" si="66"/>
        <v>0</v>
      </c>
      <c r="R178" s="143">
        <f t="shared" si="66"/>
        <v>0</v>
      </c>
      <c r="S178" s="143">
        <f t="shared" si="66"/>
        <v>0</v>
      </c>
      <c r="T178" s="143">
        <f t="shared" si="66"/>
        <v>0</v>
      </c>
      <c r="U178" s="143">
        <f t="shared" si="66"/>
        <v>0</v>
      </c>
      <c r="V178" s="143">
        <f t="shared" si="66"/>
        <v>0</v>
      </c>
      <c r="W178" s="143">
        <f t="shared" si="66"/>
        <v>0</v>
      </c>
      <c r="X178" s="143">
        <f t="shared" si="66"/>
        <v>0</v>
      </c>
      <c r="Y178" s="143">
        <f t="shared" si="66"/>
        <v>0</v>
      </c>
      <c r="Z178" s="143">
        <f t="shared" si="67"/>
        <v>0</v>
      </c>
      <c r="AA178" s="143">
        <f t="shared" si="67"/>
        <v>0</v>
      </c>
      <c r="AB178" s="143">
        <f t="shared" si="67"/>
        <v>0</v>
      </c>
      <c r="AC178" s="143">
        <f t="shared" si="67"/>
        <v>0</v>
      </c>
      <c r="AD178" s="143">
        <f t="shared" si="67"/>
        <v>0</v>
      </c>
      <c r="AE178" s="143">
        <f t="shared" si="67"/>
        <v>0</v>
      </c>
      <c r="AF178" s="143">
        <f t="shared" si="67"/>
        <v>0</v>
      </c>
      <c r="AG178" s="143">
        <f t="shared" si="67"/>
        <v>0</v>
      </c>
      <c r="AH178" s="143">
        <f t="shared" si="67"/>
        <v>0</v>
      </c>
      <c r="AI178" s="143">
        <f t="shared" si="67"/>
        <v>0</v>
      </c>
      <c r="AJ178" s="143">
        <f t="shared" si="67"/>
        <v>0</v>
      </c>
      <c r="AK178" s="143">
        <f t="shared" si="67"/>
        <v>0</v>
      </c>
      <c r="AL178" s="143">
        <f t="shared" si="67"/>
        <v>0</v>
      </c>
      <c r="AM178" s="143">
        <f t="shared" si="67"/>
        <v>0</v>
      </c>
      <c r="AN178" s="143">
        <f t="shared" si="68"/>
        <v>0</v>
      </c>
      <c r="AO178" s="143">
        <f t="shared" si="68"/>
        <v>0</v>
      </c>
      <c r="AP178" s="143">
        <f t="shared" si="68"/>
        <v>0</v>
      </c>
      <c r="AQ178" s="143">
        <f t="shared" si="68"/>
        <v>0</v>
      </c>
      <c r="AR178" s="143">
        <f t="shared" si="68"/>
        <v>0</v>
      </c>
      <c r="AS178" s="143">
        <f t="shared" si="68"/>
        <v>0</v>
      </c>
      <c r="AT178" s="143">
        <f t="shared" si="68"/>
        <v>0</v>
      </c>
      <c r="AU178" s="143">
        <f t="shared" si="68"/>
        <v>0</v>
      </c>
      <c r="AV178" s="143">
        <f t="shared" si="68"/>
        <v>0</v>
      </c>
    </row>
    <row r="179" spans="1:48">
      <c r="A179" t="s">
        <v>16</v>
      </c>
      <c r="B179" s="75" t="str">
        <f t="shared" si="64"/>
        <v>CNW</v>
      </c>
      <c r="C179" s="75" t="str">
        <f t="shared" si="65"/>
        <v>Commercial - Water Heating</v>
      </c>
      <c r="E179" s="94"/>
      <c r="F179" s="94"/>
      <c r="I179" s="141"/>
      <c r="J179" s="143">
        <f t="shared" si="66"/>
        <v>0</v>
      </c>
      <c r="K179" s="143">
        <f t="shared" si="66"/>
        <v>0</v>
      </c>
      <c r="L179" s="143">
        <f t="shared" si="66"/>
        <v>0</v>
      </c>
      <c r="M179" s="143">
        <f t="shared" si="66"/>
        <v>0</v>
      </c>
      <c r="N179" s="143">
        <f t="shared" si="66"/>
        <v>0</v>
      </c>
      <c r="O179" s="143">
        <f t="shared" si="66"/>
        <v>0</v>
      </c>
      <c r="P179" s="143">
        <f t="shared" si="66"/>
        <v>0</v>
      </c>
      <c r="Q179" s="143">
        <f t="shared" si="66"/>
        <v>0</v>
      </c>
      <c r="R179" s="143">
        <f t="shared" si="66"/>
        <v>0</v>
      </c>
      <c r="S179" s="143">
        <f t="shared" si="66"/>
        <v>0</v>
      </c>
      <c r="T179" s="143">
        <f t="shared" si="66"/>
        <v>0</v>
      </c>
      <c r="U179" s="143">
        <f t="shared" si="66"/>
        <v>0</v>
      </c>
      <c r="V179" s="143">
        <f t="shared" si="66"/>
        <v>0</v>
      </c>
      <c r="W179" s="143">
        <f t="shared" si="66"/>
        <v>0</v>
      </c>
      <c r="X179" s="143">
        <f t="shared" si="66"/>
        <v>0</v>
      </c>
      <c r="Y179" s="143">
        <f t="shared" si="66"/>
        <v>0</v>
      </c>
      <c r="Z179" s="143">
        <f t="shared" si="67"/>
        <v>0</v>
      </c>
      <c r="AA179" s="143">
        <f t="shared" si="67"/>
        <v>0</v>
      </c>
      <c r="AB179" s="143">
        <f t="shared" si="67"/>
        <v>0</v>
      </c>
      <c r="AC179" s="143">
        <f t="shared" si="67"/>
        <v>0</v>
      </c>
      <c r="AD179" s="143">
        <f t="shared" si="67"/>
        <v>0</v>
      </c>
      <c r="AE179" s="143">
        <f t="shared" si="67"/>
        <v>0</v>
      </c>
      <c r="AF179" s="143">
        <f t="shared" si="67"/>
        <v>0</v>
      </c>
      <c r="AG179" s="143">
        <f t="shared" si="67"/>
        <v>0</v>
      </c>
      <c r="AH179" s="143">
        <f t="shared" si="67"/>
        <v>0</v>
      </c>
      <c r="AI179" s="143">
        <f t="shared" si="67"/>
        <v>0</v>
      </c>
      <c r="AJ179" s="143">
        <f t="shared" si="67"/>
        <v>0</v>
      </c>
      <c r="AK179" s="143">
        <f t="shared" si="67"/>
        <v>0</v>
      </c>
      <c r="AL179" s="143">
        <f t="shared" si="67"/>
        <v>0</v>
      </c>
      <c r="AM179" s="143">
        <f t="shared" si="67"/>
        <v>0</v>
      </c>
      <c r="AN179" s="143">
        <f t="shared" si="68"/>
        <v>0</v>
      </c>
      <c r="AO179" s="143">
        <f t="shared" si="68"/>
        <v>0</v>
      </c>
      <c r="AP179" s="143">
        <f t="shared" si="68"/>
        <v>0</v>
      </c>
      <c r="AQ179" s="143">
        <f t="shared" si="68"/>
        <v>0</v>
      </c>
      <c r="AR179" s="143">
        <f t="shared" si="68"/>
        <v>0</v>
      </c>
      <c r="AS179" s="143">
        <f t="shared" si="68"/>
        <v>0</v>
      </c>
      <c r="AT179" s="143">
        <f t="shared" si="68"/>
        <v>0</v>
      </c>
      <c r="AU179" s="143">
        <f t="shared" si="68"/>
        <v>0</v>
      </c>
      <c r="AV179" s="143">
        <f t="shared" si="68"/>
        <v>0</v>
      </c>
    </row>
    <row r="180" spans="1:48">
      <c r="A180" t="s">
        <v>16</v>
      </c>
      <c r="B180" s="75" t="str">
        <f t="shared" si="64"/>
        <v>CNG</v>
      </c>
      <c r="C180" s="75" t="str">
        <f t="shared" si="65"/>
        <v>Commercial - Public lights</v>
      </c>
      <c r="E180" s="94"/>
      <c r="F180" s="94"/>
      <c r="I180" s="141"/>
      <c r="J180" s="143">
        <f t="shared" si="66"/>
        <v>0</v>
      </c>
      <c r="K180" s="143">
        <f t="shared" si="66"/>
        <v>0</v>
      </c>
      <c r="L180" s="143">
        <f t="shared" si="66"/>
        <v>0</v>
      </c>
      <c r="M180" s="143">
        <f t="shared" si="66"/>
        <v>0</v>
      </c>
      <c r="N180" s="143">
        <f t="shared" si="66"/>
        <v>0</v>
      </c>
      <c r="O180" s="143">
        <f t="shared" si="66"/>
        <v>0</v>
      </c>
      <c r="P180" s="143">
        <f t="shared" si="66"/>
        <v>0</v>
      </c>
      <c r="Q180" s="143">
        <f t="shared" si="66"/>
        <v>0</v>
      </c>
      <c r="R180" s="143">
        <f t="shared" si="66"/>
        <v>0</v>
      </c>
      <c r="S180" s="143">
        <f t="shared" si="66"/>
        <v>0</v>
      </c>
      <c r="T180" s="143">
        <f t="shared" si="66"/>
        <v>0</v>
      </c>
      <c r="U180" s="143">
        <f t="shared" si="66"/>
        <v>0</v>
      </c>
      <c r="V180" s="143">
        <f t="shared" si="66"/>
        <v>0</v>
      </c>
      <c r="W180" s="143">
        <f t="shared" si="66"/>
        <v>0</v>
      </c>
      <c r="X180" s="143">
        <f t="shared" si="66"/>
        <v>0</v>
      </c>
      <c r="Y180" s="143">
        <f t="shared" si="66"/>
        <v>0</v>
      </c>
      <c r="Z180" s="143">
        <f t="shared" si="67"/>
        <v>0</v>
      </c>
      <c r="AA180" s="143">
        <f t="shared" si="67"/>
        <v>0</v>
      </c>
      <c r="AB180" s="143">
        <f t="shared" si="67"/>
        <v>0</v>
      </c>
      <c r="AC180" s="143">
        <f t="shared" si="67"/>
        <v>0</v>
      </c>
      <c r="AD180" s="143">
        <f t="shared" si="67"/>
        <v>0</v>
      </c>
      <c r="AE180" s="143">
        <f t="shared" si="67"/>
        <v>0</v>
      </c>
      <c r="AF180" s="143">
        <f t="shared" si="67"/>
        <v>0</v>
      </c>
      <c r="AG180" s="143">
        <f t="shared" si="67"/>
        <v>0</v>
      </c>
      <c r="AH180" s="143">
        <f t="shared" si="67"/>
        <v>0</v>
      </c>
      <c r="AI180" s="143">
        <f t="shared" si="67"/>
        <v>0</v>
      </c>
      <c r="AJ180" s="143">
        <f t="shared" si="67"/>
        <v>0</v>
      </c>
      <c r="AK180" s="143">
        <f t="shared" si="67"/>
        <v>0</v>
      </c>
      <c r="AL180" s="143">
        <f t="shared" si="67"/>
        <v>0</v>
      </c>
      <c r="AM180" s="143">
        <f t="shared" si="67"/>
        <v>0</v>
      </c>
      <c r="AN180" s="143">
        <f t="shared" si="68"/>
        <v>0</v>
      </c>
      <c r="AO180" s="143">
        <f t="shared" si="68"/>
        <v>0</v>
      </c>
      <c r="AP180" s="143">
        <f t="shared" si="68"/>
        <v>0</v>
      </c>
      <c r="AQ180" s="143">
        <f t="shared" si="68"/>
        <v>0</v>
      </c>
      <c r="AR180" s="143">
        <f t="shared" si="68"/>
        <v>0</v>
      </c>
      <c r="AS180" s="143">
        <f t="shared" si="68"/>
        <v>0</v>
      </c>
      <c r="AT180" s="143">
        <f t="shared" si="68"/>
        <v>0</v>
      </c>
      <c r="AU180" s="143">
        <f t="shared" si="68"/>
        <v>0</v>
      </c>
      <c r="AV180" s="143">
        <f t="shared" si="68"/>
        <v>0</v>
      </c>
    </row>
    <row r="181" spans="1:48">
      <c r="A181" t="s">
        <v>16</v>
      </c>
      <c r="B181" s="75" t="str">
        <f t="shared" si="64"/>
        <v>CNT</v>
      </c>
      <c r="C181" s="75" t="str">
        <f t="shared" si="65"/>
        <v>Commercial - Public Water</v>
      </c>
      <c r="E181" s="94"/>
      <c r="F181" s="94"/>
      <c r="I181" s="141"/>
      <c r="J181" s="143">
        <f t="shared" si="66"/>
        <v>0</v>
      </c>
      <c r="K181" s="143">
        <f t="shared" si="66"/>
        <v>0</v>
      </c>
      <c r="L181" s="143">
        <f t="shared" si="66"/>
        <v>0</v>
      </c>
      <c r="M181" s="143">
        <f t="shared" si="66"/>
        <v>0</v>
      </c>
      <c r="N181" s="143">
        <f t="shared" si="66"/>
        <v>0</v>
      </c>
      <c r="O181" s="143">
        <f t="shared" si="66"/>
        <v>0</v>
      </c>
      <c r="P181" s="143">
        <f t="shared" si="66"/>
        <v>0</v>
      </c>
      <c r="Q181" s="143">
        <f t="shared" si="66"/>
        <v>0</v>
      </c>
      <c r="R181" s="143">
        <f t="shared" si="66"/>
        <v>0</v>
      </c>
      <c r="S181" s="143">
        <f t="shared" si="66"/>
        <v>0</v>
      </c>
      <c r="T181" s="143">
        <f t="shared" si="66"/>
        <v>0</v>
      </c>
      <c r="U181" s="143">
        <f t="shared" si="66"/>
        <v>0</v>
      </c>
      <c r="V181" s="143">
        <f t="shared" si="66"/>
        <v>0</v>
      </c>
      <c r="W181" s="143">
        <f t="shared" si="66"/>
        <v>0</v>
      </c>
      <c r="X181" s="143">
        <f t="shared" si="66"/>
        <v>0</v>
      </c>
      <c r="Y181" s="143">
        <f t="shared" si="66"/>
        <v>0</v>
      </c>
      <c r="Z181" s="143">
        <f t="shared" si="67"/>
        <v>0</v>
      </c>
      <c r="AA181" s="143">
        <f t="shared" si="67"/>
        <v>0</v>
      </c>
      <c r="AB181" s="143">
        <f t="shared" si="67"/>
        <v>0</v>
      </c>
      <c r="AC181" s="143">
        <f t="shared" si="67"/>
        <v>0</v>
      </c>
      <c r="AD181" s="143">
        <f t="shared" si="67"/>
        <v>0</v>
      </c>
      <c r="AE181" s="143">
        <f t="shared" si="67"/>
        <v>0</v>
      </c>
      <c r="AF181" s="143">
        <f t="shared" si="67"/>
        <v>0</v>
      </c>
      <c r="AG181" s="143">
        <f t="shared" si="67"/>
        <v>0</v>
      </c>
      <c r="AH181" s="143">
        <f t="shared" si="67"/>
        <v>0</v>
      </c>
      <c r="AI181" s="143">
        <f t="shared" si="67"/>
        <v>0</v>
      </c>
      <c r="AJ181" s="143">
        <f t="shared" si="67"/>
        <v>0</v>
      </c>
      <c r="AK181" s="143">
        <f t="shared" si="67"/>
        <v>0</v>
      </c>
      <c r="AL181" s="143">
        <f t="shared" si="67"/>
        <v>0</v>
      </c>
      <c r="AM181" s="143">
        <f t="shared" si="67"/>
        <v>0</v>
      </c>
      <c r="AN181" s="143">
        <f t="shared" si="68"/>
        <v>0</v>
      </c>
      <c r="AO181" s="143">
        <f t="shared" si="68"/>
        <v>0</v>
      </c>
      <c r="AP181" s="143">
        <f t="shared" si="68"/>
        <v>0</v>
      </c>
      <c r="AQ181" s="143">
        <f t="shared" si="68"/>
        <v>0</v>
      </c>
      <c r="AR181" s="143">
        <f t="shared" si="68"/>
        <v>0</v>
      </c>
      <c r="AS181" s="143">
        <f t="shared" si="68"/>
        <v>0</v>
      </c>
      <c r="AT181" s="143">
        <f t="shared" si="68"/>
        <v>0</v>
      </c>
      <c r="AU181" s="143">
        <f t="shared" si="68"/>
        <v>0</v>
      </c>
      <c r="AV181" s="143">
        <f t="shared" si="68"/>
        <v>0</v>
      </c>
    </row>
    <row r="182" spans="1:48">
      <c r="A182" t="s">
        <v>16</v>
      </c>
      <c r="B182" s="75" t="str">
        <f t="shared" si="64"/>
        <v>CNO</v>
      </c>
      <c r="C182" s="75" t="str">
        <f t="shared" si="65"/>
        <v>Commercial - Other</v>
      </c>
      <c r="E182" s="94"/>
      <c r="F182" s="94"/>
      <c r="I182" s="141"/>
      <c r="J182" s="143">
        <f t="shared" si="66"/>
        <v>0</v>
      </c>
      <c r="K182" s="143">
        <f t="shared" si="66"/>
        <v>0</v>
      </c>
      <c r="L182" s="143">
        <f t="shared" si="66"/>
        <v>0</v>
      </c>
      <c r="M182" s="143">
        <f t="shared" si="66"/>
        <v>0</v>
      </c>
      <c r="N182" s="143">
        <f t="shared" si="66"/>
        <v>0</v>
      </c>
      <c r="O182" s="143">
        <f t="shared" si="66"/>
        <v>0</v>
      </c>
      <c r="P182" s="143">
        <f t="shared" si="66"/>
        <v>0</v>
      </c>
      <c r="Q182" s="143">
        <f t="shared" si="66"/>
        <v>0</v>
      </c>
      <c r="R182" s="143">
        <f t="shared" si="66"/>
        <v>0</v>
      </c>
      <c r="S182" s="143">
        <f t="shared" si="66"/>
        <v>0</v>
      </c>
      <c r="T182" s="143">
        <f t="shared" si="66"/>
        <v>0</v>
      </c>
      <c r="U182" s="143">
        <f t="shared" si="66"/>
        <v>0</v>
      </c>
      <c r="V182" s="143">
        <f t="shared" si="66"/>
        <v>0</v>
      </c>
      <c r="W182" s="143">
        <f t="shared" si="66"/>
        <v>0</v>
      </c>
      <c r="X182" s="143">
        <f t="shared" si="66"/>
        <v>0</v>
      </c>
      <c r="Y182" s="143">
        <f t="shared" si="66"/>
        <v>0</v>
      </c>
      <c r="Z182" s="143">
        <f t="shared" si="67"/>
        <v>0</v>
      </c>
      <c r="AA182" s="143">
        <f t="shared" si="67"/>
        <v>0</v>
      </c>
      <c r="AB182" s="143">
        <f t="shared" si="67"/>
        <v>0</v>
      </c>
      <c r="AC182" s="143">
        <f t="shared" si="67"/>
        <v>0</v>
      </c>
      <c r="AD182" s="143">
        <f t="shared" si="67"/>
        <v>0</v>
      </c>
      <c r="AE182" s="143">
        <f t="shared" si="67"/>
        <v>0</v>
      </c>
      <c r="AF182" s="143">
        <f t="shared" si="67"/>
        <v>0</v>
      </c>
      <c r="AG182" s="143">
        <f t="shared" si="67"/>
        <v>0</v>
      </c>
      <c r="AH182" s="143">
        <f t="shared" si="67"/>
        <v>0</v>
      </c>
      <c r="AI182" s="143">
        <f t="shared" si="67"/>
        <v>0</v>
      </c>
      <c r="AJ182" s="143">
        <f t="shared" si="67"/>
        <v>0</v>
      </c>
      <c r="AK182" s="143">
        <f t="shared" si="67"/>
        <v>0</v>
      </c>
      <c r="AL182" s="143">
        <f t="shared" si="67"/>
        <v>0</v>
      </c>
      <c r="AM182" s="143">
        <f t="shared" si="67"/>
        <v>0</v>
      </c>
      <c r="AN182" s="143">
        <f t="shared" si="68"/>
        <v>0</v>
      </c>
      <c r="AO182" s="143">
        <f t="shared" si="68"/>
        <v>0</v>
      </c>
      <c r="AP182" s="143">
        <f t="shared" si="68"/>
        <v>0</v>
      </c>
      <c r="AQ182" s="143">
        <f t="shared" si="68"/>
        <v>0</v>
      </c>
      <c r="AR182" s="143">
        <f t="shared" si="68"/>
        <v>0</v>
      </c>
      <c r="AS182" s="143">
        <f t="shared" si="68"/>
        <v>0</v>
      </c>
      <c r="AT182" s="143">
        <f t="shared" si="68"/>
        <v>0</v>
      </c>
      <c r="AU182" s="143">
        <f t="shared" si="68"/>
        <v>0</v>
      </c>
      <c r="AV182" s="143">
        <f t="shared" si="68"/>
        <v>0</v>
      </c>
    </row>
    <row r="183" spans="1:48">
      <c r="A183" t="s">
        <v>16</v>
      </c>
      <c r="E183" s="94"/>
      <c r="F183" s="94"/>
      <c r="I183" s="141"/>
      <c r="J183" s="143"/>
      <c r="K183" s="143"/>
      <c r="L183" s="143"/>
      <c r="M183" s="143"/>
      <c r="N183" s="143"/>
      <c r="O183" s="143"/>
      <c r="P183" s="143"/>
      <c r="Q183" s="143"/>
      <c r="R183" s="143"/>
      <c r="S183" s="143"/>
      <c r="T183" s="143"/>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row>
    <row r="184" spans="1:48">
      <c r="A184" t="s">
        <v>16</v>
      </c>
      <c r="E184" s="94"/>
      <c r="F184" s="94"/>
      <c r="I184" s="141"/>
      <c r="J184" s="143"/>
      <c r="K184" s="143"/>
      <c r="L184" s="143"/>
      <c r="M184" s="143"/>
      <c r="N184" s="143"/>
      <c r="O184" s="143"/>
      <c r="P184" s="143"/>
      <c r="Q184" s="143"/>
      <c r="R184" s="143"/>
      <c r="S184" s="143"/>
      <c r="T184" s="143"/>
      <c r="U184" s="143"/>
      <c r="V184" s="143"/>
      <c r="W184" s="143"/>
      <c r="X184" s="143"/>
      <c r="Y184" s="143"/>
      <c r="Z184" s="143"/>
      <c r="AA184" s="143"/>
      <c r="AB184" s="143"/>
      <c r="AC184" s="143"/>
      <c r="AD184" s="143"/>
      <c r="AE184" s="143"/>
      <c r="AF184" s="143"/>
      <c r="AG184" s="143"/>
      <c r="AH184" s="143"/>
      <c r="AI184" s="143"/>
      <c r="AJ184" s="143"/>
      <c r="AK184" s="143"/>
      <c r="AL184" s="143"/>
      <c r="AM184" s="143"/>
      <c r="AN184" s="143"/>
      <c r="AO184" s="143"/>
      <c r="AP184" s="143"/>
      <c r="AQ184" s="143"/>
      <c r="AR184" s="143"/>
      <c r="AS184" s="143"/>
      <c r="AT184" s="143"/>
      <c r="AU184" s="143"/>
      <c r="AV184" s="143"/>
    </row>
    <row r="185" spans="1:48" ht="15.75" thickBot="1">
      <c r="A185" t="s">
        <v>16</v>
      </c>
      <c r="B185" s="73" t="s">
        <v>484</v>
      </c>
      <c r="C185" s="73"/>
      <c r="D185" s="73"/>
      <c r="E185" s="73"/>
      <c r="F185" s="73"/>
      <c r="G185" s="73"/>
      <c r="H185" s="73"/>
      <c r="I185" s="141" t="s">
        <v>231</v>
      </c>
      <c r="J185" s="143"/>
      <c r="K185" s="143"/>
      <c r="L185" s="143"/>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c r="AT185" s="143"/>
      <c r="AU185" s="143"/>
      <c r="AV185" s="143"/>
    </row>
    <row r="186" spans="1:48">
      <c r="A186" t="s">
        <v>16</v>
      </c>
      <c r="B186" s="75" t="str">
        <f t="shared" ref="B186:C194" si="69">B174</f>
        <v>CNC</v>
      </c>
      <c r="C186" s="75" t="str">
        <f t="shared" si="69"/>
        <v>Commercial - Cooling</v>
      </c>
      <c r="E186" s="94"/>
      <c r="F186" s="94"/>
      <c r="I186" s="141"/>
      <c r="J186" s="143">
        <f t="shared" ref="J186:Y194" si="70">INDEX(J$49:J$52,MATCH($I$185,$B$49:$B$52,0),1)*INDEX(J$81:J$89,MATCH($B186,$B$81:$B$89,0))*INDEX(J$116:J$124,MATCH($B186,$B$116:$B$124,0))/1000</f>
        <v>0</v>
      </c>
      <c r="K186" s="143">
        <f t="shared" si="70"/>
        <v>0</v>
      </c>
      <c r="L186" s="143">
        <f t="shared" si="70"/>
        <v>0</v>
      </c>
      <c r="M186" s="143">
        <f t="shared" si="70"/>
        <v>0</v>
      </c>
      <c r="N186" s="143">
        <f t="shared" si="70"/>
        <v>0</v>
      </c>
      <c r="O186" s="143">
        <f t="shared" si="70"/>
        <v>0</v>
      </c>
      <c r="P186" s="143">
        <f>INDEX(P$49:P$52,MATCH($I$185,$B$49:$B$52,0),1)*INDEX(P$81:P$89,MATCH($B186,$B$81:$B$89,0))*INDEX(P$116:P$124,MATCH($B186,$B$116:$B$124,0))/1000</f>
        <v>1.6544946889303713</v>
      </c>
      <c r="Q186" s="143">
        <f t="shared" si="70"/>
        <v>3.1875183888127405</v>
      </c>
      <c r="R186" s="143">
        <f t="shared" si="70"/>
        <v>4.1497851114047242</v>
      </c>
      <c r="S186" s="143">
        <f t="shared" si="70"/>
        <v>6.680089710495146</v>
      </c>
      <c r="T186" s="143">
        <f t="shared" si="70"/>
        <v>8.8859388919517119</v>
      </c>
      <c r="U186" s="143">
        <f t="shared" si="70"/>
        <v>11.049018277019913</v>
      </c>
      <c r="V186" s="143">
        <f>INDEX(V$49:V$52,MATCH($I$185,$B$49:$B$52,0),1)*INDEX(V$81:V$89,MATCH($B186,$B$81:$B$89,0))*INDEX(V$116:V$124,MATCH($B186,$B$116:$B$124,0))/1000</f>
        <v>13.256877926700117</v>
      </c>
      <c r="W186" s="143">
        <f t="shared" si="70"/>
        <v>15.369969170169794</v>
      </c>
      <c r="X186" s="143">
        <f t="shared" si="70"/>
        <v>17.34733010059233</v>
      </c>
      <c r="Y186" s="143">
        <f t="shared" si="70"/>
        <v>19.310350436565731</v>
      </c>
      <c r="Z186" s="143">
        <f t="shared" ref="Z186:AO194" si="71">INDEX(Z$49:Z$52,MATCH($I$185,$B$49:$B$52,0),1)*INDEX(Z$81:Z$89,MATCH($B186,$B$81:$B$89,0))*INDEX(Z$116:Z$124,MATCH($B186,$B$116:$B$124,0))/1000</f>
        <v>21.300158752296035</v>
      </c>
      <c r="AA186" s="143">
        <f t="shared" si="71"/>
        <v>23.504178611800697</v>
      </c>
      <c r="AB186" s="143">
        <f t="shared" si="71"/>
        <v>25.620660047094042</v>
      </c>
      <c r="AC186" s="143">
        <f t="shared" si="71"/>
        <v>25.620660047094042</v>
      </c>
      <c r="AD186" s="143">
        <f t="shared" si="71"/>
        <v>25.620660047094042</v>
      </c>
      <c r="AE186" s="143">
        <f t="shared" si="71"/>
        <v>25.620660047094042</v>
      </c>
      <c r="AF186" s="143">
        <f t="shared" si="71"/>
        <v>25.620660047094042</v>
      </c>
      <c r="AG186" s="143">
        <f t="shared" si="71"/>
        <v>25.620660047094042</v>
      </c>
      <c r="AH186" s="143">
        <f t="shared" si="71"/>
        <v>25.620660047094042</v>
      </c>
      <c r="AI186" s="143">
        <f t="shared" si="71"/>
        <v>25.620660047094042</v>
      </c>
      <c r="AJ186" s="143">
        <f t="shared" si="71"/>
        <v>25.620660047094042</v>
      </c>
      <c r="AK186" s="143">
        <f t="shared" si="71"/>
        <v>25.620660047094042</v>
      </c>
      <c r="AL186" s="143">
        <f t="shared" si="71"/>
        <v>25.620660047094042</v>
      </c>
      <c r="AM186" s="143">
        <f t="shared" si="71"/>
        <v>25.620660047094042</v>
      </c>
      <c r="AN186" s="143">
        <f t="shared" si="71"/>
        <v>25.620660047094042</v>
      </c>
      <c r="AO186" s="143">
        <f t="shared" si="71"/>
        <v>25.620660047094042</v>
      </c>
      <c r="AP186" s="143">
        <f t="shared" ref="AN186:AV194" si="72">INDEX(AP$49:AP$52,MATCH($I$185,$B$49:$B$52,0),1)*INDEX(AP$81:AP$89,MATCH($B186,$B$81:$B$89,0))*INDEX(AP$116:AP$124,MATCH($B186,$B$116:$B$124,0))/1000</f>
        <v>25.620660047094042</v>
      </c>
      <c r="AQ186" s="143">
        <f t="shared" si="72"/>
        <v>25.620660047094042</v>
      </c>
      <c r="AR186" s="143">
        <f t="shared" si="72"/>
        <v>25.620660047094042</v>
      </c>
      <c r="AS186" s="143">
        <f t="shared" si="72"/>
        <v>25.620660047094042</v>
      </c>
      <c r="AT186" s="143">
        <f t="shared" si="72"/>
        <v>25.620660047094042</v>
      </c>
      <c r="AU186" s="143">
        <f t="shared" si="72"/>
        <v>25.620660047094042</v>
      </c>
      <c r="AV186" s="143">
        <f t="shared" si="72"/>
        <v>25.620660047094042</v>
      </c>
    </row>
    <row r="187" spans="1:48">
      <c r="A187" t="s">
        <v>16</v>
      </c>
      <c r="B187" s="75" t="str">
        <f t="shared" si="69"/>
        <v>CNH</v>
      </c>
      <c r="C187" s="75" t="str">
        <f t="shared" si="69"/>
        <v>Commercial - Space Heating</v>
      </c>
      <c r="E187" s="94"/>
      <c r="F187" s="94"/>
      <c r="I187" s="141"/>
      <c r="J187" s="143">
        <f t="shared" si="70"/>
        <v>0</v>
      </c>
      <c r="K187" s="143">
        <f t="shared" si="70"/>
        <v>0</v>
      </c>
      <c r="L187" s="143">
        <f t="shared" si="70"/>
        <v>0</v>
      </c>
      <c r="M187" s="143">
        <f t="shared" si="70"/>
        <v>0</v>
      </c>
      <c r="N187" s="143">
        <f t="shared" si="70"/>
        <v>0</v>
      </c>
      <c r="O187" s="143">
        <f t="shared" si="70"/>
        <v>0</v>
      </c>
      <c r="P187" s="143">
        <f t="shared" si="70"/>
        <v>0.15778310002993795</v>
      </c>
      <c r="Q187" s="143">
        <f t="shared" si="70"/>
        <v>0.30398195663864902</v>
      </c>
      <c r="R187" s="143">
        <f t="shared" si="70"/>
        <v>0.39574981032959627</v>
      </c>
      <c r="S187" s="143">
        <f t="shared" si="70"/>
        <v>0.63705569443769439</v>
      </c>
      <c r="T187" s="143">
        <f t="shared" si="70"/>
        <v>0.84741945346174374</v>
      </c>
      <c r="U187" s="143">
        <f t="shared" si="70"/>
        <v>1.0537044136193137</v>
      </c>
      <c r="V187" s="143">
        <f t="shared" si="70"/>
        <v>1.2642599036358886</v>
      </c>
      <c r="W187" s="143">
        <f t="shared" si="70"/>
        <v>1.4657776777765306</v>
      </c>
      <c r="X187" s="143">
        <f t="shared" si="70"/>
        <v>1.6543513489811534</v>
      </c>
      <c r="Y187" s="143">
        <f t="shared" si="70"/>
        <v>1.8415574102057646</v>
      </c>
      <c r="Z187" s="143">
        <f t="shared" si="71"/>
        <v>2.0313181429671681</v>
      </c>
      <c r="AA187" s="143">
        <f t="shared" si="71"/>
        <v>2.2415074462553024</v>
      </c>
      <c r="AB187" s="143">
        <f t="shared" si="71"/>
        <v>2.4433485305759124</v>
      </c>
      <c r="AC187" s="143">
        <f t="shared" si="71"/>
        <v>2.4433485305759124</v>
      </c>
      <c r="AD187" s="143">
        <f t="shared" si="71"/>
        <v>2.4433485305759124</v>
      </c>
      <c r="AE187" s="143">
        <f t="shared" si="71"/>
        <v>2.4433485305759124</v>
      </c>
      <c r="AF187" s="143">
        <f t="shared" si="71"/>
        <v>2.4433485305759124</v>
      </c>
      <c r="AG187" s="143">
        <f t="shared" si="71"/>
        <v>2.4433485305759124</v>
      </c>
      <c r="AH187" s="143">
        <f t="shared" si="71"/>
        <v>2.4433485305759124</v>
      </c>
      <c r="AI187" s="143">
        <f t="shared" si="71"/>
        <v>2.4433485305759124</v>
      </c>
      <c r="AJ187" s="143">
        <f t="shared" si="71"/>
        <v>2.4433485305759124</v>
      </c>
      <c r="AK187" s="143">
        <f t="shared" si="71"/>
        <v>2.4433485305759124</v>
      </c>
      <c r="AL187" s="143">
        <f t="shared" si="71"/>
        <v>2.4433485305759124</v>
      </c>
      <c r="AM187" s="143">
        <f t="shared" si="71"/>
        <v>2.4433485305759124</v>
      </c>
      <c r="AN187" s="143">
        <f t="shared" si="72"/>
        <v>2.4433485305759124</v>
      </c>
      <c r="AO187" s="143">
        <f t="shared" si="72"/>
        <v>2.4433485305759124</v>
      </c>
      <c r="AP187" s="143">
        <f t="shared" si="72"/>
        <v>2.4433485305759124</v>
      </c>
      <c r="AQ187" s="143">
        <f t="shared" si="72"/>
        <v>2.4433485305759124</v>
      </c>
      <c r="AR187" s="143">
        <f t="shared" si="72"/>
        <v>2.4433485305759124</v>
      </c>
      <c r="AS187" s="143">
        <f t="shared" si="72"/>
        <v>2.4433485305759124</v>
      </c>
      <c r="AT187" s="143">
        <f t="shared" si="72"/>
        <v>2.4433485305759124</v>
      </c>
      <c r="AU187" s="143">
        <f t="shared" si="72"/>
        <v>2.4433485305759124</v>
      </c>
      <c r="AV187" s="143">
        <f t="shared" si="72"/>
        <v>2.4433485305759124</v>
      </c>
    </row>
    <row r="188" spans="1:48">
      <c r="A188" t="s">
        <v>16</v>
      </c>
      <c r="B188" s="75" t="str">
        <f t="shared" si="69"/>
        <v>CNK</v>
      </c>
      <c r="C188" s="75" t="str">
        <f t="shared" si="69"/>
        <v>Commercial - Cooking</v>
      </c>
      <c r="E188" s="94"/>
      <c r="F188" s="94"/>
      <c r="I188" s="141"/>
      <c r="J188" s="143">
        <f t="shared" si="70"/>
        <v>0</v>
      </c>
      <c r="K188" s="143">
        <f t="shared" si="70"/>
        <v>0</v>
      </c>
      <c r="L188" s="143">
        <f t="shared" si="70"/>
        <v>0</v>
      </c>
      <c r="M188" s="143">
        <f t="shared" si="70"/>
        <v>0</v>
      </c>
      <c r="N188" s="143">
        <f t="shared" si="70"/>
        <v>0</v>
      </c>
      <c r="O188" s="143">
        <f t="shared" si="70"/>
        <v>0</v>
      </c>
      <c r="P188" s="143">
        <f t="shared" si="70"/>
        <v>0.11351736674445566</v>
      </c>
      <c r="Q188" s="143">
        <f t="shared" si="70"/>
        <v>0.2187004264011754</v>
      </c>
      <c r="R188" s="143">
        <f t="shared" si="70"/>
        <v>0.28472299219440816</v>
      </c>
      <c r="S188" s="143">
        <f t="shared" si="70"/>
        <v>0.45833099291626384</v>
      </c>
      <c r="T188" s="143">
        <f t="shared" si="70"/>
        <v>0.6096776198892685</v>
      </c>
      <c r="U188" s="143">
        <f t="shared" si="70"/>
        <v>0.75808974686376152</v>
      </c>
      <c r="V188" s="143">
        <f t="shared" si="70"/>
        <v>0.90957431508263276</v>
      </c>
      <c r="W188" s="143">
        <f t="shared" si="70"/>
        <v>1.0545566805470528</v>
      </c>
      <c r="X188" s="143">
        <f t="shared" si="70"/>
        <v>1.1902263852772925</v>
      </c>
      <c r="Y188" s="143">
        <f t="shared" si="70"/>
        <v>1.3249121602733918</v>
      </c>
      <c r="Z188" s="143">
        <f t="shared" si="71"/>
        <v>1.4614358988137399</v>
      </c>
      <c r="AA188" s="143">
        <f t="shared" si="71"/>
        <v>1.6126570132587821</v>
      </c>
      <c r="AB188" s="143">
        <f t="shared" si="71"/>
        <v>1.7578719848785174</v>
      </c>
      <c r="AC188" s="143">
        <f t="shared" si="71"/>
        <v>1.7578719848785174</v>
      </c>
      <c r="AD188" s="143">
        <f t="shared" si="71"/>
        <v>1.7578719848785174</v>
      </c>
      <c r="AE188" s="143">
        <f t="shared" si="71"/>
        <v>1.7578719848785174</v>
      </c>
      <c r="AF188" s="143">
        <f t="shared" si="71"/>
        <v>1.7578719848785174</v>
      </c>
      <c r="AG188" s="143">
        <f t="shared" si="71"/>
        <v>1.7578719848785174</v>
      </c>
      <c r="AH188" s="143">
        <f t="shared" si="71"/>
        <v>1.7578719848785174</v>
      </c>
      <c r="AI188" s="143">
        <f t="shared" si="71"/>
        <v>1.7578719848785174</v>
      </c>
      <c r="AJ188" s="143">
        <f t="shared" si="71"/>
        <v>1.7578719848785174</v>
      </c>
      <c r="AK188" s="143">
        <f t="shared" si="71"/>
        <v>1.7578719848785174</v>
      </c>
      <c r="AL188" s="143">
        <f t="shared" si="71"/>
        <v>1.7578719848785174</v>
      </c>
      <c r="AM188" s="143">
        <f t="shared" si="71"/>
        <v>1.7578719848785174</v>
      </c>
      <c r="AN188" s="143">
        <f t="shared" si="72"/>
        <v>1.7578719848785174</v>
      </c>
      <c r="AO188" s="143">
        <f t="shared" si="72"/>
        <v>1.7578719848785174</v>
      </c>
      <c r="AP188" s="143">
        <f t="shared" si="72"/>
        <v>1.7578719848785174</v>
      </c>
      <c r="AQ188" s="143">
        <f t="shared" si="72"/>
        <v>1.7578719848785174</v>
      </c>
      <c r="AR188" s="143">
        <f t="shared" si="72"/>
        <v>1.7578719848785174</v>
      </c>
      <c r="AS188" s="143">
        <f t="shared" si="72"/>
        <v>1.7578719848785174</v>
      </c>
      <c r="AT188" s="143">
        <f t="shared" si="72"/>
        <v>1.7578719848785174</v>
      </c>
      <c r="AU188" s="143">
        <f t="shared" si="72"/>
        <v>1.7578719848785174</v>
      </c>
      <c r="AV188" s="143">
        <f t="shared" si="72"/>
        <v>1.7578719848785174</v>
      </c>
    </row>
    <row r="189" spans="1:48">
      <c r="A189" t="s">
        <v>16</v>
      </c>
      <c r="B189" s="75" t="str">
        <f t="shared" si="69"/>
        <v>CNL</v>
      </c>
      <c r="C189" s="75" t="str">
        <f t="shared" si="69"/>
        <v>Commercial - Lighting</v>
      </c>
      <c r="E189" s="94"/>
      <c r="F189" s="94"/>
      <c r="I189" s="141"/>
      <c r="J189" s="143">
        <f t="shared" si="70"/>
        <v>0</v>
      </c>
      <c r="K189" s="143">
        <f t="shared" si="70"/>
        <v>0</v>
      </c>
      <c r="L189" s="143">
        <f t="shared" si="70"/>
        <v>0</v>
      </c>
      <c r="M189" s="143">
        <f t="shared" si="70"/>
        <v>0</v>
      </c>
      <c r="N189" s="143">
        <f t="shared" si="70"/>
        <v>0</v>
      </c>
      <c r="O189" s="143">
        <f t="shared" si="70"/>
        <v>0</v>
      </c>
      <c r="P189" s="143">
        <f t="shared" si="70"/>
        <v>1.439792405855393</v>
      </c>
      <c r="Q189" s="143">
        <f t="shared" si="70"/>
        <v>2.7738770033187716</v>
      </c>
      <c r="R189" s="143">
        <f t="shared" si="70"/>
        <v>3.6112712414900638</v>
      </c>
      <c r="S189" s="143">
        <f t="shared" si="70"/>
        <v>5.8132204956316</v>
      </c>
      <c r="T189" s="143">
        <f t="shared" si="70"/>
        <v>7.7328186189575536</v>
      </c>
      <c r="U189" s="143">
        <f t="shared" si="70"/>
        <v>9.6151971437849717</v>
      </c>
      <c r="V189" s="143">
        <f t="shared" si="70"/>
        <v>11.536544838687051</v>
      </c>
      <c r="W189" s="143">
        <f t="shared" si="70"/>
        <v>13.375422137951208</v>
      </c>
      <c r="X189" s="143">
        <f t="shared" si="70"/>
        <v>15.096182724434627</v>
      </c>
      <c r="Y189" s="143">
        <f t="shared" si="70"/>
        <v>16.804463682472292</v>
      </c>
      <c r="Z189" s="143">
        <f t="shared" si="71"/>
        <v>18.536056368302283</v>
      </c>
      <c r="AA189" s="143">
        <f t="shared" si="71"/>
        <v>20.454062559135593</v>
      </c>
      <c r="AB189" s="143">
        <f t="shared" si="71"/>
        <v>22.295890108089136</v>
      </c>
      <c r="AC189" s="143">
        <f t="shared" si="71"/>
        <v>22.295890108089136</v>
      </c>
      <c r="AD189" s="143">
        <f t="shared" si="71"/>
        <v>22.295890108089136</v>
      </c>
      <c r="AE189" s="143">
        <f t="shared" si="71"/>
        <v>22.295890108089136</v>
      </c>
      <c r="AF189" s="143">
        <f t="shared" si="71"/>
        <v>22.295890108089136</v>
      </c>
      <c r="AG189" s="143">
        <f t="shared" si="71"/>
        <v>22.295890108089136</v>
      </c>
      <c r="AH189" s="143">
        <f t="shared" si="71"/>
        <v>22.295890108089136</v>
      </c>
      <c r="AI189" s="143">
        <f t="shared" si="71"/>
        <v>22.295890108089136</v>
      </c>
      <c r="AJ189" s="143">
        <f t="shared" si="71"/>
        <v>22.295890108089136</v>
      </c>
      <c r="AK189" s="143">
        <f t="shared" si="71"/>
        <v>22.295890108089136</v>
      </c>
      <c r="AL189" s="143">
        <f t="shared" si="71"/>
        <v>22.295890108089136</v>
      </c>
      <c r="AM189" s="143">
        <f t="shared" si="71"/>
        <v>22.295890108089136</v>
      </c>
      <c r="AN189" s="143">
        <f t="shared" si="72"/>
        <v>22.295890108089136</v>
      </c>
      <c r="AO189" s="143">
        <f t="shared" si="72"/>
        <v>22.295890108089136</v>
      </c>
      <c r="AP189" s="143">
        <f t="shared" si="72"/>
        <v>22.295890108089136</v>
      </c>
      <c r="AQ189" s="143">
        <f t="shared" si="72"/>
        <v>22.295890108089136</v>
      </c>
      <c r="AR189" s="143">
        <f t="shared" si="72"/>
        <v>22.295890108089136</v>
      </c>
      <c r="AS189" s="143">
        <f t="shared" si="72"/>
        <v>22.295890108089136</v>
      </c>
      <c r="AT189" s="143">
        <f t="shared" si="72"/>
        <v>22.295890108089136</v>
      </c>
      <c r="AU189" s="143">
        <f t="shared" si="72"/>
        <v>22.295890108089136</v>
      </c>
      <c r="AV189" s="143">
        <f t="shared" si="72"/>
        <v>22.295890108089136</v>
      </c>
    </row>
    <row r="190" spans="1:48">
      <c r="A190" t="s">
        <v>16</v>
      </c>
      <c r="B190" s="75" t="str">
        <f t="shared" si="69"/>
        <v>CNR</v>
      </c>
      <c r="C190" s="75" t="str">
        <f t="shared" si="69"/>
        <v>Commercial - Refrigeration</v>
      </c>
      <c r="E190" s="94"/>
      <c r="F190" s="94"/>
      <c r="I190" s="141"/>
      <c r="J190" s="143">
        <f t="shared" si="70"/>
        <v>0</v>
      </c>
      <c r="K190" s="143">
        <f t="shared" si="70"/>
        <v>0</v>
      </c>
      <c r="L190" s="143">
        <f t="shared" si="70"/>
        <v>0</v>
      </c>
      <c r="M190" s="143">
        <f t="shared" si="70"/>
        <v>0</v>
      </c>
      <c r="N190" s="143">
        <f t="shared" si="70"/>
        <v>0</v>
      </c>
      <c r="O190" s="143">
        <f t="shared" si="70"/>
        <v>0</v>
      </c>
      <c r="P190" s="143">
        <f t="shared" si="70"/>
        <v>0.35024986912740697</v>
      </c>
      <c r="Q190" s="143">
        <f t="shared" si="70"/>
        <v>0.67478481858689709</v>
      </c>
      <c r="R190" s="143">
        <f t="shared" si="70"/>
        <v>0.87849281227734122</v>
      </c>
      <c r="S190" s="143">
        <f t="shared" si="70"/>
        <v>1.4141481157445579</v>
      </c>
      <c r="T190" s="143">
        <f t="shared" si="70"/>
        <v>1.8811175126783395</v>
      </c>
      <c r="U190" s="143">
        <f t="shared" si="70"/>
        <v>2.3390327157921846</v>
      </c>
      <c r="V190" s="143">
        <f t="shared" si="70"/>
        <v>2.8064277207602051</v>
      </c>
      <c r="W190" s="143">
        <f t="shared" si="70"/>
        <v>3.2537606354146509</v>
      </c>
      <c r="X190" s="143">
        <f t="shared" si="70"/>
        <v>3.6723599888800207</v>
      </c>
      <c r="Y190" s="143">
        <f t="shared" si="70"/>
        <v>4.0879234961969404</v>
      </c>
      <c r="Z190" s="143">
        <f t="shared" si="71"/>
        <v>4.50915791105247</v>
      </c>
      <c r="AA190" s="143">
        <f t="shared" si="71"/>
        <v>4.9757400478889338</v>
      </c>
      <c r="AB190" s="143">
        <f t="shared" si="71"/>
        <v>5.4237906525127109</v>
      </c>
      <c r="AC190" s="143">
        <f t="shared" si="71"/>
        <v>5.4237906525127109</v>
      </c>
      <c r="AD190" s="143">
        <f t="shared" si="71"/>
        <v>5.4237906525127109</v>
      </c>
      <c r="AE190" s="143">
        <f t="shared" si="71"/>
        <v>5.4237906525127109</v>
      </c>
      <c r="AF190" s="143">
        <f t="shared" si="71"/>
        <v>5.4237906525127109</v>
      </c>
      <c r="AG190" s="143">
        <f t="shared" si="71"/>
        <v>5.4237906525127109</v>
      </c>
      <c r="AH190" s="143">
        <f t="shared" si="71"/>
        <v>5.4237906525127109</v>
      </c>
      <c r="AI190" s="143">
        <f t="shared" si="71"/>
        <v>5.4237906525127109</v>
      </c>
      <c r="AJ190" s="143">
        <f t="shared" si="71"/>
        <v>5.4237906525127109</v>
      </c>
      <c r="AK190" s="143">
        <f t="shared" si="71"/>
        <v>5.4237906525127109</v>
      </c>
      <c r="AL190" s="143">
        <f t="shared" si="71"/>
        <v>5.4237906525127109</v>
      </c>
      <c r="AM190" s="143">
        <f t="shared" si="71"/>
        <v>5.4237906525127109</v>
      </c>
      <c r="AN190" s="143">
        <f t="shared" si="72"/>
        <v>5.4237906525127109</v>
      </c>
      <c r="AO190" s="143">
        <f t="shared" si="72"/>
        <v>5.4237906525127109</v>
      </c>
      <c r="AP190" s="143">
        <f t="shared" si="72"/>
        <v>5.4237906525127109</v>
      </c>
      <c r="AQ190" s="143">
        <f t="shared" si="72"/>
        <v>5.4237906525127109</v>
      </c>
      <c r="AR190" s="143">
        <f t="shared" si="72"/>
        <v>5.4237906525127109</v>
      </c>
      <c r="AS190" s="143">
        <f t="shared" si="72"/>
        <v>5.4237906525127109</v>
      </c>
      <c r="AT190" s="143">
        <f t="shared" si="72"/>
        <v>5.4237906525127109</v>
      </c>
      <c r="AU190" s="143">
        <f t="shared" si="72"/>
        <v>5.4237906525127109</v>
      </c>
      <c r="AV190" s="143">
        <f t="shared" si="72"/>
        <v>5.4237906525127109</v>
      </c>
    </row>
    <row r="191" spans="1:48">
      <c r="A191" t="s">
        <v>16</v>
      </c>
      <c r="B191" s="75" t="str">
        <f t="shared" si="69"/>
        <v>CNW</v>
      </c>
      <c r="C191" s="75" t="str">
        <f t="shared" si="69"/>
        <v>Commercial - Water Heating</v>
      </c>
      <c r="E191" s="94"/>
      <c r="F191" s="94"/>
      <c r="I191" s="141"/>
      <c r="J191" s="143">
        <f t="shared" si="70"/>
        <v>0</v>
      </c>
      <c r="K191" s="143">
        <f t="shared" si="70"/>
        <v>0</v>
      </c>
      <c r="L191" s="143">
        <f t="shared" si="70"/>
        <v>0</v>
      </c>
      <c r="M191" s="143">
        <f t="shared" si="70"/>
        <v>0</v>
      </c>
      <c r="N191" s="143">
        <f t="shared" si="70"/>
        <v>0</v>
      </c>
      <c r="O191" s="143">
        <f t="shared" si="70"/>
        <v>0</v>
      </c>
      <c r="P191" s="143">
        <f t="shared" si="70"/>
        <v>0.13273002272365989</v>
      </c>
      <c r="Q191" s="143">
        <f t="shared" si="70"/>
        <v>0.25571516851028336</v>
      </c>
      <c r="R191" s="143">
        <f t="shared" si="70"/>
        <v>0.3329119614709351</v>
      </c>
      <c r="S191" s="143">
        <f t="shared" si="70"/>
        <v>0.53590287415387494</v>
      </c>
      <c r="T191" s="143">
        <f t="shared" si="70"/>
        <v>0.71286470663275703</v>
      </c>
      <c r="U191" s="143">
        <f t="shared" si="70"/>
        <v>0.88639537908163391</v>
      </c>
      <c r="V191" s="143">
        <f t="shared" si="70"/>
        <v>1.063518499169835</v>
      </c>
      <c r="W191" s="143">
        <f t="shared" si="70"/>
        <v>1.2330389277571403</v>
      </c>
      <c r="X191" s="143">
        <f t="shared" si="70"/>
        <v>1.3916705407709831</v>
      </c>
      <c r="Y191" s="143">
        <f t="shared" si="70"/>
        <v>1.5491516953156386</v>
      </c>
      <c r="Z191" s="143">
        <f t="shared" si="71"/>
        <v>1.7087818861706818</v>
      </c>
      <c r="AA191" s="143">
        <f t="shared" si="71"/>
        <v>1.8855969633013181</v>
      </c>
      <c r="AB191" s="143">
        <f t="shared" si="71"/>
        <v>2.0553893663112692</v>
      </c>
      <c r="AC191" s="143">
        <f t="shared" si="71"/>
        <v>2.0553893663112692</v>
      </c>
      <c r="AD191" s="143">
        <f t="shared" si="71"/>
        <v>2.0553893663112692</v>
      </c>
      <c r="AE191" s="143">
        <f t="shared" si="71"/>
        <v>2.0553893663112692</v>
      </c>
      <c r="AF191" s="143">
        <f t="shared" si="71"/>
        <v>2.0553893663112692</v>
      </c>
      <c r="AG191" s="143">
        <f t="shared" si="71"/>
        <v>2.0553893663112692</v>
      </c>
      <c r="AH191" s="143">
        <f t="shared" si="71"/>
        <v>2.0553893663112692</v>
      </c>
      <c r="AI191" s="143">
        <f t="shared" si="71"/>
        <v>2.0553893663112692</v>
      </c>
      <c r="AJ191" s="143">
        <f t="shared" si="71"/>
        <v>2.0553893663112692</v>
      </c>
      <c r="AK191" s="143">
        <f t="shared" si="71"/>
        <v>2.0553893663112692</v>
      </c>
      <c r="AL191" s="143">
        <f t="shared" si="71"/>
        <v>2.0553893663112692</v>
      </c>
      <c r="AM191" s="143">
        <f t="shared" si="71"/>
        <v>2.0553893663112692</v>
      </c>
      <c r="AN191" s="143">
        <f t="shared" si="72"/>
        <v>2.0553893663112692</v>
      </c>
      <c r="AO191" s="143">
        <f t="shared" si="72"/>
        <v>2.0553893663112692</v>
      </c>
      <c r="AP191" s="143">
        <f t="shared" si="72"/>
        <v>2.0553893663112692</v>
      </c>
      <c r="AQ191" s="143">
        <f t="shared" si="72"/>
        <v>2.0553893663112692</v>
      </c>
      <c r="AR191" s="143">
        <f t="shared" si="72"/>
        <v>2.0553893663112692</v>
      </c>
      <c r="AS191" s="143">
        <f t="shared" si="72"/>
        <v>2.0553893663112692</v>
      </c>
      <c r="AT191" s="143">
        <f t="shared" si="72"/>
        <v>2.0553893663112692</v>
      </c>
      <c r="AU191" s="143">
        <f t="shared" si="72"/>
        <v>2.0553893663112692</v>
      </c>
      <c r="AV191" s="143">
        <f t="shared" si="72"/>
        <v>2.0553893663112692</v>
      </c>
    </row>
    <row r="192" spans="1:48">
      <c r="A192" t="s">
        <v>16</v>
      </c>
      <c r="B192" s="75" t="str">
        <f t="shared" si="69"/>
        <v>CNG</v>
      </c>
      <c r="C192" s="75" t="str">
        <f t="shared" si="69"/>
        <v>Commercial - Public lights</v>
      </c>
      <c r="E192" s="94"/>
      <c r="F192" s="94"/>
      <c r="I192" s="141"/>
      <c r="J192" s="143">
        <f t="shared" si="70"/>
        <v>0</v>
      </c>
      <c r="K192" s="143">
        <f t="shared" si="70"/>
        <v>0</v>
      </c>
      <c r="L192" s="143">
        <f t="shared" si="70"/>
        <v>0</v>
      </c>
      <c r="M192" s="143">
        <f t="shared" si="70"/>
        <v>0</v>
      </c>
      <c r="N192" s="143">
        <f t="shared" si="70"/>
        <v>0</v>
      </c>
      <c r="O192" s="143">
        <f t="shared" si="70"/>
        <v>0</v>
      </c>
      <c r="P192" s="143">
        <f t="shared" si="70"/>
        <v>0</v>
      </c>
      <c r="Q192" s="143">
        <f t="shared" si="70"/>
        <v>0</v>
      </c>
      <c r="R192" s="143">
        <f t="shared" si="70"/>
        <v>0</v>
      </c>
      <c r="S192" s="143">
        <f t="shared" si="70"/>
        <v>0</v>
      </c>
      <c r="T192" s="143">
        <f t="shared" si="70"/>
        <v>0</v>
      </c>
      <c r="U192" s="143">
        <f t="shared" si="70"/>
        <v>0</v>
      </c>
      <c r="V192" s="143">
        <f t="shared" si="70"/>
        <v>0</v>
      </c>
      <c r="W192" s="143">
        <f t="shared" si="70"/>
        <v>0</v>
      </c>
      <c r="X192" s="143">
        <f t="shared" si="70"/>
        <v>0</v>
      </c>
      <c r="Y192" s="143">
        <f t="shared" si="70"/>
        <v>0</v>
      </c>
      <c r="Z192" s="143">
        <f t="shared" si="71"/>
        <v>0</v>
      </c>
      <c r="AA192" s="143">
        <f t="shared" si="71"/>
        <v>0</v>
      </c>
      <c r="AB192" s="143">
        <f t="shared" si="71"/>
        <v>0</v>
      </c>
      <c r="AC192" s="143">
        <f t="shared" si="71"/>
        <v>0</v>
      </c>
      <c r="AD192" s="143">
        <f t="shared" si="71"/>
        <v>0</v>
      </c>
      <c r="AE192" s="143">
        <f t="shared" si="71"/>
        <v>0</v>
      </c>
      <c r="AF192" s="143">
        <f t="shared" si="71"/>
        <v>0</v>
      </c>
      <c r="AG192" s="143">
        <f t="shared" si="71"/>
        <v>0</v>
      </c>
      <c r="AH192" s="143">
        <f t="shared" si="71"/>
        <v>0</v>
      </c>
      <c r="AI192" s="143">
        <f t="shared" si="71"/>
        <v>0</v>
      </c>
      <c r="AJ192" s="143">
        <f t="shared" si="71"/>
        <v>0</v>
      </c>
      <c r="AK192" s="143">
        <f t="shared" si="71"/>
        <v>0</v>
      </c>
      <c r="AL192" s="143">
        <f t="shared" si="71"/>
        <v>0</v>
      </c>
      <c r="AM192" s="143">
        <f t="shared" si="71"/>
        <v>0</v>
      </c>
      <c r="AN192" s="143">
        <f t="shared" si="72"/>
        <v>0</v>
      </c>
      <c r="AO192" s="143">
        <f t="shared" si="72"/>
        <v>0</v>
      </c>
      <c r="AP192" s="143">
        <f t="shared" si="72"/>
        <v>0</v>
      </c>
      <c r="AQ192" s="143">
        <f t="shared" si="72"/>
        <v>0</v>
      </c>
      <c r="AR192" s="143">
        <f t="shared" si="72"/>
        <v>0</v>
      </c>
      <c r="AS192" s="143">
        <f t="shared" si="72"/>
        <v>0</v>
      </c>
      <c r="AT192" s="143">
        <f t="shared" si="72"/>
        <v>0</v>
      </c>
      <c r="AU192" s="143">
        <f t="shared" si="72"/>
        <v>0</v>
      </c>
      <c r="AV192" s="143">
        <f t="shared" si="72"/>
        <v>0</v>
      </c>
    </row>
    <row r="193" spans="1:48">
      <c r="A193" t="s">
        <v>16</v>
      </c>
      <c r="B193" s="75" t="str">
        <f t="shared" si="69"/>
        <v>CNT</v>
      </c>
      <c r="C193" s="75" t="str">
        <f t="shared" si="69"/>
        <v>Commercial - Public Water</v>
      </c>
      <c r="E193" s="94"/>
      <c r="F193" s="94"/>
      <c r="I193" s="141"/>
      <c r="J193" s="143">
        <f t="shared" si="70"/>
        <v>0</v>
      </c>
      <c r="K193" s="143">
        <f t="shared" si="70"/>
        <v>0</v>
      </c>
      <c r="L193" s="143">
        <f t="shared" si="70"/>
        <v>0</v>
      </c>
      <c r="M193" s="143">
        <f t="shared" si="70"/>
        <v>0</v>
      </c>
      <c r="N193" s="143">
        <f t="shared" si="70"/>
        <v>0</v>
      </c>
      <c r="O193" s="143">
        <f t="shared" si="70"/>
        <v>0</v>
      </c>
      <c r="P193" s="143">
        <f t="shared" si="70"/>
        <v>0</v>
      </c>
      <c r="Q193" s="143">
        <f t="shared" si="70"/>
        <v>0</v>
      </c>
      <c r="R193" s="143">
        <f t="shared" si="70"/>
        <v>0</v>
      </c>
      <c r="S193" s="143">
        <f t="shared" si="70"/>
        <v>0</v>
      </c>
      <c r="T193" s="143">
        <f t="shared" si="70"/>
        <v>0</v>
      </c>
      <c r="U193" s="143">
        <f t="shared" si="70"/>
        <v>0</v>
      </c>
      <c r="V193" s="143">
        <f t="shared" si="70"/>
        <v>0</v>
      </c>
      <c r="W193" s="143">
        <f t="shared" si="70"/>
        <v>0</v>
      </c>
      <c r="X193" s="143">
        <f t="shared" si="70"/>
        <v>0</v>
      </c>
      <c r="Y193" s="143">
        <f t="shared" si="70"/>
        <v>0</v>
      </c>
      <c r="Z193" s="143">
        <f t="shared" si="71"/>
        <v>0</v>
      </c>
      <c r="AA193" s="143">
        <f t="shared" si="71"/>
        <v>0</v>
      </c>
      <c r="AB193" s="143">
        <f t="shared" si="71"/>
        <v>0</v>
      </c>
      <c r="AC193" s="143">
        <f t="shared" si="71"/>
        <v>0</v>
      </c>
      <c r="AD193" s="143">
        <f t="shared" si="71"/>
        <v>0</v>
      </c>
      <c r="AE193" s="143">
        <f t="shared" si="71"/>
        <v>0</v>
      </c>
      <c r="AF193" s="143">
        <f t="shared" si="71"/>
        <v>0</v>
      </c>
      <c r="AG193" s="143">
        <f t="shared" si="71"/>
        <v>0</v>
      </c>
      <c r="AH193" s="143">
        <f t="shared" si="71"/>
        <v>0</v>
      </c>
      <c r="AI193" s="143">
        <f t="shared" si="71"/>
        <v>0</v>
      </c>
      <c r="AJ193" s="143">
        <f t="shared" si="71"/>
        <v>0</v>
      </c>
      <c r="AK193" s="143">
        <f t="shared" si="71"/>
        <v>0</v>
      </c>
      <c r="AL193" s="143">
        <f t="shared" si="71"/>
        <v>0</v>
      </c>
      <c r="AM193" s="143">
        <f t="shared" si="71"/>
        <v>0</v>
      </c>
      <c r="AN193" s="143">
        <f t="shared" si="72"/>
        <v>0</v>
      </c>
      <c r="AO193" s="143">
        <f t="shared" si="72"/>
        <v>0</v>
      </c>
      <c r="AP193" s="143">
        <f t="shared" si="72"/>
        <v>0</v>
      </c>
      <c r="AQ193" s="143">
        <f t="shared" si="72"/>
        <v>0</v>
      </c>
      <c r="AR193" s="143">
        <f t="shared" si="72"/>
        <v>0</v>
      </c>
      <c r="AS193" s="143">
        <f t="shared" si="72"/>
        <v>0</v>
      </c>
      <c r="AT193" s="143">
        <f t="shared" si="72"/>
        <v>0</v>
      </c>
      <c r="AU193" s="143">
        <f t="shared" si="72"/>
        <v>0</v>
      </c>
      <c r="AV193" s="143">
        <f t="shared" si="72"/>
        <v>0</v>
      </c>
    </row>
    <row r="194" spans="1:48">
      <c r="A194" t="s">
        <v>16</v>
      </c>
      <c r="B194" s="75" t="str">
        <f t="shared" si="69"/>
        <v>CNO</v>
      </c>
      <c r="C194" s="75" t="str">
        <f t="shared" si="69"/>
        <v>Commercial - Other</v>
      </c>
      <c r="E194" s="94"/>
      <c r="F194" s="94"/>
      <c r="I194" s="141"/>
      <c r="J194" s="143">
        <f t="shared" si="70"/>
        <v>0</v>
      </c>
      <c r="K194" s="143">
        <f t="shared" si="70"/>
        <v>0</v>
      </c>
      <c r="L194" s="143">
        <f t="shared" si="70"/>
        <v>0</v>
      </c>
      <c r="M194" s="143">
        <f t="shared" si="70"/>
        <v>0</v>
      </c>
      <c r="N194" s="143">
        <f t="shared" si="70"/>
        <v>0</v>
      </c>
      <c r="O194" s="143">
        <f t="shared" si="70"/>
        <v>0</v>
      </c>
      <c r="P194" s="143">
        <f t="shared" si="70"/>
        <v>0.23382419467651278</v>
      </c>
      <c r="Q194" s="143">
        <f t="shared" si="70"/>
        <v>0.45048130118964741</v>
      </c>
      <c r="R194" s="143">
        <f t="shared" si="70"/>
        <v>0.58647523515600009</v>
      </c>
      <c r="S194" s="143">
        <f t="shared" si="70"/>
        <v>0.94407471197939985</v>
      </c>
      <c r="T194" s="143">
        <f t="shared" si="70"/>
        <v>1.2558199909959062</v>
      </c>
      <c r="U194" s="143">
        <f t="shared" si="70"/>
        <v>1.5615207578940611</v>
      </c>
      <c r="V194" s="143">
        <f t="shared" si="70"/>
        <v>1.8735501696530052</v>
      </c>
      <c r="W194" s="143">
        <f t="shared" si="70"/>
        <v>2.1721862798732912</v>
      </c>
      <c r="X194" s="143">
        <f t="shared" si="70"/>
        <v>2.4516400794135977</v>
      </c>
      <c r="Y194" s="143">
        <f t="shared" si="70"/>
        <v>2.7290671707567209</v>
      </c>
      <c r="Z194" s="143">
        <f t="shared" si="71"/>
        <v>3.0102801175852538</v>
      </c>
      <c r="AA194" s="143">
        <f t="shared" si="71"/>
        <v>3.3217668646553777</v>
      </c>
      <c r="AB194" s="143">
        <f t="shared" si="71"/>
        <v>3.6208820993347945</v>
      </c>
      <c r="AC194" s="143">
        <f t="shared" si="71"/>
        <v>3.6208820993347945</v>
      </c>
      <c r="AD194" s="143">
        <f t="shared" si="71"/>
        <v>3.6208820993347945</v>
      </c>
      <c r="AE194" s="143">
        <f t="shared" si="71"/>
        <v>3.6208820993347945</v>
      </c>
      <c r="AF194" s="143">
        <f t="shared" si="71"/>
        <v>3.6208820993347945</v>
      </c>
      <c r="AG194" s="143">
        <f t="shared" si="71"/>
        <v>3.6208820993347945</v>
      </c>
      <c r="AH194" s="143">
        <f t="shared" si="71"/>
        <v>3.6208820993347945</v>
      </c>
      <c r="AI194" s="143">
        <f t="shared" si="71"/>
        <v>3.6208820993347945</v>
      </c>
      <c r="AJ194" s="143">
        <f t="shared" si="71"/>
        <v>3.6208820993347945</v>
      </c>
      <c r="AK194" s="143">
        <f t="shared" si="71"/>
        <v>3.6208820993347945</v>
      </c>
      <c r="AL194" s="143">
        <f t="shared" si="71"/>
        <v>3.6208820993347945</v>
      </c>
      <c r="AM194" s="143">
        <f t="shared" si="71"/>
        <v>3.6208820993347945</v>
      </c>
      <c r="AN194" s="143">
        <f t="shared" si="72"/>
        <v>3.6208820993347945</v>
      </c>
      <c r="AO194" s="143">
        <f t="shared" si="72"/>
        <v>3.6208820993347945</v>
      </c>
      <c r="AP194" s="143">
        <f t="shared" si="72"/>
        <v>3.6208820993347945</v>
      </c>
      <c r="AQ194" s="143">
        <f t="shared" si="72"/>
        <v>3.6208820993347945</v>
      </c>
      <c r="AR194" s="143">
        <f t="shared" si="72"/>
        <v>3.6208820993347945</v>
      </c>
      <c r="AS194" s="143">
        <f t="shared" si="72"/>
        <v>3.6208820993347945</v>
      </c>
      <c r="AT194" s="143">
        <f t="shared" si="72"/>
        <v>3.6208820993347945</v>
      </c>
      <c r="AU194" s="143">
        <f t="shared" si="72"/>
        <v>3.6208820993347945</v>
      </c>
      <c r="AV194" s="143">
        <f t="shared" si="72"/>
        <v>3.6208820993347945</v>
      </c>
    </row>
    <row r="195" spans="1:48">
      <c r="A195" t="s">
        <v>16</v>
      </c>
      <c r="E195" s="94"/>
      <c r="F195" s="94"/>
      <c r="I195" s="141"/>
      <c r="J195" s="143"/>
      <c r="K195" s="143"/>
      <c r="L195" s="143"/>
      <c r="M195" s="143"/>
      <c r="N195" s="143"/>
      <c r="O195" s="143"/>
      <c r="P195" s="143"/>
      <c r="Q195" s="143"/>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143"/>
      <c r="AO195" s="143"/>
      <c r="AP195" s="143"/>
      <c r="AQ195" s="143"/>
      <c r="AR195" s="143"/>
      <c r="AS195" s="143"/>
      <c r="AT195" s="143"/>
      <c r="AU195" s="143"/>
      <c r="AV195" s="143"/>
    </row>
    <row r="196" spans="1:48">
      <c r="A196" t="s">
        <v>16</v>
      </c>
      <c r="E196" s="94"/>
      <c r="F196" s="94"/>
      <c r="I196" s="141" t="s">
        <v>112</v>
      </c>
      <c r="J196" s="143"/>
      <c r="K196" s="143"/>
      <c r="L196" s="143"/>
      <c r="M196" s="143"/>
      <c r="N196" s="143"/>
      <c r="O196" s="143"/>
      <c r="P196" s="143"/>
      <c r="Q196" s="143"/>
      <c r="R196" s="143"/>
      <c r="S196" s="143"/>
      <c r="T196" s="143"/>
      <c r="U196" s="143"/>
      <c r="V196" s="143"/>
      <c r="W196" s="143"/>
      <c r="X196" s="143"/>
      <c r="Y196" s="143"/>
      <c r="Z196" s="143"/>
      <c r="AA196" s="143"/>
      <c r="AB196" s="143"/>
      <c r="AC196" s="143"/>
      <c r="AD196" s="143"/>
      <c r="AE196" s="143"/>
      <c r="AF196" s="143"/>
      <c r="AG196" s="143"/>
      <c r="AH196" s="143"/>
      <c r="AI196" s="143"/>
      <c r="AJ196" s="143"/>
      <c r="AK196" s="143"/>
      <c r="AL196" s="143"/>
      <c r="AM196" s="143"/>
      <c r="AN196" s="143"/>
      <c r="AO196" s="143"/>
      <c r="AP196" s="143"/>
      <c r="AQ196" s="143"/>
      <c r="AR196" s="143"/>
      <c r="AS196" s="143"/>
      <c r="AT196" s="143"/>
      <c r="AU196" s="143"/>
      <c r="AV196" s="143"/>
    </row>
    <row r="197" spans="1:48">
      <c r="A197" t="s">
        <v>16</v>
      </c>
      <c r="B197" s="75" t="str">
        <f t="shared" ref="B197:C205" si="73">B186</f>
        <v>CNC</v>
      </c>
      <c r="C197" s="75" t="str">
        <f t="shared" si="73"/>
        <v>Commercial - Cooling</v>
      </c>
      <c r="E197" s="94"/>
      <c r="F197" s="94"/>
      <c r="I197" s="141"/>
      <c r="J197" s="143">
        <f t="shared" ref="J197:Y205" si="74">INDEX(J$49:J$52,MATCH($I$196,$B$49:$B$52,0),1)*INDEX(J$81:J$89,MATCH($B197,$B$81:$B$89,0))*INDEX(J$127:J$135,MATCH($B197,$B$127:$B$135,0))/1000</f>
        <v>0</v>
      </c>
      <c r="K197" s="143">
        <f t="shared" si="74"/>
        <v>0</v>
      </c>
      <c r="L197" s="143">
        <f t="shared" si="74"/>
        <v>0</v>
      </c>
      <c r="M197" s="143">
        <f t="shared" si="74"/>
        <v>0</v>
      </c>
      <c r="N197" s="143">
        <f t="shared" si="74"/>
        <v>0</v>
      </c>
      <c r="O197" s="143">
        <f t="shared" si="74"/>
        <v>0</v>
      </c>
      <c r="P197" s="143">
        <f t="shared" si="74"/>
        <v>0</v>
      </c>
      <c r="Q197" s="143">
        <f t="shared" si="74"/>
        <v>0</v>
      </c>
      <c r="R197" s="143">
        <f t="shared" si="74"/>
        <v>0</v>
      </c>
      <c r="S197" s="143">
        <f t="shared" si="74"/>
        <v>0</v>
      </c>
      <c r="T197" s="143">
        <f t="shared" si="74"/>
        <v>0</v>
      </c>
      <c r="U197" s="143">
        <f t="shared" si="74"/>
        <v>0</v>
      </c>
      <c r="V197" s="143">
        <f t="shared" si="74"/>
        <v>0</v>
      </c>
      <c r="W197" s="143">
        <f t="shared" si="74"/>
        <v>0</v>
      </c>
      <c r="X197" s="143">
        <f t="shared" si="74"/>
        <v>0</v>
      </c>
      <c r="Y197" s="143">
        <f t="shared" si="74"/>
        <v>0</v>
      </c>
      <c r="Z197" s="143">
        <f t="shared" ref="Z197:AO205" si="75">INDEX(Z$49:Z$52,MATCH($I$196,$B$49:$B$52,0),1)*INDEX(Z$81:Z$89,MATCH($B197,$B$81:$B$89,0))*INDEX(Z$127:Z$135,MATCH($B197,$B$127:$B$135,0))/1000</f>
        <v>0</v>
      </c>
      <c r="AA197" s="143">
        <f t="shared" si="75"/>
        <v>0</v>
      </c>
      <c r="AB197" s="143">
        <f t="shared" si="75"/>
        <v>0</v>
      </c>
      <c r="AC197" s="143">
        <f t="shared" si="75"/>
        <v>2.2576296747832383</v>
      </c>
      <c r="AD197" s="143">
        <f t="shared" si="75"/>
        <v>4.536835426462833</v>
      </c>
      <c r="AE197" s="143">
        <f t="shared" si="75"/>
        <v>7.0514170269696734</v>
      </c>
      <c r="AF197" s="143">
        <f t="shared" si="75"/>
        <v>9.6142613403593558</v>
      </c>
      <c r="AG197" s="143">
        <f t="shared" si="75"/>
        <v>12.079351857688089</v>
      </c>
      <c r="AH197" s="143">
        <f t="shared" si="75"/>
        <v>14.439964046431921</v>
      </c>
      <c r="AI197" s="143">
        <f t="shared" si="75"/>
        <v>16.496457372482499</v>
      </c>
      <c r="AJ197" s="143">
        <f t="shared" si="75"/>
        <v>18.754271933460792</v>
      </c>
      <c r="AK197" s="143">
        <f t="shared" si="75"/>
        <v>21.234917286901524</v>
      </c>
      <c r="AL197" s="143">
        <f t="shared" si="75"/>
        <v>23.605586035303915</v>
      </c>
      <c r="AM197" s="143">
        <f t="shared" si="75"/>
        <v>23.605586035303915</v>
      </c>
      <c r="AN197" s="143">
        <f t="shared" si="75"/>
        <v>23.605586035303915</v>
      </c>
      <c r="AO197" s="143">
        <f t="shared" si="75"/>
        <v>23.605586035303915</v>
      </c>
      <c r="AP197" s="143">
        <f t="shared" ref="AN197:AV205" si="76">INDEX(AP$49:AP$52,MATCH($I$196,$B$49:$B$52,0),1)*INDEX(AP$81:AP$89,MATCH($B197,$B$81:$B$89,0))*INDEX(AP$127:AP$135,MATCH($B197,$B$127:$B$135,0))/1000</f>
        <v>23.605586035303915</v>
      </c>
      <c r="AQ197" s="143">
        <f t="shared" si="76"/>
        <v>23.605586035303915</v>
      </c>
      <c r="AR197" s="143">
        <f t="shared" si="76"/>
        <v>23.605586035303915</v>
      </c>
      <c r="AS197" s="143">
        <f t="shared" si="76"/>
        <v>23.605586035303915</v>
      </c>
      <c r="AT197" s="143">
        <f t="shared" si="76"/>
        <v>23.605586035303915</v>
      </c>
      <c r="AU197" s="143">
        <f t="shared" si="76"/>
        <v>23.605586035303915</v>
      </c>
      <c r="AV197" s="143">
        <f t="shared" si="76"/>
        <v>23.605586035303915</v>
      </c>
    </row>
    <row r="198" spans="1:48">
      <c r="A198" t="s">
        <v>16</v>
      </c>
      <c r="B198" s="75" t="str">
        <f t="shared" si="73"/>
        <v>CNH</v>
      </c>
      <c r="C198" s="75" t="str">
        <f t="shared" si="73"/>
        <v>Commercial - Space Heating</v>
      </c>
      <c r="E198" s="94"/>
      <c r="F198" s="94"/>
      <c r="I198" s="141"/>
      <c r="J198" s="143">
        <f t="shared" si="74"/>
        <v>0</v>
      </c>
      <c r="K198" s="143">
        <f t="shared" si="74"/>
        <v>0</v>
      </c>
      <c r="L198" s="143">
        <f t="shared" si="74"/>
        <v>0</v>
      </c>
      <c r="M198" s="143">
        <f t="shared" si="74"/>
        <v>0</v>
      </c>
      <c r="N198" s="143">
        <f t="shared" si="74"/>
        <v>0</v>
      </c>
      <c r="O198" s="143">
        <f t="shared" si="74"/>
        <v>0</v>
      </c>
      <c r="P198" s="143">
        <f t="shared" si="74"/>
        <v>0</v>
      </c>
      <c r="Q198" s="143">
        <f t="shared" si="74"/>
        <v>0</v>
      </c>
      <c r="R198" s="143">
        <f t="shared" si="74"/>
        <v>0</v>
      </c>
      <c r="S198" s="143">
        <f t="shared" si="74"/>
        <v>0</v>
      </c>
      <c r="T198" s="143">
        <f t="shared" si="74"/>
        <v>0</v>
      </c>
      <c r="U198" s="143">
        <f t="shared" si="74"/>
        <v>0</v>
      </c>
      <c r="V198" s="143">
        <f t="shared" si="74"/>
        <v>0</v>
      </c>
      <c r="W198" s="143">
        <f t="shared" si="74"/>
        <v>0</v>
      </c>
      <c r="X198" s="143">
        <f t="shared" si="74"/>
        <v>0</v>
      </c>
      <c r="Y198" s="143">
        <f t="shared" si="74"/>
        <v>0</v>
      </c>
      <c r="Z198" s="143">
        <f t="shared" si="75"/>
        <v>0</v>
      </c>
      <c r="AA198" s="143">
        <f t="shared" si="75"/>
        <v>0</v>
      </c>
      <c r="AB198" s="143">
        <f t="shared" si="75"/>
        <v>0</v>
      </c>
      <c r="AC198" s="143">
        <f t="shared" si="75"/>
        <v>0.21530187506203058</v>
      </c>
      <c r="AD198" s="143">
        <f t="shared" si="75"/>
        <v>0.43266138157006628</v>
      </c>
      <c r="AE198" s="143">
        <f t="shared" si="75"/>
        <v>0.67246782087795909</v>
      </c>
      <c r="AF198" s="143">
        <f t="shared" si="75"/>
        <v>0.91687689838436592</v>
      </c>
      <c r="AG198" s="143">
        <f t="shared" si="75"/>
        <v>1.1519635543167501</v>
      </c>
      <c r="AH198" s="143">
        <f t="shared" si="75"/>
        <v>1.3770864946322956</v>
      </c>
      <c r="AI198" s="143">
        <f t="shared" si="75"/>
        <v>1.573206732639777</v>
      </c>
      <c r="AJ198" s="143">
        <f t="shared" si="75"/>
        <v>1.7885262396212109</v>
      </c>
      <c r="AK198" s="143">
        <f t="shared" si="75"/>
        <v>2.0250963033146654</v>
      </c>
      <c r="AL198" s="143">
        <f t="shared" si="75"/>
        <v>2.2511783008995865</v>
      </c>
      <c r="AM198" s="143">
        <f t="shared" si="75"/>
        <v>2.2511783008995865</v>
      </c>
      <c r="AN198" s="143">
        <f t="shared" si="76"/>
        <v>2.2511783008995865</v>
      </c>
      <c r="AO198" s="143">
        <f t="shared" si="76"/>
        <v>2.2511783008995865</v>
      </c>
      <c r="AP198" s="143">
        <f t="shared" si="76"/>
        <v>2.2511783008995865</v>
      </c>
      <c r="AQ198" s="143">
        <f t="shared" si="76"/>
        <v>2.2511783008995865</v>
      </c>
      <c r="AR198" s="143">
        <f t="shared" si="76"/>
        <v>2.2511783008995865</v>
      </c>
      <c r="AS198" s="143">
        <f t="shared" si="76"/>
        <v>2.2511783008995865</v>
      </c>
      <c r="AT198" s="143">
        <f t="shared" si="76"/>
        <v>2.2511783008995865</v>
      </c>
      <c r="AU198" s="143">
        <f t="shared" si="76"/>
        <v>2.2511783008995865</v>
      </c>
      <c r="AV198" s="143">
        <f t="shared" si="76"/>
        <v>2.2511783008995865</v>
      </c>
    </row>
    <row r="199" spans="1:48">
      <c r="A199" t="s">
        <v>16</v>
      </c>
      <c r="B199" s="75" t="str">
        <f t="shared" si="73"/>
        <v>CNK</v>
      </c>
      <c r="C199" s="75" t="str">
        <f t="shared" si="73"/>
        <v>Commercial - Cooking</v>
      </c>
      <c r="E199" s="94"/>
      <c r="F199" s="94"/>
      <c r="I199" s="141"/>
      <c r="J199" s="143">
        <f t="shared" si="74"/>
        <v>0</v>
      </c>
      <c r="K199" s="143">
        <f t="shared" si="74"/>
        <v>0</v>
      </c>
      <c r="L199" s="143">
        <f t="shared" si="74"/>
        <v>0</v>
      </c>
      <c r="M199" s="143">
        <f t="shared" si="74"/>
        <v>0</v>
      </c>
      <c r="N199" s="143">
        <f t="shared" si="74"/>
        <v>0</v>
      </c>
      <c r="O199" s="143">
        <f t="shared" si="74"/>
        <v>0</v>
      </c>
      <c r="P199" s="143">
        <f t="shared" si="74"/>
        <v>0</v>
      </c>
      <c r="Q199" s="143">
        <f t="shared" si="74"/>
        <v>0</v>
      </c>
      <c r="R199" s="143">
        <f t="shared" si="74"/>
        <v>0</v>
      </c>
      <c r="S199" s="143">
        <f t="shared" si="74"/>
        <v>0</v>
      </c>
      <c r="T199" s="143">
        <f t="shared" si="74"/>
        <v>0</v>
      </c>
      <c r="U199" s="143">
        <f t="shared" si="74"/>
        <v>0</v>
      </c>
      <c r="V199" s="143">
        <f t="shared" si="74"/>
        <v>0</v>
      </c>
      <c r="W199" s="143">
        <f t="shared" si="74"/>
        <v>0</v>
      </c>
      <c r="X199" s="143">
        <f t="shared" si="74"/>
        <v>0</v>
      </c>
      <c r="Y199" s="143">
        <f t="shared" si="74"/>
        <v>0</v>
      </c>
      <c r="Z199" s="143">
        <f t="shared" si="75"/>
        <v>0</v>
      </c>
      <c r="AA199" s="143">
        <f t="shared" si="75"/>
        <v>0</v>
      </c>
      <c r="AB199" s="143">
        <f t="shared" si="75"/>
        <v>0</v>
      </c>
      <c r="AC199" s="143">
        <f t="shared" si="75"/>
        <v>0.15489936442843452</v>
      </c>
      <c r="AD199" s="143">
        <f t="shared" si="75"/>
        <v>0.31127909591415692</v>
      </c>
      <c r="AE199" s="143">
        <f t="shared" si="75"/>
        <v>0.48380831807692942</v>
      </c>
      <c r="AF199" s="143">
        <f t="shared" si="75"/>
        <v>0.65964891749286536</v>
      </c>
      <c r="AG199" s="143">
        <f t="shared" si="75"/>
        <v>0.82878248207069793</v>
      </c>
      <c r="AH199" s="143">
        <f t="shared" si="75"/>
        <v>0.9907476315292969</v>
      </c>
      <c r="AI199" s="143">
        <f t="shared" si="75"/>
        <v>1.1318467288323728</v>
      </c>
      <c r="AJ199" s="143">
        <f t="shared" si="75"/>
        <v>1.2867587785804706</v>
      </c>
      <c r="AK199" s="143">
        <f t="shared" si="75"/>
        <v>1.4569595838375202</v>
      </c>
      <c r="AL199" s="143">
        <f t="shared" si="75"/>
        <v>1.6196147289658462</v>
      </c>
      <c r="AM199" s="143">
        <f t="shared" si="75"/>
        <v>1.6196147289658462</v>
      </c>
      <c r="AN199" s="143">
        <f t="shared" si="76"/>
        <v>1.6196147289658462</v>
      </c>
      <c r="AO199" s="143">
        <f t="shared" si="76"/>
        <v>1.6196147289658462</v>
      </c>
      <c r="AP199" s="143">
        <f t="shared" si="76"/>
        <v>1.6196147289658462</v>
      </c>
      <c r="AQ199" s="143">
        <f t="shared" si="76"/>
        <v>1.6196147289658462</v>
      </c>
      <c r="AR199" s="143">
        <f t="shared" si="76"/>
        <v>1.6196147289658462</v>
      </c>
      <c r="AS199" s="143">
        <f t="shared" si="76"/>
        <v>1.6196147289658462</v>
      </c>
      <c r="AT199" s="143">
        <f t="shared" si="76"/>
        <v>1.6196147289658462</v>
      </c>
      <c r="AU199" s="143">
        <f t="shared" si="76"/>
        <v>1.6196147289658462</v>
      </c>
      <c r="AV199" s="143">
        <f t="shared" si="76"/>
        <v>1.6196147289658462</v>
      </c>
    </row>
    <row r="200" spans="1:48">
      <c r="A200" t="s">
        <v>16</v>
      </c>
      <c r="B200" s="75" t="str">
        <f t="shared" si="73"/>
        <v>CNL</v>
      </c>
      <c r="C200" s="75" t="str">
        <f t="shared" si="73"/>
        <v>Commercial - Lighting</v>
      </c>
      <c r="E200" s="94"/>
      <c r="F200" s="94"/>
      <c r="I200" s="141"/>
      <c r="J200" s="143">
        <f t="shared" si="74"/>
        <v>0</v>
      </c>
      <c r="K200" s="143">
        <f t="shared" si="74"/>
        <v>0</v>
      </c>
      <c r="L200" s="143">
        <f t="shared" si="74"/>
        <v>0</v>
      </c>
      <c r="M200" s="143">
        <f t="shared" si="74"/>
        <v>0</v>
      </c>
      <c r="N200" s="143">
        <f t="shared" si="74"/>
        <v>0</v>
      </c>
      <c r="O200" s="143">
        <f t="shared" si="74"/>
        <v>0</v>
      </c>
      <c r="P200" s="143">
        <f t="shared" si="74"/>
        <v>0</v>
      </c>
      <c r="Q200" s="143">
        <f t="shared" si="74"/>
        <v>0</v>
      </c>
      <c r="R200" s="143">
        <f t="shared" si="74"/>
        <v>0</v>
      </c>
      <c r="S200" s="143">
        <f t="shared" si="74"/>
        <v>0</v>
      </c>
      <c r="T200" s="143">
        <f t="shared" si="74"/>
        <v>0</v>
      </c>
      <c r="U200" s="143">
        <f t="shared" si="74"/>
        <v>0</v>
      </c>
      <c r="V200" s="143">
        <f t="shared" si="74"/>
        <v>0</v>
      </c>
      <c r="W200" s="143">
        <f t="shared" si="74"/>
        <v>0</v>
      </c>
      <c r="X200" s="143">
        <f t="shared" si="74"/>
        <v>0</v>
      </c>
      <c r="Y200" s="143">
        <f t="shared" si="74"/>
        <v>0</v>
      </c>
      <c r="Z200" s="143">
        <f t="shared" si="75"/>
        <v>0</v>
      </c>
      <c r="AA200" s="143">
        <f t="shared" si="75"/>
        <v>0</v>
      </c>
      <c r="AB200" s="143">
        <f t="shared" si="75"/>
        <v>0</v>
      </c>
      <c r="AC200" s="143">
        <f t="shared" si="75"/>
        <v>1.9646591087506862</v>
      </c>
      <c r="AD200" s="143">
        <f t="shared" si="75"/>
        <v>3.9480943863651183</v>
      </c>
      <c r="AE200" s="143">
        <f t="shared" si="75"/>
        <v>6.1363610012637615</v>
      </c>
      <c r="AF200" s="143">
        <f t="shared" si="75"/>
        <v>8.3666273203377113</v>
      </c>
      <c r="AG200" s="143">
        <f t="shared" si="75"/>
        <v>10.511825265270749</v>
      </c>
      <c r="AH200" s="143">
        <f t="shared" si="75"/>
        <v>12.566102940057581</v>
      </c>
      <c r="AI200" s="143">
        <f t="shared" si="75"/>
        <v>14.355726982582706</v>
      </c>
      <c r="AJ200" s="143">
        <f t="shared" si="75"/>
        <v>16.320546985013721</v>
      </c>
      <c r="AK200" s="143">
        <f t="shared" si="75"/>
        <v>18.479281229010283</v>
      </c>
      <c r="AL200" s="143">
        <f t="shared" si="75"/>
        <v>20.542310432781949</v>
      </c>
      <c r="AM200" s="143">
        <f t="shared" si="75"/>
        <v>20.542310432781949</v>
      </c>
      <c r="AN200" s="143">
        <f t="shared" si="76"/>
        <v>20.542310432781949</v>
      </c>
      <c r="AO200" s="143">
        <f t="shared" si="76"/>
        <v>20.542310432781949</v>
      </c>
      <c r="AP200" s="143">
        <f t="shared" si="76"/>
        <v>20.542310432781949</v>
      </c>
      <c r="AQ200" s="143">
        <f t="shared" si="76"/>
        <v>20.542310432781949</v>
      </c>
      <c r="AR200" s="143">
        <f t="shared" si="76"/>
        <v>20.542310432781949</v>
      </c>
      <c r="AS200" s="143">
        <f t="shared" si="76"/>
        <v>20.542310432781949</v>
      </c>
      <c r="AT200" s="143">
        <f t="shared" si="76"/>
        <v>20.542310432781949</v>
      </c>
      <c r="AU200" s="143">
        <f t="shared" si="76"/>
        <v>20.542310432781949</v>
      </c>
      <c r="AV200" s="143">
        <f t="shared" si="76"/>
        <v>20.542310432781949</v>
      </c>
    </row>
    <row r="201" spans="1:48">
      <c r="A201" t="s">
        <v>16</v>
      </c>
      <c r="B201" s="75" t="str">
        <f t="shared" si="73"/>
        <v>CNR</v>
      </c>
      <c r="C201" s="75" t="str">
        <f t="shared" si="73"/>
        <v>Commercial - Refrigeration</v>
      </c>
      <c r="E201" s="94"/>
      <c r="F201" s="94"/>
      <c r="I201" s="141"/>
      <c r="J201" s="143">
        <f t="shared" si="74"/>
        <v>0</v>
      </c>
      <c r="K201" s="143">
        <f t="shared" si="74"/>
        <v>0</v>
      </c>
      <c r="L201" s="143">
        <f t="shared" si="74"/>
        <v>0</v>
      </c>
      <c r="M201" s="143">
        <f t="shared" si="74"/>
        <v>0</v>
      </c>
      <c r="N201" s="143">
        <f t="shared" si="74"/>
        <v>0</v>
      </c>
      <c r="O201" s="143">
        <f t="shared" si="74"/>
        <v>0</v>
      </c>
      <c r="P201" s="143">
        <f t="shared" si="74"/>
        <v>0</v>
      </c>
      <c r="Q201" s="143">
        <f t="shared" si="74"/>
        <v>0</v>
      </c>
      <c r="R201" s="143">
        <f t="shared" si="74"/>
        <v>0</v>
      </c>
      <c r="S201" s="143">
        <f t="shared" si="74"/>
        <v>0</v>
      </c>
      <c r="T201" s="143">
        <f t="shared" si="74"/>
        <v>0</v>
      </c>
      <c r="U201" s="143">
        <f t="shared" si="74"/>
        <v>0</v>
      </c>
      <c r="V201" s="143">
        <f t="shared" si="74"/>
        <v>0</v>
      </c>
      <c r="W201" s="143">
        <f t="shared" si="74"/>
        <v>0</v>
      </c>
      <c r="X201" s="143">
        <f t="shared" si="74"/>
        <v>0</v>
      </c>
      <c r="Y201" s="143">
        <f t="shared" si="74"/>
        <v>0</v>
      </c>
      <c r="Z201" s="143">
        <f t="shared" si="75"/>
        <v>0</v>
      </c>
      <c r="AA201" s="143">
        <f t="shared" si="75"/>
        <v>0</v>
      </c>
      <c r="AB201" s="143">
        <f t="shared" si="75"/>
        <v>0</v>
      </c>
      <c r="AC201" s="143">
        <f t="shared" si="75"/>
        <v>0.47793111904287128</v>
      </c>
      <c r="AD201" s="143">
        <f t="shared" si="75"/>
        <v>0.96042980675779277</v>
      </c>
      <c r="AE201" s="143">
        <f t="shared" si="75"/>
        <v>1.4927566146831166</v>
      </c>
      <c r="AF201" s="143">
        <f t="shared" si="75"/>
        <v>2.0353004447506371</v>
      </c>
      <c r="AG201" s="143">
        <f t="shared" si="75"/>
        <v>2.5571501894843518</v>
      </c>
      <c r="AH201" s="143">
        <f t="shared" si="75"/>
        <v>3.0568822924037136</v>
      </c>
      <c r="AI201" s="143">
        <f t="shared" si="75"/>
        <v>3.4922336556506179</v>
      </c>
      <c r="AJ201" s="143">
        <f t="shared" si="75"/>
        <v>3.970203914357131</v>
      </c>
      <c r="AK201" s="143">
        <f t="shared" si="75"/>
        <v>4.4953465553140717</v>
      </c>
      <c r="AL201" s="143">
        <f t="shared" si="75"/>
        <v>4.997207591452649</v>
      </c>
      <c r="AM201" s="143">
        <f t="shared" si="75"/>
        <v>4.997207591452649</v>
      </c>
      <c r="AN201" s="143">
        <f t="shared" si="76"/>
        <v>4.997207591452649</v>
      </c>
      <c r="AO201" s="143">
        <f t="shared" si="76"/>
        <v>4.997207591452649</v>
      </c>
      <c r="AP201" s="143">
        <f t="shared" si="76"/>
        <v>4.997207591452649</v>
      </c>
      <c r="AQ201" s="143">
        <f t="shared" si="76"/>
        <v>4.997207591452649</v>
      </c>
      <c r="AR201" s="143">
        <f t="shared" si="76"/>
        <v>4.997207591452649</v>
      </c>
      <c r="AS201" s="143">
        <f t="shared" si="76"/>
        <v>4.997207591452649</v>
      </c>
      <c r="AT201" s="143">
        <f t="shared" si="76"/>
        <v>4.997207591452649</v>
      </c>
      <c r="AU201" s="143">
        <f t="shared" si="76"/>
        <v>4.997207591452649</v>
      </c>
      <c r="AV201" s="143">
        <f t="shared" si="76"/>
        <v>4.997207591452649</v>
      </c>
    </row>
    <row r="202" spans="1:48">
      <c r="A202" t="s">
        <v>16</v>
      </c>
      <c r="B202" s="75" t="str">
        <f t="shared" si="73"/>
        <v>CNW</v>
      </c>
      <c r="C202" s="75" t="str">
        <f t="shared" si="73"/>
        <v>Commercial - Water Heating</v>
      </c>
      <c r="E202" s="94"/>
      <c r="F202" s="94"/>
      <c r="I202" s="141"/>
      <c r="J202" s="143">
        <f t="shared" si="74"/>
        <v>0</v>
      </c>
      <c r="K202" s="143">
        <f t="shared" si="74"/>
        <v>0</v>
      </c>
      <c r="L202" s="143">
        <f t="shared" si="74"/>
        <v>0</v>
      </c>
      <c r="M202" s="143">
        <f t="shared" si="74"/>
        <v>0</v>
      </c>
      <c r="N202" s="143">
        <f t="shared" si="74"/>
        <v>0</v>
      </c>
      <c r="O202" s="143">
        <f t="shared" si="74"/>
        <v>0</v>
      </c>
      <c r="P202" s="143">
        <f t="shared" si="74"/>
        <v>0</v>
      </c>
      <c r="Q202" s="143">
        <f t="shared" si="74"/>
        <v>0</v>
      </c>
      <c r="R202" s="143">
        <f t="shared" si="74"/>
        <v>0</v>
      </c>
      <c r="S202" s="143">
        <f t="shared" si="74"/>
        <v>0</v>
      </c>
      <c r="T202" s="143">
        <f t="shared" si="74"/>
        <v>0</v>
      </c>
      <c r="U202" s="143">
        <f t="shared" si="74"/>
        <v>0</v>
      </c>
      <c r="V202" s="143">
        <f t="shared" si="74"/>
        <v>0</v>
      </c>
      <c r="W202" s="143">
        <f t="shared" si="74"/>
        <v>0</v>
      </c>
      <c r="X202" s="143">
        <f t="shared" si="74"/>
        <v>0</v>
      </c>
      <c r="Y202" s="143">
        <f t="shared" si="74"/>
        <v>0</v>
      </c>
      <c r="Z202" s="143">
        <f t="shared" si="75"/>
        <v>0</v>
      </c>
      <c r="AA202" s="143">
        <f t="shared" si="75"/>
        <v>0</v>
      </c>
      <c r="AB202" s="143">
        <f t="shared" si="75"/>
        <v>0</v>
      </c>
      <c r="AC202" s="143">
        <f t="shared" si="75"/>
        <v>0.18111586579302638</v>
      </c>
      <c r="AD202" s="143">
        <f t="shared" si="75"/>
        <v>0.36396264870286277</v>
      </c>
      <c r="AE202" s="143">
        <f t="shared" si="75"/>
        <v>0.56569220106035367</v>
      </c>
      <c r="AF202" s="143">
        <f t="shared" si="75"/>
        <v>0.77129357665215559</v>
      </c>
      <c r="AG202" s="143">
        <f t="shared" si="75"/>
        <v>0.96905276111496608</v>
      </c>
      <c r="AH202" s="143">
        <f t="shared" si="75"/>
        <v>1.1584302861986404</v>
      </c>
      <c r="AI202" s="143">
        <f t="shared" si="75"/>
        <v>1.3234102089049593</v>
      </c>
      <c r="AJ202" s="143">
        <f t="shared" si="75"/>
        <v>1.5045409069903073</v>
      </c>
      <c r="AK202" s="143">
        <f t="shared" si="75"/>
        <v>1.7035479611286277</v>
      </c>
      <c r="AL202" s="143">
        <f t="shared" si="75"/>
        <v>1.8937322626866742</v>
      </c>
      <c r="AM202" s="143">
        <f t="shared" si="75"/>
        <v>1.8937322626866742</v>
      </c>
      <c r="AN202" s="143">
        <f t="shared" si="76"/>
        <v>1.8937322626866742</v>
      </c>
      <c r="AO202" s="143">
        <f t="shared" si="76"/>
        <v>1.8937322626866742</v>
      </c>
      <c r="AP202" s="143">
        <f t="shared" si="76"/>
        <v>1.8937322626866742</v>
      </c>
      <c r="AQ202" s="143">
        <f t="shared" si="76"/>
        <v>1.8937322626866742</v>
      </c>
      <c r="AR202" s="143">
        <f t="shared" si="76"/>
        <v>1.8937322626866742</v>
      </c>
      <c r="AS202" s="143">
        <f t="shared" si="76"/>
        <v>1.8937322626866742</v>
      </c>
      <c r="AT202" s="143">
        <f t="shared" si="76"/>
        <v>1.8937322626866742</v>
      </c>
      <c r="AU202" s="143">
        <f t="shared" si="76"/>
        <v>1.8937322626866742</v>
      </c>
      <c r="AV202" s="143">
        <f t="shared" si="76"/>
        <v>1.8937322626866742</v>
      </c>
    </row>
    <row r="203" spans="1:48">
      <c r="A203" t="s">
        <v>16</v>
      </c>
      <c r="B203" s="75" t="str">
        <f t="shared" si="73"/>
        <v>CNG</v>
      </c>
      <c r="C203" s="75" t="str">
        <f t="shared" si="73"/>
        <v>Commercial - Public lights</v>
      </c>
      <c r="E203" s="94"/>
      <c r="F203" s="94"/>
      <c r="I203" s="141"/>
      <c r="J203" s="143">
        <f t="shared" si="74"/>
        <v>0</v>
      </c>
      <c r="K203" s="143">
        <f t="shared" si="74"/>
        <v>0</v>
      </c>
      <c r="L203" s="143">
        <f t="shared" si="74"/>
        <v>0</v>
      </c>
      <c r="M203" s="143">
        <f t="shared" si="74"/>
        <v>0</v>
      </c>
      <c r="N203" s="143">
        <f t="shared" si="74"/>
        <v>0</v>
      </c>
      <c r="O203" s="143">
        <f t="shared" si="74"/>
        <v>0</v>
      </c>
      <c r="P203" s="143">
        <f t="shared" si="74"/>
        <v>0</v>
      </c>
      <c r="Q203" s="143">
        <f t="shared" si="74"/>
        <v>0</v>
      </c>
      <c r="R203" s="143">
        <f t="shared" si="74"/>
        <v>0</v>
      </c>
      <c r="S203" s="143">
        <f t="shared" si="74"/>
        <v>0</v>
      </c>
      <c r="T203" s="143">
        <f t="shared" si="74"/>
        <v>0</v>
      </c>
      <c r="U203" s="143">
        <f t="shared" si="74"/>
        <v>0</v>
      </c>
      <c r="V203" s="143">
        <f t="shared" si="74"/>
        <v>0</v>
      </c>
      <c r="W203" s="143">
        <f t="shared" si="74"/>
        <v>0</v>
      </c>
      <c r="X203" s="143">
        <f t="shared" si="74"/>
        <v>0</v>
      </c>
      <c r="Y203" s="143">
        <f t="shared" si="74"/>
        <v>0</v>
      </c>
      <c r="Z203" s="143">
        <f t="shared" si="75"/>
        <v>0</v>
      </c>
      <c r="AA203" s="143">
        <f t="shared" si="75"/>
        <v>0</v>
      </c>
      <c r="AB203" s="143">
        <f t="shared" si="75"/>
        <v>0</v>
      </c>
      <c r="AC203" s="143">
        <f t="shared" si="75"/>
        <v>0</v>
      </c>
      <c r="AD203" s="143">
        <f t="shared" si="75"/>
        <v>0</v>
      </c>
      <c r="AE203" s="143">
        <f t="shared" si="75"/>
        <v>0</v>
      </c>
      <c r="AF203" s="143">
        <f t="shared" si="75"/>
        <v>0</v>
      </c>
      <c r="AG203" s="143">
        <f t="shared" si="75"/>
        <v>0</v>
      </c>
      <c r="AH203" s="143">
        <f t="shared" si="75"/>
        <v>0</v>
      </c>
      <c r="AI203" s="143">
        <f t="shared" si="75"/>
        <v>0</v>
      </c>
      <c r="AJ203" s="143">
        <f t="shared" si="75"/>
        <v>0</v>
      </c>
      <c r="AK203" s="143">
        <f t="shared" si="75"/>
        <v>0</v>
      </c>
      <c r="AL203" s="143">
        <f t="shared" si="75"/>
        <v>0</v>
      </c>
      <c r="AM203" s="143">
        <f t="shared" si="75"/>
        <v>0</v>
      </c>
      <c r="AN203" s="143">
        <f t="shared" si="76"/>
        <v>0</v>
      </c>
      <c r="AO203" s="143">
        <f t="shared" si="76"/>
        <v>0</v>
      </c>
      <c r="AP203" s="143">
        <f t="shared" si="76"/>
        <v>0</v>
      </c>
      <c r="AQ203" s="143">
        <f t="shared" si="76"/>
        <v>0</v>
      </c>
      <c r="AR203" s="143">
        <f t="shared" si="76"/>
        <v>0</v>
      </c>
      <c r="AS203" s="143">
        <f t="shared" si="76"/>
        <v>0</v>
      </c>
      <c r="AT203" s="143">
        <f t="shared" si="76"/>
        <v>0</v>
      </c>
      <c r="AU203" s="143">
        <f t="shared" si="76"/>
        <v>0</v>
      </c>
      <c r="AV203" s="143">
        <f t="shared" si="76"/>
        <v>0</v>
      </c>
    </row>
    <row r="204" spans="1:48">
      <c r="A204" t="s">
        <v>16</v>
      </c>
      <c r="B204" s="75" t="str">
        <f t="shared" si="73"/>
        <v>CNT</v>
      </c>
      <c r="C204" s="75" t="str">
        <f t="shared" si="73"/>
        <v>Commercial - Public Water</v>
      </c>
      <c r="E204" s="94"/>
      <c r="F204" s="94"/>
      <c r="I204" s="141"/>
      <c r="J204" s="143">
        <f t="shared" si="74"/>
        <v>0</v>
      </c>
      <c r="K204" s="143">
        <f t="shared" si="74"/>
        <v>0</v>
      </c>
      <c r="L204" s="143">
        <f t="shared" si="74"/>
        <v>0</v>
      </c>
      <c r="M204" s="143">
        <f t="shared" si="74"/>
        <v>0</v>
      </c>
      <c r="N204" s="143">
        <f t="shared" si="74"/>
        <v>0</v>
      </c>
      <c r="O204" s="143">
        <f t="shared" si="74"/>
        <v>0</v>
      </c>
      <c r="P204" s="143">
        <f t="shared" si="74"/>
        <v>0</v>
      </c>
      <c r="Q204" s="143">
        <f t="shared" si="74"/>
        <v>0</v>
      </c>
      <c r="R204" s="143">
        <f t="shared" si="74"/>
        <v>0</v>
      </c>
      <c r="S204" s="143">
        <f t="shared" si="74"/>
        <v>0</v>
      </c>
      <c r="T204" s="143">
        <f t="shared" si="74"/>
        <v>0</v>
      </c>
      <c r="U204" s="143">
        <f t="shared" si="74"/>
        <v>0</v>
      </c>
      <c r="V204" s="143">
        <f t="shared" si="74"/>
        <v>0</v>
      </c>
      <c r="W204" s="143">
        <f t="shared" si="74"/>
        <v>0</v>
      </c>
      <c r="X204" s="143">
        <f t="shared" si="74"/>
        <v>0</v>
      </c>
      <c r="Y204" s="143">
        <f t="shared" si="74"/>
        <v>0</v>
      </c>
      <c r="Z204" s="143">
        <f t="shared" si="75"/>
        <v>0</v>
      </c>
      <c r="AA204" s="143">
        <f t="shared" si="75"/>
        <v>0</v>
      </c>
      <c r="AB204" s="143">
        <f t="shared" si="75"/>
        <v>0</v>
      </c>
      <c r="AC204" s="143">
        <f t="shared" si="75"/>
        <v>0</v>
      </c>
      <c r="AD204" s="143">
        <f t="shared" si="75"/>
        <v>0</v>
      </c>
      <c r="AE204" s="143">
        <f t="shared" si="75"/>
        <v>0</v>
      </c>
      <c r="AF204" s="143">
        <f t="shared" si="75"/>
        <v>0</v>
      </c>
      <c r="AG204" s="143">
        <f t="shared" si="75"/>
        <v>0</v>
      </c>
      <c r="AH204" s="143">
        <f t="shared" si="75"/>
        <v>0</v>
      </c>
      <c r="AI204" s="143">
        <f t="shared" si="75"/>
        <v>0</v>
      </c>
      <c r="AJ204" s="143">
        <f t="shared" si="75"/>
        <v>0</v>
      </c>
      <c r="AK204" s="143">
        <f t="shared" si="75"/>
        <v>0</v>
      </c>
      <c r="AL204" s="143">
        <f t="shared" si="75"/>
        <v>0</v>
      </c>
      <c r="AM204" s="143">
        <f t="shared" si="75"/>
        <v>0</v>
      </c>
      <c r="AN204" s="143">
        <f t="shared" si="76"/>
        <v>0</v>
      </c>
      <c r="AO204" s="143">
        <f t="shared" si="76"/>
        <v>0</v>
      </c>
      <c r="AP204" s="143">
        <f t="shared" si="76"/>
        <v>0</v>
      </c>
      <c r="AQ204" s="143">
        <f t="shared" si="76"/>
        <v>0</v>
      </c>
      <c r="AR204" s="143">
        <f t="shared" si="76"/>
        <v>0</v>
      </c>
      <c r="AS204" s="143">
        <f t="shared" si="76"/>
        <v>0</v>
      </c>
      <c r="AT204" s="143">
        <f t="shared" si="76"/>
        <v>0</v>
      </c>
      <c r="AU204" s="143">
        <f t="shared" si="76"/>
        <v>0</v>
      </c>
      <c r="AV204" s="143">
        <f t="shared" si="76"/>
        <v>0</v>
      </c>
    </row>
    <row r="205" spans="1:48">
      <c r="A205" t="s">
        <v>16</v>
      </c>
      <c r="B205" s="75" t="str">
        <f t="shared" si="73"/>
        <v>CNO</v>
      </c>
      <c r="C205" s="75" t="str">
        <f t="shared" si="73"/>
        <v>Commercial - Other</v>
      </c>
      <c r="E205" s="94"/>
      <c r="F205" s="94"/>
      <c r="I205" s="141"/>
      <c r="J205" s="143">
        <f t="shared" si="74"/>
        <v>0</v>
      </c>
      <c r="K205" s="143">
        <f t="shared" si="74"/>
        <v>0</v>
      </c>
      <c r="L205" s="143">
        <f t="shared" si="74"/>
        <v>0</v>
      </c>
      <c r="M205" s="143">
        <f t="shared" si="74"/>
        <v>0</v>
      </c>
      <c r="N205" s="143">
        <f t="shared" si="74"/>
        <v>0</v>
      </c>
      <c r="O205" s="143">
        <f t="shared" si="74"/>
        <v>0</v>
      </c>
      <c r="P205" s="143">
        <f t="shared" si="74"/>
        <v>0</v>
      </c>
      <c r="Q205" s="143">
        <f t="shared" si="74"/>
        <v>0</v>
      </c>
      <c r="R205" s="143">
        <f t="shared" si="74"/>
        <v>0</v>
      </c>
      <c r="S205" s="143">
        <f t="shared" si="74"/>
        <v>0</v>
      </c>
      <c r="T205" s="143">
        <f t="shared" si="74"/>
        <v>0</v>
      </c>
      <c r="U205" s="143">
        <f t="shared" si="74"/>
        <v>0</v>
      </c>
      <c r="V205" s="143">
        <f t="shared" si="74"/>
        <v>0</v>
      </c>
      <c r="W205" s="143">
        <f t="shared" si="74"/>
        <v>0</v>
      </c>
      <c r="X205" s="143">
        <f t="shared" si="74"/>
        <v>0</v>
      </c>
      <c r="Y205" s="143">
        <f t="shared" si="74"/>
        <v>0</v>
      </c>
      <c r="Z205" s="143">
        <f t="shared" si="75"/>
        <v>0</v>
      </c>
      <c r="AA205" s="143">
        <f t="shared" si="75"/>
        <v>0</v>
      </c>
      <c r="AB205" s="143">
        <f t="shared" si="75"/>
        <v>0</v>
      </c>
      <c r="AC205" s="143">
        <f t="shared" si="75"/>
        <v>0.31906324276282044</v>
      </c>
      <c r="AD205" s="143">
        <f t="shared" si="75"/>
        <v>0.64117576023067535</v>
      </c>
      <c r="AE205" s="143">
        <f t="shared" si="75"/>
        <v>0.99655315830924529</v>
      </c>
      <c r="AF205" s="143">
        <f t="shared" si="75"/>
        <v>1.3587513640025135</v>
      </c>
      <c r="AG205" s="143">
        <f t="shared" si="75"/>
        <v>1.7071343530054823</v>
      </c>
      <c r="AH205" s="143">
        <f t="shared" si="75"/>
        <v>2.0407517696521524</v>
      </c>
      <c r="AI205" s="143">
        <f t="shared" si="75"/>
        <v>2.3313890857092225</v>
      </c>
      <c r="AJ205" s="143">
        <f t="shared" si="75"/>
        <v>2.6504784578189398</v>
      </c>
      <c r="AK205" s="143">
        <f t="shared" si="75"/>
        <v>3.0010597597276836</v>
      </c>
      <c r="AL205" s="143">
        <f t="shared" si="75"/>
        <v>3.3360984362787294</v>
      </c>
      <c r="AM205" s="143">
        <f t="shared" si="75"/>
        <v>3.3360984362787294</v>
      </c>
      <c r="AN205" s="143">
        <f t="shared" si="76"/>
        <v>3.3360984362787294</v>
      </c>
      <c r="AO205" s="143">
        <f t="shared" si="76"/>
        <v>3.3360984362787294</v>
      </c>
      <c r="AP205" s="143">
        <f t="shared" si="76"/>
        <v>3.3360984362787294</v>
      </c>
      <c r="AQ205" s="143">
        <f t="shared" si="76"/>
        <v>3.3360984362787294</v>
      </c>
      <c r="AR205" s="143">
        <f t="shared" si="76"/>
        <v>3.3360984362787294</v>
      </c>
      <c r="AS205" s="143">
        <f t="shared" si="76"/>
        <v>3.3360984362787294</v>
      </c>
      <c r="AT205" s="143">
        <f t="shared" si="76"/>
        <v>3.3360984362787294</v>
      </c>
      <c r="AU205" s="143">
        <f t="shared" si="76"/>
        <v>3.3360984362787294</v>
      </c>
      <c r="AV205" s="143">
        <f t="shared" si="76"/>
        <v>3.3360984362787294</v>
      </c>
    </row>
    <row r="206" spans="1:48">
      <c r="A206" t="s">
        <v>16</v>
      </c>
      <c r="E206" s="94"/>
      <c r="F206" s="94"/>
      <c r="I206" s="141"/>
      <c r="J206" s="143"/>
      <c r="K206" s="143"/>
      <c r="L206" s="143"/>
      <c r="M206" s="143"/>
      <c r="N206" s="143"/>
      <c r="O206" s="143"/>
      <c r="P206" s="143"/>
      <c r="Q206" s="143"/>
      <c r="R206" s="143"/>
      <c r="S206" s="143"/>
      <c r="T206" s="143"/>
      <c r="U206" s="143"/>
      <c r="V206" s="143"/>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3"/>
      <c r="AS206" s="143"/>
      <c r="AT206" s="143"/>
      <c r="AU206" s="143"/>
      <c r="AV206" s="143"/>
    </row>
    <row r="207" spans="1:48">
      <c r="A207" t="s">
        <v>16</v>
      </c>
      <c r="E207" s="94"/>
      <c r="F207" s="94"/>
      <c r="I207" s="141" t="s">
        <v>232</v>
      </c>
      <c r="J207" s="143"/>
      <c r="K207" s="143"/>
      <c r="L207" s="143"/>
      <c r="M207" s="143"/>
      <c r="N207" s="143"/>
      <c r="O207" s="143"/>
      <c r="P207" s="143"/>
      <c r="Q207" s="143"/>
      <c r="R207" s="143"/>
      <c r="S207" s="143"/>
      <c r="T207" s="143"/>
      <c r="U207" s="143"/>
      <c r="V207" s="143"/>
      <c r="W207" s="143"/>
      <c r="X207" s="143"/>
      <c r="Y207" s="143"/>
      <c r="Z207" s="143"/>
      <c r="AA207" s="143"/>
      <c r="AB207" s="143"/>
      <c r="AC207" s="143"/>
      <c r="AD207" s="143"/>
      <c r="AE207" s="143"/>
      <c r="AF207" s="143"/>
      <c r="AG207" s="143"/>
      <c r="AH207" s="143"/>
      <c r="AI207" s="143"/>
      <c r="AJ207" s="143"/>
      <c r="AK207" s="143"/>
      <c r="AL207" s="143"/>
      <c r="AM207" s="143"/>
      <c r="AN207" s="143"/>
      <c r="AO207" s="143"/>
      <c r="AP207" s="143"/>
      <c r="AQ207" s="143"/>
      <c r="AR207" s="143"/>
      <c r="AS207" s="143"/>
      <c r="AT207" s="143"/>
      <c r="AU207" s="143"/>
      <c r="AV207" s="143"/>
    </row>
    <row r="208" spans="1:48">
      <c r="A208" t="s">
        <v>16</v>
      </c>
      <c r="B208" s="75" t="str">
        <f t="shared" ref="B208:C216" si="77">B197</f>
        <v>CNC</v>
      </c>
      <c r="C208" s="75" t="str">
        <f t="shared" si="77"/>
        <v>Commercial - Cooling</v>
      </c>
      <c r="E208" s="77"/>
      <c r="F208" s="94"/>
      <c r="I208" s="141"/>
      <c r="J208" s="143">
        <f t="shared" ref="J208:Y216" si="78">INDEX(J$49:J$52,MATCH($I$207,$B$49:$B$52,0),1)*INDEX(J$81:J$89,MATCH($B208,$B$81:$B$89,0))*INDEX(J$138:J$146,MATCH($B208,$B$138:$B$146,0))/1000</f>
        <v>0</v>
      </c>
      <c r="K208" s="143">
        <f t="shared" si="78"/>
        <v>0</v>
      </c>
      <c r="L208" s="143">
        <f t="shared" si="78"/>
        <v>0</v>
      </c>
      <c r="M208" s="143">
        <f t="shared" si="78"/>
        <v>0</v>
      </c>
      <c r="N208" s="143">
        <f t="shared" si="78"/>
        <v>0</v>
      </c>
      <c r="O208" s="143">
        <f t="shared" si="78"/>
        <v>0</v>
      </c>
      <c r="P208" s="143">
        <f t="shared" si="78"/>
        <v>0</v>
      </c>
      <c r="Q208" s="143">
        <f t="shared" si="78"/>
        <v>0</v>
      </c>
      <c r="R208" s="143">
        <f t="shared" si="78"/>
        <v>0</v>
      </c>
      <c r="S208" s="143">
        <f t="shared" si="78"/>
        <v>0</v>
      </c>
      <c r="T208" s="143">
        <f t="shared" si="78"/>
        <v>0</v>
      </c>
      <c r="U208" s="143">
        <f t="shared" si="78"/>
        <v>0</v>
      </c>
      <c r="V208" s="143">
        <f t="shared" si="78"/>
        <v>0</v>
      </c>
      <c r="W208" s="143">
        <f t="shared" si="78"/>
        <v>0</v>
      </c>
      <c r="X208" s="143">
        <f t="shared" si="78"/>
        <v>0</v>
      </c>
      <c r="Y208" s="143">
        <f t="shared" si="78"/>
        <v>0</v>
      </c>
      <c r="Z208" s="143">
        <f t="shared" ref="Z208:AO216" si="79">INDEX(Z$49:Z$52,MATCH($I$207,$B$49:$B$52,0),1)*INDEX(Z$81:Z$89,MATCH($B208,$B$81:$B$89,0))*INDEX(Z$138:Z$146,MATCH($B208,$B$138:$B$146,0))/1000</f>
        <v>0</v>
      </c>
      <c r="AA208" s="143">
        <f t="shared" si="79"/>
        <v>0</v>
      </c>
      <c r="AB208" s="143">
        <f t="shared" si="79"/>
        <v>0</v>
      </c>
      <c r="AC208" s="143">
        <f t="shared" si="79"/>
        <v>0</v>
      </c>
      <c r="AD208" s="143">
        <f t="shared" si="79"/>
        <v>0</v>
      </c>
      <c r="AE208" s="143">
        <f t="shared" si="79"/>
        <v>0</v>
      </c>
      <c r="AF208" s="143">
        <f t="shared" si="79"/>
        <v>0</v>
      </c>
      <c r="AG208" s="143">
        <f t="shared" si="79"/>
        <v>0</v>
      </c>
      <c r="AH208" s="143">
        <f t="shared" si="79"/>
        <v>0</v>
      </c>
      <c r="AI208" s="143">
        <f t="shared" si="79"/>
        <v>0</v>
      </c>
      <c r="AJ208" s="143">
        <f t="shared" si="79"/>
        <v>0</v>
      </c>
      <c r="AK208" s="143">
        <f t="shared" si="79"/>
        <v>0</v>
      </c>
      <c r="AL208" s="143">
        <f t="shared" si="79"/>
        <v>0</v>
      </c>
      <c r="AM208" s="143">
        <f t="shared" si="79"/>
        <v>2.5206168775273587</v>
      </c>
      <c r="AN208" s="143">
        <f t="shared" si="79"/>
        <v>5.0156018722468083</v>
      </c>
      <c r="AO208" s="143">
        <f t="shared" si="79"/>
        <v>7.4860798054689184</v>
      </c>
      <c r="AP208" s="143">
        <f t="shared" ref="AN208:AV216" si="80">INDEX(AP$49:AP$52,MATCH($I$207,$B$49:$B$52,0),1)*INDEX(AP$81:AP$89,MATCH($B208,$B$81:$B$89,0))*INDEX(AP$138:AP$146,MATCH($B208,$B$138:$B$146,0))/1000</f>
        <v>9.9330966531861993</v>
      </c>
      <c r="AQ208" s="143">
        <f t="shared" si="80"/>
        <v>12.357627029216472</v>
      </c>
      <c r="AR208" s="143">
        <f t="shared" si="80"/>
        <v>14.409511481363062</v>
      </c>
      <c r="AS208" s="143">
        <f t="shared" si="80"/>
        <v>16.449317814411611</v>
      </c>
      <c r="AT208" s="143">
        <f t="shared" si="80"/>
        <v>18.477403814807271</v>
      </c>
      <c r="AU208" s="143">
        <f t="shared" si="80"/>
        <v>20.494110187559841</v>
      </c>
      <c r="AV208" s="143">
        <f t="shared" si="80"/>
        <v>22.540559377125795</v>
      </c>
    </row>
    <row r="209" spans="1:48">
      <c r="A209" t="s">
        <v>16</v>
      </c>
      <c r="B209" s="75" t="str">
        <f t="shared" si="77"/>
        <v>CNH</v>
      </c>
      <c r="C209" s="75" t="str">
        <f t="shared" si="77"/>
        <v>Commercial - Space Heating</v>
      </c>
      <c r="E209" s="94"/>
      <c r="F209" s="94"/>
      <c r="I209" s="141"/>
      <c r="J209" s="143">
        <f t="shared" si="78"/>
        <v>0</v>
      </c>
      <c r="K209" s="143">
        <f t="shared" si="78"/>
        <v>0</v>
      </c>
      <c r="L209" s="143">
        <f t="shared" si="78"/>
        <v>0</v>
      </c>
      <c r="M209" s="143">
        <f t="shared" si="78"/>
        <v>0</v>
      </c>
      <c r="N209" s="143">
        <f t="shared" si="78"/>
        <v>0</v>
      </c>
      <c r="O209" s="143">
        <f t="shared" si="78"/>
        <v>0</v>
      </c>
      <c r="P209" s="143">
        <f t="shared" si="78"/>
        <v>0</v>
      </c>
      <c r="Q209" s="143">
        <f t="shared" si="78"/>
        <v>0</v>
      </c>
      <c r="R209" s="143">
        <f t="shared" si="78"/>
        <v>0</v>
      </c>
      <c r="S209" s="143">
        <f t="shared" si="78"/>
        <v>0</v>
      </c>
      <c r="T209" s="143">
        <f t="shared" si="78"/>
        <v>0</v>
      </c>
      <c r="U209" s="143">
        <f t="shared" si="78"/>
        <v>0</v>
      </c>
      <c r="V209" s="143">
        <f t="shared" si="78"/>
        <v>0</v>
      </c>
      <c r="W209" s="143">
        <f t="shared" si="78"/>
        <v>0</v>
      </c>
      <c r="X209" s="143">
        <f t="shared" si="78"/>
        <v>0</v>
      </c>
      <c r="Y209" s="143">
        <f t="shared" si="78"/>
        <v>0</v>
      </c>
      <c r="Z209" s="143">
        <f t="shared" si="79"/>
        <v>0</v>
      </c>
      <c r="AA209" s="143">
        <f t="shared" si="79"/>
        <v>0</v>
      </c>
      <c r="AB209" s="143">
        <f t="shared" si="79"/>
        <v>0</v>
      </c>
      <c r="AC209" s="143">
        <f t="shared" si="79"/>
        <v>0</v>
      </c>
      <c r="AD209" s="143">
        <f t="shared" si="79"/>
        <v>0</v>
      </c>
      <c r="AE209" s="143">
        <f t="shared" si="79"/>
        <v>0</v>
      </c>
      <c r="AF209" s="143">
        <f t="shared" si="79"/>
        <v>0</v>
      </c>
      <c r="AG209" s="143">
        <f t="shared" si="79"/>
        <v>0</v>
      </c>
      <c r="AH209" s="143">
        <f t="shared" si="79"/>
        <v>0</v>
      </c>
      <c r="AI209" s="143">
        <f t="shared" si="79"/>
        <v>0</v>
      </c>
      <c r="AJ209" s="143">
        <f t="shared" si="79"/>
        <v>0</v>
      </c>
      <c r="AK209" s="143">
        <f t="shared" si="79"/>
        <v>0</v>
      </c>
      <c r="AL209" s="143">
        <f t="shared" si="79"/>
        <v>0</v>
      </c>
      <c r="AM209" s="143">
        <f t="shared" si="79"/>
        <v>0.24038200157727221</v>
      </c>
      <c r="AN209" s="143">
        <f t="shared" si="80"/>
        <v>0.47831958435036542</v>
      </c>
      <c r="AO209" s="143">
        <f t="shared" si="80"/>
        <v>0.71392001840878072</v>
      </c>
      <c r="AP209" s="143">
        <f t="shared" si="80"/>
        <v>0.94728305465275398</v>
      </c>
      <c r="AQ209" s="143">
        <f t="shared" si="80"/>
        <v>1.1785016384332347</v>
      </c>
      <c r="AR209" s="143">
        <f t="shared" si="80"/>
        <v>1.3741823450133357</v>
      </c>
      <c r="AS209" s="143">
        <f t="shared" si="80"/>
        <v>1.5687112056028938</v>
      </c>
      <c r="AT209" s="143">
        <f t="shared" si="80"/>
        <v>1.7621223409850351</v>
      </c>
      <c r="AU209" s="143">
        <f t="shared" si="80"/>
        <v>1.9544482429489443</v>
      </c>
      <c r="AV209" s="143">
        <f t="shared" si="80"/>
        <v>2.1496106084396565</v>
      </c>
    </row>
    <row r="210" spans="1:48">
      <c r="A210" t="s">
        <v>16</v>
      </c>
      <c r="B210" s="75" t="str">
        <f t="shared" si="77"/>
        <v>CNK</v>
      </c>
      <c r="C210" s="75" t="str">
        <f t="shared" si="77"/>
        <v>Commercial - Cooking</v>
      </c>
      <c r="E210" s="94"/>
      <c r="F210" s="94"/>
      <c r="I210" s="141"/>
      <c r="J210" s="143">
        <f t="shared" si="78"/>
        <v>0</v>
      </c>
      <c r="K210" s="143">
        <f t="shared" si="78"/>
        <v>0</v>
      </c>
      <c r="L210" s="143">
        <f t="shared" si="78"/>
        <v>0</v>
      </c>
      <c r="M210" s="143">
        <f t="shared" si="78"/>
        <v>0</v>
      </c>
      <c r="N210" s="143">
        <f t="shared" si="78"/>
        <v>0</v>
      </c>
      <c r="O210" s="143">
        <f t="shared" si="78"/>
        <v>0</v>
      </c>
      <c r="P210" s="143">
        <f t="shared" si="78"/>
        <v>0</v>
      </c>
      <c r="Q210" s="143">
        <f t="shared" si="78"/>
        <v>0</v>
      </c>
      <c r="R210" s="143">
        <f t="shared" si="78"/>
        <v>0</v>
      </c>
      <c r="S210" s="143">
        <f t="shared" si="78"/>
        <v>0</v>
      </c>
      <c r="T210" s="143">
        <f t="shared" si="78"/>
        <v>0</v>
      </c>
      <c r="U210" s="143">
        <f t="shared" si="78"/>
        <v>0</v>
      </c>
      <c r="V210" s="143">
        <f t="shared" si="78"/>
        <v>0</v>
      </c>
      <c r="W210" s="143">
        <f t="shared" si="78"/>
        <v>0</v>
      </c>
      <c r="X210" s="143">
        <f t="shared" si="78"/>
        <v>0</v>
      </c>
      <c r="Y210" s="143">
        <f t="shared" si="78"/>
        <v>0</v>
      </c>
      <c r="Z210" s="143">
        <f t="shared" si="79"/>
        <v>0</v>
      </c>
      <c r="AA210" s="143">
        <f t="shared" si="79"/>
        <v>0</v>
      </c>
      <c r="AB210" s="143">
        <f t="shared" si="79"/>
        <v>0</v>
      </c>
      <c r="AC210" s="143">
        <f t="shared" si="79"/>
        <v>0</v>
      </c>
      <c r="AD210" s="143">
        <f t="shared" si="79"/>
        <v>0</v>
      </c>
      <c r="AE210" s="143">
        <f t="shared" si="79"/>
        <v>0</v>
      </c>
      <c r="AF210" s="143">
        <f t="shared" si="79"/>
        <v>0</v>
      </c>
      <c r="AG210" s="143">
        <f t="shared" si="79"/>
        <v>0</v>
      </c>
      <c r="AH210" s="143">
        <f t="shared" si="79"/>
        <v>0</v>
      </c>
      <c r="AI210" s="143">
        <f t="shared" si="79"/>
        <v>0</v>
      </c>
      <c r="AJ210" s="143">
        <f t="shared" si="79"/>
        <v>0</v>
      </c>
      <c r="AK210" s="143">
        <f t="shared" si="79"/>
        <v>0</v>
      </c>
      <c r="AL210" s="143">
        <f t="shared" si="79"/>
        <v>0</v>
      </c>
      <c r="AM210" s="143">
        <f t="shared" si="79"/>
        <v>0.17294331158809756</v>
      </c>
      <c r="AN210" s="143">
        <f t="shared" si="80"/>
        <v>0.34412798118083326</v>
      </c>
      <c r="AO210" s="143">
        <f t="shared" si="80"/>
        <v>0.51363118445854494</v>
      </c>
      <c r="AP210" s="143">
        <f t="shared" si="80"/>
        <v>0.68152468740582139</v>
      </c>
      <c r="AQ210" s="143">
        <f t="shared" si="80"/>
        <v>0.84787535974121264</v>
      </c>
      <c r="AR210" s="143">
        <f t="shared" si="80"/>
        <v>0.98865823528018226</v>
      </c>
      <c r="AS210" s="143">
        <f t="shared" si="80"/>
        <v>1.1286124129185733</v>
      </c>
      <c r="AT210" s="143">
        <f t="shared" si="80"/>
        <v>1.267762440922017</v>
      </c>
      <c r="AU210" s="143">
        <f t="shared" si="80"/>
        <v>1.4061316955731986</v>
      </c>
      <c r="AV210" s="143">
        <f t="shared" si="80"/>
        <v>1.5465416495791795</v>
      </c>
    </row>
    <row r="211" spans="1:48">
      <c r="A211" t="s">
        <v>16</v>
      </c>
      <c r="B211" s="75" t="str">
        <f t="shared" si="77"/>
        <v>CNL</v>
      </c>
      <c r="C211" s="75" t="str">
        <f t="shared" si="77"/>
        <v>Commercial - Lighting</v>
      </c>
      <c r="E211" s="94"/>
      <c r="F211" s="94"/>
      <c r="I211" s="141"/>
      <c r="J211" s="143">
        <f t="shared" si="78"/>
        <v>0</v>
      </c>
      <c r="K211" s="143">
        <f t="shared" si="78"/>
        <v>0</v>
      </c>
      <c r="L211" s="143">
        <f t="shared" si="78"/>
        <v>0</v>
      </c>
      <c r="M211" s="143">
        <f t="shared" si="78"/>
        <v>0</v>
      </c>
      <c r="N211" s="143">
        <f t="shared" si="78"/>
        <v>0</v>
      </c>
      <c r="O211" s="143">
        <f t="shared" si="78"/>
        <v>0</v>
      </c>
      <c r="P211" s="143">
        <f t="shared" si="78"/>
        <v>0</v>
      </c>
      <c r="Q211" s="143">
        <f t="shared" si="78"/>
        <v>0</v>
      </c>
      <c r="R211" s="143">
        <f t="shared" si="78"/>
        <v>0</v>
      </c>
      <c r="S211" s="143">
        <f t="shared" si="78"/>
        <v>0</v>
      </c>
      <c r="T211" s="143">
        <f t="shared" si="78"/>
        <v>0</v>
      </c>
      <c r="U211" s="143">
        <f t="shared" si="78"/>
        <v>0</v>
      </c>
      <c r="V211" s="143">
        <f t="shared" si="78"/>
        <v>0</v>
      </c>
      <c r="W211" s="143">
        <f t="shared" si="78"/>
        <v>0</v>
      </c>
      <c r="X211" s="143">
        <f t="shared" si="78"/>
        <v>0</v>
      </c>
      <c r="Y211" s="143">
        <f t="shared" si="78"/>
        <v>0</v>
      </c>
      <c r="Z211" s="143">
        <f t="shared" si="79"/>
        <v>0</v>
      </c>
      <c r="AA211" s="143">
        <f t="shared" si="79"/>
        <v>0</v>
      </c>
      <c r="AB211" s="143">
        <f t="shared" si="79"/>
        <v>0</v>
      </c>
      <c r="AC211" s="143">
        <f t="shared" si="79"/>
        <v>0</v>
      </c>
      <c r="AD211" s="143">
        <f t="shared" si="79"/>
        <v>0</v>
      </c>
      <c r="AE211" s="143">
        <f t="shared" si="79"/>
        <v>0</v>
      </c>
      <c r="AF211" s="143">
        <f t="shared" si="79"/>
        <v>0</v>
      </c>
      <c r="AG211" s="143">
        <f t="shared" si="79"/>
        <v>0</v>
      </c>
      <c r="AH211" s="143">
        <f t="shared" si="79"/>
        <v>0</v>
      </c>
      <c r="AI211" s="143">
        <f t="shared" si="79"/>
        <v>0</v>
      </c>
      <c r="AJ211" s="143">
        <f t="shared" si="79"/>
        <v>0</v>
      </c>
      <c r="AK211" s="143">
        <f t="shared" si="79"/>
        <v>0</v>
      </c>
      <c r="AL211" s="143">
        <f t="shared" si="79"/>
        <v>0</v>
      </c>
      <c r="AM211" s="143">
        <f t="shared" si="79"/>
        <v>2.1935186994653182</v>
      </c>
      <c r="AN211" s="143">
        <f t="shared" si="80"/>
        <v>4.364731742429278</v>
      </c>
      <c r="AO211" s="143">
        <f t="shared" si="80"/>
        <v>6.514617983155806</v>
      </c>
      <c r="AP211" s="143">
        <f t="shared" si="80"/>
        <v>8.6440876622765561</v>
      </c>
      <c r="AQ211" s="143">
        <f t="shared" si="80"/>
        <v>10.753988918853521</v>
      </c>
      <c r="AR211" s="143">
        <f t="shared" si="80"/>
        <v>12.539602176882989</v>
      </c>
      <c r="AS211" s="143">
        <f t="shared" si="80"/>
        <v>14.31470468243273</v>
      </c>
      <c r="AT211" s="143">
        <f t="shared" si="80"/>
        <v>16.079607792323703</v>
      </c>
      <c r="AU211" s="143">
        <f t="shared" si="80"/>
        <v>17.834607998583973</v>
      </c>
      <c r="AV211" s="143">
        <f t="shared" si="80"/>
        <v>19.615491323154131</v>
      </c>
    </row>
    <row r="212" spans="1:48">
      <c r="A212" t="s">
        <v>16</v>
      </c>
      <c r="B212" s="75" t="str">
        <f t="shared" si="77"/>
        <v>CNR</v>
      </c>
      <c r="C212" s="75" t="str">
        <f t="shared" si="77"/>
        <v>Commercial - Refrigeration</v>
      </c>
      <c r="E212" s="94"/>
      <c r="F212" s="94"/>
      <c r="I212" s="141"/>
      <c r="J212" s="143">
        <f t="shared" si="78"/>
        <v>0</v>
      </c>
      <c r="K212" s="143">
        <f t="shared" si="78"/>
        <v>0</v>
      </c>
      <c r="L212" s="143">
        <f t="shared" si="78"/>
        <v>0</v>
      </c>
      <c r="M212" s="143">
        <f t="shared" si="78"/>
        <v>0</v>
      </c>
      <c r="N212" s="143">
        <f t="shared" si="78"/>
        <v>0</v>
      </c>
      <c r="O212" s="143">
        <f t="shared" si="78"/>
        <v>0</v>
      </c>
      <c r="P212" s="143">
        <f t="shared" si="78"/>
        <v>0</v>
      </c>
      <c r="Q212" s="143">
        <f t="shared" si="78"/>
        <v>0</v>
      </c>
      <c r="R212" s="143">
        <f t="shared" si="78"/>
        <v>0</v>
      </c>
      <c r="S212" s="143">
        <f t="shared" si="78"/>
        <v>0</v>
      </c>
      <c r="T212" s="143">
        <f t="shared" si="78"/>
        <v>0</v>
      </c>
      <c r="U212" s="143">
        <f t="shared" si="78"/>
        <v>0</v>
      </c>
      <c r="V212" s="143">
        <f t="shared" si="78"/>
        <v>0</v>
      </c>
      <c r="W212" s="143">
        <f t="shared" si="78"/>
        <v>0</v>
      </c>
      <c r="X212" s="143">
        <f t="shared" si="78"/>
        <v>0</v>
      </c>
      <c r="Y212" s="143">
        <f t="shared" si="78"/>
        <v>0</v>
      </c>
      <c r="Z212" s="143">
        <f t="shared" si="79"/>
        <v>0</v>
      </c>
      <c r="AA212" s="143">
        <f t="shared" si="79"/>
        <v>0</v>
      </c>
      <c r="AB212" s="143">
        <f t="shared" si="79"/>
        <v>0</v>
      </c>
      <c r="AC212" s="143">
        <f t="shared" si="79"/>
        <v>0</v>
      </c>
      <c r="AD212" s="143">
        <f t="shared" si="79"/>
        <v>0</v>
      </c>
      <c r="AE212" s="143">
        <f t="shared" si="79"/>
        <v>0</v>
      </c>
      <c r="AF212" s="143">
        <f t="shared" si="79"/>
        <v>0</v>
      </c>
      <c r="AG212" s="143">
        <f t="shared" si="79"/>
        <v>0</v>
      </c>
      <c r="AH212" s="143">
        <f t="shared" si="79"/>
        <v>0</v>
      </c>
      <c r="AI212" s="143">
        <f t="shared" si="79"/>
        <v>0</v>
      </c>
      <c r="AJ212" s="143">
        <f t="shared" si="79"/>
        <v>0</v>
      </c>
      <c r="AK212" s="143">
        <f t="shared" si="79"/>
        <v>0</v>
      </c>
      <c r="AL212" s="143">
        <f t="shared" si="79"/>
        <v>0</v>
      </c>
      <c r="AM212" s="143">
        <f t="shared" si="79"/>
        <v>0.53360445178887161</v>
      </c>
      <c r="AN212" s="143">
        <f t="shared" si="80"/>
        <v>1.0617827371119188</v>
      </c>
      <c r="AO212" s="143">
        <f t="shared" si="80"/>
        <v>1.584772976115101</v>
      </c>
      <c r="AP212" s="143">
        <f t="shared" si="80"/>
        <v>2.1027965977077647</v>
      </c>
      <c r="AQ212" s="143">
        <f t="shared" si="80"/>
        <v>2.6160599237139821</v>
      </c>
      <c r="AR212" s="143">
        <f t="shared" si="80"/>
        <v>3.0504356068982688</v>
      </c>
      <c r="AS212" s="143">
        <f t="shared" si="80"/>
        <v>3.4822544008633294</v>
      </c>
      <c r="AT212" s="143">
        <f t="shared" si="80"/>
        <v>3.9115920475601218</v>
      </c>
      <c r="AU212" s="143">
        <f t="shared" si="80"/>
        <v>4.3385206728684613</v>
      </c>
      <c r="AV212" s="143">
        <f t="shared" si="80"/>
        <v>4.7717457328320894</v>
      </c>
    </row>
    <row r="213" spans="1:48">
      <c r="A213" t="s">
        <v>16</v>
      </c>
      <c r="B213" s="75" t="str">
        <f t="shared" si="77"/>
        <v>CNW</v>
      </c>
      <c r="C213" s="75" t="str">
        <f t="shared" si="77"/>
        <v>Commercial - Water Heating</v>
      </c>
      <c r="E213" s="94"/>
      <c r="F213" s="94"/>
      <c r="I213" s="137"/>
      <c r="J213" s="143">
        <f t="shared" si="78"/>
        <v>0</v>
      </c>
      <c r="K213" s="143">
        <f t="shared" si="78"/>
        <v>0</v>
      </c>
      <c r="L213" s="143">
        <f t="shared" si="78"/>
        <v>0</v>
      </c>
      <c r="M213" s="143">
        <f t="shared" si="78"/>
        <v>0</v>
      </c>
      <c r="N213" s="143">
        <f t="shared" si="78"/>
        <v>0</v>
      </c>
      <c r="O213" s="143">
        <f t="shared" si="78"/>
        <v>0</v>
      </c>
      <c r="P213" s="143">
        <f t="shared" si="78"/>
        <v>0</v>
      </c>
      <c r="Q213" s="143">
        <f t="shared" si="78"/>
        <v>0</v>
      </c>
      <c r="R213" s="143">
        <f t="shared" si="78"/>
        <v>0</v>
      </c>
      <c r="S213" s="143">
        <f t="shared" si="78"/>
        <v>0</v>
      </c>
      <c r="T213" s="143">
        <f t="shared" si="78"/>
        <v>0</v>
      </c>
      <c r="U213" s="143">
        <f t="shared" si="78"/>
        <v>0</v>
      </c>
      <c r="V213" s="143">
        <f t="shared" si="78"/>
        <v>0</v>
      </c>
      <c r="W213" s="143">
        <f t="shared" si="78"/>
        <v>0</v>
      </c>
      <c r="X213" s="143">
        <f t="shared" si="78"/>
        <v>0</v>
      </c>
      <c r="Y213" s="143">
        <f t="shared" si="78"/>
        <v>0</v>
      </c>
      <c r="Z213" s="143">
        <f t="shared" si="79"/>
        <v>0</v>
      </c>
      <c r="AA213" s="143">
        <f t="shared" si="79"/>
        <v>0</v>
      </c>
      <c r="AB213" s="143">
        <f t="shared" si="79"/>
        <v>0</v>
      </c>
      <c r="AC213" s="143">
        <f t="shared" si="79"/>
        <v>0</v>
      </c>
      <c r="AD213" s="143">
        <f t="shared" si="79"/>
        <v>0</v>
      </c>
      <c r="AE213" s="143">
        <f t="shared" si="79"/>
        <v>0</v>
      </c>
      <c r="AF213" s="143">
        <f t="shared" si="79"/>
        <v>0</v>
      </c>
      <c r="AG213" s="143">
        <f t="shared" si="79"/>
        <v>0</v>
      </c>
      <c r="AH213" s="143">
        <f t="shared" si="79"/>
        <v>0</v>
      </c>
      <c r="AI213" s="143">
        <f t="shared" si="79"/>
        <v>0</v>
      </c>
      <c r="AJ213" s="143">
        <f t="shared" si="79"/>
        <v>0</v>
      </c>
      <c r="AK213" s="143">
        <f t="shared" si="79"/>
        <v>0</v>
      </c>
      <c r="AL213" s="143">
        <f t="shared" si="79"/>
        <v>0</v>
      </c>
      <c r="AM213" s="143">
        <f t="shared" si="79"/>
        <v>0.20221372584045008</v>
      </c>
      <c r="AN213" s="143">
        <f t="shared" si="80"/>
        <v>0.40237116198090528</v>
      </c>
      <c r="AO213" s="143">
        <f t="shared" si="80"/>
        <v>0.60056254597795034</v>
      </c>
      <c r="AP213" s="143">
        <f t="shared" si="80"/>
        <v>0.79687179010896136</v>
      </c>
      <c r="AQ213" s="143">
        <f t="shared" si="80"/>
        <v>0.99137708169907823</v>
      </c>
      <c r="AR213" s="143">
        <f t="shared" si="80"/>
        <v>1.155987262548805</v>
      </c>
      <c r="AS213" s="143">
        <f t="shared" si="80"/>
        <v>1.3196284895342085</v>
      </c>
      <c r="AT213" s="143">
        <f t="shared" si="80"/>
        <v>1.4823294656806369</v>
      </c>
      <c r="AU213" s="143">
        <f t="shared" si="80"/>
        <v>1.6441175236740118</v>
      </c>
      <c r="AV213" s="143">
        <f t="shared" si="80"/>
        <v>1.8082916665414697</v>
      </c>
    </row>
    <row r="214" spans="1:48">
      <c r="A214" t="s">
        <v>16</v>
      </c>
      <c r="B214" s="75" t="str">
        <f t="shared" si="77"/>
        <v>CNG</v>
      </c>
      <c r="C214" s="75" t="str">
        <f t="shared" si="77"/>
        <v>Commercial - Public lights</v>
      </c>
      <c r="E214" s="94"/>
      <c r="F214" s="94"/>
      <c r="I214" s="137"/>
      <c r="J214" s="143">
        <f t="shared" si="78"/>
        <v>0</v>
      </c>
      <c r="K214" s="143">
        <f t="shared" si="78"/>
        <v>0</v>
      </c>
      <c r="L214" s="143">
        <f t="shared" si="78"/>
        <v>0</v>
      </c>
      <c r="M214" s="143">
        <f t="shared" si="78"/>
        <v>0</v>
      </c>
      <c r="N214" s="143">
        <f t="shared" si="78"/>
        <v>0</v>
      </c>
      <c r="O214" s="143">
        <f t="shared" si="78"/>
        <v>0</v>
      </c>
      <c r="P214" s="143">
        <f t="shared" si="78"/>
        <v>0</v>
      </c>
      <c r="Q214" s="143">
        <f t="shared" si="78"/>
        <v>0</v>
      </c>
      <c r="R214" s="143">
        <f t="shared" si="78"/>
        <v>0</v>
      </c>
      <c r="S214" s="143">
        <f t="shared" si="78"/>
        <v>0</v>
      </c>
      <c r="T214" s="143">
        <f t="shared" si="78"/>
        <v>0</v>
      </c>
      <c r="U214" s="143">
        <f t="shared" si="78"/>
        <v>0</v>
      </c>
      <c r="V214" s="143">
        <f t="shared" si="78"/>
        <v>0</v>
      </c>
      <c r="W214" s="143">
        <f t="shared" si="78"/>
        <v>0</v>
      </c>
      <c r="X214" s="143">
        <f t="shared" si="78"/>
        <v>0</v>
      </c>
      <c r="Y214" s="143">
        <f t="shared" si="78"/>
        <v>0</v>
      </c>
      <c r="Z214" s="143">
        <f t="shared" si="79"/>
        <v>0</v>
      </c>
      <c r="AA214" s="143">
        <f t="shared" si="79"/>
        <v>0</v>
      </c>
      <c r="AB214" s="143">
        <f t="shared" si="79"/>
        <v>0</v>
      </c>
      <c r="AC214" s="143">
        <f t="shared" si="79"/>
        <v>0</v>
      </c>
      <c r="AD214" s="143">
        <f t="shared" si="79"/>
        <v>0</v>
      </c>
      <c r="AE214" s="143">
        <f t="shared" si="79"/>
        <v>0</v>
      </c>
      <c r="AF214" s="143">
        <f t="shared" si="79"/>
        <v>0</v>
      </c>
      <c r="AG214" s="143">
        <f t="shared" si="79"/>
        <v>0</v>
      </c>
      <c r="AH214" s="143">
        <f t="shared" si="79"/>
        <v>0</v>
      </c>
      <c r="AI214" s="143">
        <f t="shared" si="79"/>
        <v>0</v>
      </c>
      <c r="AJ214" s="143">
        <f t="shared" si="79"/>
        <v>0</v>
      </c>
      <c r="AK214" s="143">
        <f t="shared" si="79"/>
        <v>0</v>
      </c>
      <c r="AL214" s="143">
        <f t="shared" si="79"/>
        <v>0</v>
      </c>
      <c r="AM214" s="143">
        <f t="shared" si="79"/>
        <v>0</v>
      </c>
      <c r="AN214" s="143">
        <f t="shared" si="80"/>
        <v>0</v>
      </c>
      <c r="AO214" s="143">
        <f t="shared" si="80"/>
        <v>0</v>
      </c>
      <c r="AP214" s="143">
        <f t="shared" si="80"/>
        <v>0</v>
      </c>
      <c r="AQ214" s="143">
        <f t="shared" si="80"/>
        <v>0</v>
      </c>
      <c r="AR214" s="143">
        <f t="shared" si="80"/>
        <v>0</v>
      </c>
      <c r="AS214" s="143">
        <f t="shared" si="80"/>
        <v>0</v>
      </c>
      <c r="AT214" s="143">
        <f t="shared" si="80"/>
        <v>0</v>
      </c>
      <c r="AU214" s="143">
        <f t="shared" si="80"/>
        <v>0</v>
      </c>
      <c r="AV214" s="143">
        <f t="shared" si="80"/>
        <v>0</v>
      </c>
    </row>
    <row r="215" spans="1:48">
      <c r="A215" t="s">
        <v>16</v>
      </c>
      <c r="B215" s="75" t="str">
        <f t="shared" si="77"/>
        <v>CNT</v>
      </c>
      <c r="C215" s="75" t="str">
        <f t="shared" si="77"/>
        <v>Commercial - Public Water</v>
      </c>
      <c r="E215" s="94"/>
      <c r="F215" s="94"/>
      <c r="I215" s="137"/>
      <c r="J215" s="143">
        <f t="shared" si="78"/>
        <v>0</v>
      </c>
      <c r="K215" s="143">
        <f t="shared" si="78"/>
        <v>0</v>
      </c>
      <c r="L215" s="143">
        <f t="shared" si="78"/>
        <v>0</v>
      </c>
      <c r="M215" s="143">
        <f t="shared" si="78"/>
        <v>0</v>
      </c>
      <c r="N215" s="143">
        <f t="shared" si="78"/>
        <v>0</v>
      </c>
      <c r="O215" s="143">
        <f t="shared" si="78"/>
        <v>0</v>
      </c>
      <c r="P215" s="143">
        <f t="shared" si="78"/>
        <v>0</v>
      </c>
      <c r="Q215" s="143">
        <f t="shared" si="78"/>
        <v>0</v>
      </c>
      <c r="R215" s="143">
        <f t="shared" si="78"/>
        <v>0</v>
      </c>
      <c r="S215" s="143">
        <f t="shared" si="78"/>
        <v>0</v>
      </c>
      <c r="T215" s="143">
        <f t="shared" si="78"/>
        <v>0</v>
      </c>
      <c r="U215" s="143">
        <f t="shared" si="78"/>
        <v>0</v>
      </c>
      <c r="V215" s="143">
        <f t="shared" si="78"/>
        <v>0</v>
      </c>
      <c r="W215" s="143">
        <f t="shared" si="78"/>
        <v>0</v>
      </c>
      <c r="X215" s="143">
        <f t="shared" si="78"/>
        <v>0</v>
      </c>
      <c r="Y215" s="143">
        <f t="shared" si="78"/>
        <v>0</v>
      </c>
      <c r="Z215" s="143">
        <f t="shared" si="79"/>
        <v>0</v>
      </c>
      <c r="AA215" s="143">
        <f t="shared" si="79"/>
        <v>0</v>
      </c>
      <c r="AB215" s="143">
        <f t="shared" si="79"/>
        <v>0</v>
      </c>
      <c r="AC215" s="143">
        <f t="shared" si="79"/>
        <v>0</v>
      </c>
      <c r="AD215" s="143">
        <f t="shared" si="79"/>
        <v>0</v>
      </c>
      <c r="AE215" s="143">
        <f t="shared" si="79"/>
        <v>0</v>
      </c>
      <c r="AF215" s="143">
        <f t="shared" si="79"/>
        <v>0</v>
      </c>
      <c r="AG215" s="143">
        <f t="shared" si="79"/>
        <v>0</v>
      </c>
      <c r="AH215" s="143">
        <f t="shared" si="79"/>
        <v>0</v>
      </c>
      <c r="AI215" s="143">
        <f t="shared" si="79"/>
        <v>0</v>
      </c>
      <c r="AJ215" s="143">
        <f t="shared" si="79"/>
        <v>0</v>
      </c>
      <c r="AK215" s="143">
        <f t="shared" si="79"/>
        <v>0</v>
      </c>
      <c r="AL215" s="143">
        <f t="shared" si="79"/>
        <v>0</v>
      </c>
      <c r="AM215" s="143">
        <f t="shared" si="79"/>
        <v>0</v>
      </c>
      <c r="AN215" s="143">
        <f t="shared" si="80"/>
        <v>0</v>
      </c>
      <c r="AO215" s="143">
        <f t="shared" si="80"/>
        <v>0</v>
      </c>
      <c r="AP215" s="143">
        <f t="shared" si="80"/>
        <v>0</v>
      </c>
      <c r="AQ215" s="143">
        <f t="shared" si="80"/>
        <v>0</v>
      </c>
      <c r="AR215" s="143">
        <f t="shared" si="80"/>
        <v>0</v>
      </c>
      <c r="AS215" s="143">
        <f t="shared" si="80"/>
        <v>0</v>
      </c>
      <c r="AT215" s="143">
        <f t="shared" si="80"/>
        <v>0</v>
      </c>
      <c r="AU215" s="143">
        <f t="shared" si="80"/>
        <v>0</v>
      </c>
      <c r="AV215" s="143">
        <f t="shared" si="80"/>
        <v>0</v>
      </c>
    </row>
    <row r="216" spans="1:48">
      <c r="A216" t="s">
        <v>16</v>
      </c>
      <c r="B216" s="75" t="str">
        <f t="shared" si="77"/>
        <v>CNO</v>
      </c>
      <c r="C216" s="75" t="str">
        <f t="shared" si="77"/>
        <v>Commercial - Other</v>
      </c>
      <c r="E216" s="94"/>
      <c r="F216" s="94"/>
      <c r="I216" s="137"/>
      <c r="J216" s="143">
        <f t="shared" si="78"/>
        <v>0</v>
      </c>
      <c r="K216" s="143">
        <f t="shared" si="78"/>
        <v>0</v>
      </c>
      <c r="L216" s="143">
        <f t="shared" si="78"/>
        <v>0</v>
      </c>
      <c r="M216" s="143">
        <f t="shared" si="78"/>
        <v>0</v>
      </c>
      <c r="N216" s="143">
        <f t="shared" si="78"/>
        <v>0</v>
      </c>
      <c r="O216" s="143">
        <f t="shared" si="78"/>
        <v>0</v>
      </c>
      <c r="P216" s="143">
        <f t="shared" si="78"/>
        <v>0</v>
      </c>
      <c r="Q216" s="143">
        <f t="shared" si="78"/>
        <v>0</v>
      </c>
      <c r="R216" s="143">
        <f t="shared" si="78"/>
        <v>0</v>
      </c>
      <c r="S216" s="143">
        <f t="shared" si="78"/>
        <v>0</v>
      </c>
      <c r="T216" s="143">
        <f t="shared" si="78"/>
        <v>0</v>
      </c>
      <c r="U216" s="143">
        <f t="shared" si="78"/>
        <v>0</v>
      </c>
      <c r="V216" s="143">
        <f t="shared" si="78"/>
        <v>0</v>
      </c>
      <c r="W216" s="143">
        <f t="shared" si="78"/>
        <v>0</v>
      </c>
      <c r="X216" s="143">
        <f t="shared" si="78"/>
        <v>0</v>
      </c>
      <c r="Y216" s="143">
        <f t="shared" si="78"/>
        <v>0</v>
      </c>
      <c r="Z216" s="143">
        <f t="shared" si="79"/>
        <v>0</v>
      </c>
      <c r="AA216" s="143">
        <f t="shared" si="79"/>
        <v>0</v>
      </c>
      <c r="AB216" s="143">
        <f t="shared" si="79"/>
        <v>0</v>
      </c>
      <c r="AC216" s="143">
        <f t="shared" si="79"/>
        <v>0</v>
      </c>
      <c r="AD216" s="143">
        <f t="shared" si="79"/>
        <v>0</v>
      </c>
      <c r="AE216" s="143">
        <f t="shared" si="79"/>
        <v>0</v>
      </c>
      <c r="AF216" s="143">
        <f t="shared" si="79"/>
        <v>0</v>
      </c>
      <c r="AG216" s="143">
        <f t="shared" si="79"/>
        <v>0</v>
      </c>
      <c r="AH216" s="143">
        <f t="shared" si="79"/>
        <v>0</v>
      </c>
      <c r="AI216" s="143">
        <f t="shared" si="79"/>
        <v>0</v>
      </c>
      <c r="AJ216" s="143">
        <f t="shared" si="79"/>
        <v>0</v>
      </c>
      <c r="AK216" s="143">
        <f t="shared" si="79"/>
        <v>0</v>
      </c>
      <c r="AL216" s="143">
        <f t="shared" si="79"/>
        <v>0</v>
      </c>
      <c r="AM216" s="143">
        <f t="shared" si="79"/>
        <v>0.35623034357208788</v>
      </c>
      <c r="AN216" s="143">
        <f t="shared" si="80"/>
        <v>0.70883821896963206</v>
      </c>
      <c r="AO216" s="143">
        <f t="shared" si="80"/>
        <v>1.0579825934222393</v>
      </c>
      <c r="AP216" s="143">
        <f t="shared" si="80"/>
        <v>1.403811291214712</v>
      </c>
      <c r="AQ216" s="143">
        <f t="shared" si="80"/>
        <v>1.7464620512546429</v>
      </c>
      <c r="AR216" s="143">
        <f t="shared" si="80"/>
        <v>2.0364480105946581</v>
      </c>
      <c r="AS216" s="143">
        <f t="shared" si="80"/>
        <v>2.3247270098034618</v>
      </c>
      <c r="AT216" s="143">
        <f t="shared" si="80"/>
        <v>2.6113496136413774</v>
      </c>
      <c r="AU216" s="143">
        <f t="shared" si="80"/>
        <v>2.8963639728066641</v>
      </c>
      <c r="AV216" s="143">
        <f t="shared" si="80"/>
        <v>3.1855817846849348</v>
      </c>
    </row>
    <row r="217" spans="1:48">
      <c r="A217" t="s">
        <v>16</v>
      </c>
      <c r="E217" s="94"/>
      <c r="F217" s="94"/>
      <c r="I217" s="137"/>
      <c r="J217" s="143"/>
      <c r="K217" s="143"/>
      <c r="L217" s="143"/>
      <c r="M217" s="143"/>
      <c r="N217" s="143"/>
      <c r="O217" s="143"/>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c r="AT217" s="143"/>
      <c r="AU217" s="143"/>
      <c r="AV217" s="143"/>
    </row>
    <row r="218" spans="1:48" ht="15.75" thickBot="1">
      <c r="A218" t="s">
        <v>16</v>
      </c>
      <c r="B218" s="73" t="s">
        <v>482</v>
      </c>
      <c r="C218" s="73"/>
      <c r="D218" s="73"/>
      <c r="E218" s="73"/>
      <c r="F218" s="73"/>
      <c r="G218" s="73"/>
      <c r="H218" s="73"/>
      <c r="I218" s="138"/>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row>
    <row r="219" spans="1:48">
      <c r="A219" t="s">
        <v>16</v>
      </c>
      <c r="E219" s="94"/>
      <c r="F219" s="94"/>
      <c r="I219" s="137"/>
      <c r="J219" s="143"/>
      <c r="K219" s="143"/>
      <c r="L219" s="143"/>
      <c r="M219" s="143"/>
      <c r="N219" s="143"/>
      <c r="O219" s="143"/>
      <c r="P219" s="143"/>
      <c r="Q219" s="143"/>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c r="AT219" s="143"/>
      <c r="AU219" s="143"/>
      <c r="AV219" s="143"/>
    </row>
    <row r="220" spans="1:48">
      <c r="A220" t="s">
        <v>16</v>
      </c>
      <c r="B220" s="75" t="str">
        <f t="shared" ref="B220:C228" si="81">B208</f>
        <v>CNC</v>
      </c>
      <c r="C220" s="75" t="str">
        <f t="shared" si="81"/>
        <v>Commercial - Cooling</v>
      </c>
      <c r="E220" s="94"/>
      <c r="F220" s="94"/>
      <c r="I220" s="137"/>
      <c r="J220" s="143">
        <f t="shared" ref="J220:AV226" si="82">J186+J197+J208</f>
        <v>0</v>
      </c>
      <c r="K220" s="143">
        <f t="shared" si="82"/>
        <v>0</v>
      </c>
      <c r="L220" s="143">
        <f t="shared" si="82"/>
        <v>0</v>
      </c>
      <c r="M220" s="143">
        <f t="shared" si="82"/>
        <v>0</v>
      </c>
      <c r="N220" s="143">
        <f t="shared" si="82"/>
        <v>0</v>
      </c>
      <c r="O220" s="143">
        <f t="shared" si="82"/>
        <v>0</v>
      </c>
      <c r="P220" s="143">
        <f t="shared" si="82"/>
        <v>1.6544946889303713</v>
      </c>
      <c r="Q220" s="143">
        <f t="shared" si="82"/>
        <v>3.1875183888127405</v>
      </c>
      <c r="R220" s="143">
        <f t="shared" si="82"/>
        <v>4.1497851114047242</v>
      </c>
      <c r="S220" s="143">
        <f t="shared" si="82"/>
        <v>6.680089710495146</v>
      </c>
      <c r="T220" s="143">
        <f t="shared" si="82"/>
        <v>8.8859388919517119</v>
      </c>
      <c r="U220" s="143">
        <f t="shared" si="82"/>
        <v>11.049018277019913</v>
      </c>
      <c r="V220" s="143">
        <f t="shared" si="82"/>
        <v>13.256877926700117</v>
      </c>
      <c r="W220" s="143">
        <f t="shared" si="82"/>
        <v>15.369969170169794</v>
      </c>
      <c r="X220" s="143">
        <f t="shared" si="82"/>
        <v>17.34733010059233</v>
      </c>
      <c r="Y220" s="143">
        <f t="shared" si="82"/>
        <v>19.310350436565731</v>
      </c>
      <c r="Z220" s="143">
        <f t="shared" si="82"/>
        <v>21.300158752296035</v>
      </c>
      <c r="AA220" s="143">
        <f t="shared" si="82"/>
        <v>23.504178611800697</v>
      </c>
      <c r="AB220" s="143">
        <f t="shared" si="82"/>
        <v>25.620660047094042</v>
      </c>
      <c r="AC220" s="143">
        <f t="shared" si="82"/>
        <v>27.87828972187728</v>
      </c>
      <c r="AD220" s="143">
        <f t="shared" si="82"/>
        <v>30.157495473556875</v>
      </c>
      <c r="AE220" s="143">
        <f t="shared" si="82"/>
        <v>32.672077074063715</v>
      </c>
      <c r="AF220" s="143">
        <f t="shared" si="82"/>
        <v>35.234921387453397</v>
      </c>
      <c r="AG220" s="143">
        <f t="shared" si="82"/>
        <v>37.70001190478213</v>
      </c>
      <c r="AH220" s="143">
        <f t="shared" si="82"/>
        <v>40.060624093525959</v>
      </c>
      <c r="AI220" s="143">
        <f t="shared" si="82"/>
        <v>42.117117419576545</v>
      </c>
      <c r="AJ220" s="143">
        <f t="shared" si="82"/>
        <v>44.374931980554834</v>
      </c>
      <c r="AK220" s="143">
        <f t="shared" si="82"/>
        <v>46.855577333995569</v>
      </c>
      <c r="AL220" s="143">
        <f t="shared" si="82"/>
        <v>49.226246082397957</v>
      </c>
      <c r="AM220" s="143">
        <f t="shared" si="82"/>
        <v>51.746862959925316</v>
      </c>
      <c r="AN220" s="143">
        <f t="shared" si="82"/>
        <v>54.241847954644768</v>
      </c>
      <c r="AO220" s="143">
        <f t="shared" si="82"/>
        <v>56.712325887866875</v>
      </c>
      <c r="AP220" s="143">
        <f t="shared" si="82"/>
        <v>59.159342735584154</v>
      </c>
      <c r="AQ220" s="143">
        <f t="shared" si="82"/>
        <v>61.58387311161443</v>
      </c>
      <c r="AR220" s="143">
        <f t="shared" si="82"/>
        <v>63.635757563761018</v>
      </c>
      <c r="AS220" s="143">
        <f t="shared" si="82"/>
        <v>65.675563896809564</v>
      </c>
      <c r="AT220" s="143">
        <f t="shared" si="82"/>
        <v>67.703649897205224</v>
      </c>
      <c r="AU220" s="143">
        <f t="shared" si="82"/>
        <v>69.72035626995779</v>
      </c>
      <c r="AV220" s="143">
        <f t="shared" si="82"/>
        <v>71.766805459523752</v>
      </c>
    </row>
    <row r="221" spans="1:48">
      <c r="A221" t="s">
        <v>16</v>
      </c>
      <c r="B221" s="75" t="str">
        <f t="shared" si="81"/>
        <v>CNH</v>
      </c>
      <c r="C221" s="75" t="str">
        <f t="shared" si="81"/>
        <v>Commercial - Space Heating</v>
      </c>
      <c r="E221" s="94"/>
      <c r="F221" s="94"/>
      <c r="I221" s="137"/>
      <c r="J221" s="143">
        <f t="shared" si="82"/>
        <v>0</v>
      </c>
      <c r="K221" s="143">
        <f t="shared" si="82"/>
        <v>0</v>
      </c>
      <c r="L221" s="143">
        <f t="shared" si="82"/>
        <v>0</v>
      </c>
      <c r="M221" s="143">
        <f t="shared" si="82"/>
        <v>0</v>
      </c>
      <c r="N221" s="143">
        <f t="shared" si="82"/>
        <v>0</v>
      </c>
      <c r="O221" s="143">
        <f t="shared" si="82"/>
        <v>0</v>
      </c>
      <c r="P221" s="143">
        <f t="shared" si="82"/>
        <v>0.15778310002993795</v>
      </c>
      <c r="Q221" s="143">
        <f t="shared" si="82"/>
        <v>0.30398195663864902</v>
      </c>
      <c r="R221" s="143">
        <f t="shared" si="82"/>
        <v>0.39574981032959627</v>
      </c>
      <c r="S221" s="143">
        <f t="shared" si="82"/>
        <v>0.63705569443769439</v>
      </c>
      <c r="T221" s="143">
        <f t="shared" si="82"/>
        <v>0.84741945346174374</v>
      </c>
      <c r="U221" s="143">
        <f t="shared" si="82"/>
        <v>1.0537044136193137</v>
      </c>
      <c r="V221" s="143">
        <f t="shared" si="82"/>
        <v>1.2642599036358886</v>
      </c>
      <c r="W221" s="143">
        <f t="shared" si="82"/>
        <v>1.4657776777765306</v>
      </c>
      <c r="X221" s="143">
        <f t="shared" si="82"/>
        <v>1.6543513489811534</v>
      </c>
      <c r="Y221" s="143">
        <f t="shared" si="82"/>
        <v>1.8415574102057646</v>
      </c>
      <c r="Z221" s="143">
        <f t="shared" si="82"/>
        <v>2.0313181429671681</v>
      </c>
      <c r="AA221" s="143">
        <f t="shared" si="82"/>
        <v>2.2415074462553024</v>
      </c>
      <c r="AB221" s="143">
        <f t="shared" si="82"/>
        <v>2.4433485305759124</v>
      </c>
      <c r="AC221" s="143">
        <f t="shared" si="82"/>
        <v>2.658650405637943</v>
      </c>
      <c r="AD221" s="143">
        <f t="shared" si="82"/>
        <v>2.8760099121459786</v>
      </c>
      <c r="AE221" s="143">
        <f t="shared" si="82"/>
        <v>3.1158163514538715</v>
      </c>
      <c r="AF221" s="143">
        <f t="shared" si="82"/>
        <v>3.3602254289602782</v>
      </c>
      <c r="AG221" s="143">
        <f t="shared" si="82"/>
        <v>3.5953120848926625</v>
      </c>
      <c r="AH221" s="143">
        <f t="shared" si="82"/>
        <v>3.8204350252082078</v>
      </c>
      <c r="AI221" s="143">
        <f t="shared" si="82"/>
        <v>4.0165552632156896</v>
      </c>
      <c r="AJ221" s="143">
        <f t="shared" si="82"/>
        <v>4.2318747701971233</v>
      </c>
      <c r="AK221" s="143">
        <f t="shared" si="82"/>
        <v>4.4684448338905778</v>
      </c>
      <c r="AL221" s="143">
        <f t="shared" si="82"/>
        <v>4.6945268314754989</v>
      </c>
      <c r="AM221" s="143">
        <f t="shared" si="82"/>
        <v>4.9349088330527708</v>
      </c>
      <c r="AN221" s="143">
        <f t="shared" si="82"/>
        <v>5.1728464158258642</v>
      </c>
      <c r="AO221" s="143">
        <f t="shared" si="82"/>
        <v>5.4084468498842799</v>
      </c>
      <c r="AP221" s="143">
        <f t="shared" si="82"/>
        <v>5.6418098861282528</v>
      </c>
      <c r="AQ221" s="143">
        <f t="shared" si="82"/>
        <v>5.8730284699087338</v>
      </c>
      <c r="AR221" s="143">
        <f t="shared" si="82"/>
        <v>6.0687091764888343</v>
      </c>
      <c r="AS221" s="143">
        <f t="shared" si="82"/>
        <v>6.2632380370783931</v>
      </c>
      <c r="AT221" s="143">
        <f t="shared" si="82"/>
        <v>6.4566491724605335</v>
      </c>
      <c r="AU221" s="143">
        <f t="shared" si="82"/>
        <v>6.6489750744244436</v>
      </c>
      <c r="AV221" s="143">
        <f t="shared" si="82"/>
        <v>6.8441374399151549</v>
      </c>
    </row>
    <row r="222" spans="1:48">
      <c r="A222" t="s">
        <v>16</v>
      </c>
      <c r="B222" s="75" t="str">
        <f t="shared" si="81"/>
        <v>CNK</v>
      </c>
      <c r="C222" s="75" t="str">
        <f t="shared" si="81"/>
        <v>Commercial - Cooking</v>
      </c>
      <c r="E222" s="94"/>
      <c r="F222" s="94"/>
      <c r="I222" s="137"/>
      <c r="J222" s="143">
        <f t="shared" si="82"/>
        <v>0</v>
      </c>
      <c r="K222" s="143">
        <f t="shared" si="82"/>
        <v>0</v>
      </c>
      <c r="L222" s="143">
        <f t="shared" si="82"/>
        <v>0</v>
      </c>
      <c r="M222" s="143">
        <f t="shared" si="82"/>
        <v>0</v>
      </c>
      <c r="N222" s="143">
        <f t="shared" si="82"/>
        <v>0</v>
      </c>
      <c r="O222" s="143">
        <f t="shared" si="82"/>
        <v>0</v>
      </c>
      <c r="P222" s="143">
        <f t="shared" si="82"/>
        <v>0.11351736674445566</v>
      </c>
      <c r="Q222" s="143">
        <f t="shared" si="82"/>
        <v>0.2187004264011754</v>
      </c>
      <c r="R222" s="143">
        <f t="shared" si="82"/>
        <v>0.28472299219440816</v>
      </c>
      <c r="S222" s="143">
        <f t="shared" si="82"/>
        <v>0.45833099291626384</v>
      </c>
      <c r="T222" s="143">
        <f t="shared" si="82"/>
        <v>0.6096776198892685</v>
      </c>
      <c r="U222" s="143">
        <f t="shared" si="82"/>
        <v>0.75808974686376152</v>
      </c>
      <c r="V222" s="143">
        <f t="shared" si="82"/>
        <v>0.90957431508263276</v>
      </c>
      <c r="W222" s="143">
        <f t="shared" si="82"/>
        <v>1.0545566805470528</v>
      </c>
      <c r="X222" s="143">
        <f t="shared" si="82"/>
        <v>1.1902263852772925</v>
      </c>
      <c r="Y222" s="143">
        <f t="shared" si="82"/>
        <v>1.3249121602733918</v>
      </c>
      <c r="Z222" s="143">
        <f t="shared" si="82"/>
        <v>1.4614358988137399</v>
      </c>
      <c r="AA222" s="143">
        <f t="shared" si="82"/>
        <v>1.6126570132587821</v>
      </c>
      <c r="AB222" s="143">
        <f t="shared" si="82"/>
        <v>1.7578719848785174</v>
      </c>
      <c r="AC222" s="143">
        <f t="shared" si="82"/>
        <v>1.9127713493069518</v>
      </c>
      <c r="AD222" s="143">
        <f t="shared" si="82"/>
        <v>2.0691510807926745</v>
      </c>
      <c r="AE222" s="143">
        <f t="shared" si="82"/>
        <v>2.2416803029554466</v>
      </c>
      <c r="AF222" s="143">
        <f t="shared" si="82"/>
        <v>2.4175209023713826</v>
      </c>
      <c r="AG222" s="143">
        <f t="shared" si="82"/>
        <v>2.5866544669492155</v>
      </c>
      <c r="AH222" s="143">
        <f t="shared" si="82"/>
        <v>2.7486196164078143</v>
      </c>
      <c r="AI222" s="143">
        <f t="shared" si="82"/>
        <v>2.8897187137108902</v>
      </c>
      <c r="AJ222" s="143">
        <f t="shared" si="82"/>
        <v>3.0446307634589882</v>
      </c>
      <c r="AK222" s="143">
        <f t="shared" si="82"/>
        <v>3.2148315687160376</v>
      </c>
      <c r="AL222" s="143">
        <f t="shared" si="82"/>
        <v>3.3774867138443634</v>
      </c>
      <c r="AM222" s="143">
        <f t="shared" si="82"/>
        <v>3.550430025432461</v>
      </c>
      <c r="AN222" s="143">
        <f t="shared" si="82"/>
        <v>3.7216146950251967</v>
      </c>
      <c r="AO222" s="143">
        <f t="shared" si="82"/>
        <v>3.8911178983029084</v>
      </c>
      <c r="AP222" s="143">
        <f t="shared" si="82"/>
        <v>4.059011401250185</v>
      </c>
      <c r="AQ222" s="143">
        <f t="shared" si="82"/>
        <v>4.2253620735855764</v>
      </c>
      <c r="AR222" s="143">
        <f t="shared" si="82"/>
        <v>4.3661449491245454</v>
      </c>
      <c r="AS222" s="143">
        <f t="shared" si="82"/>
        <v>4.5060991267629369</v>
      </c>
      <c r="AT222" s="143">
        <f t="shared" si="82"/>
        <v>4.6452491547663808</v>
      </c>
      <c r="AU222" s="143">
        <f t="shared" si="82"/>
        <v>4.7836184094175618</v>
      </c>
      <c r="AV222" s="143">
        <f t="shared" si="82"/>
        <v>4.9240283634235427</v>
      </c>
    </row>
    <row r="223" spans="1:48">
      <c r="A223" t="s">
        <v>16</v>
      </c>
      <c r="B223" s="75" t="str">
        <f t="shared" si="81"/>
        <v>CNL</v>
      </c>
      <c r="C223" s="75" t="str">
        <f t="shared" si="81"/>
        <v>Commercial - Lighting</v>
      </c>
      <c r="E223" s="94"/>
      <c r="F223" s="94"/>
      <c r="I223" s="137"/>
      <c r="J223" s="143">
        <f t="shared" si="82"/>
        <v>0</v>
      </c>
      <c r="K223" s="143">
        <f t="shared" si="82"/>
        <v>0</v>
      </c>
      <c r="L223" s="143">
        <f t="shared" si="82"/>
        <v>0</v>
      </c>
      <c r="M223" s="143">
        <f t="shared" si="82"/>
        <v>0</v>
      </c>
      <c r="N223" s="143">
        <f t="shared" si="82"/>
        <v>0</v>
      </c>
      <c r="O223" s="143">
        <f t="shared" si="82"/>
        <v>0</v>
      </c>
      <c r="P223" s="143">
        <f t="shared" si="82"/>
        <v>1.439792405855393</v>
      </c>
      <c r="Q223" s="143">
        <f t="shared" si="82"/>
        <v>2.7738770033187716</v>
      </c>
      <c r="R223" s="143">
        <f t="shared" si="82"/>
        <v>3.6112712414900638</v>
      </c>
      <c r="S223" s="143">
        <f t="shared" si="82"/>
        <v>5.8132204956316</v>
      </c>
      <c r="T223" s="143">
        <f t="shared" si="82"/>
        <v>7.7328186189575536</v>
      </c>
      <c r="U223" s="143">
        <f t="shared" si="82"/>
        <v>9.6151971437849717</v>
      </c>
      <c r="V223" s="143">
        <f t="shared" si="82"/>
        <v>11.536544838687051</v>
      </c>
      <c r="W223" s="143">
        <f t="shared" si="82"/>
        <v>13.375422137951208</v>
      </c>
      <c r="X223" s="143">
        <f t="shared" si="82"/>
        <v>15.096182724434627</v>
      </c>
      <c r="Y223" s="143">
        <f t="shared" si="82"/>
        <v>16.804463682472292</v>
      </c>
      <c r="Z223" s="143">
        <f t="shared" si="82"/>
        <v>18.536056368302283</v>
      </c>
      <c r="AA223" s="143">
        <f t="shared" si="82"/>
        <v>20.454062559135593</v>
      </c>
      <c r="AB223" s="143">
        <f t="shared" si="82"/>
        <v>22.295890108089136</v>
      </c>
      <c r="AC223" s="143">
        <f t="shared" si="82"/>
        <v>24.260549216839824</v>
      </c>
      <c r="AD223" s="143">
        <f t="shared" si="82"/>
        <v>26.243984494454253</v>
      </c>
      <c r="AE223" s="143">
        <f t="shared" si="82"/>
        <v>28.432251109352897</v>
      </c>
      <c r="AF223" s="143">
        <f t="shared" si="82"/>
        <v>30.662517428426845</v>
      </c>
      <c r="AG223" s="143">
        <f t="shared" si="82"/>
        <v>32.807715373359883</v>
      </c>
      <c r="AH223" s="143">
        <f t="shared" si="82"/>
        <v>34.861993048146715</v>
      </c>
      <c r="AI223" s="143">
        <f t="shared" si="82"/>
        <v>36.651617090671841</v>
      </c>
      <c r="AJ223" s="143">
        <f t="shared" si="82"/>
        <v>38.61643709310286</v>
      </c>
      <c r="AK223" s="143">
        <f t="shared" si="82"/>
        <v>40.775171337099422</v>
      </c>
      <c r="AL223" s="143">
        <f t="shared" si="82"/>
        <v>42.838200540871085</v>
      </c>
      <c r="AM223" s="143">
        <f t="shared" si="82"/>
        <v>45.0317192403364</v>
      </c>
      <c r="AN223" s="143">
        <f t="shared" si="82"/>
        <v>47.202932283300363</v>
      </c>
      <c r="AO223" s="143">
        <f t="shared" si="82"/>
        <v>49.352818524026894</v>
      </c>
      <c r="AP223" s="143">
        <f t="shared" si="82"/>
        <v>51.48228820314764</v>
      </c>
      <c r="AQ223" s="143">
        <f t="shared" si="82"/>
        <v>53.592189459724608</v>
      </c>
      <c r="AR223" s="143">
        <f t="shared" si="82"/>
        <v>55.377802717754072</v>
      </c>
      <c r="AS223" s="143">
        <f t="shared" si="82"/>
        <v>57.152905223303819</v>
      </c>
      <c r="AT223" s="143">
        <f t="shared" si="82"/>
        <v>58.917808333194785</v>
      </c>
      <c r="AU223" s="143">
        <f t="shared" si="82"/>
        <v>60.672808539455062</v>
      </c>
      <c r="AV223" s="143">
        <f t="shared" si="82"/>
        <v>62.453691864025217</v>
      </c>
    </row>
    <row r="224" spans="1:48">
      <c r="A224" t="s">
        <v>16</v>
      </c>
      <c r="B224" s="75" t="str">
        <f t="shared" si="81"/>
        <v>CNR</v>
      </c>
      <c r="C224" s="75" t="str">
        <f t="shared" si="81"/>
        <v>Commercial - Refrigeration</v>
      </c>
      <c r="E224" s="94"/>
      <c r="F224" s="94"/>
      <c r="I224" s="137"/>
      <c r="J224" s="143">
        <f t="shared" si="82"/>
        <v>0</v>
      </c>
      <c r="K224" s="143">
        <f t="shared" si="82"/>
        <v>0</v>
      </c>
      <c r="L224" s="143">
        <f t="shared" si="82"/>
        <v>0</v>
      </c>
      <c r="M224" s="143">
        <f t="shared" si="82"/>
        <v>0</v>
      </c>
      <c r="N224" s="143">
        <f t="shared" si="82"/>
        <v>0</v>
      </c>
      <c r="O224" s="143">
        <f t="shared" si="82"/>
        <v>0</v>
      </c>
      <c r="P224" s="143">
        <f t="shared" si="82"/>
        <v>0.35024986912740697</v>
      </c>
      <c r="Q224" s="143">
        <f t="shared" si="82"/>
        <v>0.67478481858689709</v>
      </c>
      <c r="R224" s="143">
        <f t="shared" si="82"/>
        <v>0.87849281227734122</v>
      </c>
      <c r="S224" s="143">
        <f t="shared" si="82"/>
        <v>1.4141481157445579</v>
      </c>
      <c r="T224" s="143">
        <f t="shared" si="82"/>
        <v>1.8811175126783395</v>
      </c>
      <c r="U224" s="143">
        <f t="shared" si="82"/>
        <v>2.3390327157921846</v>
      </c>
      <c r="V224" s="143">
        <f t="shared" si="82"/>
        <v>2.8064277207602051</v>
      </c>
      <c r="W224" s="143">
        <f t="shared" si="82"/>
        <v>3.2537606354146509</v>
      </c>
      <c r="X224" s="143">
        <f t="shared" si="82"/>
        <v>3.6723599888800207</v>
      </c>
      <c r="Y224" s="143">
        <f t="shared" si="82"/>
        <v>4.0879234961969404</v>
      </c>
      <c r="Z224" s="143">
        <f t="shared" si="82"/>
        <v>4.50915791105247</v>
      </c>
      <c r="AA224" s="143">
        <f t="shared" si="82"/>
        <v>4.9757400478889338</v>
      </c>
      <c r="AB224" s="143">
        <f t="shared" si="82"/>
        <v>5.4237906525127109</v>
      </c>
      <c r="AC224" s="143">
        <f t="shared" si="82"/>
        <v>5.9017217715555823</v>
      </c>
      <c r="AD224" s="143">
        <f t="shared" si="82"/>
        <v>6.3842204592705034</v>
      </c>
      <c r="AE224" s="143">
        <f t="shared" si="82"/>
        <v>6.9165472671958277</v>
      </c>
      <c r="AF224" s="143">
        <f t="shared" si="82"/>
        <v>7.4590910972633484</v>
      </c>
      <c r="AG224" s="143">
        <f t="shared" si="82"/>
        <v>7.9809408419970627</v>
      </c>
      <c r="AH224" s="143">
        <f t="shared" si="82"/>
        <v>8.4806729449164244</v>
      </c>
      <c r="AI224" s="143">
        <f t="shared" si="82"/>
        <v>8.9160243081633297</v>
      </c>
      <c r="AJ224" s="143">
        <f t="shared" si="82"/>
        <v>9.3939945668698428</v>
      </c>
      <c r="AK224" s="143">
        <f t="shared" si="82"/>
        <v>9.9191372078267825</v>
      </c>
      <c r="AL224" s="143">
        <f t="shared" si="82"/>
        <v>10.420998243965361</v>
      </c>
      <c r="AM224" s="143">
        <f t="shared" si="82"/>
        <v>10.954602695754232</v>
      </c>
      <c r="AN224" s="143">
        <f t="shared" si="82"/>
        <v>11.48278098107728</v>
      </c>
      <c r="AO224" s="143">
        <f t="shared" si="82"/>
        <v>12.005771220080462</v>
      </c>
      <c r="AP224" s="143">
        <f t="shared" si="82"/>
        <v>12.523794841673126</v>
      </c>
      <c r="AQ224" s="143">
        <f t="shared" si="82"/>
        <v>13.037058167679342</v>
      </c>
      <c r="AR224" s="143">
        <f t="shared" si="82"/>
        <v>13.47143385086363</v>
      </c>
      <c r="AS224" s="143">
        <f t="shared" si="82"/>
        <v>13.90325264482869</v>
      </c>
      <c r="AT224" s="143">
        <f t="shared" si="82"/>
        <v>14.332590291525483</v>
      </c>
      <c r="AU224" s="143">
        <f t="shared" si="82"/>
        <v>14.759518916833823</v>
      </c>
      <c r="AV224" s="143">
        <f t="shared" si="82"/>
        <v>15.19274397679745</v>
      </c>
    </row>
    <row r="225" spans="1:48">
      <c r="A225" t="s">
        <v>16</v>
      </c>
      <c r="B225" s="75" t="str">
        <f t="shared" si="81"/>
        <v>CNW</v>
      </c>
      <c r="C225" s="75" t="str">
        <f t="shared" si="81"/>
        <v>Commercial - Water Heating</v>
      </c>
      <c r="E225" s="94"/>
      <c r="F225" s="94"/>
      <c r="I225" s="137"/>
      <c r="J225" s="143">
        <f t="shared" si="82"/>
        <v>0</v>
      </c>
      <c r="K225" s="143">
        <f t="shared" si="82"/>
        <v>0</v>
      </c>
      <c r="L225" s="143">
        <f t="shared" si="82"/>
        <v>0</v>
      </c>
      <c r="M225" s="143">
        <f t="shared" si="82"/>
        <v>0</v>
      </c>
      <c r="N225" s="143">
        <f t="shared" si="82"/>
        <v>0</v>
      </c>
      <c r="O225" s="143">
        <f t="shared" si="82"/>
        <v>0</v>
      </c>
      <c r="P225" s="143">
        <f t="shared" si="82"/>
        <v>0.13273002272365989</v>
      </c>
      <c r="Q225" s="143">
        <f t="shared" si="82"/>
        <v>0.25571516851028336</v>
      </c>
      <c r="R225" s="143">
        <f t="shared" si="82"/>
        <v>0.3329119614709351</v>
      </c>
      <c r="S225" s="143">
        <f t="shared" si="82"/>
        <v>0.53590287415387494</v>
      </c>
      <c r="T225" s="143">
        <f t="shared" si="82"/>
        <v>0.71286470663275703</v>
      </c>
      <c r="U225" s="143">
        <f t="shared" si="82"/>
        <v>0.88639537908163391</v>
      </c>
      <c r="V225" s="143">
        <f t="shared" si="82"/>
        <v>1.063518499169835</v>
      </c>
      <c r="W225" s="143">
        <f t="shared" si="82"/>
        <v>1.2330389277571403</v>
      </c>
      <c r="X225" s="143">
        <f t="shared" si="82"/>
        <v>1.3916705407709831</v>
      </c>
      <c r="Y225" s="143">
        <f t="shared" si="82"/>
        <v>1.5491516953156386</v>
      </c>
      <c r="Z225" s="143">
        <f t="shared" si="82"/>
        <v>1.7087818861706818</v>
      </c>
      <c r="AA225" s="143">
        <f t="shared" si="82"/>
        <v>1.8855969633013181</v>
      </c>
      <c r="AB225" s="143">
        <f t="shared" si="82"/>
        <v>2.0553893663112692</v>
      </c>
      <c r="AC225" s="143">
        <f t="shared" si="82"/>
        <v>2.2365052321042955</v>
      </c>
      <c r="AD225" s="143">
        <f t="shared" si="82"/>
        <v>2.4193520150141321</v>
      </c>
      <c r="AE225" s="143">
        <f t="shared" si="82"/>
        <v>2.6210815673716228</v>
      </c>
      <c r="AF225" s="143">
        <f t="shared" si="82"/>
        <v>2.8266829429634246</v>
      </c>
      <c r="AG225" s="143">
        <f t="shared" si="82"/>
        <v>3.0244421274262354</v>
      </c>
      <c r="AH225" s="143">
        <f t="shared" si="82"/>
        <v>3.2138196525099096</v>
      </c>
      <c r="AI225" s="143">
        <f t="shared" si="82"/>
        <v>3.3787995752162283</v>
      </c>
      <c r="AJ225" s="143">
        <f t="shared" si="82"/>
        <v>3.5599302733015765</v>
      </c>
      <c r="AK225" s="143">
        <f t="shared" si="82"/>
        <v>3.7589373274398969</v>
      </c>
      <c r="AL225" s="143">
        <f t="shared" si="82"/>
        <v>3.9491216289979434</v>
      </c>
      <c r="AM225" s="143">
        <f t="shared" si="82"/>
        <v>4.1513353548383938</v>
      </c>
      <c r="AN225" s="143">
        <f t="shared" si="82"/>
        <v>4.351492790978849</v>
      </c>
      <c r="AO225" s="143">
        <f t="shared" si="82"/>
        <v>4.5496841749758934</v>
      </c>
      <c r="AP225" s="143">
        <f t="shared" si="82"/>
        <v>4.7459934191069051</v>
      </c>
      <c r="AQ225" s="143">
        <f t="shared" si="82"/>
        <v>4.940498710697022</v>
      </c>
      <c r="AR225" s="143">
        <f t="shared" si="82"/>
        <v>5.1051088915467489</v>
      </c>
      <c r="AS225" s="143">
        <f t="shared" si="82"/>
        <v>5.2687501185321519</v>
      </c>
      <c r="AT225" s="143">
        <f t="shared" si="82"/>
        <v>5.4314510946785806</v>
      </c>
      <c r="AU225" s="143">
        <f t="shared" si="82"/>
        <v>5.5932391526719556</v>
      </c>
      <c r="AV225" s="143">
        <f t="shared" si="82"/>
        <v>5.7574132955394131</v>
      </c>
    </row>
    <row r="226" spans="1:48">
      <c r="A226" t="s">
        <v>16</v>
      </c>
      <c r="B226" s="75" t="str">
        <f t="shared" si="81"/>
        <v>CNG</v>
      </c>
      <c r="C226" s="75" t="str">
        <f t="shared" si="81"/>
        <v>Commercial - Public lights</v>
      </c>
      <c r="E226" s="94"/>
      <c r="F226" s="94"/>
      <c r="I226" s="137"/>
      <c r="J226" s="143">
        <f t="shared" si="82"/>
        <v>0</v>
      </c>
      <c r="K226" s="143">
        <f t="shared" si="82"/>
        <v>0</v>
      </c>
      <c r="L226" s="143">
        <f t="shared" si="82"/>
        <v>0</v>
      </c>
      <c r="M226" s="143">
        <f t="shared" si="82"/>
        <v>0</v>
      </c>
      <c r="N226" s="143">
        <f t="shared" si="82"/>
        <v>0</v>
      </c>
      <c r="O226" s="143">
        <f t="shared" si="82"/>
        <v>0</v>
      </c>
      <c r="P226" s="143">
        <f t="shared" si="82"/>
        <v>0</v>
      </c>
      <c r="Q226" s="143">
        <f t="shared" si="82"/>
        <v>0</v>
      </c>
      <c r="R226" s="143">
        <f t="shared" si="82"/>
        <v>0</v>
      </c>
      <c r="S226" s="143">
        <f t="shared" si="82"/>
        <v>0</v>
      </c>
      <c r="T226" s="143">
        <f t="shared" si="82"/>
        <v>0</v>
      </c>
      <c r="U226" s="143">
        <f t="shared" si="82"/>
        <v>0</v>
      </c>
      <c r="V226" s="143">
        <f t="shared" si="82"/>
        <v>0</v>
      </c>
      <c r="W226" s="143">
        <f t="shared" si="82"/>
        <v>0</v>
      </c>
      <c r="X226" s="143">
        <f t="shared" si="82"/>
        <v>0</v>
      </c>
      <c r="Y226" s="143">
        <f t="shared" si="82"/>
        <v>0</v>
      </c>
      <c r="Z226" s="143">
        <f t="shared" si="82"/>
        <v>0</v>
      </c>
      <c r="AA226" s="143">
        <f t="shared" si="82"/>
        <v>0</v>
      </c>
      <c r="AB226" s="143">
        <f t="shared" si="82"/>
        <v>0</v>
      </c>
      <c r="AC226" s="143">
        <f t="shared" si="82"/>
        <v>0</v>
      </c>
      <c r="AD226" s="143">
        <f t="shared" si="82"/>
        <v>0</v>
      </c>
      <c r="AE226" s="143">
        <f t="shared" ref="AE226:AV228" si="83">AE192+AE203+AE214</f>
        <v>0</v>
      </c>
      <c r="AF226" s="143">
        <f t="shared" si="83"/>
        <v>0</v>
      </c>
      <c r="AG226" s="143">
        <f t="shared" si="83"/>
        <v>0</v>
      </c>
      <c r="AH226" s="143">
        <f t="shared" si="83"/>
        <v>0</v>
      </c>
      <c r="AI226" s="143">
        <f t="shared" si="83"/>
        <v>0</v>
      </c>
      <c r="AJ226" s="143">
        <f t="shared" si="83"/>
        <v>0</v>
      </c>
      <c r="AK226" s="143">
        <f t="shared" si="83"/>
        <v>0</v>
      </c>
      <c r="AL226" s="143">
        <f t="shared" si="83"/>
        <v>0</v>
      </c>
      <c r="AM226" s="143">
        <f t="shared" si="83"/>
        <v>0</v>
      </c>
      <c r="AN226" s="143">
        <f t="shared" si="83"/>
        <v>0</v>
      </c>
      <c r="AO226" s="143">
        <f t="shared" si="83"/>
        <v>0</v>
      </c>
      <c r="AP226" s="143">
        <f t="shared" si="83"/>
        <v>0</v>
      </c>
      <c r="AQ226" s="143">
        <f t="shared" si="83"/>
        <v>0</v>
      </c>
      <c r="AR226" s="143">
        <f t="shared" si="83"/>
        <v>0</v>
      </c>
      <c r="AS226" s="143">
        <f t="shared" si="83"/>
        <v>0</v>
      </c>
      <c r="AT226" s="143">
        <f t="shared" si="83"/>
        <v>0</v>
      </c>
      <c r="AU226" s="143">
        <f t="shared" si="83"/>
        <v>0</v>
      </c>
      <c r="AV226" s="143">
        <f t="shared" si="83"/>
        <v>0</v>
      </c>
    </row>
    <row r="227" spans="1:48">
      <c r="A227" t="s">
        <v>16</v>
      </c>
      <c r="B227" s="75" t="str">
        <f t="shared" si="81"/>
        <v>CNT</v>
      </c>
      <c r="C227" s="75" t="str">
        <f t="shared" si="81"/>
        <v>Commercial - Public Water</v>
      </c>
      <c r="E227" s="94"/>
      <c r="F227" s="94"/>
      <c r="I227" s="137"/>
      <c r="J227" s="143">
        <f t="shared" ref="J227:AV228" si="84">J193+J204+J215</f>
        <v>0</v>
      </c>
      <c r="K227" s="143">
        <f t="shared" si="84"/>
        <v>0</v>
      </c>
      <c r="L227" s="143">
        <f t="shared" si="84"/>
        <v>0</v>
      </c>
      <c r="M227" s="143">
        <f t="shared" si="84"/>
        <v>0</v>
      </c>
      <c r="N227" s="143">
        <f t="shared" si="84"/>
        <v>0</v>
      </c>
      <c r="O227" s="143">
        <f t="shared" si="84"/>
        <v>0</v>
      </c>
      <c r="P227" s="143">
        <f t="shared" si="84"/>
        <v>0</v>
      </c>
      <c r="Q227" s="143">
        <f t="shared" si="84"/>
        <v>0</v>
      </c>
      <c r="R227" s="143">
        <f t="shared" si="84"/>
        <v>0</v>
      </c>
      <c r="S227" s="143">
        <f t="shared" si="84"/>
        <v>0</v>
      </c>
      <c r="T227" s="143">
        <f t="shared" si="84"/>
        <v>0</v>
      </c>
      <c r="U227" s="143">
        <f t="shared" si="84"/>
        <v>0</v>
      </c>
      <c r="V227" s="143">
        <f t="shared" si="84"/>
        <v>0</v>
      </c>
      <c r="W227" s="143">
        <f t="shared" si="84"/>
        <v>0</v>
      </c>
      <c r="X227" s="143">
        <f t="shared" si="84"/>
        <v>0</v>
      </c>
      <c r="Y227" s="143">
        <f t="shared" si="84"/>
        <v>0</v>
      </c>
      <c r="Z227" s="143">
        <f t="shared" si="84"/>
        <v>0</v>
      </c>
      <c r="AA227" s="143">
        <f t="shared" si="84"/>
        <v>0</v>
      </c>
      <c r="AB227" s="143">
        <f t="shared" si="84"/>
        <v>0</v>
      </c>
      <c r="AC227" s="143">
        <f t="shared" si="84"/>
        <v>0</v>
      </c>
      <c r="AD227" s="143">
        <f t="shared" si="84"/>
        <v>0</v>
      </c>
      <c r="AE227" s="143">
        <f t="shared" si="84"/>
        <v>0</v>
      </c>
      <c r="AF227" s="143">
        <f t="shared" si="84"/>
        <v>0</v>
      </c>
      <c r="AG227" s="143">
        <f t="shared" si="84"/>
        <v>0</v>
      </c>
      <c r="AH227" s="143">
        <f t="shared" si="84"/>
        <v>0</v>
      </c>
      <c r="AI227" s="143">
        <f t="shared" si="83"/>
        <v>0</v>
      </c>
      <c r="AJ227" s="143">
        <f t="shared" si="83"/>
        <v>0</v>
      </c>
      <c r="AK227" s="143">
        <f t="shared" si="83"/>
        <v>0</v>
      </c>
      <c r="AL227" s="143">
        <f t="shared" si="83"/>
        <v>0</v>
      </c>
      <c r="AM227" s="143">
        <f t="shared" si="83"/>
        <v>0</v>
      </c>
      <c r="AN227" s="143">
        <f t="shared" si="83"/>
        <v>0</v>
      </c>
      <c r="AO227" s="143">
        <f t="shared" si="83"/>
        <v>0</v>
      </c>
      <c r="AP227" s="143">
        <f t="shared" si="83"/>
        <v>0</v>
      </c>
      <c r="AQ227" s="143">
        <f t="shared" si="83"/>
        <v>0</v>
      </c>
      <c r="AR227" s="143">
        <f t="shared" si="83"/>
        <v>0</v>
      </c>
      <c r="AS227" s="143">
        <f t="shared" si="84"/>
        <v>0</v>
      </c>
      <c r="AT227" s="143">
        <f t="shared" si="84"/>
        <v>0</v>
      </c>
      <c r="AU227" s="143">
        <f t="shared" si="84"/>
        <v>0</v>
      </c>
      <c r="AV227" s="143">
        <f t="shared" si="84"/>
        <v>0</v>
      </c>
    </row>
    <row r="228" spans="1:48">
      <c r="A228" t="s">
        <v>16</v>
      </c>
      <c r="B228" s="75" t="str">
        <f t="shared" si="81"/>
        <v>CNO</v>
      </c>
      <c r="C228" s="75" t="str">
        <f t="shared" si="81"/>
        <v>Commercial - Other</v>
      </c>
      <c r="E228" s="94"/>
      <c r="F228" s="94"/>
      <c r="I228" s="137"/>
      <c r="J228" s="143">
        <f t="shared" si="84"/>
        <v>0</v>
      </c>
      <c r="K228" s="143">
        <f t="shared" si="84"/>
        <v>0</v>
      </c>
      <c r="L228" s="143">
        <f t="shared" si="84"/>
        <v>0</v>
      </c>
      <c r="M228" s="143">
        <f t="shared" si="84"/>
        <v>0</v>
      </c>
      <c r="N228" s="143">
        <f t="shared" si="84"/>
        <v>0</v>
      </c>
      <c r="O228" s="143">
        <f t="shared" si="84"/>
        <v>0</v>
      </c>
      <c r="P228" s="143">
        <f t="shared" si="84"/>
        <v>0.23382419467651278</v>
      </c>
      <c r="Q228" s="143">
        <f t="shared" si="84"/>
        <v>0.45048130118964741</v>
      </c>
      <c r="R228" s="143">
        <f t="shared" si="84"/>
        <v>0.58647523515600009</v>
      </c>
      <c r="S228" s="143">
        <f t="shared" si="84"/>
        <v>0.94407471197939985</v>
      </c>
      <c r="T228" s="143">
        <f t="shared" si="84"/>
        <v>1.2558199909959062</v>
      </c>
      <c r="U228" s="143">
        <f t="shared" si="84"/>
        <v>1.5615207578940611</v>
      </c>
      <c r="V228" s="143">
        <f t="shared" si="84"/>
        <v>1.8735501696530052</v>
      </c>
      <c r="W228" s="143">
        <f t="shared" si="84"/>
        <v>2.1721862798732912</v>
      </c>
      <c r="X228" s="143">
        <f t="shared" si="84"/>
        <v>2.4516400794135977</v>
      </c>
      <c r="Y228" s="143">
        <f t="shared" si="84"/>
        <v>2.7290671707567209</v>
      </c>
      <c r="Z228" s="143">
        <f t="shared" si="84"/>
        <v>3.0102801175852538</v>
      </c>
      <c r="AA228" s="143">
        <f t="shared" si="84"/>
        <v>3.3217668646553777</v>
      </c>
      <c r="AB228" s="143">
        <f t="shared" si="84"/>
        <v>3.6208820993347945</v>
      </c>
      <c r="AC228" s="143">
        <f t="shared" si="84"/>
        <v>3.9399453420976149</v>
      </c>
      <c r="AD228" s="143">
        <f t="shared" si="84"/>
        <v>4.2620578595654699</v>
      </c>
      <c r="AE228" s="143">
        <f t="shared" si="84"/>
        <v>4.6174352576440398</v>
      </c>
      <c r="AF228" s="143">
        <f t="shared" si="84"/>
        <v>4.9796334633373078</v>
      </c>
      <c r="AG228" s="143">
        <f t="shared" si="84"/>
        <v>5.3280164523402771</v>
      </c>
      <c r="AH228" s="143">
        <f t="shared" si="84"/>
        <v>5.6616338689869465</v>
      </c>
      <c r="AI228" s="143">
        <f t="shared" si="83"/>
        <v>5.9522711850440171</v>
      </c>
      <c r="AJ228" s="143">
        <f t="shared" si="83"/>
        <v>6.2713605571537343</v>
      </c>
      <c r="AK228" s="143">
        <f t="shared" si="83"/>
        <v>6.6219418590624777</v>
      </c>
      <c r="AL228" s="143">
        <f t="shared" si="83"/>
        <v>6.9569805356135239</v>
      </c>
      <c r="AM228" s="143">
        <f t="shared" si="83"/>
        <v>7.3132108791856121</v>
      </c>
      <c r="AN228" s="143">
        <f t="shared" si="83"/>
        <v>7.6658187545831558</v>
      </c>
      <c r="AO228" s="143">
        <f t="shared" si="83"/>
        <v>8.0149631290357632</v>
      </c>
      <c r="AP228" s="143">
        <f t="shared" si="83"/>
        <v>8.3607918268282369</v>
      </c>
      <c r="AQ228" s="143">
        <f t="shared" si="83"/>
        <v>8.7034425868681673</v>
      </c>
      <c r="AR228" s="143">
        <f t="shared" si="83"/>
        <v>8.9934285462081824</v>
      </c>
      <c r="AS228" s="143">
        <f t="shared" si="84"/>
        <v>9.2817075454169853</v>
      </c>
      <c r="AT228" s="143">
        <f t="shared" si="84"/>
        <v>9.5683301492549013</v>
      </c>
      <c r="AU228" s="143">
        <f t="shared" si="84"/>
        <v>9.8533445084201876</v>
      </c>
      <c r="AV228" s="143">
        <f t="shared" si="84"/>
        <v>10.14256232029846</v>
      </c>
    </row>
    <row r="229" spans="1:48" ht="15.75" thickBot="1">
      <c r="A229" t="s">
        <v>16</v>
      </c>
      <c r="B229" s="73"/>
      <c r="C229" s="73"/>
      <c r="D229" s="73"/>
      <c r="E229" s="73"/>
      <c r="F229" s="73"/>
      <c r="G229" s="73"/>
      <c r="H229" s="73"/>
      <c r="I229" s="138"/>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row>
    <row r="230" spans="1:48">
      <c r="A230" t="s">
        <v>16</v>
      </c>
      <c r="E230" s="94"/>
      <c r="F230" s="94"/>
      <c r="I230" s="137"/>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row>
    <row r="231" spans="1:48" ht="15.75" thickBot="1">
      <c r="A231" t="s">
        <v>16</v>
      </c>
      <c r="B231" s="73" t="s">
        <v>500</v>
      </c>
      <c r="C231" s="73"/>
      <c r="E231" s="94"/>
      <c r="F231" s="94"/>
      <c r="I231" s="137"/>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row>
    <row r="232" spans="1:48">
      <c r="A232" t="s">
        <v>16</v>
      </c>
      <c r="E232" s="94"/>
      <c r="F232" s="94"/>
      <c r="I232" s="137"/>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row>
    <row r="233" spans="1:48">
      <c r="A233" t="s">
        <v>16</v>
      </c>
      <c r="B233" s="75" t="str">
        <f t="shared" ref="B233:C241" si="85">B162</f>
        <v>CEC</v>
      </c>
      <c r="C233" s="75" t="str">
        <f t="shared" si="85"/>
        <v>Commercial - Cooling</v>
      </c>
      <c r="E233" s="94"/>
      <c r="F233" s="94"/>
      <c r="I233" s="137"/>
      <c r="J233" s="82">
        <f t="shared" ref="J233:AV239" si="86">J162+J174+J151</f>
        <v>139.66439435388435</v>
      </c>
      <c r="K233" s="82">
        <f t="shared" si="86"/>
        <v>135.88971000739755</v>
      </c>
      <c r="L233" s="82">
        <f t="shared" si="86"/>
        <v>132.41477017655598</v>
      </c>
      <c r="M233" s="82">
        <f t="shared" si="86"/>
        <v>128.63675213244647</v>
      </c>
      <c r="N233" s="82">
        <f t="shared" si="86"/>
        <v>124.69871312686325</v>
      </c>
      <c r="O233" s="82">
        <f t="shared" si="86"/>
        <v>120.28334032399778</v>
      </c>
      <c r="P233" s="82">
        <f t="shared" si="86"/>
        <v>119.49413059299039</v>
      </c>
      <c r="Q233" s="82">
        <f t="shared" si="86"/>
        <v>118.67455311472101</v>
      </c>
      <c r="R233" s="82">
        <f t="shared" si="86"/>
        <v>117.71228639212903</v>
      </c>
      <c r="S233" s="82">
        <f t="shared" si="86"/>
        <v>117.14202913866166</v>
      </c>
      <c r="T233" s="82">
        <f t="shared" si="86"/>
        <v>116.49065803078582</v>
      </c>
      <c r="U233" s="82">
        <f t="shared" si="86"/>
        <v>115.82859447381288</v>
      </c>
      <c r="V233" s="82">
        <f t="shared" si="86"/>
        <v>115.17772598299297</v>
      </c>
      <c r="W233" s="82">
        <f t="shared" si="86"/>
        <v>114.50316539062038</v>
      </c>
      <c r="X233" s="82">
        <f t="shared" si="86"/>
        <v>113.79467221998605</v>
      </c>
      <c r="Y233" s="82">
        <f t="shared" si="86"/>
        <v>113.08259390073943</v>
      </c>
      <c r="Z233" s="82">
        <f t="shared" si="86"/>
        <v>112.37721257643204</v>
      </c>
      <c r="AA233" s="82">
        <f t="shared" si="86"/>
        <v>111.72538413806819</v>
      </c>
      <c r="AB233" s="82">
        <f t="shared" si="86"/>
        <v>111.05167109365156</v>
      </c>
      <c r="AC233" s="82">
        <f t="shared" si="86"/>
        <v>110.41894619414475</v>
      </c>
      <c r="AD233" s="82">
        <f t="shared" si="86"/>
        <v>109.79166979890464</v>
      </c>
      <c r="AE233" s="82">
        <f t="shared" si="86"/>
        <v>109.22383174932801</v>
      </c>
      <c r="AF233" s="82">
        <f t="shared" si="86"/>
        <v>108.66818125350966</v>
      </c>
      <c r="AG233" s="82">
        <f t="shared" si="86"/>
        <v>108.08784545565575</v>
      </c>
      <c r="AH233" s="82">
        <f t="shared" si="86"/>
        <v>107.48112624149249</v>
      </c>
      <c r="AI233" s="82">
        <f t="shared" si="86"/>
        <v>106.79760933472991</v>
      </c>
      <c r="AJ233" s="82">
        <f t="shared" si="86"/>
        <v>106.16493112365617</v>
      </c>
      <c r="AK233" s="82">
        <f t="shared" si="86"/>
        <v>105.58852331471942</v>
      </c>
      <c r="AL233" s="82">
        <f t="shared" si="86"/>
        <v>104.98434363582348</v>
      </c>
      <c r="AM233" s="82">
        <f t="shared" si="86"/>
        <v>104.4310198382131</v>
      </c>
      <c r="AN233" s="82">
        <f t="shared" si="86"/>
        <v>103.87109124705296</v>
      </c>
      <c r="AO233" s="82">
        <f t="shared" si="86"/>
        <v>103.30484770498131</v>
      </c>
      <c r="AP233" s="82">
        <f t="shared" si="86"/>
        <v>102.73255873786721</v>
      </c>
      <c r="AQ233" s="82">
        <f t="shared" si="86"/>
        <v>102.15447548305804</v>
      </c>
      <c r="AR233" s="82">
        <f t="shared" si="86"/>
        <v>101.48036926291087</v>
      </c>
      <c r="AS233" s="82">
        <f t="shared" si="86"/>
        <v>100.80315076717672</v>
      </c>
      <c r="AT233" s="82">
        <f t="shared" si="86"/>
        <v>100.1229121898478</v>
      </c>
      <c r="AU233" s="82">
        <f t="shared" si="86"/>
        <v>99.439741323392127</v>
      </c>
      <c r="AV233" s="82">
        <f t="shared" si="86"/>
        <v>98.764234551147297</v>
      </c>
    </row>
    <row r="234" spans="1:48">
      <c r="A234" t="s">
        <v>16</v>
      </c>
      <c r="B234" s="75" t="str">
        <f t="shared" si="85"/>
        <v>CEH</v>
      </c>
      <c r="C234" s="75" t="str">
        <f t="shared" si="85"/>
        <v>Commercial - Space Heating</v>
      </c>
      <c r="E234" s="94"/>
      <c r="F234" s="94"/>
      <c r="I234" s="137"/>
      <c r="J234" s="82">
        <f t="shared" si="86"/>
        <v>7.8517549075018991</v>
      </c>
      <c r="K234" s="82">
        <f t="shared" si="86"/>
        <v>8.5460135786417499</v>
      </c>
      <c r="L234" s="82">
        <f t="shared" si="86"/>
        <v>9.2786471163971243</v>
      </c>
      <c r="M234" s="82">
        <f t="shared" si="86"/>
        <v>10.011796090361486</v>
      </c>
      <c r="N234" s="82">
        <f t="shared" si="86"/>
        <v>10.753166346186294</v>
      </c>
      <c r="O234" s="82">
        <f t="shared" si="86"/>
        <v>11.470981711368385</v>
      </c>
      <c r="P234" s="82">
        <f t="shared" si="86"/>
        <v>11.395717669262183</v>
      </c>
      <c r="Q234" s="82">
        <f t="shared" si="86"/>
        <v>11.317557566300676</v>
      </c>
      <c r="R234" s="82">
        <f t="shared" si="86"/>
        <v>11.22578971260973</v>
      </c>
      <c r="S234" s="82">
        <f t="shared" si="86"/>
        <v>11.171406366523069</v>
      </c>
      <c r="T234" s="82">
        <f t="shared" si="86"/>
        <v>11.1092874891654</v>
      </c>
      <c r="U234" s="82">
        <f t="shared" si="86"/>
        <v>11.046148912091107</v>
      </c>
      <c r="V234" s="82">
        <f t="shared" si="86"/>
        <v>10.984077967481568</v>
      </c>
      <c r="W234" s="82">
        <f t="shared" si="86"/>
        <v>10.919747593903043</v>
      </c>
      <c r="X234" s="82">
        <f t="shared" si="86"/>
        <v>10.852181194590516</v>
      </c>
      <c r="Y234" s="82">
        <f t="shared" si="86"/>
        <v>10.784272892782983</v>
      </c>
      <c r="Z234" s="82">
        <f t="shared" si="86"/>
        <v>10.717003258859652</v>
      </c>
      <c r="AA234" s="82">
        <f t="shared" si="86"/>
        <v>10.654840767568</v>
      </c>
      <c r="AB234" s="82">
        <f t="shared" si="86"/>
        <v>10.590591221534469</v>
      </c>
      <c r="AC234" s="82">
        <f t="shared" si="86"/>
        <v>10.530250564789988</v>
      </c>
      <c r="AD234" s="82">
        <f t="shared" si="86"/>
        <v>10.470429511946008</v>
      </c>
      <c r="AE234" s="82">
        <f t="shared" si="86"/>
        <v>10.416276876475731</v>
      </c>
      <c r="AF234" s="82">
        <f t="shared" si="86"/>
        <v>10.363286523378816</v>
      </c>
      <c r="AG234" s="82">
        <f t="shared" si="86"/>
        <v>10.307942023419775</v>
      </c>
      <c r="AH234" s="82">
        <f t="shared" si="86"/>
        <v>10.250081433658501</v>
      </c>
      <c r="AI234" s="82">
        <f t="shared" si="86"/>
        <v>10.184896929172968</v>
      </c>
      <c r="AJ234" s="82">
        <f t="shared" si="86"/>
        <v>10.124560724933385</v>
      </c>
      <c r="AK234" s="82">
        <f t="shared" si="86"/>
        <v>10.069590822893806</v>
      </c>
      <c r="AL234" s="82">
        <f t="shared" si="86"/>
        <v>10.011972419311668</v>
      </c>
      <c r="AM234" s="82">
        <f t="shared" si="86"/>
        <v>9.9592039549029074</v>
      </c>
      <c r="AN234" s="82">
        <f t="shared" si="86"/>
        <v>9.9058056155188403</v>
      </c>
      <c r="AO234" s="82">
        <f t="shared" si="86"/>
        <v>9.8518050423905237</v>
      </c>
      <c r="AP234" s="82">
        <f t="shared" si="86"/>
        <v>9.7972279392131352</v>
      </c>
      <c r="AQ234" s="82">
        <f t="shared" si="86"/>
        <v>9.7420982560358773</v>
      </c>
      <c r="AR234" s="82">
        <f t="shared" si="86"/>
        <v>9.677811214272662</v>
      </c>
      <c r="AS234" s="82">
        <f t="shared" si="86"/>
        <v>9.6132273661832919</v>
      </c>
      <c r="AT234" s="82">
        <f t="shared" si="86"/>
        <v>9.5483555039712122</v>
      </c>
      <c r="AU234" s="82">
        <f t="shared" si="86"/>
        <v>9.4832040000826137</v>
      </c>
      <c r="AV234" s="82">
        <f t="shared" si="86"/>
        <v>9.4187833927944062</v>
      </c>
    </row>
    <row r="235" spans="1:48">
      <c r="A235" t="s">
        <v>16</v>
      </c>
      <c r="B235" s="75" t="str">
        <f t="shared" si="85"/>
        <v>CEK</v>
      </c>
      <c r="C235" s="75" t="str">
        <f t="shared" si="85"/>
        <v>Commercial - Cooking</v>
      </c>
      <c r="E235" s="94"/>
      <c r="F235" s="94"/>
      <c r="I235" s="137"/>
      <c r="J235" s="82">
        <f t="shared" si="86"/>
        <v>9.8944997565297612</v>
      </c>
      <c r="K235" s="82">
        <f t="shared" si="86"/>
        <v>9.5753700759835159</v>
      </c>
      <c r="L235" s="82">
        <f t="shared" si="86"/>
        <v>9.2762478476592491</v>
      </c>
      <c r="M235" s="82">
        <f t="shared" si="86"/>
        <v>8.9546526553297614</v>
      </c>
      <c r="N235" s="82">
        <f t="shared" si="86"/>
        <v>8.6207385707018886</v>
      </c>
      <c r="O235" s="82">
        <f t="shared" si="86"/>
        <v>8.2528207241540805</v>
      </c>
      <c r="P235" s="82">
        <f t="shared" si="86"/>
        <v>8.1986718585986544</v>
      </c>
      <c r="Q235" s="82">
        <f t="shared" si="86"/>
        <v>8.1424394162712925</v>
      </c>
      <c r="R235" s="82">
        <f t="shared" si="86"/>
        <v>8.0764168504780613</v>
      </c>
      <c r="S235" s="82">
        <f t="shared" si="86"/>
        <v>8.0372906434169824</v>
      </c>
      <c r="T235" s="82">
        <f t="shared" si="86"/>
        <v>7.9925990929186934</v>
      </c>
      <c r="U235" s="82">
        <f t="shared" si="86"/>
        <v>7.9471739174207752</v>
      </c>
      <c r="V235" s="82">
        <f t="shared" si="86"/>
        <v>7.9025168522339531</v>
      </c>
      <c r="W235" s="82">
        <f t="shared" si="86"/>
        <v>7.8562342363585165</v>
      </c>
      <c r="X235" s="82">
        <f t="shared" si="86"/>
        <v>7.8076234552995363</v>
      </c>
      <c r="Y235" s="82">
        <f t="shared" si="86"/>
        <v>7.7587666918070202</v>
      </c>
      <c r="Z235" s="82">
        <f t="shared" si="86"/>
        <v>7.7103694192005658</v>
      </c>
      <c r="AA235" s="82">
        <f t="shared" si="86"/>
        <v>7.6656464905702846</v>
      </c>
      <c r="AB235" s="82">
        <f t="shared" si="86"/>
        <v>7.6194220262336785</v>
      </c>
      <c r="AC235" s="82">
        <f t="shared" si="86"/>
        <v>7.5760098201104302</v>
      </c>
      <c r="AD235" s="82">
        <f t="shared" si="86"/>
        <v>7.5329714440521514</v>
      </c>
      <c r="AE235" s="82">
        <f t="shared" si="86"/>
        <v>7.4940112222052511</v>
      </c>
      <c r="AF235" s="82">
        <f t="shared" si="86"/>
        <v>7.4558872067354098</v>
      </c>
      <c r="AG235" s="82">
        <f t="shared" si="86"/>
        <v>7.4160694955993822</v>
      </c>
      <c r="AH235" s="82">
        <f t="shared" si="86"/>
        <v>7.3744415786251647</v>
      </c>
      <c r="AI235" s="82">
        <f t="shared" si="86"/>
        <v>7.327544456561168</v>
      </c>
      <c r="AJ235" s="82">
        <f t="shared" si="86"/>
        <v>7.2841354538014702</v>
      </c>
      <c r="AK235" s="82">
        <f t="shared" si="86"/>
        <v>7.244587247887468</v>
      </c>
      <c r="AL235" s="82">
        <f t="shared" si="86"/>
        <v>7.2031335722439884</v>
      </c>
      <c r="AM235" s="82">
        <f t="shared" si="86"/>
        <v>7.1651691950344247</v>
      </c>
      <c r="AN235" s="82">
        <f t="shared" si="86"/>
        <v>7.1267516530146757</v>
      </c>
      <c r="AO235" s="82">
        <f t="shared" si="86"/>
        <v>7.0879008327236912</v>
      </c>
      <c r="AP235" s="82">
        <f t="shared" si="86"/>
        <v>7.0486352267363444</v>
      </c>
      <c r="AQ235" s="82">
        <f t="shared" si="86"/>
        <v>7.0089720659634152</v>
      </c>
      <c r="AR235" s="82">
        <f t="shared" si="86"/>
        <v>6.9627206252491298</v>
      </c>
      <c r="AS235" s="82">
        <f t="shared" si="86"/>
        <v>6.9162556466301384</v>
      </c>
      <c r="AT235" s="82">
        <f t="shared" si="86"/>
        <v>6.8695834556747872</v>
      </c>
      <c r="AU235" s="82">
        <f t="shared" si="86"/>
        <v>6.8227100759562269</v>
      </c>
      <c r="AV235" s="82">
        <f t="shared" si="86"/>
        <v>6.7763625412579707</v>
      </c>
    </row>
    <row r="236" spans="1:48">
      <c r="A236" t="s">
        <v>16</v>
      </c>
      <c r="B236" s="75" t="str">
        <f t="shared" si="85"/>
        <v>CEL</v>
      </c>
      <c r="C236" s="75" t="str">
        <f t="shared" si="85"/>
        <v>Commercial - Lighting</v>
      </c>
      <c r="E236" s="94"/>
      <c r="F236" s="94"/>
      <c r="I236" s="137"/>
      <c r="J236" s="82">
        <f t="shared" si="86"/>
        <v>121.54027190568891</v>
      </c>
      <c r="K236" s="82">
        <f t="shared" si="86"/>
        <v>118.25542494127434</v>
      </c>
      <c r="L236" s="82">
        <f t="shared" si="86"/>
        <v>115.23142491714327</v>
      </c>
      <c r="M236" s="82">
        <f t="shared" si="86"/>
        <v>111.94367686603883</v>
      </c>
      <c r="N236" s="82">
        <f t="shared" si="86"/>
        <v>108.51667362925802</v>
      </c>
      <c r="O236" s="82">
        <f t="shared" si="86"/>
        <v>104.67427977141129</v>
      </c>
      <c r="P236" s="82">
        <f t="shared" si="86"/>
        <v>103.98748507516102</v>
      </c>
      <c r="Q236" s="82">
        <f t="shared" si="86"/>
        <v>103.27426342681275</v>
      </c>
      <c r="R236" s="82">
        <f t="shared" si="86"/>
        <v>102.43686918864145</v>
      </c>
      <c r="S236" s="82">
        <f t="shared" si="86"/>
        <v>101.94061370446272</v>
      </c>
      <c r="T236" s="82">
        <f t="shared" si="86"/>
        <v>101.37377043758011</v>
      </c>
      <c r="U236" s="82">
        <f t="shared" si="86"/>
        <v>100.79762227107284</v>
      </c>
      <c r="V236" s="82">
        <f t="shared" si="86"/>
        <v>100.23121639708427</v>
      </c>
      <c r="W236" s="82">
        <f t="shared" si="86"/>
        <v>99.644192924186157</v>
      </c>
      <c r="X236" s="82">
        <f t="shared" si="86"/>
        <v>99.027640273092914</v>
      </c>
      <c r="Y236" s="82">
        <f t="shared" si="86"/>
        <v>98.407967714888215</v>
      </c>
      <c r="Z236" s="82">
        <f t="shared" si="86"/>
        <v>97.794123088631594</v>
      </c>
      <c r="AA236" s="82">
        <f t="shared" si="86"/>
        <v>97.226881838625815</v>
      </c>
      <c r="AB236" s="82">
        <f t="shared" si="86"/>
        <v>96.640595928150091</v>
      </c>
      <c r="AC236" s="82">
        <f t="shared" si="86"/>
        <v>96.089979167999289</v>
      </c>
      <c r="AD236" s="82">
        <f t="shared" si="86"/>
        <v>95.544103864632248</v>
      </c>
      <c r="AE236" s="82">
        <f t="shared" si="86"/>
        <v>95.049953646437999</v>
      </c>
      <c r="AF236" s="82">
        <f t="shared" si="86"/>
        <v>94.566409414146591</v>
      </c>
      <c r="AG236" s="82">
        <f t="shared" si="86"/>
        <v>94.061383269193357</v>
      </c>
      <c r="AH236" s="82">
        <f t="shared" si="86"/>
        <v>93.533397460061778</v>
      </c>
      <c r="AI236" s="82">
        <f t="shared" si="86"/>
        <v>92.938579925611563</v>
      </c>
      <c r="AJ236" s="82">
        <f t="shared" si="86"/>
        <v>92.388003795178022</v>
      </c>
      <c r="AK236" s="82">
        <f t="shared" si="86"/>
        <v>91.886395907564051</v>
      </c>
      <c r="AL236" s="82">
        <f t="shared" si="86"/>
        <v>91.360620080499345</v>
      </c>
      <c r="AM236" s="82">
        <f t="shared" si="86"/>
        <v>90.879100612888635</v>
      </c>
      <c r="AN236" s="82">
        <f t="shared" si="86"/>
        <v>90.391833449828198</v>
      </c>
      <c r="AO236" s="82">
        <f t="shared" si="86"/>
        <v>89.899070821338611</v>
      </c>
      <c r="AP236" s="82">
        <f t="shared" si="86"/>
        <v>89.401047277160046</v>
      </c>
      <c r="AQ236" s="82">
        <f t="shared" si="86"/>
        <v>88.897981364772903</v>
      </c>
      <c r="AR236" s="82">
        <f t="shared" si="86"/>
        <v>88.311353300626479</v>
      </c>
      <c r="AS236" s="82">
        <f t="shared" si="86"/>
        <v>87.722016838088038</v>
      </c>
      <c r="AT236" s="82">
        <f t="shared" si="86"/>
        <v>87.13005220721864</v>
      </c>
      <c r="AU236" s="82">
        <f t="shared" si="86"/>
        <v>86.53553580773692</v>
      </c>
      <c r="AV236" s="82">
        <f t="shared" si="86"/>
        <v>85.947688939874951</v>
      </c>
    </row>
    <row r="237" spans="1:48">
      <c r="A237" t="s">
        <v>16</v>
      </c>
      <c r="B237" s="75" t="str">
        <f t="shared" si="85"/>
        <v>CER</v>
      </c>
      <c r="C237" s="75" t="str">
        <f t="shared" si="85"/>
        <v>Commercial - Refrigeration</v>
      </c>
      <c r="E237" s="94"/>
      <c r="F237" s="94"/>
      <c r="I237" s="137"/>
      <c r="J237" s="82">
        <f t="shared" si="86"/>
        <v>29.566390373747055</v>
      </c>
      <c r="K237" s="82">
        <f t="shared" si="86"/>
        <v>28.767304884262032</v>
      </c>
      <c r="L237" s="82">
        <f t="shared" si="86"/>
        <v>28.031674102778698</v>
      </c>
      <c r="M237" s="82">
        <f t="shared" si="86"/>
        <v>27.231882882919415</v>
      </c>
      <c r="N237" s="82">
        <f t="shared" si="86"/>
        <v>26.398215869327572</v>
      </c>
      <c r="O237" s="82">
        <f t="shared" si="86"/>
        <v>25.463499211305457</v>
      </c>
      <c r="P237" s="82">
        <f t="shared" si="86"/>
        <v>25.296426686474252</v>
      </c>
      <c r="Q237" s="82">
        <f t="shared" si="86"/>
        <v>25.12292543172607</v>
      </c>
      <c r="R237" s="82">
        <f t="shared" si="86"/>
        <v>24.919217438035627</v>
      </c>
      <c r="S237" s="82">
        <f t="shared" si="86"/>
        <v>24.798496271789375</v>
      </c>
      <c r="T237" s="82">
        <f t="shared" si="86"/>
        <v>24.660603628909769</v>
      </c>
      <c r="U237" s="82">
        <f t="shared" si="86"/>
        <v>24.520447437575172</v>
      </c>
      <c r="V237" s="82">
        <f t="shared" si="86"/>
        <v>24.382661196704127</v>
      </c>
      <c r="W237" s="82">
        <f t="shared" si="86"/>
        <v>24.239859433254679</v>
      </c>
      <c r="X237" s="82">
        <f t="shared" si="86"/>
        <v>24.089874279507967</v>
      </c>
      <c r="Y237" s="82">
        <f t="shared" si="86"/>
        <v>23.939130164224142</v>
      </c>
      <c r="Z237" s="82">
        <f t="shared" si="86"/>
        <v>23.789803775824975</v>
      </c>
      <c r="AA237" s="82">
        <f t="shared" si="86"/>
        <v>23.65181431792103</v>
      </c>
      <c r="AB237" s="82">
        <f t="shared" si="86"/>
        <v>23.509191976963923</v>
      </c>
      <c r="AC237" s="82">
        <f t="shared" si="86"/>
        <v>23.375246661376849</v>
      </c>
      <c r="AD237" s="82">
        <f t="shared" si="86"/>
        <v>23.242454772222104</v>
      </c>
      <c r="AE237" s="82">
        <f t="shared" si="86"/>
        <v>23.122245741706354</v>
      </c>
      <c r="AF237" s="82">
        <f t="shared" si="86"/>
        <v>23.004616767287114</v>
      </c>
      <c r="AG237" s="82">
        <f t="shared" si="86"/>
        <v>22.881762013743181</v>
      </c>
      <c r="AH237" s="82">
        <f t="shared" si="86"/>
        <v>22.753321997114817</v>
      </c>
      <c r="AI237" s="82">
        <f t="shared" si="86"/>
        <v>22.608624217942893</v>
      </c>
      <c r="AJ237" s="82">
        <f t="shared" si="86"/>
        <v>22.474688786109265</v>
      </c>
      <c r="AK237" s="82">
        <f t="shared" si="86"/>
        <v>22.352665572015638</v>
      </c>
      <c r="AL237" s="82">
        <f t="shared" si="86"/>
        <v>22.224763164786062</v>
      </c>
      <c r="AM237" s="82">
        <f t="shared" si="86"/>
        <v>22.107626743016461</v>
      </c>
      <c r="AN237" s="82">
        <f t="shared" si="86"/>
        <v>21.9890921130254</v>
      </c>
      <c r="AO237" s="82">
        <f t="shared" si="86"/>
        <v>21.869220633333288</v>
      </c>
      <c r="AP237" s="82">
        <f t="shared" si="86"/>
        <v>21.748069361482205</v>
      </c>
      <c r="AQ237" s="82">
        <f t="shared" si="86"/>
        <v>21.625691462238201</v>
      </c>
      <c r="AR237" s="82">
        <f t="shared" si="86"/>
        <v>21.482985887560801</v>
      </c>
      <c r="AS237" s="82">
        <f t="shared" si="86"/>
        <v>21.339621456663235</v>
      </c>
      <c r="AT237" s="82">
        <f t="shared" si="86"/>
        <v>21.195617686642738</v>
      </c>
      <c r="AU237" s="82">
        <f t="shared" si="86"/>
        <v>21.050993162811565</v>
      </c>
      <c r="AV237" s="82">
        <f t="shared" si="86"/>
        <v>20.907991096889923</v>
      </c>
    </row>
    <row r="238" spans="1:48">
      <c r="A238" t="s">
        <v>16</v>
      </c>
      <c r="B238" s="75" t="str">
        <f t="shared" si="85"/>
        <v>CEW</v>
      </c>
      <c r="C238" s="75" t="str">
        <f t="shared" si="85"/>
        <v>Commercial - Water Heating</v>
      </c>
      <c r="E238" s="94"/>
      <c r="F238" s="94"/>
      <c r="I238" s="137"/>
      <c r="J238" s="82">
        <f t="shared" si="86"/>
        <v>9.6831090230750316</v>
      </c>
      <c r="K238" s="82">
        <f t="shared" si="86"/>
        <v>9.6736255038926586</v>
      </c>
      <c r="L238" s="82">
        <f t="shared" si="86"/>
        <v>9.6909124953046728</v>
      </c>
      <c r="M238" s="82">
        <f t="shared" si="86"/>
        <v>9.6920710399778542</v>
      </c>
      <c r="N238" s="82">
        <f t="shared" si="86"/>
        <v>9.6869258063486576</v>
      </c>
      <c r="O238" s="82">
        <f t="shared" si="86"/>
        <v>9.6495991200814473</v>
      </c>
      <c r="P238" s="82">
        <f t="shared" si="86"/>
        <v>9.5862856345615484</v>
      </c>
      <c r="Q238" s="82">
        <f t="shared" si="86"/>
        <v>9.5205359298073908</v>
      </c>
      <c r="R238" s="82">
        <f t="shared" si="86"/>
        <v>9.4433391368467383</v>
      </c>
      <c r="S238" s="82">
        <f t="shared" si="86"/>
        <v>9.3975908738166591</v>
      </c>
      <c r="T238" s="82">
        <f t="shared" si="86"/>
        <v>9.3453353407355646</v>
      </c>
      <c r="U238" s="82">
        <f t="shared" si="86"/>
        <v>9.292222017646969</v>
      </c>
      <c r="V238" s="82">
        <f t="shared" si="86"/>
        <v>9.2400068064682053</v>
      </c>
      <c r="W238" s="82">
        <f t="shared" si="86"/>
        <v>9.1858909224142149</v>
      </c>
      <c r="X238" s="82">
        <f t="shared" si="86"/>
        <v>9.1290528344668633</v>
      </c>
      <c r="Y238" s="82">
        <f t="shared" si="86"/>
        <v>9.0719271319022106</v>
      </c>
      <c r="Z238" s="82">
        <f t="shared" si="86"/>
        <v>9.0153386884151576</v>
      </c>
      <c r="AA238" s="82">
        <f t="shared" si="86"/>
        <v>8.9630464664970013</v>
      </c>
      <c r="AB238" s="82">
        <f t="shared" si="86"/>
        <v>8.9089985760486758</v>
      </c>
      <c r="AC238" s="82">
        <f t="shared" si="86"/>
        <v>8.858238914593576</v>
      </c>
      <c r="AD238" s="82">
        <f t="shared" si="86"/>
        <v>8.8079163534204969</v>
      </c>
      <c r="AE238" s="82">
        <f t="shared" si="86"/>
        <v>8.762362168370565</v>
      </c>
      <c r="AF238" s="82">
        <f t="shared" si="86"/>
        <v>8.7177857164606074</v>
      </c>
      <c r="AG238" s="82">
        <f t="shared" si="86"/>
        <v>8.6712289132554545</v>
      </c>
      <c r="AH238" s="82">
        <f t="shared" si="86"/>
        <v>8.6225555293990013</v>
      </c>
      <c r="AI238" s="82">
        <f t="shared" si="86"/>
        <v>8.5677211348411948</v>
      </c>
      <c r="AJ238" s="82">
        <f t="shared" si="86"/>
        <v>8.5169652189144589</v>
      </c>
      <c r="AK238" s="82">
        <f t="shared" si="86"/>
        <v>8.4707235343142315</v>
      </c>
      <c r="AL238" s="82">
        <f t="shared" si="86"/>
        <v>8.4222538818907005</v>
      </c>
      <c r="AM238" s="82">
        <f t="shared" si="86"/>
        <v>8.3778640867938972</v>
      </c>
      <c r="AN238" s="82">
        <f t="shared" si="86"/>
        <v>8.3329444293748942</v>
      </c>
      <c r="AO238" s="82">
        <f t="shared" si="86"/>
        <v>8.2875181619416143</v>
      </c>
      <c r="AP238" s="82">
        <f t="shared" si="86"/>
        <v>8.2416069069114375</v>
      </c>
      <c r="AQ238" s="82">
        <f t="shared" si="86"/>
        <v>8.195230811502757</v>
      </c>
      <c r="AR238" s="82">
        <f t="shared" si="86"/>
        <v>8.1411513789624586</v>
      </c>
      <c r="AS238" s="82">
        <f t="shared" si="86"/>
        <v>8.0868222675249406</v>
      </c>
      <c r="AT238" s="82">
        <f t="shared" si="86"/>
        <v>8.0322508733521705</v>
      </c>
      <c r="AU238" s="82">
        <f t="shared" si="86"/>
        <v>7.9774442394986478</v>
      </c>
      <c r="AV238" s="82">
        <f t="shared" si="86"/>
        <v>7.9232524492016303</v>
      </c>
    </row>
    <row r="239" spans="1:48">
      <c r="A239" t="s">
        <v>16</v>
      </c>
      <c r="B239" s="75" t="str">
        <f t="shared" si="85"/>
        <v>CEG</v>
      </c>
      <c r="C239" s="75" t="str">
        <f t="shared" si="85"/>
        <v>Commercial - Public lights</v>
      </c>
      <c r="E239" s="94"/>
      <c r="F239" s="94"/>
      <c r="I239" s="137"/>
      <c r="J239" s="82">
        <f t="shared" si="86"/>
        <v>10.30055287377321</v>
      </c>
      <c r="K239" s="82">
        <f t="shared" si="86"/>
        <v>10.022161692737667</v>
      </c>
      <c r="L239" s="82">
        <f t="shared" si="86"/>
        <v>9.765877321718456</v>
      </c>
      <c r="M239" s="82">
        <f t="shared" si="86"/>
        <v>9.4872402732319685</v>
      </c>
      <c r="N239" s="82">
        <f t="shared" si="86"/>
        <v>9.1968013307681549</v>
      </c>
      <c r="O239" s="82">
        <f t="shared" si="86"/>
        <v>8.8711579824850144</v>
      </c>
      <c r="P239" s="82">
        <f t="shared" si="86"/>
        <v>8.9349746302512507</v>
      </c>
      <c r="Q239" s="82">
        <f t="shared" si="86"/>
        <v>8.9875928409435009</v>
      </c>
      <c r="R239" s="82">
        <f t="shared" si="86"/>
        <v>8.9875928409435009</v>
      </c>
      <c r="S239" s="82">
        <f t="shared" si="86"/>
        <v>9.1321505960684899</v>
      </c>
      <c r="T239" s="82">
        <f t="shared" si="86"/>
        <v>9.2467967352087772</v>
      </c>
      <c r="U239" s="82">
        <f t="shared" si="86"/>
        <v>9.3574999174564297</v>
      </c>
      <c r="V239" s="82">
        <f t="shared" si="86"/>
        <v>9.472331402102407</v>
      </c>
      <c r="W239" s="82">
        <f t="shared" si="86"/>
        <v>9.5784261666321822</v>
      </c>
      <c r="X239" s="82">
        <f t="shared" si="86"/>
        <v>9.6720079238867012</v>
      </c>
      <c r="Y239" s="82">
        <f t="shared" si="86"/>
        <v>9.7642676185993658</v>
      </c>
      <c r="Z239" s="82">
        <f t="shared" si="86"/>
        <v>9.858996903030512</v>
      </c>
      <c r="AA239" s="82">
        <f t="shared" si="86"/>
        <v>9.9734743965795598</v>
      </c>
      <c r="AB239" s="82">
        <f t="shared" si="86"/>
        <v>10.079881703635776</v>
      </c>
      <c r="AC239" s="82">
        <f t="shared" si="86"/>
        <v>10.201403834903077</v>
      </c>
      <c r="AD239" s="82">
        <f t="shared" si="86"/>
        <v>10.324935161375153</v>
      </c>
      <c r="AE239" s="82">
        <f t="shared" ref="K239:AV241" si="87">AE168+AE180+AE157</f>
        <v>10.47038502424544</v>
      </c>
      <c r="AF239" s="82">
        <f t="shared" si="87"/>
        <v>10.620329180112517</v>
      </c>
      <c r="AG239" s="82">
        <f t="shared" si="87"/>
        <v>10.761170362383536</v>
      </c>
      <c r="AH239" s="82">
        <f t="shared" si="87"/>
        <v>10.89228237295184</v>
      </c>
      <c r="AI239" s="82">
        <f t="shared" si="87"/>
        <v>10.995074399143936</v>
      </c>
      <c r="AJ239" s="82">
        <f t="shared" si="87"/>
        <v>11.116613747278709</v>
      </c>
      <c r="AK239" s="82">
        <f t="shared" si="87"/>
        <v>11.258903418182644</v>
      </c>
      <c r="AL239" s="82">
        <f t="shared" si="87"/>
        <v>11.390951910000043</v>
      </c>
      <c r="AM239" s="82">
        <f t="shared" si="87"/>
        <v>11.541754061135832</v>
      </c>
      <c r="AN239" s="82">
        <f t="shared" si="87"/>
        <v>11.690120622818254</v>
      </c>
      <c r="AO239" s="82">
        <f t="shared" si="87"/>
        <v>11.836158477672429</v>
      </c>
      <c r="AP239" s="82">
        <f t="shared" si="87"/>
        <v>11.979967016293838</v>
      </c>
      <c r="AQ239" s="82">
        <f t="shared" si="87"/>
        <v>12.121638848310639</v>
      </c>
      <c r="AR239" s="82">
        <f t="shared" si="87"/>
        <v>12.227901167540157</v>
      </c>
      <c r="AS239" s="82">
        <f t="shared" si="87"/>
        <v>12.333015801298727</v>
      </c>
      <c r="AT239" s="82">
        <f t="shared" si="87"/>
        <v>12.437016747123673</v>
      </c>
      <c r="AU239" s="82">
        <f t="shared" si="87"/>
        <v>12.539936379442373</v>
      </c>
      <c r="AV239" s="82">
        <f t="shared" si="87"/>
        <v>12.645682229853861</v>
      </c>
    </row>
    <row r="240" spans="1:48">
      <c r="A240" t="s">
        <v>16</v>
      </c>
      <c r="B240" s="75" t="str">
        <f t="shared" si="85"/>
        <v>CET</v>
      </c>
      <c r="C240" s="75" t="str">
        <f t="shared" si="85"/>
        <v>Commercial - Public Water</v>
      </c>
      <c r="E240" s="94"/>
      <c r="F240" s="94"/>
      <c r="I240" s="137"/>
      <c r="J240" s="82">
        <f t="shared" ref="J240:J241" si="88">J169+J181+J158</f>
        <v>3.5593512487513528</v>
      </c>
      <c r="K240" s="82">
        <f t="shared" si="87"/>
        <v>3.4631533057862538</v>
      </c>
      <c r="L240" s="82">
        <f t="shared" si="87"/>
        <v>3.3745943607275568</v>
      </c>
      <c r="M240" s="82">
        <f t="shared" si="87"/>
        <v>3.2783114583792798</v>
      </c>
      <c r="N240" s="82">
        <f t="shared" si="87"/>
        <v>3.1779504170630659</v>
      </c>
      <c r="O240" s="82">
        <f t="shared" si="87"/>
        <v>3.0654245097100388</v>
      </c>
      <c r="P240" s="82">
        <f t="shared" si="87"/>
        <v>3.087476322627404</v>
      </c>
      <c r="Q240" s="82">
        <f t="shared" si="87"/>
        <v>3.1056585208287628</v>
      </c>
      <c r="R240" s="82">
        <f t="shared" si="87"/>
        <v>3.1056585208287628</v>
      </c>
      <c r="S240" s="82">
        <f t="shared" si="87"/>
        <v>3.1556103857942746</v>
      </c>
      <c r="T240" s="82">
        <f t="shared" si="87"/>
        <v>3.1952263057855692</v>
      </c>
      <c r="U240" s="82">
        <f t="shared" si="87"/>
        <v>3.2334797388587777</v>
      </c>
      <c r="V240" s="82">
        <f t="shared" si="87"/>
        <v>3.2731597049032515</v>
      </c>
      <c r="W240" s="82">
        <f t="shared" si="87"/>
        <v>3.3098207013801049</v>
      </c>
      <c r="X240" s="82">
        <f t="shared" si="87"/>
        <v>3.3421578340200737</v>
      </c>
      <c r="Y240" s="82">
        <f t="shared" si="87"/>
        <v>3.3740381285643655</v>
      </c>
      <c r="Z240" s="82">
        <f t="shared" si="87"/>
        <v>3.4067717886858357</v>
      </c>
      <c r="AA240" s="82">
        <f t="shared" si="87"/>
        <v>3.4463294332716128</v>
      </c>
      <c r="AB240" s="82">
        <f t="shared" si="87"/>
        <v>3.4830984286729318</v>
      </c>
      <c r="AC240" s="82">
        <f t="shared" si="87"/>
        <v>3.5250903445416921</v>
      </c>
      <c r="AD240" s="82">
        <f t="shared" si="87"/>
        <v>3.5677765368778145</v>
      </c>
      <c r="AE240" s="82">
        <f t="shared" si="87"/>
        <v>3.6180366692592747</v>
      </c>
      <c r="AF240" s="82">
        <f t="shared" si="87"/>
        <v>3.6698498024928643</v>
      </c>
      <c r="AG240" s="82">
        <f t="shared" si="87"/>
        <v>3.7185174074394274</v>
      </c>
      <c r="AH240" s="82">
        <f t="shared" si="87"/>
        <v>3.7638231016348147</v>
      </c>
      <c r="AI240" s="82">
        <f t="shared" si="87"/>
        <v>3.799342838417108</v>
      </c>
      <c r="AJ240" s="82">
        <f t="shared" si="87"/>
        <v>3.8413407035664049</v>
      </c>
      <c r="AK240" s="82">
        <f t="shared" si="87"/>
        <v>3.8905088330855366</v>
      </c>
      <c r="AL240" s="82">
        <f t="shared" si="87"/>
        <v>3.9361381279404468</v>
      </c>
      <c r="AM240" s="82">
        <f t="shared" si="87"/>
        <v>3.9882477410395865</v>
      </c>
      <c r="AN240" s="82">
        <f t="shared" si="87"/>
        <v>4.0395157373373261</v>
      </c>
      <c r="AO240" s="82">
        <f t="shared" si="87"/>
        <v>4.0899790500750015</v>
      </c>
      <c r="AP240" s="82">
        <f t="shared" si="87"/>
        <v>4.1396720236265967</v>
      </c>
      <c r="AQ240" s="82">
        <f t="shared" si="87"/>
        <v>4.1886266592059949</v>
      </c>
      <c r="AR240" s="82">
        <f t="shared" si="87"/>
        <v>4.2253455541313167</v>
      </c>
      <c r="AS240" s="82">
        <f t="shared" si="87"/>
        <v>4.2616678668766088</v>
      </c>
      <c r="AT240" s="82">
        <f t="shared" si="87"/>
        <v>4.2976053452750609</v>
      </c>
      <c r="AU240" s="82">
        <f t="shared" si="87"/>
        <v>4.3331691762949784</v>
      </c>
      <c r="AV240" s="82">
        <f t="shared" si="87"/>
        <v>4.3697096056607405</v>
      </c>
    </row>
    <row r="241" spans="1:48">
      <c r="A241" t="s">
        <v>16</v>
      </c>
      <c r="B241" s="75" t="str">
        <f t="shared" si="85"/>
        <v>CEO</v>
      </c>
      <c r="C241" s="75" t="str">
        <f t="shared" si="85"/>
        <v>Commercial - Other</v>
      </c>
      <c r="E241" s="94"/>
      <c r="F241" s="94"/>
      <c r="I241" s="137"/>
      <c r="J241" s="82">
        <f t="shared" si="88"/>
        <v>18.760184357078931</v>
      </c>
      <c r="K241" s="82">
        <f t="shared" si="87"/>
        <v>18.415319194151312</v>
      </c>
      <c r="L241" s="82">
        <f t="shared" si="87"/>
        <v>18.114567188633565</v>
      </c>
      <c r="M241" s="82">
        <f t="shared" si="87"/>
        <v>17.776245066865727</v>
      </c>
      <c r="N241" s="82">
        <f t="shared" si="87"/>
        <v>17.41950852758735</v>
      </c>
      <c r="O241" s="82">
        <f t="shared" si="87"/>
        <v>16.999241745794041</v>
      </c>
      <c r="P241" s="82">
        <f t="shared" si="87"/>
        <v>16.887705377005229</v>
      </c>
      <c r="Q241" s="82">
        <f t="shared" si="87"/>
        <v>16.771877236175573</v>
      </c>
      <c r="R241" s="82">
        <f t="shared" si="87"/>
        <v>16.635883302209223</v>
      </c>
      <c r="S241" s="82">
        <f t="shared" si="87"/>
        <v>16.555290753957131</v>
      </c>
      <c r="T241" s="82">
        <f t="shared" si="87"/>
        <v>16.463234656253317</v>
      </c>
      <c r="U241" s="82">
        <f t="shared" si="87"/>
        <v>16.369667430519915</v>
      </c>
      <c r="V241" s="82">
        <f t="shared" si="87"/>
        <v>16.277682366001713</v>
      </c>
      <c r="W241" s="82">
        <f t="shared" si="87"/>
        <v>16.18234897609884</v>
      </c>
      <c r="X241" s="82">
        <f t="shared" si="87"/>
        <v>16.082220008525979</v>
      </c>
      <c r="Y241" s="82">
        <f t="shared" si="87"/>
        <v>15.981584363903817</v>
      </c>
      <c r="Z241" s="82">
        <f t="shared" si="87"/>
        <v>15.881895183153011</v>
      </c>
      <c r="AA241" s="82">
        <f t="shared" si="87"/>
        <v>15.789774452462598</v>
      </c>
      <c r="AB241" s="82">
        <f t="shared" si="87"/>
        <v>15.694560843674514</v>
      </c>
      <c r="AC241" s="82">
        <f t="shared" si="87"/>
        <v>15.605139952166784</v>
      </c>
      <c r="AD241" s="82">
        <f t="shared" si="87"/>
        <v>15.516489079523955</v>
      </c>
      <c r="AE241" s="82">
        <f t="shared" si="87"/>
        <v>15.436238429257575</v>
      </c>
      <c r="AF241" s="82">
        <f t="shared" si="87"/>
        <v>15.357710205156517</v>
      </c>
      <c r="AG241" s="82">
        <f t="shared" si="87"/>
        <v>15.275693289972056</v>
      </c>
      <c r="AH241" s="82">
        <f t="shared" si="87"/>
        <v>15.189947694899637</v>
      </c>
      <c r="AI241" s="82">
        <f t="shared" si="87"/>
        <v>15.093348539072268</v>
      </c>
      <c r="AJ241" s="82">
        <f t="shared" si="87"/>
        <v>15.00393424588446</v>
      </c>
      <c r="AK241" s="82">
        <f t="shared" si="87"/>
        <v>14.922472460221659</v>
      </c>
      <c r="AL241" s="82">
        <f t="shared" si="87"/>
        <v>14.837085769165494</v>
      </c>
      <c r="AM241" s="82">
        <f t="shared" si="87"/>
        <v>14.758886369531735</v>
      </c>
      <c r="AN241" s="82">
        <f t="shared" si="87"/>
        <v>14.679753536540282</v>
      </c>
      <c r="AO241" s="82">
        <f t="shared" si="87"/>
        <v>14.599728232680725</v>
      </c>
      <c r="AP241" s="82">
        <f t="shared" si="87"/>
        <v>14.518848549141687</v>
      </c>
      <c r="AQ241" s="82">
        <f t="shared" si="87"/>
        <v>14.437149978323596</v>
      </c>
      <c r="AR241" s="82">
        <f t="shared" si="87"/>
        <v>14.341880803325978</v>
      </c>
      <c r="AS241" s="82">
        <f t="shared" si="87"/>
        <v>14.246171780840415</v>
      </c>
      <c r="AT241" s="82">
        <f t="shared" si="87"/>
        <v>14.150035940335144</v>
      </c>
      <c r="AU241" s="82">
        <f t="shared" si="87"/>
        <v>14.05348568922571</v>
      </c>
      <c r="AV241" s="82">
        <f t="shared" si="87"/>
        <v>13.958018578889567</v>
      </c>
    </row>
    <row r="242" spans="1:48">
      <c r="A242" t="s">
        <v>16</v>
      </c>
      <c r="E242" s="94"/>
      <c r="F242" s="94"/>
      <c r="J242" s="76"/>
      <c r="K242" s="77"/>
      <c r="L242" s="77"/>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row>
    <row r="243" spans="1:48">
      <c r="A243" t="s">
        <v>16</v>
      </c>
      <c r="E243" s="94"/>
      <c r="F243" s="94"/>
      <c r="J243" s="76"/>
      <c r="K243" s="77"/>
      <c r="L243" s="77"/>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row>
    <row r="244" spans="1:48">
      <c r="A244" t="s">
        <v>16</v>
      </c>
      <c r="E244" s="94"/>
      <c r="F244" s="94"/>
      <c r="J244" s="76"/>
      <c r="K244" s="77"/>
      <c r="L244" s="77"/>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row>
    <row r="245" spans="1:48">
      <c r="A245" t="s">
        <v>16</v>
      </c>
      <c r="B245" s="239" t="s">
        <v>481</v>
      </c>
      <c r="C245" s="240"/>
      <c r="D245" s="240"/>
      <c r="E245" s="241"/>
      <c r="F245" s="241"/>
      <c r="G245" s="240"/>
      <c r="H245" s="240"/>
      <c r="I245" s="240"/>
      <c r="J245" s="148">
        <f t="shared" ref="J245:AV245" si="89">SUM(J220:J241)</f>
        <v>350.82050880003044</v>
      </c>
      <c r="K245" s="148">
        <f t="shared" si="89"/>
        <v>342.60808318412711</v>
      </c>
      <c r="L245" s="148">
        <f t="shared" si="89"/>
        <v>335.17871552691855</v>
      </c>
      <c r="M245" s="148">
        <f t="shared" si="89"/>
        <v>327.01262846555079</v>
      </c>
      <c r="N245" s="148">
        <f t="shared" si="89"/>
        <v>318.46869362410433</v>
      </c>
      <c r="O245" s="148">
        <f t="shared" si="89"/>
        <v>308.73034510030755</v>
      </c>
      <c r="P245" s="148">
        <f t="shared" si="89"/>
        <v>310.95126549501964</v>
      </c>
      <c r="Q245" s="148">
        <f t="shared" si="89"/>
        <v>312.78246254704516</v>
      </c>
      <c r="R245" s="148">
        <f t="shared" si="89"/>
        <v>312.78246254704516</v>
      </c>
      <c r="S245" s="148">
        <f t="shared" si="89"/>
        <v>317.81330132984885</v>
      </c>
      <c r="T245" s="148">
        <f t="shared" si="89"/>
        <v>321.80316851191031</v>
      </c>
      <c r="U245" s="148">
        <f t="shared" si="89"/>
        <v>325.65581455051074</v>
      </c>
      <c r="V245" s="148">
        <f t="shared" si="89"/>
        <v>329.65213204966119</v>
      </c>
      <c r="W245" s="148">
        <f t="shared" si="89"/>
        <v>333.34439785433784</v>
      </c>
      <c r="X245" s="148">
        <f t="shared" si="89"/>
        <v>336.60119119172668</v>
      </c>
      <c r="Y245" s="148">
        <f t="shared" si="89"/>
        <v>339.81197465919809</v>
      </c>
      <c r="Z245" s="148">
        <f t="shared" si="89"/>
        <v>343.10870375942096</v>
      </c>
      <c r="AA245" s="148">
        <f t="shared" si="89"/>
        <v>347.09270180786012</v>
      </c>
      <c r="AB245" s="148">
        <f t="shared" si="89"/>
        <v>350.79584458736201</v>
      </c>
      <c r="AC245" s="148">
        <f t="shared" si="89"/>
        <v>354.96873849404591</v>
      </c>
      <c r="AD245" s="148">
        <f t="shared" si="89"/>
        <v>359.21101781775451</v>
      </c>
      <c r="AE245" s="148">
        <f t="shared" si="89"/>
        <v>364.21023045732358</v>
      </c>
      <c r="AF245" s="148">
        <f t="shared" si="89"/>
        <v>369.3646487200561</v>
      </c>
      <c r="AG245" s="148">
        <f t="shared" si="89"/>
        <v>374.20470548240945</v>
      </c>
      <c r="AH245" s="148">
        <f t="shared" si="89"/>
        <v>378.70877565954004</v>
      </c>
      <c r="AI245" s="148">
        <f t="shared" ref="AI245:AR245" si="90">SUM(AI220:AI241)</f>
        <v>382.23484533109161</v>
      </c>
      <c r="AJ245" s="148">
        <f t="shared" si="90"/>
        <v>386.40833380396134</v>
      </c>
      <c r="AK245" s="148">
        <f t="shared" si="90"/>
        <v>391.2984125789153</v>
      </c>
      <c r="AL245" s="148">
        <f t="shared" si="90"/>
        <v>395.83482313882695</v>
      </c>
      <c r="AM245" s="148">
        <f t="shared" si="90"/>
        <v>400.89194259108177</v>
      </c>
      <c r="AN245" s="148">
        <f t="shared" si="90"/>
        <v>405.86624227994628</v>
      </c>
      <c r="AO245" s="148">
        <f t="shared" si="90"/>
        <v>410.76135664131021</v>
      </c>
      <c r="AP245" s="148">
        <f t="shared" si="90"/>
        <v>415.5806653521509</v>
      </c>
      <c r="AQ245" s="148">
        <f t="shared" si="90"/>
        <v>420.32731750948932</v>
      </c>
      <c r="AR245" s="148">
        <f t="shared" si="90"/>
        <v>423.86990489032684</v>
      </c>
      <c r="AS245" s="148">
        <f t="shared" si="89"/>
        <v>427.37346638401465</v>
      </c>
      <c r="AT245" s="148">
        <f t="shared" si="89"/>
        <v>430.83915804252706</v>
      </c>
      <c r="AU245" s="148">
        <f t="shared" si="89"/>
        <v>434.26808072562199</v>
      </c>
      <c r="AV245" s="148">
        <f t="shared" si="89"/>
        <v>437.79310610509339</v>
      </c>
    </row>
    <row r="246" spans="1:48">
      <c r="A246" t="s">
        <v>16</v>
      </c>
      <c r="K246" s="75"/>
    </row>
    <row r="247" spans="1:48" customFormat="1" ht="23.25">
      <c r="A247" t="s">
        <v>16</v>
      </c>
      <c r="B247" s="10" t="s">
        <v>18</v>
      </c>
      <c r="C247" s="10" t="s">
        <v>19</v>
      </c>
      <c r="D247" s="10" t="s">
        <v>20</v>
      </c>
      <c r="E247" s="10" t="s">
        <v>21</v>
      </c>
      <c r="F247" s="10" t="s">
        <v>22</v>
      </c>
      <c r="G247" s="10" t="s">
        <v>23</v>
      </c>
      <c r="H247" s="10" t="s">
        <v>24</v>
      </c>
      <c r="I247" s="11" t="s">
        <v>25</v>
      </c>
      <c r="J247" s="149">
        <v>2012</v>
      </c>
      <c r="K247" s="149">
        <v>2013</v>
      </c>
      <c r="L247" s="149">
        <v>2014</v>
      </c>
      <c r="M247" s="149">
        <v>2015</v>
      </c>
      <c r="N247" s="149">
        <v>2016</v>
      </c>
      <c r="O247" s="149">
        <v>2017</v>
      </c>
      <c r="P247" s="149">
        <v>2018</v>
      </c>
      <c r="Q247" s="149">
        <v>2019</v>
      </c>
      <c r="R247" s="149">
        <v>2020</v>
      </c>
      <c r="S247" s="149">
        <v>2021</v>
      </c>
      <c r="T247" s="149">
        <v>2022</v>
      </c>
      <c r="U247" s="149">
        <v>2023</v>
      </c>
      <c r="V247" s="149">
        <v>2024</v>
      </c>
      <c r="W247" s="149">
        <v>2025</v>
      </c>
      <c r="X247" s="149">
        <v>2026</v>
      </c>
      <c r="Y247" s="149">
        <v>2027</v>
      </c>
      <c r="Z247" s="149">
        <v>2028</v>
      </c>
      <c r="AA247" s="149">
        <v>2029</v>
      </c>
      <c r="AB247" s="149">
        <v>2030</v>
      </c>
      <c r="AC247" s="149">
        <v>2031</v>
      </c>
      <c r="AD247" s="149">
        <v>2032</v>
      </c>
      <c r="AE247" s="149">
        <v>2033</v>
      </c>
      <c r="AF247" s="149">
        <v>2034</v>
      </c>
      <c r="AG247" s="149">
        <v>2035</v>
      </c>
      <c r="AH247" s="149">
        <v>2036</v>
      </c>
      <c r="AI247" s="149">
        <v>2037</v>
      </c>
      <c r="AJ247" s="149">
        <v>2038</v>
      </c>
      <c r="AK247" s="149">
        <v>2039</v>
      </c>
      <c r="AL247" s="149">
        <v>2040</v>
      </c>
      <c r="AM247" s="149">
        <v>2045</v>
      </c>
      <c r="AN247" s="149">
        <v>2050</v>
      </c>
      <c r="AO247" s="149">
        <v>2060</v>
      </c>
      <c r="AP247" s="149">
        <v>2070</v>
      </c>
      <c r="AQ247" s="149"/>
      <c r="AR247" s="12"/>
      <c r="AS247" s="12"/>
      <c r="AT247" s="12"/>
      <c r="AU247" s="12"/>
      <c r="AV247" s="12"/>
    </row>
    <row r="248" spans="1:48" customFormat="1">
      <c r="A248" t="s">
        <v>125</v>
      </c>
      <c r="B248" s="16" t="str">
        <f t="shared" ref="B248:B256" si="91">IF(A248="*","","COM_PROJ")</f>
        <v>COM_PROJ</v>
      </c>
      <c r="C248" s="17" t="str">
        <f t="shared" ref="C248:C266" si="92">IF($A248="*","","-")</f>
        <v>-</v>
      </c>
      <c r="D248" s="16" t="str">
        <f>COM!B162</f>
        <v>CEC</v>
      </c>
      <c r="E248" s="17" t="str">
        <f t="shared" ref="E248:H263" si="93">IF($A248="*","","-")</f>
        <v>-</v>
      </c>
      <c r="F248" s="17" t="str">
        <f t="shared" si="93"/>
        <v>-</v>
      </c>
      <c r="G248" s="17" t="str">
        <f t="shared" si="93"/>
        <v>-</v>
      </c>
      <c r="H248" s="17" t="str">
        <f t="shared" si="93"/>
        <v>-</v>
      </c>
      <c r="I248" s="16">
        <f t="shared" ref="I248:I266" si="94">IF(A248="*","",0)</f>
        <v>0</v>
      </c>
      <c r="J248" s="6">
        <f t="shared" ref="J248:Y256" si="95">INDEX($J$233:$AV$241,MATCH($D248,$B$233:$B$241,0),MATCH(J$247,$J$104:$AV$104,0))</f>
        <v>139.66439435388435</v>
      </c>
      <c r="K248" s="6">
        <f t="shared" si="95"/>
        <v>135.88971000739755</v>
      </c>
      <c r="L248" s="6">
        <f t="shared" si="95"/>
        <v>132.41477017655598</v>
      </c>
      <c r="M248" s="6">
        <f t="shared" si="95"/>
        <v>128.63675213244647</v>
      </c>
      <c r="N248" s="6">
        <f t="shared" si="95"/>
        <v>124.69871312686325</v>
      </c>
      <c r="O248" s="6">
        <f t="shared" si="95"/>
        <v>120.28334032399778</v>
      </c>
      <c r="P248" s="6">
        <f t="shared" si="95"/>
        <v>119.49413059299039</v>
      </c>
      <c r="Q248" s="6">
        <f t="shared" si="95"/>
        <v>118.67455311472101</v>
      </c>
      <c r="R248" s="6">
        <f t="shared" si="95"/>
        <v>117.71228639212903</v>
      </c>
      <c r="S248" s="6">
        <f t="shared" si="95"/>
        <v>117.14202913866166</v>
      </c>
      <c r="T248" s="6">
        <f t="shared" si="95"/>
        <v>116.49065803078582</v>
      </c>
      <c r="U248" s="6">
        <f t="shared" si="95"/>
        <v>115.82859447381288</v>
      </c>
      <c r="V248" s="6">
        <f t="shared" si="95"/>
        <v>115.17772598299297</v>
      </c>
      <c r="W248" s="6">
        <f t="shared" si="95"/>
        <v>114.50316539062038</v>
      </c>
      <c r="X248" s="6">
        <f t="shared" si="95"/>
        <v>113.79467221998605</v>
      </c>
      <c r="Y248" s="6">
        <f t="shared" si="95"/>
        <v>113.08259390073943</v>
      </c>
      <c r="Z248" s="6">
        <f t="shared" ref="Z248:AN256" si="96">INDEX($J$233:$AV$241,MATCH($D248,$B$233:$B$241,0),MATCH(Z$247,$J$104:$AV$104,0))</f>
        <v>112.37721257643204</v>
      </c>
      <c r="AA248" s="6">
        <f t="shared" si="96"/>
        <v>111.72538413806819</v>
      </c>
      <c r="AB248" s="6">
        <f t="shared" si="96"/>
        <v>111.05167109365156</v>
      </c>
      <c r="AC248" s="6">
        <f t="shared" si="96"/>
        <v>110.41894619414475</v>
      </c>
      <c r="AD248" s="6">
        <f t="shared" si="96"/>
        <v>109.79166979890464</v>
      </c>
      <c r="AE248" s="6">
        <f t="shared" si="96"/>
        <v>109.22383174932801</v>
      </c>
      <c r="AF248" s="6">
        <f t="shared" si="96"/>
        <v>108.66818125350966</v>
      </c>
      <c r="AG248" s="6">
        <f t="shared" si="96"/>
        <v>108.08784545565575</v>
      </c>
      <c r="AH248" s="6">
        <f t="shared" si="96"/>
        <v>107.48112624149249</v>
      </c>
      <c r="AI248" s="6">
        <f t="shared" si="96"/>
        <v>106.79760933472991</v>
      </c>
      <c r="AJ248" s="6">
        <f t="shared" si="96"/>
        <v>106.16493112365617</v>
      </c>
      <c r="AK248" s="6">
        <f t="shared" si="96"/>
        <v>105.58852331471942</v>
      </c>
      <c r="AL248" s="6">
        <f t="shared" si="96"/>
        <v>104.98434363582348</v>
      </c>
      <c r="AM248" s="6">
        <f>INDEX($J$233:$AV$241,MATCH($D248,$B$233:$B$241,0),MATCH(AM$247,$J$104:$AV$104,0))</f>
        <v>102.15447548305804</v>
      </c>
      <c r="AN248" s="6">
        <f>INDEX($J$233:$AV$241,MATCH($D248,$B$233:$B$241,0),MATCH(AN$247,$J$104:$AV$104,0))</f>
        <v>98.764234551147297</v>
      </c>
      <c r="AO248" s="3">
        <f>AN248</f>
        <v>98.764234551147297</v>
      </c>
      <c r="AP248" s="3">
        <f>AO248</f>
        <v>98.764234551147297</v>
      </c>
      <c r="AQ248" s="3"/>
      <c r="AR248" s="3"/>
      <c r="AS248" s="3"/>
      <c r="AT248" s="3"/>
      <c r="AU248" s="3"/>
      <c r="AV248" s="3"/>
    </row>
    <row r="249" spans="1:48" customFormat="1">
      <c r="A249" t="s">
        <v>125</v>
      </c>
      <c r="B249" s="16" t="str">
        <f t="shared" si="91"/>
        <v>COM_PROJ</v>
      </c>
      <c r="C249" s="17" t="str">
        <f t="shared" si="92"/>
        <v>-</v>
      </c>
      <c r="D249" s="16" t="str">
        <f>COM!B163</f>
        <v>CEH</v>
      </c>
      <c r="E249" s="17" t="str">
        <f t="shared" si="93"/>
        <v>-</v>
      </c>
      <c r="F249" s="17" t="str">
        <f t="shared" si="93"/>
        <v>-</v>
      </c>
      <c r="G249" s="17" t="str">
        <f t="shared" si="93"/>
        <v>-</v>
      </c>
      <c r="H249" s="17" t="str">
        <f t="shared" si="93"/>
        <v>-</v>
      </c>
      <c r="I249" s="16">
        <f t="shared" si="94"/>
        <v>0</v>
      </c>
      <c r="J249" s="6">
        <f t="shared" si="95"/>
        <v>7.8517549075018991</v>
      </c>
      <c r="K249" s="6">
        <f t="shared" si="95"/>
        <v>8.5460135786417499</v>
      </c>
      <c r="L249" s="6">
        <f t="shared" si="95"/>
        <v>9.2786471163971243</v>
      </c>
      <c r="M249" s="6">
        <f t="shared" si="95"/>
        <v>10.011796090361486</v>
      </c>
      <c r="N249" s="6">
        <f t="shared" si="95"/>
        <v>10.753166346186294</v>
      </c>
      <c r="O249" s="6">
        <f t="shared" si="95"/>
        <v>11.470981711368385</v>
      </c>
      <c r="P249" s="6">
        <f t="shared" si="95"/>
        <v>11.395717669262183</v>
      </c>
      <c r="Q249" s="6">
        <f t="shared" si="95"/>
        <v>11.317557566300676</v>
      </c>
      <c r="R249" s="6">
        <f t="shared" si="95"/>
        <v>11.22578971260973</v>
      </c>
      <c r="S249" s="6">
        <f t="shared" si="95"/>
        <v>11.171406366523069</v>
      </c>
      <c r="T249" s="6">
        <f t="shared" si="95"/>
        <v>11.1092874891654</v>
      </c>
      <c r="U249" s="6">
        <f t="shared" si="95"/>
        <v>11.046148912091107</v>
      </c>
      <c r="V249" s="6">
        <f t="shared" si="95"/>
        <v>10.984077967481568</v>
      </c>
      <c r="W249" s="6">
        <f t="shared" si="95"/>
        <v>10.919747593903043</v>
      </c>
      <c r="X249" s="6">
        <f t="shared" si="95"/>
        <v>10.852181194590516</v>
      </c>
      <c r="Y249" s="6">
        <f t="shared" si="95"/>
        <v>10.784272892782983</v>
      </c>
      <c r="Z249" s="6">
        <f t="shared" si="96"/>
        <v>10.717003258859652</v>
      </c>
      <c r="AA249" s="6">
        <f t="shared" si="96"/>
        <v>10.654840767568</v>
      </c>
      <c r="AB249" s="6">
        <f t="shared" si="96"/>
        <v>10.590591221534469</v>
      </c>
      <c r="AC249" s="6">
        <f t="shared" si="96"/>
        <v>10.530250564789988</v>
      </c>
      <c r="AD249" s="6">
        <f t="shared" si="96"/>
        <v>10.470429511946008</v>
      </c>
      <c r="AE249" s="6">
        <f t="shared" si="96"/>
        <v>10.416276876475731</v>
      </c>
      <c r="AF249" s="6">
        <f t="shared" si="96"/>
        <v>10.363286523378816</v>
      </c>
      <c r="AG249" s="6">
        <f t="shared" si="96"/>
        <v>10.307942023419775</v>
      </c>
      <c r="AH249" s="6">
        <f t="shared" si="96"/>
        <v>10.250081433658501</v>
      </c>
      <c r="AI249" s="6">
        <f t="shared" si="96"/>
        <v>10.184896929172968</v>
      </c>
      <c r="AJ249" s="6">
        <f t="shared" si="96"/>
        <v>10.124560724933385</v>
      </c>
      <c r="AK249" s="6">
        <f t="shared" si="96"/>
        <v>10.069590822893806</v>
      </c>
      <c r="AL249" s="6">
        <f t="shared" si="96"/>
        <v>10.011972419311668</v>
      </c>
      <c r="AM249" s="6">
        <f t="shared" si="96"/>
        <v>9.7420982560358773</v>
      </c>
      <c r="AN249" s="6">
        <f t="shared" si="96"/>
        <v>9.4187833927944062</v>
      </c>
      <c r="AO249" s="3">
        <f t="shared" ref="AO249:AP264" si="97">AN249</f>
        <v>9.4187833927944062</v>
      </c>
      <c r="AP249" s="3">
        <f t="shared" si="97"/>
        <v>9.4187833927944062</v>
      </c>
      <c r="AQ249" s="3"/>
      <c r="AR249" s="3"/>
      <c r="AS249" s="3"/>
      <c r="AT249" s="3"/>
      <c r="AU249" s="3"/>
      <c r="AV249" s="3"/>
    </row>
    <row r="250" spans="1:48" customFormat="1">
      <c r="A250" t="s">
        <v>125</v>
      </c>
      <c r="B250" s="16" t="str">
        <f t="shared" si="91"/>
        <v>COM_PROJ</v>
      </c>
      <c r="C250" s="17" t="str">
        <f t="shared" si="92"/>
        <v>-</v>
      </c>
      <c r="D250" s="16" t="str">
        <f>COM!B164</f>
        <v>CEK</v>
      </c>
      <c r="E250" s="17" t="str">
        <f t="shared" si="93"/>
        <v>-</v>
      </c>
      <c r="F250" s="17" t="str">
        <f t="shared" si="93"/>
        <v>-</v>
      </c>
      <c r="G250" s="17" t="str">
        <f t="shared" si="93"/>
        <v>-</v>
      </c>
      <c r="H250" s="17" t="str">
        <f t="shared" si="93"/>
        <v>-</v>
      </c>
      <c r="I250" s="16">
        <f t="shared" si="94"/>
        <v>0</v>
      </c>
      <c r="J250" s="6">
        <f t="shared" si="95"/>
        <v>9.8944997565297612</v>
      </c>
      <c r="K250" s="6">
        <f t="shared" si="95"/>
        <v>9.5753700759835159</v>
      </c>
      <c r="L250" s="6">
        <f t="shared" si="95"/>
        <v>9.2762478476592491</v>
      </c>
      <c r="M250" s="6">
        <f t="shared" si="95"/>
        <v>8.9546526553297614</v>
      </c>
      <c r="N250" s="6">
        <f t="shared" si="95"/>
        <v>8.6207385707018886</v>
      </c>
      <c r="O250" s="6">
        <f t="shared" si="95"/>
        <v>8.2528207241540805</v>
      </c>
      <c r="P250" s="6">
        <f t="shared" si="95"/>
        <v>8.1986718585986544</v>
      </c>
      <c r="Q250" s="6">
        <f t="shared" si="95"/>
        <v>8.1424394162712925</v>
      </c>
      <c r="R250" s="6">
        <f t="shared" si="95"/>
        <v>8.0764168504780613</v>
      </c>
      <c r="S250" s="6">
        <f t="shared" si="95"/>
        <v>8.0372906434169824</v>
      </c>
      <c r="T250" s="6">
        <f t="shared" si="95"/>
        <v>7.9925990929186934</v>
      </c>
      <c r="U250" s="6">
        <f t="shared" si="95"/>
        <v>7.9471739174207752</v>
      </c>
      <c r="V250" s="6">
        <f t="shared" si="95"/>
        <v>7.9025168522339531</v>
      </c>
      <c r="W250" s="6">
        <f t="shared" si="95"/>
        <v>7.8562342363585165</v>
      </c>
      <c r="X250" s="6">
        <f t="shared" si="95"/>
        <v>7.8076234552995363</v>
      </c>
      <c r="Y250" s="6">
        <f t="shared" si="95"/>
        <v>7.7587666918070202</v>
      </c>
      <c r="Z250" s="6">
        <f t="shared" si="96"/>
        <v>7.7103694192005658</v>
      </c>
      <c r="AA250" s="6">
        <f t="shared" si="96"/>
        <v>7.6656464905702846</v>
      </c>
      <c r="AB250" s="6">
        <f t="shared" si="96"/>
        <v>7.6194220262336785</v>
      </c>
      <c r="AC250" s="6">
        <f t="shared" si="96"/>
        <v>7.5760098201104302</v>
      </c>
      <c r="AD250" s="6">
        <f t="shared" si="96"/>
        <v>7.5329714440521514</v>
      </c>
      <c r="AE250" s="6">
        <f t="shared" si="96"/>
        <v>7.4940112222052511</v>
      </c>
      <c r="AF250" s="6">
        <f t="shared" si="96"/>
        <v>7.4558872067354098</v>
      </c>
      <c r="AG250" s="6">
        <f t="shared" si="96"/>
        <v>7.4160694955993822</v>
      </c>
      <c r="AH250" s="6">
        <f t="shared" si="96"/>
        <v>7.3744415786251647</v>
      </c>
      <c r="AI250" s="6">
        <f t="shared" si="96"/>
        <v>7.327544456561168</v>
      </c>
      <c r="AJ250" s="6">
        <f t="shared" si="96"/>
        <v>7.2841354538014702</v>
      </c>
      <c r="AK250" s="6">
        <f t="shared" si="96"/>
        <v>7.244587247887468</v>
      </c>
      <c r="AL250" s="6">
        <f t="shared" si="96"/>
        <v>7.2031335722439884</v>
      </c>
      <c r="AM250" s="6">
        <f t="shared" si="96"/>
        <v>7.0089720659634152</v>
      </c>
      <c r="AN250" s="6">
        <f t="shared" si="96"/>
        <v>6.7763625412579707</v>
      </c>
      <c r="AO250" s="3">
        <f t="shared" si="97"/>
        <v>6.7763625412579707</v>
      </c>
      <c r="AP250" s="3">
        <f t="shared" si="97"/>
        <v>6.7763625412579707</v>
      </c>
      <c r="AQ250" s="3"/>
      <c r="AR250" s="3"/>
      <c r="AS250" s="3"/>
      <c r="AT250" s="3"/>
      <c r="AU250" s="3"/>
      <c r="AV250" s="3"/>
    </row>
    <row r="251" spans="1:48" customFormat="1">
      <c r="A251" t="s">
        <v>125</v>
      </c>
      <c r="B251" s="16" t="str">
        <f t="shared" si="91"/>
        <v>COM_PROJ</v>
      </c>
      <c r="C251" s="17" t="str">
        <f t="shared" si="92"/>
        <v>-</v>
      </c>
      <c r="D251" s="16" t="str">
        <f>COM!B165</f>
        <v>CEL</v>
      </c>
      <c r="E251" s="17" t="str">
        <f t="shared" si="93"/>
        <v>-</v>
      </c>
      <c r="F251" s="17" t="str">
        <f t="shared" si="93"/>
        <v>-</v>
      </c>
      <c r="G251" s="17" t="str">
        <f t="shared" si="93"/>
        <v>-</v>
      </c>
      <c r="H251" s="17" t="str">
        <f t="shared" si="93"/>
        <v>-</v>
      </c>
      <c r="I251" s="16">
        <f t="shared" si="94"/>
        <v>0</v>
      </c>
      <c r="J251" s="6">
        <f t="shared" si="95"/>
        <v>121.54027190568891</v>
      </c>
      <c r="K251" s="6">
        <f t="shared" si="95"/>
        <v>118.25542494127434</v>
      </c>
      <c r="L251" s="6">
        <f t="shared" si="95"/>
        <v>115.23142491714327</v>
      </c>
      <c r="M251" s="6">
        <f t="shared" si="95"/>
        <v>111.94367686603883</v>
      </c>
      <c r="N251" s="6">
        <f t="shared" si="95"/>
        <v>108.51667362925802</v>
      </c>
      <c r="O251" s="6">
        <f t="shared" si="95"/>
        <v>104.67427977141129</v>
      </c>
      <c r="P251" s="6">
        <f t="shared" si="95"/>
        <v>103.98748507516102</v>
      </c>
      <c r="Q251" s="6">
        <f t="shared" si="95"/>
        <v>103.27426342681275</v>
      </c>
      <c r="R251" s="6">
        <f t="shared" si="95"/>
        <v>102.43686918864145</v>
      </c>
      <c r="S251" s="6">
        <f t="shared" si="95"/>
        <v>101.94061370446272</v>
      </c>
      <c r="T251" s="6">
        <f t="shared" si="95"/>
        <v>101.37377043758011</v>
      </c>
      <c r="U251" s="6">
        <f t="shared" si="95"/>
        <v>100.79762227107284</v>
      </c>
      <c r="V251" s="6">
        <f t="shared" si="95"/>
        <v>100.23121639708427</v>
      </c>
      <c r="W251" s="6">
        <f t="shared" si="95"/>
        <v>99.644192924186157</v>
      </c>
      <c r="X251" s="6">
        <f t="shared" si="95"/>
        <v>99.027640273092914</v>
      </c>
      <c r="Y251" s="6">
        <f t="shared" si="95"/>
        <v>98.407967714888215</v>
      </c>
      <c r="Z251" s="6">
        <f t="shared" si="96"/>
        <v>97.794123088631594</v>
      </c>
      <c r="AA251" s="6">
        <f t="shared" si="96"/>
        <v>97.226881838625815</v>
      </c>
      <c r="AB251" s="6">
        <f t="shared" si="96"/>
        <v>96.640595928150091</v>
      </c>
      <c r="AC251" s="6">
        <f t="shared" si="96"/>
        <v>96.089979167999289</v>
      </c>
      <c r="AD251" s="6">
        <f t="shared" si="96"/>
        <v>95.544103864632248</v>
      </c>
      <c r="AE251" s="6">
        <f t="shared" si="96"/>
        <v>95.049953646437999</v>
      </c>
      <c r="AF251" s="6">
        <f t="shared" si="96"/>
        <v>94.566409414146591</v>
      </c>
      <c r="AG251" s="6">
        <f t="shared" si="96"/>
        <v>94.061383269193357</v>
      </c>
      <c r="AH251" s="6">
        <f t="shared" si="96"/>
        <v>93.533397460061778</v>
      </c>
      <c r="AI251" s="6">
        <f t="shared" si="96"/>
        <v>92.938579925611563</v>
      </c>
      <c r="AJ251" s="6">
        <f t="shared" si="96"/>
        <v>92.388003795178022</v>
      </c>
      <c r="AK251" s="6">
        <f t="shared" si="96"/>
        <v>91.886395907564051</v>
      </c>
      <c r="AL251" s="6">
        <f t="shared" si="96"/>
        <v>91.360620080499345</v>
      </c>
      <c r="AM251" s="6">
        <f t="shared" si="96"/>
        <v>88.897981364772903</v>
      </c>
      <c r="AN251" s="6">
        <f t="shared" si="96"/>
        <v>85.947688939874951</v>
      </c>
      <c r="AO251" s="3">
        <f t="shared" si="97"/>
        <v>85.947688939874951</v>
      </c>
      <c r="AP251" s="3">
        <f t="shared" si="97"/>
        <v>85.947688939874951</v>
      </c>
      <c r="AQ251" s="3"/>
      <c r="AR251" s="3"/>
      <c r="AS251" s="3"/>
      <c r="AT251" s="3"/>
      <c r="AU251" s="3"/>
      <c r="AV251" s="3"/>
    </row>
    <row r="252" spans="1:48" customFormat="1">
      <c r="A252" t="s">
        <v>125</v>
      </c>
      <c r="B252" s="16" t="str">
        <f t="shared" si="91"/>
        <v>COM_PROJ</v>
      </c>
      <c r="C252" s="17" t="str">
        <f t="shared" si="92"/>
        <v>-</v>
      </c>
      <c r="D252" s="16" t="str">
        <f>COM!B166</f>
        <v>CER</v>
      </c>
      <c r="E252" s="17" t="str">
        <f t="shared" si="93"/>
        <v>-</v>
      </c>
      <c r="F252" s="17" t="str">
        <f t="shared" si="93"/>
        <v>-</v>
      </c>
      <c r="G252" s="17" t="str">
        <f t="shared" si="93"/>
        <v>-</v>
      </c>
      <c r="H252" s="17" t="str">
        <f t="shared" si="93"/>
        <v>-</v>
      </c>
      <c r="I252" s="16">
        <f t="shared" si="94"/>
        <v>0</v>
      </c>
      <c r="J252" s="6">
        <f t="shared" si="95"/>
        <v>29.566390373747055</v>
      </c>
      <c r="K252" s="6">
        <f t="shared" si="95"/>
        <v>28.767304884262032</v>
      </c>
      <c r="L252" s="6">
        <f t="shared" si="95"/>
        <v>28.031674102778698</v>
      </c>
      <c r="M252" s="6">
        <f t="shared" si="95"/>
        <v>27.231882882919415</v>
      </c>
      <c r="N252" s="6">
        <f t="shared" si="95"/>
        <v>26.398215869327572</v>
      </c>
      <c r="O252" s="6">
        <f t="shared" si="95"/>
        <v>25.463499211305457</v>
      </c>
      <c r="P252" s="6">
        <f t="shared" si="95"/>
        <v>25.296426686474252</v>
      </c>
      <c r="Q252" s="6">
        <f t="shared" si="95"/>
        <v>25.12292543172607</v>
      </c>
      <c r="R252" s="6">
        <f t="shared" si="95"/>
        <v>24.919217438035627</v>
      </c>
      <c r="S252" s="6">
        <f t="shared" si="95"/>
        <v>24.798496271789375</v>
      </c>
      <c r="T252" s="6">
        <f t="shared" si="95"/>
        <v>24.660603628909769</v>
      </c>
      <c r="U252" s="6">
        <f t="shared" si="95"/>
        <v>24.520447437575172</v>
      </c>
      <c r="V252" s="6">
        <f t="shared" si="95"/>
        <v>24.382661196704127</v>
      </c>
      <c r="W252" s="6">
        <f t="shared" si="95"/>
        <v>24.239859433254679</v>
      </c>
      <c r="X252" s="6">
        <f t="shared" si="95"/>
        <v>24.089874279507967</v>
      </c>
      <c r="Y252" s="6">
        <f t="shared" si="95"/>
        <v>23.939130164224142</v>
      </c>
      <c r="Z252" s="6">
        <f t="shared" si="96"/>
        <v>23.789803775824975</v>
      </c>
      <c r="AA252" s="6">
        <f t="shared" si="96"/>
        <v>23.65181431792103</v>
      </c>
      <c r="AB252" s="6">
        <f t="shared" si="96"/>
        <v>23.509191976963923</v>
      </c>
      <c r="AC252" s="6">
        <f t="shared" si="96"/>
        <v>23.375246661376849</v>
      </c>
      <c r="AD252" s="6">
        <f t="shared" si="96"/>
        <v>23.242454772222104</v>
      </c>
      <c r="AE252" s="6">
        <f t="shared" si="96"/>
        <v>23.122245741706354</v>
      </c>
      <c r="AF252" s="6">
        <f t="shared" si="96"/>
        <v>23.004616767287114</v>
      </c>
      <c r="AG252" s="6">
        <f t="shared" si="96"/>
        <v>22.881762013743181</v>
      </c>
      <c r="AH252" s="6">
        <f t="shared" si="96"/>
        <v>22.753321997114817</v>
      </c>
      <c r="AI252" s="6">
        <f t="shared" si="96"/>
        <v>22.608624217942893</v>
      </c>
      <c r="AJ252" s="6">
        <f t="shared" si="96"/>
        <v>22.474688786109265</v>
      </c>
      <c r="AK252" s="6">
        <f t="shared" si="96"/>
        <v>22.352665572015638</v>
      </c>
      <c r="AL252" s="6">
        <f t="shared" si="96"/>
        <v>22.224763164786062</v>
      </c>
      <c r="AM252" s="6">
        <f t="shared" si="96"/>
        <v>21.625691462238201</v>
      </c>
      <c r="AN252" s="6">
        <f t="shared" si="96"/>
        <v>20.907991096889923</v>
      </c>
      <c r="AO252" s="3">
        <f t="shared" si="97"/>
        <v>20.907991096889923</v>
      </c>
      <c r="AP252" s="3">
        <f t="shared" si="97"/>
        <v>20.907991096889923</v>
      </c>
      <c r="AQ252" s="3"/>
      <c r="AR252" s="3"/>
      <c r="AS252" s="3"/>
      <c r="AT252" s="3"/>
      <c r="AU252" s="3"/>
      <c r="AV252" s="3"/>
    </row>
    <row r="253" spans="1:48" customFormat="1">
      <c r="A253" t="s">
        <v>125</v>
      </c>
      <c r="B253" s="16" t="str">
        <f t="shared" si="91"/>
        <v>COM_PROJ</v>
      </c>
      <c r="C253" s="17" t="str">
        <f t="shared" si="92"/>
        <v>-</v>
      </c>
      <c r="D253" s="16" t="str">
        <f>COM!B167</f>
        <v>CEW</v>
      </c>
      <c r="E253" s="17" t="str">
        <f t="shared" si="93"/>
        <v>-</v>
      </c>
      <c r="F253" s="17" t="str">
        <f t="shared" si="93"/>
        <v>-</v>
      </c>
      <c r="G253" s="17" t="str">
        <f t="shared" si="93"/>
        <v>-</v>
      </c>
      <c r="H253" s="17" t="str">
        <f t="shared" si="93"/>
        <v>-</v>
      </c>
      <c r="I253" s="16">
        <f t="shared" si="94"/>
        <v>0</v>
      </c>
      <c r="J253" s="6">
        <f t="shared" si="95"/>
        <v>9.6831090230750316</v>
      </c>
      <c r="K253" s="6">
        <f t="shared" si="95"/>
        <v>9.6736255038926586</v>
      </c>
      <c r="L253" s="6">
        <f t="shared" si="95"/>
        <v>9.6909124953046728</v>
      </c>
      <c r="M253" s="6">
        <f t="shared" si="95"/>
        <v>9.6920710399778542</v>
      </c>
      <c r="N253" s="6">
        <f t="shared" si="95"/>
        <v>9.6869258063486576</v>
      </c>
      <c r="O253" s="6">
        <f t="shared" si="95"/>
        <v>9.6495991200814473</v>
      </c>
      <c r="P253" s="6">
        <f t="shared" si="95"/>
        <v>9.5862856345615484</v>
      </c>
      <c r="Q253" s="6">
        <f t="shared" si="95"/>
        <v>9.5205359298073908</v>
      </c>
      <c r="R253" s="6">
        <f t="shared" si="95"/>
        <v>9.4433391368467383</v>
      </c>
      <c r="S253" s="6">
        <f t="shared" si="95"/>
        <v>9.3975908738166591</v>
      </c>
      <c r="T253" s="6">
        <f t="shared" si="95"/>
        <v>9.3453353407355646</v>
      </c>
      <c r="U253" s="6">
        <f t="shared" si="95"/>
        <v>9.292222017646969</v>
      </c>
      <c r="V253" s="6">
        <f t="shared" si="95"/>
        <v>9.2400068064682053</v>
      </c>
      <c r="W253" s="6">
        <f t="shared" si="95"/>
        <v>9.1858909224142149</v>
      </c>
      <c r="X253" s="6">
        <f t="shared" si="95"/>
        <v>9.1290528344668633</v>
      </c>
      <c r="Y253" s="6">
        <f t="shared" si="95"/>
        <v>9.0719271319022106</v>
      </c>
      <c r="Z253" s="6">
        <f t="shared" si="96"/>
        <v>9.0153386884151576</v>
      </c>
      <c r="AA253" s="6">
        <f t="shared" si="96"/>
        <v>8.9630464664970013</v>
      </c>
      <c r="AB253" s="6">
        <f t="shared" si="96"/>
        <v>8.9089985760486758</v>
      </c>
      <c r="AC253" s="6">
        <f t="shared" si="96"/>
        <v>8.858238914593576</v>
      </c>
      <c r="AD253" s="6">
        <f t="shared" si="96"/>
        <v>8.8079163534204969</v>
      </c>
      <c r="AE253" s="6">
        <f t="shared" si="96"/>
        <v>8.762362168370565</v>
      </c>
      <c r="AF253" s="6">
        <f t="shared" si="96"/>
        <v>8.7177857164606074</v>
      </c>
      <c r="AG253" s="6">
        <f t="shared" si="96"/>
        <v>8.6712289132554545</v>
      </c>
      <c r="AH253" s="6">
        <f t="shared" si="96"/>
        <v>8.6225555293990013</v>
      </c>
      <c r="AI253" s="6">
        <f t="shared" si="96"/>
        <v>8.5677211348411948</v>
      </c>
      <c r="AJ253" s="6">
        <f t="shared" si="96"/>
        <v>8.5169652189144589</v>
      </c>
      <c r="AK253" s="6">
        <f t="shared" si="96"/>
        <v>8.4707235343142315</v>
      </c>
      <c r="AL253" s="6">
        <f t="shared" si="96"/>
        <v>8.4222538818907005</v>
      </c>
      <c r="AM253" s="6">
        <f t="shared" si="96"/>
        <v>8.195230811502757</v>
      </c>
      <c r="AN253" s="6">
        <f t="shared" si="96"/>
        <v>7.9232524492016303</v>
      </c>
      <c r="AO253" s="3">
        <f t="shared" si="97"/>
        <v>7.9232524492016303</v>
      </c>
      <c r="AP253" s="3">
        <f t="shared" si="97"/>
        <v>7.9232524492016303</v>
      </c>
      <c r="AQ253" s="3"/>
      <c r="AR253" s="3"/>
      <c r="AS253" s="3"/>
      <c r="AT253" s="3"/>
      <c r="AU253" s="3"/>
      <c r="AV253" s="3"/>
    </row>
    <row r="254" spans="1:48" customFormat="1">
      <c r="A254" t="s">
        <v>125</v>
      </c>
      <c r="B254" s="16" t="str">
        <f t="shared" si="91"/>
        <v>COM_PROJ</v>
      </c>
      <c r="C254" s="17" t="str">
        <f t="shared" si="92"/>
        <v>-</v>
      </c>
      <c r="D254" s="16" t="str">
        <f>COM!B168</f>
        <v>CEG</v>
      </c>
      <c r="E254" s="17" t="str">
        <f t="shared" si="93"/>
        <v>-</v>
      </c>
      <c r="F254" s="17" t="str">
        <f t="shared" si="93"/>
        <v>-</v>
      </c>
      <c r="G254" s="17" t="str">
        <f t="shared" si="93"/>
        <v>-</v>
      </c>
      <c r="H254" s="17" t="str">
        <f t="shared" si="93"/>
        <v>-</v>
      </c>
      <c r="I254" s="16">
        <f t="shared" si="94"/>
        <v>0</v>
      </c>
      <c r="J254" s="6">
        <f t="shared" si="95"/>
        <v>10.30055287377321</v>
      </c>
      <c r="K254" s="6">
        <f t="shared" si="95"/>
        <v>10.022161692737667</v>
      </c>
      <c r="L254" s="6">
        <f t="shared" si="95"/>
        <v>9.765877321718456</v>
      </c>
      <c r="M254" s="6">
        <f t="shared" si="95"/>
        <v>9.4872402732319685</v>
      </c>
      <c r="N254" s="6">
        <f t="shared" si="95"/>
        <v>9.1968013307681549</v>
      </c>
      <c r="O254" s="6">
        <f t="shared" si="95"/>
        <v>8.8711579824850144</v>
      </c>
      <c r="P254" s="6">
        <f t="shared" si="95"/>
        <v>8.9349746302512507</v>
      </c>
      <c r="Q254" s="6">
        <f t="shared" si="95"/>
        <v>8.9875928409435009</v>
      </c>
      <c r="R254" s="6">
        <f t="shared" si="95"/>
        <v>8.9875928409435009</v>
      </c>
      <c r="S254" s="6">
        <f t="shared" si="95"/>
        <v>9.1321505960684899</v>
      </c>
      <c r="T254" s="6">
        <f t="shared" si="95"/>
        <v>9.2467967352087772</v>
      </c>
      <c r="U254" s="6">
        <f t="shared" si="95"/>
        <v>9.3574999174564297</v>
      </c>
      <c r="V254" s="6">
        <f t="shared" si="95"/>
        <v>9.472331402102407</v>
      </c>
      <c r="W254" s="6">
        <f t="shared" si="95"/>
        <v>9.5784261666321822</v>
      </c>
      <c r="X254" s="6">
        <f t="shared" si="95"/>
        <v>9.6720079238867012</v>
      </c>
      <c r="Y254" s="6">
        <f t="shared" si="95"/>
        <v>9.7642676185993658</v>
      </c>
      <c r="Z254" s="6">
        <f t="shared" si="96"/>
        <v>9.858996903030512</v>
      </c>
      <c r="AA254" s="6">
        <f t="shared" si="96"/>
        <v>9.9734743965795598</v>
      </c>
      <c r="AB254" s="6">
        <f t="shared" si="96"/>
        <v>10.079881703635776</v>
      </c>
      <c r="AC254" s="6">
        <f t="shared" si="96"/>
        <v>10.201403834903077</v>
      </c>
      <c r="AD254" s="6">
        <f t="shared" si="96"/>
        <v>10.324935161375153</v>
      </c>
      <c r="AE254" s="6">
        <f t="shared" si="96"/>
        <v>10.47038502424544</v>
      </c>
      <c r="AF254" s="6">
        <f t="shared" si="96"/>
        <v>10.620329180112517</v>
      </c>
      <c r="AG254" s="6">
        <f t="shared" si="96"/>
        <v>10.761170362383536</v>
      </c>
      <c r="AH254" s="6">
        <f t="shared" si="96"/>
        <v>10.89228237295184</v>
      </c>
      <c r="AI254" s="6">
        <f t="shared" si="96"/>
        <v>10.995074399143936</v>
      </c>
      <c r="AJ254" s="6">
        <f t="shared" si="96"/>
        <v>11.116613747278709</v>
      </c>
      <c r="AK254" s="6">
        <f t="shared" si="96"/>
        <v>11.258903418182644</v>
      </c>
      <c r="AL254" s="6">
        <f t="shared" si="96"/>
        <v>11.390951910000043</v>
      </c>
      <c r="AM254" s="6">
        <f t="shared" si="96"/>
        <v>12.121638848310639</v>
      </c>
      <c r="AN254" s="6">
        <f t="shared" si="96"/>
        <v>12.645682229853861</v>
      </c>
      <c r="AO254" s="3">
        <f t="shared" si="97"/>
        <v>12.645682229853861</v>
      </c>
      <c r="AP254" s="3">
        <f t="shared" si="97"/>
        <v>12.645682229853861</v>
      </c>
      <c r="AQ254" s="3"/>
      <c r="AR254" s="3"/>
      <c r="AS254" s="3"/>
      <c r="AT254" s="3"/>
      <c r="AU254" s="3"/>
      <c r="AV254" s="3"/>
    </row>
    <row r="255" spans="1:48" customFormat="1">
      <c r="B255" s="16" t="str">
        <f t="shared" si="91"/>
        <v>COM_PROJ</v>
      </c>
      <c r="C255" s="17" t="str">
        <f t="shared" si="92"/>
        <v>-</v>
      </c>
      <c r="D255" s="16" t="str">
        <f>COM!B169</f>
        <v>CET</v>
      </c>
      <c r="E255" s="17" t="str">
        <f t="shared" si="93"/>
        <v>-</v>
      </c>
      <c r="F255" s="17" t="str">
        <f t="shared" si="93"/>
        <v>-</v>
      </c>
      <c r="G255" s="17" t="str">
        <f t="shared" si="93"/>
        <v>-</v>
      </c>
      <c r="H255" s="17" t="str">
        <f t="shared" si="93"/>
        <v>-</v>
      </c>
      <c r="I255" s="16">
        <f t="shared" si="94"/>
        <v>0</v>
      </c>
      <c r="J255" s="6">
        <f t="shared" si="95"/>
        <v>3.5593512487513528</v>
      </c>
      <c r="K255" s="6">
        <f t="shared" si="95"/>
        <v>3.4631533057862538</v>
      </c>
      <c r="L255" s="6">
        <f t="shared" si="95"/>
        <v>3.3745943607275568</v>
      </c>
      <c r="M255" s="6">
        <f t="shared" si="95"/>
        <v>3.2783114583792798</v>
      </c>
      <c r="N255" s="6">
        <f t="shared" si="95"/>
        <v>3.1779504170630659</v>
      </c>
      <c r="O255" s="6">
        <f t="shared" si="95"/>
        <v>3.0654245097100388</v>
      </c>
      <c r="P255" s="6">
        <f t="shared" si="95"/>
        <v>3.087476322627404</v>
      </c>
      <c r="Q255" s="6">
        <f t="shared" si="95"/>
        <v>3.1056585208287628</v>
      </c>
      <c r="R255" s="6">
        <f t="shared" si="95"/>
        <v>3.1056585208287628</v>
      </c>
      <c r="S255" s="6">
        <f t="shared" si="95"/>
        <v>3.1556103857942746</v>
      </c>
      <c r="T255" s="6">
        <f t="shared" si="95"/>
        <v>3.1952263057855692</v>
      </c>
      <c r="U255" s="6">
        <f t="shared" si="95"/>
        <v>3.2334797388587777</v>
      </c>
      <c r="V255" s="6">
        <f t="shared" si="95"/>
        <v>3.2731597049032515</v>
      </c>
      <c r="W255" s="6">
        <f t="shared" si="95"/>
        <v>3.3098207013801049</v>
      </c>
      <c r="X255" s="6">
        <f t="shared" si="95"/>
        <v>3.3421578340200737</v>
      </c>
      <c r="Y255" s="6">
        <f t="shared" si="95"/>
        <v>3.3740381285643655</v>
      </c>
      <c r="Z255" s="6">
        <f t="shared" si="96"/>
        <v>3.4067717886858357</v>
      </c>
      <c r="AA255" s="6">
        <f t="shared" si="96"/>
        <v>3.4463294332716128</v>
      </c>
      <c r="AB255" s="6">
        <f t="shared" si="96"/>
        <v>3.4830984286729318</v>
      </c>
      <c r="AC255" s="6">
        <f t="shared" si="96"/>
        <v>3.5250903445416921</v>
      </c>
      <c r="AD255" s="6">
        <f t="shared" si="96"/>
        <v>3.5677765368778145</v>
      </c>
      <c r="AE255" s="6">
        <f t="shared" si="96"/>
        <v>3.6180366692592747</v>
      </c>
      <c r="AF255" s="6">
        <f t="shared" si="96"/>
        <v>3.6698498024928643</v>
      </c>
      <c r="AG255" s="6">
        <f t="shared" si="96"/>
        <v>3.7185174074394274</v>
      </c>
      <c r="AH255" s="6">
        <f t="shared" si="96"/>
        <v>3.7638231016348147</v>
      </c>
      <c r="AI255" s="6">
        <f t="shared" si="96"/>
        <v>3.799342838417108</v>
      </c>
      <c r="AJ255" s="6">
        <f t="shared" si="96"/>
        <v>3.8413407035664049</v>
      </c>
      <c r="AK255" s="6">
        <f t="shared" si="96"/>
        <v>3.8905088330855366</v>
      </c>
      <c r="AL255" s="6">
        <f t="shared" si="96"/>
        <v>3.9361381279404468</v>
      </c>
      <c r="AM255" s="6">
        <f t="shared" si="96"/>
        <v>4.1886266592059949</v>
      </c>
      <c r="AN255" s="6">
        <f t="shared" si="96"/>
        <v>4.3697096056607405</v>
      </c>
      <c r="AO255" s="3">
        <f t="shared" si="97"/>
        <v>4.3697096056607405</v>
      </c>
      <c r="AP255" s="3">
        <f t="shared" si="97"/>
        <v>4.3697096056607405</v>
      </c>
      <c r="AQ255" s="3"/>
      <c r="AR255" s="3"/>
      <c r="AS255" s="3"/>
      <c r="AT255" s="3"/>
      <c r="AU255" s="3"/>
      <c r="AV255" s="3"/>
    </row>
    <row r="256" spans="1:48" customFormat="1">
      <c r="B256" s="16" t="str">
        <f t="shared" si="91"/>
        <v>COM_PROJ</v>
      </c>
      <c r="C256" s="17" t="str">
        <f t="shared" si="92"/>
        <v>-</v>
      </c>
      <c r="D256" s="16" t="str">
        <f>COM!B170</f>
        <v>CEO</v>
      </c>
      <c r="E256" s="17" t="str">
        <f t="shared" si="93"/>
        <v>-</v>
      </c>
      <c r="F256" s="17" t="str">
        <f t="shared" si="93"/>
        <v>-</v>
      </c>
      <c r="G256" s="17" t="str">
        <f t="shared" si="93"/>
        <v>-</v>
      </c>
      <c r="H256" s="17" t="str">
        <f t="shared" si="93"/>
        <v>-</v>
      </c>
      <c r="I256" s="16">
        <f t="shared" si="94"/>
        <v>0</v>
      </c>
      <c r="J256" s="6">
        <f t="shared" si="95"/>
        <v>18.760184357078931</v>
      </c>
      <c r="K256" s="6">
        <f t="shared" si="95"/>
        <v>18.415319194151312</v>
      </c>
      <c r="L256" s="6">
        <f t="shared" si="95"/>
        <v>18.114567188633565</v>
      </c>
      <c r="M256" s="6">
        <f t="shared" si="95"/>
        <v>17.776245066865727</v>
      </c>
      <c r="N256" s="6">
        <f t="shared" si="95"/>
        <v>17.41950852758735</v>
      </c>
      <c r="O256" s="6">
        <f t="shared" si="95"/>
        <v>16.999241745794041</v>
      </c>
      <c r="P256" s="6">
        <f t="shared" si="95"/>
        <v>16.887705377005229</v>
      </c>
      <c r="Q256" s="6">
        <f t="shared" si="95"/>
        <v>16.771877236175573</v>
      </c>
      <c r="R256" s="6">
        <f t="shared" si="95"/>
        <v>16.635883302209223</v>
      </c>
      <c r="S256" s="6">
        <f t="shared" si="95"/>
        <v>16.555290753957131</v>
      </c>
      <c r="T256" s="6">
        <f t="shared" si="95"/>
        <v>16.463234656253317</v>
      </c>
      <c r="U256" s="6">
        <f t="shared" si="95"/>
        <v>16.369667430519915</v>
      </c>
      <c r="V256" s="6">
        <f t="shared" si="95"/>
        <v>16.277682366001713</v>
      </c>
      <c r="W256" s="6">
        <f t="shared" si="95"/>
        <v>16.18234897609884</v>
      </c>
      <c r="X256" s="6">
        <f t="shared" si="95"/>
        <v>16.082220008525979</v>
      </c>
      <c r="Y256" s="6">
        <f t="shared" si="95"/>
        <v>15.981584363903817</v>
      </c>
      <c r="Z256" s="6">
        <f t="shared" si="96"/>
        <v>15.881895183153011</v>
      </c>
      <c r="AA256" s="6">
        <f t="shared" si="96"/>
        <v>15.789774452462598</v>
      </c>
      <c r="AB256" s="6">
        <f t="shared" si="96"/>
        <v>15.694560843674514</v>
      </c>
      <c r="AC256" s="6">
        <f t="shared" si="96"/>
        <v>15.605139952166784</v>
      </c>
      <c r="AD256" s="6">
        <f t="shared" si="96"/>
        <v>15.516489079523955</v>
      </c>
      <c r="AE256" s="6">
        <f t="shared" si="96"/>
        <v>15.436238429257575</v>
      </c>
      <c r="AF256" s="6">
        <f t="shared" si="96"/>
        <v>15.357710205156517</v>
      </c>
      <c r="AG256" s="6">
        <f t="shared" si="96"/>
        <v>15.275693289972056</v>
      </c>
      <c r="AH256" s="6">
        <f t="shared" si="96"/>
        <v>15.189947694899637</v>
      </c>
      <c r="AI256" s="6">
        <f t="shared" si="96"/>
        <v>15.093348539072268</v>
      </c>
      <c r="AJ256" s="6">
        <f t="shared" si="96"/>
        <v>15.00393424588446</v>
      </c>
      <c r="AK256" s="6">
        <f t="shared" si="96"/>
        <v>14.922472460221659</v>
      </c>
      <c r="AL256" s="6">
        <f t="shared" si="96"/>
        <v>14.837085769165494</v>
      </c>
      <c r="AM256" s="6">
        <f t="shared" si="96"/>
        <v>14.437149978323596</v>
      </c>
      <c r="AN256" s="6">
        <f t="shared" si="96"/>
        <v>13.958018578889567</v>
      </c>
      <c r="AO256" s="3">
        <f t="shared" si="97"/>
        <v>13.958018578889567</v>
      </c>
      <c r="AP256" s="3">
        <f t="shared" si="97"/>
        <v>13.958018578889567</v>
      </c>
      <c r="AQ256" s="3"/>
      <c r="AR256" s="3"/>
      <c r="AS256" s="3"/>
      <c r="AT256" s="3"/>
      <c r="AU256" s="3"/>
      <c r="AV256" s="3"/>
    </row>
    <row r="257" spans="1:48" customFormat="1">
      <c r="A257" t="s">
        <v>16</v>
      </c>
      <c r="B257" s="16"/>
      <c r="C257" s="17" t="str">
        <f t="shared" si="92"/>
        <v/>
      </c>
      <c r="D257" s="16"/>
      <c r="E257" s="17" t="str">
        <f t="shared" si="93"/>
        <v/>
      </c>
      <c r="F257" s="17" t="str">
        <f t="shared" si="93"/>
        <v/>
      </c>
      <c r="G257" s="17"/>
      <c r="H257" s="17" t="str">
        <f t="shared" si="93"/>
        <v/>
      </c>
      <c r="I257" s="16" t="str">
        <f t="shared" si="94"/>
        <v/>
      </c>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3">
        <f t="shared" si="97"/>
        <v>0</v>
      </c>
      <c r="AP257" s="3">
        <f t="shared" si="97"/>
        <v>0</v>
      </c>
      <c r="AQ257" s="3"/>
      <c r="AR257" s="3"/>
      <c r="AS257" s="3"/>
      <c r="AT257" s="3"/>
      <c r="AU257" s="3"/>
      <c r="AV257" s="3"/>
    </row>
    <row r="258" spans="1:48" s="198" customFormat="1">
      <c r="B258" s="199" t="str">
        <f t="shared" ref="B258:B266" si="98">IF(A258="*","","COM_PROJ")</f>
        <v>COM_PROJ</v>
      </c>
      <c r="C258" s="199" t="str">
        <f t="shared" si="92"/>
        <v>-</v>
      </c>
      <c r="D258" s="199" t="str">
        <f>COM!B174</f>
        <v>CNC</v>
      </c>
      <c r="E258" s="199" t="str">
        <f t="shared" si="93"/>
        <v>-</v>
      </c>
      <c r="F258" s="199" t="str">
        <f t="shared" si="93"/>
        <v>-</v>
      </c>
      <c r="G258" s="199" t="str">
        <f t="shared" si="93"/>
        <v>-</v>
      </c>
      <c r="H258" s="199" t="str">
        <f t="shared" si="93"/>
        <v>-</v>
      </c>
      <c r="I258" s="199">
        <f t="shared" si="94"/>
        <v>0</v>
      </c>
      <c r="J258" s="200">
        <f t="shared" ref="J258:Y266" si="99">INDEX($J$220:$AV$228,MATCH($D258,$B$220:$B$228,0),MATCH(J$247,$J$104:$AV$104,0))</f>
        <v>0</v>
      </c>
      <c r="K258" s="200">
        <f t="shared" si="99"/>
        <v>0</v>
      </c>
      <c r="L258" s="200">
        <f t="shared" si="99"/>
        <v>0</v>
      </c>
      <c r="M258" s="200">
        <f t="shared" si="99"/>
        <v>0</v>
      </c>
      <c r="N258" s="200">
        <f t="shared" si="99"/>
        <v>0</v>
      </c>
      <c r="O258" s="200">
        <f t="shared" si="99"/>
        <v>0</v>
      </c>
      <c r="P258" s="200">
        <f t="shared" si="99"/>
        <v>1.6544946889303713</v>
      </c>
      <c r="Q258" s="200">
        <f t="shared" si="99"/>
        <v>3.1875183888127405</v>
      </c>
      <c r="R258" s="200">
        <f t="shared" si="99"/>
        <v>4.1497851114047242</v>
      </c>
      <c r="S258" s="200">
        <f t="shared" si="99"/>
        <v>6.680089710495146</v>
      </c>
      <c r="T258" s="200">
        <f t="shared" si="99"/>
        <v>8.8859388919517119</v>
      </c>
      <c r="U258" s="200">
        <f t="shared" si="99"/>
        <v>11.049018277019913</v>
      </c>
      <c r="V258" s="200">
        <f t="shared" si="99"/>
        <v>13.256877926700117</v>
      </c>
      <c r="W258" s="200">
        <f t="shared" si="99"/>
        <v>15.369969170169794</v>
      </c>
      <c r="X258" s="200">
        <f t="shared" si="99"/>
        <v>17.34733010059233</v>
      </c>
      <c r="Y258" s="200">
        <f t="shared" si="99"/>
        <v>19.310350436565731</v>
      </c>
      <c r="Z258" s="200">
        <f t="shared" ref="Z258:AN266" si="100">INDEX($J$220:$AV$228,MATCH($D258,$B$220:$B$228,0),MATCH(Z$247,$J$104:$AV$104,0))</f>
        <v>21.300158752296035</v>
      </c>
      <c r="AA258" s="200">
        <f t="shared" si="100"/>
        <v>23.504178611800697</v>
      </c>
      <c r="AB258" s="200">
        <f t="shared" si="100"/>
        <v>25.620660047094042</v>
      </c>
      <c r="AC258" s="200">
        <f t="shared" si="100"/>
        <v>27.87828972187728</v>
      </c>
      <c r="AD258" s="200">
        <f t="shared" si="100"/>
        <v>30.157495473556875</v>
      </c>
      <c r="AE258" s="200">
        <f t="shared" si="100"/>
        <v>32.672077074063715</v>
      </c>
      <c r="AF258" s="200">
        <f t="shared" si="100"/>
        <v>35.234921387453397</v>
      </c>
      <c r="AG258" s="200">
        <f t="shared" si="100"/>
        <v>37.70001190478213</v>
      </c>
      <c r="AH258" s="200">
        <f t="shared" si="100"/>
        <v>40.060624093525959</v>
      </c>
      <c r="AI258" s="200">
        <f t="shared" si="100"/>
        <v>42.117117419576545</v>
      </c>
      <c r="AJ258" s="200">
        <f t="shared" si="100"/>
        <v>44.374931980554834</v>
      </c>
      <c r="AK258" s="200">
        <f t="shared" si="100"/>
        <v>46.855577333995569</v>
      </c>
      <c r="AL258" s="200">
        <f t="shared" si="100"/>
        <v>49.226246082397957</v>
      </c>
      <c r="AM258" s="200">
        <f>INDEX($J$220:$AV$228,MATCH($D258,$B$220:$B$228,0),MATCH(AM$247,$J$104:$AV$104,0))</f>
        <v>61.58387311161443</v>
      </c>
      <c r="AN258" s="200">
        <f t="shared" si="100"/>
        <v>71.766805459523752</v>
      </c>
      <c r="AO258" s="201">
        <f t="shared" si="97"/>
        <v>71.766805459523752</v>
      </c>
      <c r="AP258" s="201">
        <f t="shared" si="97"/>
        <v>71.766805459523752</v>
      </c>
      <c r="AQ258" s="201"/>
      <c r="AR258" s="201"/>
      <c r="AS258" s="201"/>
      <c r="AT258" s="201"/>
      <c r="AU258" s="201"/>
      <c r="AV258" s="201"/>
    </row>
    <row r="259" spans="1:48" customFormat="1">
      <c r="B259" s="16" t="str">
        <f t="shared" si="98"/>
        <v>COM_PROJ</v>
      </c>
      <c r="C259" s="17" t="str">
        <f t="shared" si="92"/>
        <v>-</v>
      </c>
      <c r="D259" s="16" t="str">
        <f>COM!B175</f>
        <v>CNH</v>
      </c>
      <c r="E259" s="17" t="str">
        <f t="shared" si="93"/>
        <v>-</v>
      </c>
      <c r="F259" s="17" t="str">
        <f t="shared" si="93"/>
        <v>-</v>
      </c>
      <c r="G259" s="17" t="str">
        <f t="shared" si="93"/>
        <v>-</v>
      </c>
      <c r="H259" s="17" t="str">
        <f t="shared" si="93"/>
        <v>-</v>
      </c>
      <c r="I259" s="16">
        <f t="shared" si="94"/>
        <v>0</v>
      </c>
      <c r="J259" s="6">
        <f t="shared" si="99"/>
        <v>0</v>
      </c>
      <c r="K259" s="6">
        <f t="shared" si="99"/>
        <v>0</v>
      </c>
      <c r="L259" s="6">
        <f t="shared" si="99"/>
        <v>0</v>
      </c>
      <c r="M259" s="6">
        <f t="shared" si="99"/>
        <v>0</v>
      </c>
      <c r="N259" s="6">
        <f t="shared" si="99"/>
        <v>0</v>
      </c>
      <c r="O259" s="6">
        <f t="shared" si="99"/>
        <v>0</v>
      </c>
      <c r="P259" s="6">
        <f t="shared" si="99"/>
        <v>0.15778310002993795</v>
      </c>
      <c r="Q259" s="6">
        <f t="shared" si="99"/>
        <v>0.30398195663864902</v>
      </c>
      <c r="R259" s="6">
        <f t="shared" si="99"/>
        <v>0.39574981032959627</v>
      </c>
      <c r="S259" s="6">
        <f t="shared" si="99"/>
        <v>0.63705569443769439</v>
      </c>
      <c r="T259" s="6">
        <f t="shared" si="99"/>
        <v>0.84741945346174374</v>
      </c>
      <c r="U259" s="6">
        <f t="shared" si="99"/>
        <v>1.0537044136193137</v>
      </c>
      <c r="V259" s="6">
        <f t="shared" si="99"/>
        <v>1.2642599036358886</v>
      </c>
      <c r="W259" s="6">
        <f t="shared" si="99"/>
        <v>1.4657776777765306</v>
      </c>
      <c r="X259" s="6">
        <f t="shared" si="99"/>
        <v>1.6543513489811534</v>
      </c>
      <c r="Y259" s="6">
        <f t="shared" si="99"/>
        <v>1.8415574102057646</v>
      </c>
      <c r="Z259" s="6">
        <f t="shared" si="100"/>
        <v>2.0313181429671681</v>
      </c>
      <c r="AA259" s="6">
        <f t="shared" si="100"/>
        <v>2.2415074462553024</v>
      </c>
      <c r="AB259" s="6">
        <f t="shared" si="100"/>
        <v>2.4433485305759124</v>
      </c>
      <c r="AC259" s="6">
        <f t="shared" si="100"/>
        <v>2.658650405637943</v>
      </c>
      <c r="AD259" s="6">
        <f t="shared" si="100"/>
        <v>2.8760099121459786</v>
      </c>
      <c r="AE259" s="6">
        <f t="shared" si="100"/>
        <v>3.1158163514538715</v>
      </c>
      <c r="AF259" s="6">
        <f t="shared" si="100"/>
        <v>3.3602254289602782</v>
      </c>
      <c r="AG259" s="6">
        <f t="shared" si="100"/>
        <v>3.5953120848926625</v>
      </c>
      <c r="AH259" s="6">
        <f t="shared" si="100"/>
        <v>3.8204350252082078</v>
      </c>
      <c r="AI259" s="6">
        <f t="shared" si="100"/>
        <v>4.0165552632156896</v>
      </c>
      <c r="AJ259" s="6">
        <f t="shared" si="100"/>
        <v>4.2318747701971233</v>
      </c>
      <c r="AK259" s="6">
        <f t="shared" si="100"/>
        <v>4.4684448338905778</v>
      </c>
      <c r="AL259" s="6">
        <f t="shared" si="100"/>
        <v>4.6945268314754989</v>
      </c>
      <c r="AM259" s="6">
        <f t="shared" si="100"/>
        <v>5.8730284699087338</v>
      </c>
      <c r="AN259" s="6">
        <f t="shared" si="100"/>
        <v>6.8441374399151549</v>
      </c>
      <c r="AO259" s="3">
        <f t="shared" si="97"/>
        <v>6.8441374399151549</v>
      </c>
      <c r="AP259" s="3">
        <f t="shared" si="97"/>
        <v>6.8441374399151549</v>
      </c>
      <c r="AQ259" s="3"/>
      <c r="AR259" s="3"/>
      <c r="AS259" s="3"/>
      <c r="AT259" s="3"/>
      <c r="AU259" s="3"/>
      <c r="AV259" s="3"/>
    </row>
    <row r="260" spans="1:48" customFormat="1">
      <c r="B260" s="16" t="str">
        <f t="shared" si="98"/>
        <v>COM_PROJ</v>
      </c>
      <c r="C260" s="17" t="str">
        <f t="shared" si="92"/>
        <v>-</v>
      </c>
      <c r="D260" s="16" t="str">
        <f>COM!B176</f>
        <v>CNK</v>
      </c>
      <c r="E260" s="17" t="str">
        <f t="shared" si="93"/>
        <v>-</v>
      </c>
      <c r="F260" s="17" t="str">
        <f t="shared" si="93"/>
        <v>-</v>
      </c>
      <c r="G260" s="17" t="str">
        <f t="shared" si="93"/>
        <v>-</v>
      </c>
      <c r="H260" s="17" t="str">
        <f t="shared" si="93"/>
        <v>-</v>
      </c>
      <c r="I260" s="16">
        <f t="shared" si="94"/>
        <v>0</v>
      </c>
      <c r="J260" s="6">
        <f t="shared" si="99"/>
        <v>0</v>
      </c>
      <c r="K260" s="6">
        <f t="shared" si="99"/>
        <v>0</v>
      </c>
      <c r="L260" s="6">
        <f t="shared" si="99"/>
        <v>0</v>
      </c>
      <c r="M260" s="6">
        <f t="shared" si="99"/>
        <v>0</v>
      </c>
      <c r="N260" s="6">
        <f t="shared" si="99"/>
        <v>0</v>
      </c>
      <c r="O260" s="6">
        <f t="shared" si="99"/>
        <v>0</v>
      </c>
      <c r="P260" s="6">
        <f t="shared" si="99"/>
        <v>0.11351736674445566</v>
      </c>
      <c r="Q260" s="6">
        <f t="shared" si="99"/>
        <v>0.2187004264011754</v>
      </c>
      <c r="R260" s="6">
        <f t="shared" si="99"/>
        <v>0.28472299219440816</v>
      </c>
      <c r="S260" s="6">
        <f t="shared" si="99"/>
        <v>0.45833099291626384</v>
      </c>
      <c r="T260" s="6">
        <f t="shared" si="99"/>
        <v>0.6096776198892685</v>
      </c>
      <c r="U260" s="6">
        <f t="shared" si="99"/>
        <v>0.75808974686376152</v>
      </c>
      <c r="V260" s="6">
        <f t="shared" si="99"/>
        <v>0.90957431508263276</v>
      </c>
      <c r="W260" s="6">
        <f t="shared" si="99"/>
        <v>1.0545566805470528</v>
      </c>
      <c r="X260" s="6">
        <f t="shared" si="99"/>
        <v>1.1902263852772925</v>
      </c>
      <c r="Y260" s="6">
        <f t="shared" si="99"/>
        <v>1.3249121602733918</v>
      </c>
      <c r="Z260" s="6">
        <f t="shared" si="100"/>
        <v>1.4614358988137399</v>
      </c>
      <c r="AA260" s="6">
        <f t="shared" si="100"/>
        <v>1.6126570132587821</v>
      </c>
      <c r="AB260" s="6">
        <f t="shared" si="100"/>
        <v>1.7578719848785174</v>
      </c>
      <c r="AC260" s="6">
        <f t="shared" si="100"/>
        <v>1.9127713493069518</v>
      </c>
      <c r="AD260" s="6">
        <f t="shared" si="100"/>
        <v>2.0691510807926745</v>
      </c>
      <c r="AE260" s="6">
        <f t="shared" si="100"/>
        <v>2.2416803029554466</v>
      </c>
      <c r="AF260" s="6">
        <f t="shared" si="100"/>
        <v>2.4175209023713826</v>
      </c>
      <c r="AG260" s="6">
        <f t="shared" si="100"/>
        <v>2.5866544669492155</v>
      </c>
      <c r="AH260" s="6">
        <f t="shared" si="100"/>
        <v>2.7486196164078143</v>
      </c>
      <c r="AI260" s="6">
        <f t="shared" si="100"/>
        <v>2.8897187137108902</v>
      </c>
      <c r="AJ260" s="6">
        <f t="shared" si="100"/>
        <v>3.0446307634589882</v>
      </c>
      <c r="AK260" s="6">
        <f t="shared" si="100"/>
        <v>3.2148315687160376</v>
      </c>
      <c r="AL260" s="6">
        <f t="shared" si="100"/>
        <v>3.3774867138443634</v>
      </c>
      <c r="AM260" s="6">
        <f t="shared" si="100"/>
        <v>4.2253620735855764</v>
      </c>
      <c r="AN260" s="6">
        <f t="shared" si="100"/>
        <v>4.9240283634235427</v>
      </c>
      <c r="AO260" s="3">
        <f t="shared" si="97"/>
        <v>4.9240283634235427</v>
      </c>
      <c r="AP260" s="3">
        <f t="shared" si="97"/>
        <v>4.9240283634235427</v>
      </c>
      <c r="AQ260" s="3"/>
      <c r="AR260" s="3"/>
      <c r="AS260" s="3"/>
      <c r="AT260" s="3"/>
      <c r="AU260" s="3"/>
      <c r="AV260" s="3"/>
    </row>
    <row r="261" spans="1:48" s="198" customFormat="1">
      <c r="B261" s="199" t="str">
        <f t="shared" si="98"/>
        <v>COM_PROJ</v>
      </c>
      <c r="C261" s="199" t="str">
        <f t="shared" si="92"/>
        <v>-</v>
      </c>
      <c r="D261" s="199" t="str">
        <f>COM!B177</f>
        <v>CNL</v>
      </c>
      <c r="E261" s="199" t="str">
        <f t="shared" si="93"/>
        <v>-</v>
      </c>
      <c r="F261" s="199" t="str">
        <f t="shared" si="93"/>
        <v>-</v>
      </c>
      <c r="G261" s="199" t="str">
        <f t="shared" si="93"/>
        <v>-</v>
      </c>
      <c r="H261" s="199" t="str">
        <f t="shared" si="93"/>
        <v>-</v>
      </c>
      <c r="I261" s="199">
        <f t="shared" si="94"/>
        <v>0</v>
      </c>
      <c r="J261" s="200">
        <f t="shared" si="99"/>
        <v>0</v>
      </c>
      <c r="K261" s="200">
        <f t="shared" si="99"/>
        <v>0</v>
      </c>
      <c r="L261" s="200">
        <f t="shared" si="99"/>
        <v>0</v>
      </c>
      <c r="M261" s="200">
        <f t="shared" si="99"/>
        <v>0</v>
      </c>
      <c r="N261" s="200">
        <f t="shared" si="99"/>
        <v>0</v>
      </c>
      <c r="O261" s="200">
        <f t="shared" si="99"/>
        <v>0</v>
      </c>
      <c r="P261" s="200">
        <f t="shared" si="99"/>
        <v>1.439792405855393</v>
      </c>
      <c r="Q261" s="200">
        <f t="shared" si="99"/>
        <v>2.7738770033187716</v>
      </c>
      <c r="R261" s="200">
        <f t="shared" si="99"/>
        <v>3.6112712414900638</v>
      </c>
      <c r="S261" s="200">
        <f t="shared" si="99"/>
        <v>5.8132204956316</v>
      </c>
      <c r="T261" s="200">
        <f t="shared" si="99"/>
        <v>7.7328186189575536</v>
      </c>
      <c r="U261" s="200">
        <f t="shared" si="99"/>
        <v>9.6151971437849717</v>
      </c>
      <c r="V261" s="200">
        <f t="shared" si="99"/>
        <v>11.536544838687051</v>
      </c>
      <c r="W261" s="200">
        <f t="shared" si="99"/>
        <v>13.375422137951208</v>
      </c>
      <c r="X261" s="200">
        <f t="shared" si="99"/>
        <v>15.096182724434627</v>
      </c>
      <c r="Y261" s="200">
        <f t="shared" si="99"/>
        <v>16.804463682472292</v>
      </c>
      <c r="Z261" s="200">
        <f t="shared" si="100"/>
        <v>18.536056368302283</v>
      </c>
      <c r="AA261" s="200">
        <f t="shared" si="100"/>
        <v>20.454062559135593</v>
      </c>
      <c r="AB261" s="200">
        <f t="shared" si="100"/>
        <v>22.295890108089136</v>
      </c>
      <c r="AC261" s="200">
        <f t="shared" si="100"/>
        <v>24.260549216839824</v>
      </c>
      <c r="AD261" s="200">
        <f t="shared" si="100"/>
        <v>26.243984494454253</v>
      </c>
      <c r="AE261" s="200">
        <f t="shared" si="100"/>
        <v>28.432251109352897</v>
      </c>
      <c r="AF261" s="200">
        <f t="shared" si="100"/>
        <v>30.662517428426845</v>
      </c>
      <c r="AG261" s="200">
        <f t="shared" si="100"/>
        <v>32.807715373359883</v>
      </c>
      <c r="AH261" s="200">
        <f t="shared" si="100"/>
        <v>34.861993048146715</v>
      </c>
      <c r="AI261" s="200">
        <f t="shared" si="100"/>
        <v>36.651617090671841</v>
      </c>
      <c r="AJ261" s="200">
        <f t="shared" si="100"/>
        <v>38.61643709310286</v>
      </c>
      <c r="AK261" s="200">
        <f t="shared" si="100"/>
        <v>40.775171337099422</v>
      </c>
      <c r="AL261" s="200">
        <f t="shared" si="100"/>
        <v>42.838200540871085</v>
      </c>
      <c r="AM261" s="200">
        <f t="shared" si="100"/>
        <v>53.592189459724608</v>
      </c>
      <c r="AN261" s="200">
        <f t="shared" si="100"/>
        <v>62.453691864025217</v>
      </c>
      <c r="AO261" s="201">
        <f t="shared" si="97"/>
        <v>62.453691864025217</v>
      </c>
      <c r="AP261" s="201">
        <f t="shared" si="97"/>
        <v>62.453691864025217</v>
      </c>
      <c r="AQ261" s="201"/>
      <c r="AR261" s="201"/>
      <c r="AS261" s="201"/>
      <c r="AT261" s="201"/>
      <c r="AU261" s="201"/>
      <c r="AV261" s="201"/>
    </row>
    <row r="262" spans="1:48" customFormat="1">
      <c r="B262" s="16" t="str">
        <f t="shared" si="98"/>
        <v>COM_PROJ</v>
      </c>
      <c r="C262" s="17" t="str">
        <f t="shared" si="92"/>
        <v>-</v>
      </c>
      <c r="D262" s="16" t="str">
        <f>COM!B178</f>
        <v>CNR</v>
      </c>
      <c r="E262" s="17" t="str">
        <f t="shared" si="93"/>
        <v>-</v>
      </c>
      <c r="F262" s="17" t="str">
        <f t="shared" si="93"/>
        <v>-</v>
      </c>
      <c r="G262" s="17" t="str">
        <f t="shared" si="93"/>
        <v>-</v>
      </c>
      <c r="H262" s="17" t="str">
        <f t="shared" si="93"/>
        <v>-</v>
      </c>
      <c r="I262" s="16">
        <f t="shared" si="94"/>
        <v>0</v>
      </c>
      <c r="J262" s="6">
        <f t="shared" si="99"/>
        <v>0</v>
      </c>
      <c r="K262" s="6">
        <f t="shared" si="99"/>
        <v>0</v>
      </c>
      <c r="L262" s="6">
        <f t="shared" si="99"/>
        <v>0</v>
      </c>
      <c r="M262" s="6">
        <f t="shared" si="99"/>
        <v>0</v>
      </c>
      <c r="N262" s="6">
        <f t="shared" si="99"/>
        <v>0</v>
      </c>
      <c r="O262" s="6">
        <f t="shared" si="99"/>
        <v>0</v>
      </c>
      <c r="P262" s="6">
        <f t="shared" si="99"/>
        <v>0.35024986912740697</v>
      </c>
      <c r="Q262" s="6">
        <f t="shared" si="99"/>
        <v>0.67478481858689709</v>
      </c>
      <c r="R262" s="6">
        <f t="shared" si="99"/>
        <v>0.87849281227734122</v>
      </c>
      <c r="S262" s="6">
        <f t="shared" si="99"/>
        <v>1.4141481157445579</v>
      </c>
      <c r="T262" s="6">
        <f t="shared" si="99"/>
        <v>1.8811175126783395</v>
      </c>
      <c r="U262" s="6">
        <f t="shared" si="99"/>
        <v>2.3390327157921846</v>
      </c>
      <c r="V262" s="6">
        <f t="shared" si="99"/>
        <v>2.8064277207602051</v>
      </c>
      <c r="W262" s="6">
        <f t="shared" si="99"/>
        <v>3.2537606354146509</v>
      </c>
      <c r="X262" s="6">
        <f t="shared" si="99"/>
        <v>3.6723599888800207</v>
      </c>
      <c r="Y262" s="6">
        <f t="shared" si="99"/>
        <v>4.0879234961969404</v>
      </c>
      <c r="Z262" s="6">
        <f t="shared" si="100"/>
        <v>4.50915791105247</v>
      </c>
      <c r="AA262" s="6">
        <f t="shared" si="100"/>
        <v>4.9757400478889338</v>
      </c>
      <c r="AB262" s="6">
        <f t="shared" si="100"/>
        <v>5.4237906525127109</v>
      </c>
      <c r="AC262" s="6">
        <f t="shared" si="100"/>
        <v>5.9017217715555823</v>
      </c>
      <c r="AD262" s="6">
        <f t="shared" si="100"/>
        <v>6.3842204592705034</v>
      </c>
      <c r="AE262" s="6">
        <f t="shared" si="100"/>
        <v>6.9165472671958277</v>
      </c>
      <c r="AF262" s="6">
        <f t="shared" si="100"/>
        <v>7.4590910972633484</v>
      </c>
      <c r="AG262" s="6">
        <f t="shared" si="100"/>
        <v>7.9809408419970627</v>
      </c>
      <c r="AH262" s="6">
        <f t="shared" si="100"/>
        <v>8.4806729449164244</v>
      </c>
      <c r="AI262" s="6">
        <f t="shared" si="100"/>
        <v>8.9160243081633297</v>
      </c>
      <c r="AJ262" s="6">
        <f t="shared" si="100"/>
        <v>9.3939945668698428</v>
      </c>
      <c r="AK262" s="6">
        <f t="shared" si="100"/>
        <v>9.9191372078267825</v>
      </c>
      <c r="AL262" s="6">
        <f t="shared" si="100"/>
        <v>10.420998243965361</v>
      </c>
      <c r="AM262" s="6">
        <f t="shared" si="100"/>
        <v>13.037058167679342</v>
      </c>
      <c r="AN262" s="6">
        <f t="shared" si="100"/>
        <v>15.19274397679745</v>
      </c>
      <c r="AO262" s="3">
        <f t="shared" si="97"/>
        <v>15.19274397679745</v>
      </c>
      <c r="AP262" s="3">
        <f t="shared" si="97"/>
        <v>15.19274397679745</v>
      </c>
      <c r="AQ262" s="3"/>
      <c r="AR262" s="3"/>
      <c r="AS262" s="3"/>
      <c r="AT262" s="3"/>
      <c r="AU262" s="3"/>
      <c r="AV262" s="3"/>
    </row>
    <row r="263" spans="1:48" customFormat="1">
      <c r="B263" s="16" t="str">
        <f t="shared" si="98"/>
        <v>COM_PROJ</v>
      </c>
      <c r="C263" s="17" t="str">
        <f t="shared" si="92"/>
        <v>-</v>
      </c>
      <c r="D263" s="16" t="str">
        <f>COM!B179</f>
        <v>CNW</v>
      </c>
      <c r="E263" s="17" t="str">
        <f t="shared" si="93"/>
        <v>-</v>
      </c>
      <c r="F263" s="17" t="str">
        <f t="shared" si="93"/>
        <v>-</v>
      </c>
      <c r="G263" s="17" t="str">
        <f t="shared" si="93"/>
        <v>-</v>
      </c>
      <c r="H263" s="17" t="str">
        <f t="shared" si="93"/>
        <v>-</v>
      </c>
      <c r="I263" s="16">
        <f t="shared" si="94"/>
        <v>0</v>
      </c>
      <c r="J263" s="6">
        <f t="shared" si="99"/>
        <v>0</v>
      </c>
      <c r="K263" s="6">
        <f t="shared" si="99"/>
        <v>0</v>
      </c>
      <c r="L263" s="6">
        <f t="shared" si="99"/>
        <v>0</v>
      </c>
      <c r="M263" s="6">
        <f t="shared" si="99"/>
        <v>0</v>
      </c>
      <c r="N263" s="6">
        <f t="shared" si="99"/>
        <v>0</v>
      </c>
      <c r="O263" s="6">
        <f t="shared" si="99"/>
        <v>0</v>
      </c>
      <c r="P263" s="6">
        <f t="shared" si="99"/>
        <v>0.13273002272365989</v>
      </c>
      <c r="Q263" s="6">
        <f t="shared" si="99"/>
        <v>0.25571516851028336</v>
      </c>
      <c r="R263" s="6">
        <f t="shared" si="99"/>
        <v>0.3329119614709351</v>
      </c>
      <c r="S263" s="6">
        <f t="shared" si="99"/>
        <v>0.53590287415387494</v>
      </c>
      <c r="T263" s="6">
        <f t="shared" si="99"/>
        <v>0.71286470663275703</v>
      </c>
      <c r="U263" s="6">
        <f t="shared" si="99"/>
        <v>0.88639537908163391</v>
      </c>
      <c r="V263" s="6">
        <f t="shared" si="99"/>
        <v>1.063518499169835</v>
      </c>
      <c r="W263" s="6">
        <f t="shared" si="99"/>
        <v>1.2330389277571403</v>
      </c>
      <c r="X263" s="6">
        <f t="shared" si="99"/>
        <v>1.3916705407709831</v>
      </c>
      <c r="Y263" s="6">
        <f t="shared" si="99"/>
        <v>1.5491516953156386</v>
      </c>
      <c r="Z263" s="6">
        <f t="shared" si="100"/>
        <v>1.7087818861706818</v>
      </c>
      <c r="AA263" s="6">
        <f t="shared" si="100"/>
        <v>1.8855969633013181</v>
      </c>
      <c r="AB263" s="6">
        <f t="shared" si="100"/>
        <v>2.0553893663112692</v>
      </c>
      <c r="AC263" s="6">
        <f t="shared" si="100"/>
        <v>2.2365052321042955</v>
      </c>
      <c r="AD263" s="6">
        <f t="shared" si="100"/>
        <v>2.4193520150141321</v>
      </c>
      <c r="AE263" s="6">
        <f t="shared" si="100"/>
        <v>2.6210815673716228</v>
      </c>
      <c r="AF263" s="6">
        <f t="shared" si="100"/>
        <v>2.8266829429634246</v>
      </c>
      <c r="AG263" s="6">
        <f t="shared" si="100"/>
        <v>3.0244421274262354</v>
      </c>
      <c r="AH263" s="6">
        <f t="shared" si="100"/>
        <v>3.2138196525099096</v>
      </c>
      <c r="AI263" s="6">
        <f t="shared" si="100"/>
        <v>3.3787995752162283</v>
      </c>
      <c r="AJ263" s="6">
        <f t="shared" si="100"/>
        <v>3.5599302733015765</v>
      </c>
      <c r="AK263" s="6">
        <f t="shared" si="100"/>
        <v>3.7589373274398969</v>
      </c>
      <c r="AL263" s="6">
        <f t="shared" si="100"/>
        <v>3.9491216289979434</v>
      </c>
      <c r="AM263" s="6">
        <f t="shared" si="100"/>
        <v>4.940498710697022</v>
      </c>
      <c r="AN263" s="6">
        <f t="shared" si="100"/>
        <v>5.7574132955394131</v>
      </c>
      <c r="AO263" s="3">
        <f t="shared" si="97"/>
        <v>5.7574132955394131</v>
      </c>
      <c r="AP263" s="3">
        <f t="shared" si="97"/>
        <v>5.7574132955394131</v>
      </c>
      <c r="AQ263" s="3"/>
      <c r="AR263" s="3"/>
      <c r="AS263" s="3"/>
      <c r="AT263" s="3"/>
      <c r="AU263" s="3"/>
      <c r="AV263" s="3"/>
    </row>
    <row r="264" spans="1:48" customFormat="1">
      <c r="B264" s="16" t="str">
        <f t="shared" si="98"/>
        <v>COM_PROJ</v>
      </c>
      <c r="C264" s="17" t="str">
        <f t="shared" si="92"/>
        <v>-</v>
      </c>
      <c r="D264" s="16" t="str">
        <f>COM!B180</f>
        <v>CNG</v>
      </c>
      <c r="E264" s="17" t="str">
        <f t="shared" ref="E264:H266" si="101">IF($A264="*","","-")</f>
        <v>-</v>
      </c>
      <c r="F264" s="17" t="str">
        <f t="shared" si="101"/>
        <v>-</v>
      </c>
      <c r="G264" s="17" t="str">
        <f t="shared" si="101"/>
        <v>-</v>
      </c>
      <c r="H264" s="17" t="str">
        <f t="shared" si="101"/>
        <v>-</v>
      </c>
      <c r="I264" s="16">
        <f t="shared" si="94"/>
        <v>0</v>
      </c>
      <c r="J264" s="6">
        <f t="shared" si="99"/>
        <v>0</v>
      </c>
      <c r="K264" s="6">
        <f t="shared" si="99"/>
        <v>0</v>
      </c>
      <c r="L264" s="6">
        <f t="shared" si="99"/>
        <v>0</v>
      </c>
      <c r="M264" s="6">
        <f t="shared" si="99"/>
        <v>0</v>
      </c>
      <c r="N264" s="6">
        <f t="shared" si="99"/>
        <v>0</v>
      </c>
      <c r="O264" s="6">
        <f t="shared" si="99"/>
        <v>0</v>
      </c>
      <c r="P264" s="6">
        <f t="shared" si="99"/>
        <v>0</v>
      </c>
      <c r="Q264" s="6">
        <f t="shared" si="99"/>
        <v>0</v>
      </c>
      <c r="R264" s="6">
        <f t="shared" si="99"/>
        <v>0</v>
      </c>
      <c r="S264" s="6">
        <f t="shared" si="99"/>
        <v>0</v>
      </c>
      <c r="T264" s="6">
        <f t="shared" si="99"/>
        <v>0</v>
      </c>
      <c r="U264" s="6">
        <f t="shared" si="99"/>
        <v>0</v>
      </c>
      <c r="V264" s="6">
        <f t="shared" si="99"/>
        <v>0</v>
      </c>
      <c r="W264" s="6">
        <f t="shared" si="99"/>
        <v>0</v>
      </c>
      <c r="X264" s="6">
        <f t="shared" si="99"/>
        <v>0</v>
      </c>
      <c r="Y264" s="6">
        <f t="shared" si="99"/>
        <v>0</v>
      </c>
      <c r="Z264" s="6">
        <f t="shared" si="100"/>
        <v>0</v>
      </c>
      <c r="AA264" s="6">
        <f t="shared" si="100"/>
        <v>0</v>
      </c>
      <c r="AB264" s="6">
        <f t="shared" si="100"/>
        <v>0</v>
      </c>
      <c r="AC264" s="6">
        <f t="shared" si="100"/>
        <v>0</v>
      </c>
      <c r="AD264" s="6">
        <f t="shared" si="100"/>
        <v>0</v>
      </c>
      <c r="AE264" s="6">
        <f t="shared" si="100"/>
        <v>0</v>
      </c>
      <c r="AF264" s="6">
        <f t="shared" si="100"/>
        <v>0</v>
      </c>
      <c r="AG264" s="6">
        <f t="shared" si="100"/>
        <v>0</v>
      </c>
      <c r="AH264" s="6">
        <f t="shared" si="100"/>
        <v>0</v>
      </c>
      <c r="AI264" s="6">
        <f t="shared" si="100"/>
        <v>0</v>
      </c>
      <c r="AJ264" s="6">
        <f t="shared" si="100"/>
        <v>0</v>
      </c>
      <c r="AK264" s="6">
        <f t="shared" si="100"/>
        <v>0</v>
      </c>
      <c r="AL264" s="6">
        <f t="shared" si="100"/>
        <v>0</v>
      </c>
      <c r="AM264" s="6">
        <f t="shared" si="100"/>
        <v>0</v>
      </c>
      <c r="AN264" s="6">
        <f t="shared" si="100"/>
        <v>0</v>
      </c>
      <c r="AO264" s="3">
        <f t="shared" si="97"/>
        <v>0</v>
      </c>
      <c r="AP264" s="3">
        <f t="shared" si="97"/>
        <v>0</v>
      </c>
      <c r="AQ264" s="3"/>
      <c r="AR264" s="3"/>
      <c r="AS264" s="3"/>
      <c r="AT264" s="3"/>
      <c r="AU264" s="3"/>
      <c r="AV264" s="3"/>
    </row>
    <row r="265" spans="1:48" customFormat="1">
      <c r="B265" s="16" t="str">
        <f t="shared" si="98"/>
        <v>COM_PROJ</v>
      </c>
      <c r="C265" s="17" t="str">
        <f t="shared" si="92"/>
        <v>-</v>
      </c>
      <c r="D265" s="16" t="str">
        <f>COM!B181</f>
        <v>CNT</v>
      </c>
      <c r="E265" s="17" t="str">
        <f t="shared" si="101"/>
        <v>-</v>
      </c>
      <c r="F265" s="17" t="str">
        <f t="shared" si="101"/>
        <v>-</v>
      </c>
      <c r="G265" s="17" t="str">
        <f t="shared" si="101"/>
        <v>-</v>
      </c>
      <c r="H265" s="17" t="str">
        <f t="shared" si="101"/>
        <v>-</v>
      </c>
      <c r="I265" s="16">
        <f t="shared" si="94"/>
        <v>0</v>
      </c>
      <c r="J265" s="6">
        <f t="shared" si="99"/>
        <v>0</v>
      </c>
      <c r="K265" s="6">
        <f t="shared" si="99"/>
        <v>0</v>
      </c>
      <c r="L265" s="6">
        <f t="shared" si="99"/>
        <v>0</v>
      </c>
      <c r="M265" s="6">
        <f t="shared" si="99"/>
        <v>0</v>
      </c>
      <c r="N265" s="6">
        <f t="shared" si="99"/>
        <v>0</v>
      </c>
      <c r="O265" s="6">
        <f t="shared" si="99"/>
        <v>0</v>
      </c>
      <c r="P265" s="6">
        <f t="shared" si="99"/>
        <v>0</v>
      </c>
      <c r="Q265" s="6">
        <f t="shared" si="99"/>
        <v>0</v>
      </c>
      <c r="R265" s="6">
        <f t="shared" si="99"/>
        <v>0</v>
      </c>
      <c r="S265" s="6">
        <f t="shared" si="99"/>
        <v>0</v>
      </c>
      <c r="T265" s="6">
        <f t="shared" si="99"/>
        <v>0</v>
      </c>
      <c r="U265" s="6">
        <f t="shared" si="99"/>
        <v>0</v>
      </c>
      <c r="V265" s="6">
        <f t="shared" si="99"/>
        <v>0</v>
      </c>
      <c r="W265" s="6">
        <f t="shared" si="99"/>
        <v>0</v>
      </c>
      <c r="X265" s="6">
        <f t="shared" si="99"/>
        <v>0</v>
      </c>
      <c r="Y265" s="6">
        <f t="shared" si="99"/>
        <v>0</v>
      </c>
      <c r="Z265" s="6">
        <f t="shared" si="100"/>
        <v>0</v>
      </c>
      <c r="AA265" s="6">
        <f t="shared" si="100"/>
        <v>0</v>
      </c>
      <c r="AB265" s="6">
        <f t="shared" si="100"/>
        <v>0</v>
      </c>
      <c r="AC265" s="6">
        <f t="shared" si="100"/>
        <v>0</v>
      </c>
      <c r="AD265" s="6">
        <f t="shared" si="100"/>
        <v>0</v>
      </c>
      <c r="AE265" s="6">
        <f t="shared" si="100"/>
        <v>0</v>
      </c>
      <c r="AF265" s="6">
        <f t="shared" si="100"/>
        <v>0</v>
      </c>
      <c r="AG265" s="6">
        <f t="shared" si="100"/>
        <v>0</v>
      </c>
      <c r="AH265" s="6">
        <f t="shared" si="100"/>
        <v>0</v>
      </c>
      <c r="AI265" s="6">
        <f t="shared" si="100"/>
        <v>0</v>
      </c>
      <c r="AJ265" s="6">
        <f t="shared" si="100"/>
        <v>0</v>
      </c>
      <c r="AK265" s="6">
        <f t="shared" si="100"/>
        <v>0</v>
      </c>
      <c r="AL265" s="6">
        <f t="shared" si="100"/>
        <v>0</v>
      </c>
      <c r="AM265" s="6">
        <f t="shared" si="100"/>
        <v>0</v>
      </c>
      <c r="AN265" s="6">
        <f t="shared" si="100"/>
        <v>0</v>
      </c>
      <c r="AO265" s="3">
        <f>AN265</f>
        <v>0</v>
      </c>
      <c r="AP265" s="3">
        <f>AO265</f>
        <v>0</v>
      </c>
      <c r="AQ265" s="3"/>
      <c r="AR265" s="3"/>
      <c r="AS265" s="3"/>
      <c r="AT265" s="3"/>
      <c r="AU265" s="3"/>
      <c r="AV265" s="3"/>
    </row>
    <row r="266" spans="1:48" customFormat="1">
      <c r="B266" s="16" t="str">
        <f t="shared" si="98"/>
        <v>COM_PROJ</v>
      </c>
      <c r="C266" s="17" t="str">
        <f t="shared" si="92"/>
        <v>-</v>
      </c>
      <c r="D266" s="16" t="str">
        <f>COM!B182</f>
        <v>CNO</v>
      </c>
      <c r="E266" s="17" t="str">
        <f t="shared" si="101"/>
        <v>-</v>
      </c>
      <c r="F266" s="17" t="str">
        <f t="shared" si="101"/>
        <v>-</v>
      </c>
      <c r="G266" s="17" t="str">
        <f t="shared" si="101"/>
        <v>-</v>
      </c>
      <c r="H266" s="17" t="str">
        <f t="shared" si="101"/>
        <v>-</v>
      </c>
      <c r="I266" s="16">
        <f t="shared" si="94"/>
        <v>0</v>
      </c>
      <c r="J266" s="6">
        <f t="shared" si="99"/>
        <v>0</v>
      </c>
      <c r="K266" s="6">
        <f t="shared" si="99"/>
        <v>0</v>
      </c>
      <c r="L266" s="6">
        <f t="shared" si="99"/>
        <v>0</v>
      </c>
      <c r="M266" s="6">
        <f t="shared" si="99"/>
        <v>0</v>
      </c>
      <c r="N266" s="6">
        <f t="shared" si="99"/>
        <v>0</v>
      </c>
      <c r="O266" s="6">
        <f t="shared" si="99"/>
        <v>0</v>
      </c>
      <c r="P266" s="6">
        <f t="shared" si="99"/>
        <v>0.23382419467651278</v>
      </c>
      <c r="Q266" s="6">
        <f t="shared" si="99"/>
        <v>0.45048130118964741</v>
      </c>
      <c r="R266" s="6">
        <f t="shared" si="99"/>
        <v>0.58647523515600009</v>
      </c>
      <c r="S266" s="6">
        <f t="shared" si="99"/>
        <v>0.94407471197939985</v>
      </c>
      <c r="T266" s="6">
        <f t="shared" si="99"/>
        <v>1.2558199909959062</v>
      </c>
      <c r="U266" s="6">
        <f t="shared" si="99"/>
        <v>1.5615207578940611</v>
      </c>
      <c r="V266" s="6">
        <f t="shared" si="99"/>
        <v>1.8735501696530052</v>
      </c>
      <c r="W266" s="6">
        <f t="shared" si="99"/>
        <v>2.1721862798732912</v>
      </c>
      <c r="X266" s="6">
        <f t="shared" si="99"/>
        <v>2.4516400794135977</v>
      </c>
      <c r="Y266" s="6">
        <f t="shared" si="99"/>
        <v>2.7290671707567209</v>
      </c>
      <c r="Z266" s="6">
        <f t="shared" si="100"/>
        <v>3.0102801175852538</v>
      </c>
      <c r="AA266" s="6">
        <f t="shared" si="100"/>
        <v>3.3217668646553777</v>
      </c>
      <c r="AB266" s="6">
        <f t="shared" si="100"/>
        <v>3.6208820993347945</v>
      </c>
      <c r="AC266" s="6">
        <f t="shared" si="100"/>
        <v>3.9399453420976149</v>
      </c>
      <c r="AD266" s="6">
        <f t="shared" si="100"/>
        <v>4.2620578595654699</v>
      </c>
      <c r="AE266" s="6">
        <f t="shared" si="100"/>
        <v>4.6174352576440398</v>
      </c>
      <c r="AF266" s="6">
        <f t="shared" si="100"/>
        <v>4.9796334633373078</v>
      </c>
      <c r="AG266" s="6">
        <f t="shared" si="100"/>
        <v>5.3280164523402771</v>
      </c>
      <c r="AH266" s="6">
        <f t="shared" si="100"/>
        <v>5.6616338689869465</v>
      </c>
      <c r="AI266" s="6">
        <f t="shared" si="100"/>
        <v>5.9522711850440171</v>
      </c>
      <c r="AJ266" s="6">
        <f t="shared" si="100"/>
        <v>6.2713605571537343</v>
      </c>
      <c r="AK266" s="6">
        <f t="shared" si="100"/>
        <v>6.6219418590624777</v>
      </c>
      <c r="AL266" s="6">
        <f t="shared" si="100"/>
        <v>6.9569805356135239</v>
      </c>
      <c r="AM266" s="6">
        <f t="shared" si="100"/>
        <v>8.7034425868681673</v>
      </c>
      <c r="AN266" s="6">
        <f t="shared" si="100"/>
        <v>10.14256232029846</v>
      </c>
      <c r="AO266" s="3">
        <f>AN266</f>
        <v>10.14256232029846</v>
      </c>
      <c r="AP266" s="3">
        <f>AO266</f>
        <v>10.14256232029846</v>
      </c>
      <c r="AQ266" s="3"/>
      <c r="AR266" s="3"/>
      <c r="AS266" s="3"/>
      <c r="AT266" s="3"/>
      <c r="AU266" s="3"/>
      <c r="AV266" s="3"/>
    </row>
    <row r="267" spans="1:48">
      <c r="K267" s="75"/>
    </row>
    <row r="268" spans="1:48">
      <c r="K268" s="75"/>
    </row>
    <row r="269" spans="1:48">
      <c r="M269" s="82"/>
      <c r="AB269" s="8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2" customWidth="1"/>
    <col min="2" max="2" width="9.140625" style="12"/>
    <col min="3" max="3" width="11" style="12" customWidth="1"/>
    <col min="4" max="4" width="36.85546875" style="12" customWidth="1"/>
    <col min="5" max="5" width="10.140625" style="12" customWidth="1"/>
    <col min="6" max="6" width="28.85546875" style="12" customWidth="1"/>
    <col min="7" max="16384" width="9.140625" style="12"/>
  </cols>
  <sheetData>
    <row r="1" spans="1:9">
      <c r="A1" s="10" t="s">
        <v>28</v>
      </c>
      <c r="B1" s="12" t="s">
        <v>17</v>
      </c>
      <c r="I1" s="12" t="s">
        <v>78</v>
      </c>
    </row>
    <row r="2" spans="1:9">
      <c r="A2" s="12" t="s">
        <v>16</v>
      </c>
    </row>
    <row r="3" spans="1:9">
      <c r="A3" s="12" t="s">
        <v>16</v>
      </c>
    </row>
    <row r="4" spans="1:9">
      <c r="A4" s="12" t="s">
        <v>16</v>
      </c>
      <c r="B4" s="10" t="s">
        <v>30</v>
      </c>
      <c r="C4" s="20" t="s">
        <v>31</v>
      </c>
      <c r="D4" s="10" t="s">
        <v>32</v>
      </c>
      <c r="E4" s="10" t="s">
        <v>33</v>
      </c>
      <c r="F4" s="10" t="s">
        <v>34</v>
      </c>
      <c r="G4" s="10" t="s">
        <v>35</v>
      </c>
    </row>
    <row r="5" spans="1:9">
      <c r="A5" s="12" t="s">
        <v>16</v>
      </c>
      <c r="B5" s="10" t="s">
        <v>79</v>
      </c>
      <c r="C5" s="20"/>
      <c r="D5" s="10"/>
      <c r="E5" s="10"/>
      <c r="F5" s="10"/>
      <c r="G5" s="10"/>
    </row>
    <row r="6" spans="1:9">
      <c r="A6" s="12" t="str">
        <f>[2]ITEMS_Comm!A9</f>
        <v/>
      </c>
      <c r="B6" s="13" t="str">
        <f>[2]ITEMS_Comm!B9</f>
        <v>E</v>
      </c>
      <c r="C6" s="21" t="str">
        <f>[2]ITEMS_Comm!C9</f>
        <v>TPPRSUV</v>
      </c>
      <c r="D6" s="12" t="str">
        <f>[2]ITEMS_Comm!D9</f>
        <v>Transport Passenger SUV Priv.Veh.</v>
      </c>
      <c r="E6" s="13" t="str">
        <f>[2]ITEMS_Comm!E9</f>
        <v>PJ</v>
      </c>
      <c r="F6" s="13" t="str">
        <f>[2]ITEMS_Comm!F9</f>
        <v>COM,DEM,ANNUAL,RES</v>
      </c>
    </row>
    <row r="7" spans="1:9">
      <c r="A7" s="12" t="str">
        <f>[2]ITEMS_Comm!A10</f>
        <v/>
      </c>
      <c r="B7" s="13" t="str">
        <f>[2]ITEMS_Comm!B10</f>
        <v>E</v>
      </c>
      <c r="C7" s="21" t="str">
        <f>[2]ITEMS_Comm!C10</f>
        <v>TPPRCAR</v>
      </c>
      <c r="D7" s="12" t="str">
        <f>[2]ITEMS_Comm!D10</f>
        <v>Transport Passenger Car Priv.Veh.</v>
      </c>
      <c r="E7" s="13" t="str">
        <f>[2]ITEMS_Comm!E10</f>
        <v>PJ</v>
      </c>
      <c r="F7" s="13" t="str">
        <f>[2]ITEMS_Comm!F10</f>
        <v>COM,DEM,ANNUAL,RES</v>
      </c>
    </row>
    <row r="8" spans="1:9">
      <c r="A8" s="12" t="str">
        <f>[2]ITEMS_Comm!A11</f>
        <v/>
      </c>
      <c r="B8" s="13" t="str">
        <f>[2]ITEMS_Comm!B11</f>
        <v>E</v>
      </c>
      <c r="C8" s="21" t="str">
        <f>[2]ITEMS_Comm!C11</f>
        <v>TPPRMOT</v>
      </c>
      <c r="D8" s="12" t="str">
        <f>[2]ITEMS_Comm!D11</f>
        <v>Transport Passenger Moto Priv.Veh.</v>
      </c>
      <c r="E8" s="13" t="str">
        <f>[2]ITEMS_Comm!E11</f>
        <v>PJ</v>
      </c>
      <c r="F8" s="13" t="str">
        <f>[2]ITEMS_Comm!F11</f>
        <v>COM,DEM,ANNUAL,RES</v>
      </c>
    </row>
    <row r="9" spans="1:9">
      <c r="A9" s="12" t="str">
        <f>[2]ITEMS_Comm!A12</f>
        <v/>
      </c>
      <c r="B9" s="13" t="str">
        <f>[2]ITEMS_Comm!B12</f>
        <v>E</v>
      </c>
      <c r="C9" s="21" t="str">
        <f>[2]ITEMS_Comm!C12</f>
        <v>TPPUBUS</v>
      </c>
      <c r="D9" s="12" t="str">
        <f>[2]ITEMS_Comm!D12</f>
        <v>Transport Passenger Bus</v>
      </c>
      <c r="E9" s="13" t="str">
        <f>[2]ITEMS_Comm!E12</f>
        <v>PJ</v>
      </c>
      <c r="F9" s="13" t="str">
        <f>[2]ITEMS_Comm!F12</f>
        <v>COM,DEM,ANNUAL,RES</v>
      </c>
    </row>
    <row r="10" spans="1:9">
      <c r="A10" s="12" t="str">
        <f>[2]ITEMS_Comm!A13</f>
        <v/>
      </c>
      <c r="B10" s="13" t="str">
        <f>[2]ITEMS_Comm!B13</f>
        <v>E</v>
      </c>
      <c r="C10" s="21" t="str">
        <f>[2]ITEMS_Comm!C13</f>
        <v>TPPUMBT</v>
      </c>
      <c r="D10" s="12" t="str">
        <f>[2]ITEMS_Comm!D13</f>
        <v>Transport Passenger Minibus</v>
      </c>
      <c r="E10" s="13" t="str">
        <f>[2]ITEMS_Comm!E13</f>
        <v>PJ</v>
      </c>
      <c r="F10" s="13" t="str">
        <f>[2]ITEMS_Comm!F13</f>
        <v>COM,DEM,ANNUAL,RES</v>
      </c>
    </row>
    <row r="11" spans="1:9">
      <c r="A11" s="12" t="str">
        <f>[2]ITEMS_Comm!A14</f>
        <v/>
      </c>
      <c r="B11" s="13" t="str">
        <f>[2]ITEMS_Comm!B14</f>
        <v>E</v>
      </c>
      <c r="C11" s="21" t="str">
        <f>[2]ITEMS_Comm!C14</f>
        <v>TPPUBRT</v>
      </c>
      <c r="D11" s="12" t="str">
        <f>[2]ITEMS_Comm!D14</f>
        <v>Transport Passenger BRT</v>
      </c>
      <c r="E11" s="13" t="str">
        <f>[2]ITEMS_Comm!E14</f>
        <v>PJ</v>
      </c>
      <c r="F11" s="13" t="str">
        <f>[2]ITEMS_Comm!F14</f>
        <v>COM,DEM,ANNUAL,RES</v>
      </c>
    </row>
    <row r="12" spans="1:9">
      <c r="A12" s="12" t="str">
        <f>[2]ITEMS_Comm!A15</f>
        <v/>
      </c>
      <c r="B12" s="13" t="str">
        <f>[2]ITEMS_Comm!B15</f>
        <v>E</v>
      </c>
      <c r="C12" s="21" t="str">
        <f>[2]ITEMS_Comm!C15</f>
        <v>TPPUMER</v>
      </c>
      <c r="D12" s="12" t="str">
        <f>[2]ITEMS_Comm!D15</f>
        <v>Transport Passenger Metro Rail</v>
      </c>
      <c r="E12" s="13" t="str">
        <f>[2]ITEMS_Comm!E15</f>
        <v>PJ</v>
      </c>
      <c r="F12" s="13" t="str">
        <f>[2]ITEMS_Comm!F15</f>
        <v>COM,DEM,ANNUAL,RES</v>
      </c>
    </row>
    <row r="13" spans="1:9">
      <c r="A13" s="12" t="str">
        <f>[2]ITEMS_Comm!A16</f>
        <v/>
      </c>
      <c r="B13" s="13" t="str">
        <f>[2]ITEMS_Comm!B16</f>
        <v>E</v>
      </c>
      <c r="C13" s="21" t="str">
        <f>[2]ITEMS_Comm!C16</f>
        <v>TPPUGAT</v>
      </c>
      <c r="D13" s="12" t="str">
        <f>[2]ITEMS_Comm!D16</f>
        <v>Transport Passenger Gautrain</v>
      </c>
      <c r="E13" s="13" t="str">
        <f>[2]ITEMS_Comm!E16</f>
        <v>PJ</v>
      </c>
      <c r="F13" s="13" t="str">
        <f>[2]ITEMS_Comm!F16</f>
        <v>COM,DEM,ANNUAL,RES</v>
      </c>
    </row>
    <row r="14" spans="1:9">
      <c r="A14" s="12" t="str">
        <f>[2]ITEMS_Comm!A17</f>
        <v>*</v>
      </c>
      <c r="B14" s="13"/>
      <c r="C14" s="21"/>
      <c r="E14" s="13"/>
      <c r="F14" s="13"/>
    </row>
    <row r="15" spans="1:9">
      <c r="B15" s="13" t="str">
        <f>[2]ITEMS_Comm!B18</f>
        <v>E</v>
      </c>
      <c r="C15" s="21" t="str">
        <f>[2]ITEMS_Comm!C18</f>
        <v>TFLCV</v>
      </c>
      <c r="D15" s="12" t="str">
        <f>[2]ITEMS_Comm!D18</f>
        <v>Transport Freight - LCV</v>
      </c>
      <c r="E15" s="13" t="str">
        <f>[2]ITEMS_Comm!E18</f>
        <v>PJ</v>
      </c>
      <c r="F15" s="13" t="str">
        <f>[2]ITEMS_Comm!F18</f>
        <v>COM,DEM,ANNUAL,RES</v>
      </c>
    </row>
    <row r="16" spans="1:9">
      <c r="B16" s="13" t="str">
        <f>[2]ITEMS_Comm!B19</f>
        <v>E</v>
      </c>
      <c r="C16" s="21" t="str">
        <f>[2]ITEMS_Comm!C19</f>
        <v>TFHCV1</v>
      </c>
      <c r="D16" s="12" t="str">
        <f>[2]ITEMS_Comm!D19</f>
        <v>Transport Freight - HCV1</v>
      </c>
      <c r="E16" s="13" t="str">
        <f>[2]ITEMS_Comm!E19</f>
        <v>PJ</v>
      </c>
      <c r="F16" s="13" t="str">
        <f>[2]ITEMS_Comm!F19</f>
        <v>COM,DEM,ANNUAL,RES</v>
      </c>
    </row>
    <row r="17" spans="1:6">
      <c r="B17" s="13" t="str">
        <f>[2]ITEMS_Comm!B20</f>
        <v>E</v>
      </c>
      <c r="C17" s="21" t="str">
        <f>[2]ITEMS_Comm!C20</f>
        <v>TFHCV2</v>
      </c>
      <c r="D17" s="12" t="str">
        <f>[2]ITEMS_Comm!D20</f>
        <v>Transport Freight - HCV2</v>
      </c>
      <c r="E17" s="13" t="str">
        <f>[2]ITEMS_Comm!E20</f>
        <v>PJ</v>
      </c>
      <c r="F17" s="13" t="str">
        <f>[2]ITEMS_Comm!F20</f>
        <v>COM,DEM,ANNUAL,RES</v>
      </c>
    </row>
    <row r="18" spans="1:6">
      <c r="B18" s="13" t="str">
        <f>[2]ITEMS_Comm!B21</f>
        <v>E</v>
      </c>
      <c r="C18" s="21" t="str">
        <f>[2]ITEMS_Comm!C21</f>
        <v>TFHCV3</v>
      </c>
      <c r="D18" s="12" t="str">
        <f>[2]ITEMS_Comm!D21</f>
        <v>Transport Freight - HCV3</v>
      </c>
      <c r="E18" s="13" t="str">
        <f>[2]ITEMS_Comm!E21</f>
        <v>PJ</v>
      </c>
      <c r="F18" s="13" t="str">
        <f>[2]ITEMS_Comm!F21</f>
        <v>COM,DEM,ANNUAL,RES</v>
      </c>
    </row>
    <row r="19" spans="1:6">
      <c r="B19" s="13" t="str">
        <f>[2]ITEMS_Comm!B22</f>
        <v>E</v>
      </c>
      <c r="C19" s="21" t="str">
        <f>[2]ITEMS_Comm!C22</f>
        <v>TFHCV4</v>
      </c>
      <c r="D19" s="12" t="str">
        <f>[2]ITEMS_Comm!D22</f>
        <v>Transport Freight - HCV4</v>
      </c>
      <c r="E19" s="13" t="str">
        <f>[2]ITEMS_Comm!E22</f>
        <v>PJ</v>
      </c>
      <c r="F19" s="13" t="str">
        <f>[2]ITEMS_Comm!F22</f>
        <v>COM,DEM,ANNUAL,RES</v>
      </c>
    </row>
    <row r="20" spans="1:6">
      <c r="B20" s="13" t="str">
        <f>[2]ITEMS_Comm!B23</f>
        <v>E</v>
      </c>
      <c r="C20" s="21" t="str">
        <f>[2]ITEMS_Comm!C23</f>
        <v>TFHCV5</v>
      </c>
      <c r="D20" s="12" t="str">
        <f>[2]ITEMS_Comm!D23</f>
        <v>Transport Freight - HCV5</v>
      </c>
      <c r="E20" s="13" t="str">
        <f>[2]ITEMS_Comm!E23</f>
        <v>PJ</v>
      </c>
      <c r="F20" s="13" t="str">
        <f>[2]ITEMS_Comm!F23</f>
        <v>COM,DEM,ANNUAL,RES</v>
      </c>
    </row>
    <row r="21" spans="1:6">
      <c r="B21" s="13" t="str">
        <f>[2]ITEMS_Comm!B24</f>
        <v>E</v>
      </c>
      <c r="C21" s="21" t="str">
        <f>[2]ITEMS_Comm!C24</f>
        <v>TFHCV6</v>
      </c>
      <c r="D21" s="12" t="str">
        <f>[2]ITEMS_Comm!D24</f>
        <v>Transport Freight - HCV6</v>
      </c>
      <c r="E21" s="13" t="str">
        <f>[2]ITEMS_Comm!E24</f>
        <v>PJ</v>
      </c>
      <c r="F21" s="13" t="str">
        <f>[2]ITEMS_Comm!F24</f>
        <v>COM,DEM,ANNUAL,RES</v>
      </c>
    </row>
    <row r="22" spans="1:6">
      <c r="B22" s="13" t="str">
        <f>[2]ITEMS_Comm!B25</f>
        <v>E</v>
      </c>
      <c r="C22" s="21" t="str">
        <f>[2]ITEMS_Comm!C25</f>
        <v>TFHCV7</v>
      </c>
      <c r="D22" s="12" t="str">
        <f>[2]ITEMS_Comm!D25</f>
        <v>Transport Freight - HCV7</v>
      </c>
      <c r="E22" s="13" t="str">
        <f>[2]ITEMS_Comm!E25</f>
        <v>PJ</v>
      </c>
      <c r="F22" s="13" t="str">
        <f>[2]ITEMS_Comm!F25</f>
        <v>COM,DEM,ANNUAL,RES</v>
      </c>
    </row>
    <row r="23" spans="1:6">
      <c r="B23" s="13" t="str">
        <f>[2]ITEMS_Comm!B26</f>
        <v>E</v>
      </c>
      <c r="C23" s="21" t="str">
        <f>[2]ITEMS_Comm!C26</f>
        <v>TFHCV8</v>
      </c>
      <c r="D23" s="12" t="str">
        <f>[2]ITEMS_Comm!D26</f>
        <v>Transport Freight - HCV8</v>
      </c>
      <c r="E23" s="13" t="str">
        <f>[2]ITEMS_Comm!E26</f>
        <v>PJ</v>
      </c>
      <c r="F23" s="13" t="str">
        <f>[2]ITEMS_Comm!F26</f>
        <v>COM,DEM,ANNUAL,RES</v>
      </c>
    </row>
    <row r="24" spans="1:6">
      <c r="B24" s="13" t="str">
        <f>[2]ITEMS_Comm!B27</f>
        <v>E</v>
      </c>
      <c r="C24" s="21" t="str">
        <f>[2]ITEMS_Comm!C27</f>
        <v>TFHCV9</v>
      </c>
      <c r="D24" s="12" t="str">
        <f>[2]ITEMS_Comm!D27</f>
        <v>Transport Freight - HCV9</v>
      </c>
      <c r="E24" s="13" t="str">
        <f>[2]ITEMS_Comm!E27</f>
        <v>PJ</v>
      </c>
      <c r="F24" s="13" t="str">
        <f>[2]ITEMS_Comm!F27</f>
        <v>COM,DEM,ANNUAL,RES</v>
      </c>
    </row>
    <row r="25" spans="1:6">
      <c r="A25" s="12" t="str">
        <f>[2]ITEMS_Comm!A28</f>
        <v/>
      </c>
      <c r="B25" s="13" t="str">
        <f>[2]ITEMS_Comm!B28</f>
        <v>E</v>
      </c>
      <c r="C25" s="21" t="str">
        <f>[2]ITEMS_Comm!C28</f>
        <v>TFRCO</v>
      </c>
      <c r="D25" s="12" t="str">
        <f>[2]ITEMS_Comm!D28</f>
        <v>Transport Freight - Rail Corridor</v>
      </c>
      <c r="E25" s="13" t="str">
        <f>[2]ITEMS_Comm!E28</f>
        <v>PJ</v>
      </c>
      <c r="F25" s="13" t="str">
        <f>[2]ITEMS_Comm!F28</f>
        <v>COM,DEM,ANNUAL,RES</v>
      </c>
    </row>
    <row r="26" spans="1:6">
      <c r="A26" s="12" t="str">
        <f>[2]ITEMS_Comm!A29</f>
        <v/>
      </c>
      <c r="B26" s="13" t="str">
        <f>[2]ITEMS_Comm!B29</f>
        <v>E</v>
      </c>
      <c r="C26" s="21" t="str">
        <f>[2]ITEMS_Comm!C29</f>
        <v>TFROT</v>
      </c>
      <c r="D26" s="12" t="str">
        <f>[2]ITEMS_Comm!D29</f>
        <v>Transport Freight - Rail Other</v>
      </c>
      <c r="E26" s="13" t="str">
        <f>[2]ITEMS_Comm!E29</f>
        <v>PJ</v>
      </c>
      <c r="F26" s="13" t="str">
        <f>[2]ITEMS_Comm!F29</f>
        <v>COM,DEM,ANNUAL,RES</v>
      </c>
    </row>
    <row r="27" spans="1:6">
      <c r="A27" s="12" t="str">
        <f>[2]ITEMS_Comm!A30</f>
        <v/>
      </c>
      <c r="B27" s="13" t="str">
        <f>[2]ITEMS_Comm!B30</f>
        <v>E</v>
      </c>
      <c r="C27" s="21" t="str">
        <f>[2]ITEMS_Comm!C30</f>
        <v>TFREX</v>
      </c>
      <c r="D27" s="12" t="str">
        <f>[2]ITEMS_Comm!D30</f>
        <v>Transport Freight - Rail Export (bulk mining)</v>
      </c>
      <c r="E27" s="13" t="str">
        <f>[2]ITEMS_Comm!E30</f>
        <v>PJ</v>
      </c>
      <c r="F27" s="13" t="str">
        <f>[2]ITEMS_Comm!F30</f>
        <v>COM,DEM,ANNUAL,RES</v>
      </c>
    </row>
    <row r="28" spans="1:6">
      <c r="A28" s="12" t="str">
        <f>[2]ITEMS_Comm!A31</f>
        <v>*</v>
      </c>
      <c r="B28" s="13"/>
      <c r="C28" s="21"/>
      <c r="E28" s="13"/>
      <c r="F28" s="13"/>
    </row>
    <row r="29" spans="1:6">
      <c r="A29" s="12" t="str">
        <f>[2]ITEMS_Comm!A32</f>
        <v/>
      </c>
      <c r="B29" s="13" t="str">
        <f>[2]ITEMS_Comm!B32</f>
        <v>E</v>
      </c>
      <c r="C29" s="21" t="str">
        <f>[2]ITEMS_Comm!C32</f>
        <v>TFPIP</v>
      </c>
      <c r="D29" s="12" t="str">
        <f>[2]ITEMS_Comm!D32</f>
        <v>Transport Other - Pipeline</v>
      </c>
      <c r="E29" s="13" t="str">
        <f>[2]ITEMS_Comm!E32</f>
        <v>PJ</v>
      </c>
      <c r="F29" s="13" t="str">
        <f>[2]ITEMS_Comm!F32</f>
        <v>COM,DEM,ANNUAL,RES</v>
      </c>
    </row>
    <row r="30" spans="1:6">
      <c r="A30" s="12" t="str">
        <f>[2]ITEMS_Comm!A33</f>
        <v/>
      </c>
      <c r="B30" s="13" t="str">
        <f>[2]ITEMS_Comm!B33</f>
        <v>E</v>
      </c>
      <c r="C30" s="21" t="str">
        <f>[2]ITEMS_Comm!C33</f>
        <v>TAIJET</v>
      </c>
      <c r="D30" s="12" t="str">
        <f>[2]ITEMS_Comm!D33</f>
        <v xml:space="preserve">Transport Other -  Aviation Int Jet Fuel </v>
      </c>
      <c r="E30" s="13" t="str">
        <f>[2]ITEMS_Comm!E33</f>
        <v>PJ</v>
      </c>
      <c r="F30" s="13" t="str">
        <f>[2]ITEMS_Comm!F33</f>
        <v>COM,DEM,ANNUAL,RES</v>
      </c>
    </row>
    <row r="31" spans="1:6">
      <c r="A31" s="12" t="str">
        <f>[2]ITEMS_Comm!A34</f>
        <v/>
      </c>
      <c r="B31" s="13" t="str">
        <f>[2]ITEMS_Comm!B34</f>
        <v>E</v>
      </c>
      <c r="C31" s="21" t="str">
        <f>[2]ITEMS_Comm!C34</f>
        <v>TADJET</v>
      </c>
      <c r="D31" s="12" t="str">
        <f>[2]ITEMS_Comm!D34</f>
        <v xml:space="preserve">Transport Other -  Aviation Dom Jet Fuel </v>
      </c>
      <c r="E31" s="13" t="str">
        <f>[2]ITEMS_Comm!E34</f>
        <v>PJ</v>
      </c>
      <c r="F31" s="13" t="str">
        <f>[2]ITEMS_Comm!F34</f>
        <v>COM,DEM,ANNUAL,RES</v>
      </c>
    </row>
    <row r="32" spans="1:6">
      <c r="A32" s="12" t="str">
        <f>[2]ITEMS_Comm!A35</f>
        <v/>
      </c>
      <c r="B32" s="13" t="str">
        <f>[2]ITEMS_Comm!B35</f>
        <v>E</v>
      </c>
      <c r="C32" s="21" t="str">
        <f>[2]ITEMS_Comm!C35</f>
        <v>TAOAG</v>
      </c>
      <c r="D32" s="12" t="str">
        <f>[2]ITEMS_Comm!D35</f>
        <v>Transport Other - Aviation Gasoline</v>
      </c>
      <c r="E32" s="13" t="str">
        <f>[2]ITEMS_Comm!E35</f>
        <v>PJ</v>
      </c>
      <c r="F32" s="13" t="str">
        <f>[2]ITEMS_Comm!F35</f>
        <v>COM,DEM,ANNUAL,RES</v>
      </c>
    </row>
    <row r="33" spans="1:6">
      <c r="A33" s="12" t="str">
        <f>[2]ITEMS_Comm!A36</f>
        <v/>
      </c>
      <c r="B33" s="13" t="str">
        <f>[2]ITEMS_Comm!B36</f>
        <v>E</v>
      </c>
      <c r="C33" s="21" t="str">
        <f>[2]ITEMS_Comm!C36</f>
        <v>TSHFO</v>
      </c>
      <c r="D33" s="12" t="str">
        <f>[2]ITEMS_Comm!D36</f>
        <v>Transport Other - HFO</v>
      </c>
      <c r="E33" s="13" t="str">
        <f>[2]ITEMS_Comm!E36</f>
        <v>PJ</v>
      </c>
      <c r="F33" s="13" t="str">
        <f>[2]ITEMS_Comm!F36</f>
        <v>COM,DEM,ANNUAL,RES</v>
      </c>
    </row>
    <row r="34" spans="1:6">
      <c r="B34" s="13"/>
      <c r="C34" s="21"/>
      <c r="E34" s="13"/>
      <c r="F34" s="13"/>
    </row>
    <row r="35" spans="1:6">
      <c r="B35" s="13"/>
      <c r="C35" s="21"/>
      <c r="E35" s="13"/>
      <c r="F35" s="13"/>
    </row>
    <row r="36" spans="1:6">
      <c r="B36" s="13"/>
      <c r="C36" s="21"/>
      <c r="E36" s="13"/>
      <c r="F36" s="13"/>
    </row>
    <row r="37" spans="1:6">
      <c r="B37" s="13"/>
      <c r="C37" s="21"/>
      <c r="E37" s="13"/>
      <c r="F37" s="13"/>
    </row>
    <row r="38" spans="1:6">
      <c r="B38" s="13"/>
      <c r="C38" s="21"/>
      <c r="E38" s="13"/>
      <c r="F38" s="13"/>
    </row>
    <row r="39" spans="1:6">
      <c r="B39" s="13"/>
      <c r="C39" s="21"/>
      <c r="E39" s="13"/>
      <c r="F39" s="1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31" zoomScale="70" zoomScaleNormal="70" workbookViewId="0">
      <selection activeCell="N7" sqref="N7"/>
    </sheetView>
  </sheetViews>
  <sheetFormatPr defaultColWidth="9.140625" defaultRowHeight="15"/>
  <cols>
    <col min="2" max="2" width="11.85546875" customWidth="1"/>
    <col min="3" max="3" width="73" customWidth="1"/>
    <col min="5" max="5" width="13.42578125" bestFit="1" customWidth="1"/>
    <col min="10" max="10" width="9" customWidth="1"/>
    <col min="54" max="54" width="16" customWidth="1"/>
  </cols>
  <sheetData>
    <row r="1" spans="1:58">
      <c r="A1" t="str">
        <f>IF(TRA,"TS DATA","")</f>
        <v>TS DATA</v>
      </c>
      <c r="B1" t="s">
        <v>17</v>
      </c>
      <c r="D1">
        <f>DriversGams!M163</f>
        <v>0</v>
      </c>
      <c r="F1" t="s">
        <v>16</v>
      </c>
      <c r="H1" t="s">
        <v>16</v>
      </c>
      <c r="BA1" s="171" t="s">
        <v>223</v>
      </c>
      <c r="BB1" s="171" t="s">
        <v>539</v>
      </c>
      <c r="BC1" s="171" t="s">
        <v>197</v>
      </c>
      <c r="BD1" s="171" t="s">
        <v>543</v>
      </c>
      <c r="BF1" s="171"/>
    </row>
    <row r="2" spans="1:58" ht="15.75" thickBot="1">
      <c r="A2" t="s">
        <v>16</v>
      </c>
      <c r="B2" s="311" t="s">
        <v>296</v>
      </c>
      <c r="C2" s="311"/>
      <c r="BA2" s="171"/>
      <c r="BB2" s="171"/>
      <c r="BC2" s="171"/>
      <c r="BD2" s="171" t="s">
        <v>153</v>
      </c>
      <c r="BE2" s="171" t="s">
        <v>153</v>
      </c>
      <c r="BF2" s="171" t="s">
        <v>545</v>
      </c>
    </row>
    <row r="3" spans="1:58">
      <c r="A3" t="s">
        <v>16</v>
      </c>
      <c r="C3" s="171" t="str">
        <f>INDEX($BB$4:$BB$7,MATCH($D$3,$BA$4:$BA$7,0))</f>
        <v>NDC-PAMS-reference</v>
      </c>
      <c r="D3" s="175">
        <f>DriversGams!C164</f>
        <v>-1</v>
      </c>
      <c r="F3">
        <f>MATCH(F4,Drivers!$C$5:$AG$5,0)</f>
        <v>1</v>
      </c>
      <c r="G3">
        <f>MATCH(G4,Drivers!$C$5:$AG$5,0)</f>
        <v>4</v>
      </c>
      <c r="H3">
        <f>MATCH(H4,Drivers!$C$5:$AG$5,0)</f>
        <v>6</v>
      </c>
      <c r="I3">
        <f>MATCH(I4,Drivers!$C$5:$AG$5,0)</f>
        <v>8</v>
      </c>
      <c r="J3">
        <f>MATCH(J4,Drivers!$C$5:$AG$5,0)</f>
        <v>9</v>
      </c>
      <c r="K3">
        <f>MATCH(K4,Drivers!$C$5:$AG$5,0)</f>
        <v>10</v>
      </c>
      <c r="L3">
        <f>MATCH(L4,Drivers!$C$5:$AG$5,0)</f>
        <v>19</v>
      </c>
      <c r="M3">
        <f>MATCH(M4,Drivers!$C$5:$AG$5,0)</f>
        <v>29</v>
      </c>
      <c r="N3">
        <f>MATCH(N4,Drivers!$C$5:$AG$5,0)</f>
        <v>31</v>
      </c>
      <c r="BA3" s="171"/>
      <c r="BB3" s="171"/>
      <c r="BC3" s="171"/>
      <c r="BD3" s="179">
        <v>2030</v>
      </c>
      <c r="BE3" s="179">
        <v>2050</v>
      </c>
      <c r="BF3" s="171"/>
    </row>
    <row r="4" spans="1:58">
      <c r="A4" t="s">
        <v>16</v>
      </c>
      <c r="B4" s="19"/>
      <c r="C4" s="2" t="s">
        <v>198</v>
      </c>
      <c r="D4" s="174">
        <f>INDEX($BC$4:$BC$7,MATCH($D$3,BA$4:BA$7,0))</f>
        <v>0</v>
      </c>
      <c r="F4">
        <v>2012</v>
      </c>
      <c r="G4">
        <v>2015</v>
      </c>
      <c r="H4">
        <v>2017</v>
      </c>
      <c r="I4">
        <v>2019</v>
      </c>
      <c r="J4">
        <v>2020</v>
      </c>
      <c r="K4">
        <v>2021</v>
      </c>
      <c r="L4">
        <v>2030</v>
      </c>
      <c r="M4">
        <v>2040</v>
      </c>
      <c r="N4">
        <v>2050</v>
      </c>
      <c r="P4" s="4">
        <v>2017</v>
      </c>
      <c r="Q4">
        <v>2019</v>
      </c>
      <c r="R4" s="4">
        <v>2020</v>
      </c>
      <c r="S4">
        <v>2021</v>
      </c>
      <c r="T4" s="4">
        <v>2030</v>
      </c>
      <c r="U4" s="4">
        <v>2040</v>
      </c>
      <c r="V4" s="4">
        <v>2050</v>
      </c>
      <c r="X4" s="4">
        <f>P4</f>
        <v>2017</v>
      </c>
      <c r="Y4" s="4">
        <v>2019</v>
      </c>
      <c r="Z4" s="4">
        <f>R4</f>
        <v>2020</v>
      </c>
      <c r="AA4" s="4">
        <f>S4</f>
        <v>2021</v>
      </c>
      <c r="AB4" s="4">
        <f>T4</f>
        <v>2030</v>
      </c>
      <c r="AC4" s="4">
        <f>U4</f>
        <v>2040</v>
      </c>
      <c r="AD4" s="4">
        <f>V4</f>
        <v>2050</v>
      </c>
      <c r="BA4" s="171">
        <v>-1</v>
      </c>
      <c r="BB4" s="171" t="s">
        <v>621</v>
      </c>
      <c r="BC4" s="171">
        <v>0</v>
      </c>
      <c r="BD4" s="169">
        <v>0.95</v>
      </c>
      <c r="BE4" s="169">
        <v>0.95</v>
      </c>
      <c r="BF4" s="179">
        <v>1</v>
      </c>
    </row>
    <row r="5" spans="1:58" ht="15.75" thickBot="1">
      <c r="A5" t="s">
        <v>16</v>
      </c>
      <c r="B5" s="9" t="s">
        <v>11</v>
      </c>
      <c r="C5" s="9"/>
      <c r="D5" s="9"/>
      <c r="E5" s="9"/>
      <c r="F5" s="9"/>
      <c r="G5" s="9"/>
      <c r="H5" s="9"/>
      <c r="I5" s="9"/>
      <c r="J5" s="9"/>
      <c r="K5" s="9"/>
      <c r="L5" s="9"/>
      <c r="M5" s="9"/>
      <c r="N5" s="9"/>
      <c r="O5" s="9"/>
      <c r="BA5" s="171">
        <v>1</v>
      </c>
      <c r="BB5" s="171" t="s">
        <v>622</v>
      </c>
      <c r="BC5" s="171">
        <v>1</v>
      </c>
      <c r="BD5" s="169">
        <v>0.8</v>
      </c>
      <c r="BE5" s="169">
        <v>0.85</v>
      </c>
      <c r="BF5" s="179">
        <v>1</v>
      </c>
    </row>
    <row r="6" spans="1:58">
      <c r="A6" t="s">
        <v>16</v>
      </c>
      <c r="B6" t="s">
        <v>9</v>
      </c>
      <c r="C6" t="s">
        <v>10</v>
      </c>
      <c r="D6" t="s">
        <v>403</v>
      </c>
      <c r="BA6" s="171">
        <v>2</v>
      </c>
      <c r="BB6" s="171" t="s">
        <v>613</v>
      </c>
      <c r="BC6" s="171">
        <v>1</v>
      </c>
      <c r="BD6" s="169">
        <v>0.92</v>
      </c>
      <c r="BE6" s="169">
        <v>0.93</v>
      </c>
      <c r="BF6" s="179">
        <v>1</v>
      </c>
    </row>
    <row r="7" spans="1:58">
      <c r="A7" t="s">
        <v>16</v>
      </c>
      <c r="B7" s="3" t="s">
        <v>594</v>
      </c>
      <c r="C7" s="3" t="s">
        <v>2</v>
      </c>
      <c r="D7">
        <f>MATCH(B7,Drivers!$A$7:$A$25,0)</f>
        <v>17</v>
      </c>
      <c r="E7" s="3"/>
      <c r="F7" s="18" cm="1">
        <f t="array" ref="F7">INDEX(Drivers!$C$7:$AG$25,$D7,F$3)</f>
        <v>234.64829421512601</v>
      </c>
      <c r="G7" s="18" cm="1">
        <f t="array" ref="G7">INDEX(Drivers!$C$7:$AG$25,$D7,G$3)</f>
        <v>250.49509082227485</v>
      </c>
      <c r="H7" s="18" cm="1">
        <f t="array" ref="H7">INDEX(Drivers!$C$7:$AG$25,$D7,H$3)</f>
        <v>256.25966914032193</v>
      </c>
      <c r="I7" s="18" cm="1">
        <f t="array" ref="I7">INDEX(Drivers!$C$7:$AG$25,$D7,I$3)</f>
        <v>260.25</v>
      </c>
      <c r="J7" s="18" cm="1">
        <f t="array" ref="J7">INDEX(Drivers!$C$7:$AG$25,$D7,J$3)</f>
        <v>248.16</v>
      </c>
      <c r="K7" s="18" cm="1">
        <f t="array" ref="K7">INDEX(Drivers!$C$7:$AG$25,$D7,K$3)</f>
        <v>255.04895104895104</v>
      </c>
      <c r="L7" s="18" cm="1">
        <f t="array" ref="L7">INDEX(Drivers!$C$7:$AG$25,$D7,L$3)</f>
        <v>315.42981818181812</v>
      </c>
      <c r="M7" s="18" cm="1">
        <f t="array" ref="M7">INDEX(Drivers!$C$7:$AG$25,$D7,M$3)</f>
        <v>429.10276923076901</v>
      </c>
      <c r="N7" s="18" cm="1">
        <f t="array" ref="N7">INDEX(Drivers!$C$7:$AG$25,$D7,N$3)</f>
        <v>523.40251748251717</v>
      </c>
      <c r="O7" s="3"/>
      <c r="P7" s="3">
        <f>H7</f>
        <v>256.25966914032193</v>
      </c>
      <c r="Q7" s="3">
        <f t="shared" ref="Q7:V7" si="0">I7</f>
        <v>260.25</v>
      </c>
      <c r="R7" s="3">
        <f t="shared" si="0"/>
        <v>248.16</v>
      </c>
      <c r="S7" s="18">
        <f t="shared" si="0"/>
        <v>255.04895104895104</v>
      </c>
      <c r="T7" s="3">
        <f t="shared" si="0"/>
        <v>315.42981818181812</v>
      </c>
      <c r="U7" s="3">
        <f t="shared" si="0"/>
        <v>429.10276923076901</v>
      </c>
      <c r="V7" s="3">
        <f t="shared" si="0"/>
        <v>523.40251748251717</v>
      </c>
      <c r="X7" s="3">
        <f>P7</f>
        <v>256.25966914032193</v>
      </c>
      <c r="Y7" s="3">
        <f t="shared" ref="Y7:AD7" si="1">Q7</f>
        <v>260.25</v>
      </c>
      <c r="Z7" s="3">
        <f t="shared" si="1"/>
        <v>248.16</v>
      </c>
      <c r="AA7" s="3">
        <f t="shared" si="1"/>
        <v>255.04895104895104</v>
      </c>
      <c r="AB7" s="3">
        <f t="shared" si="1"/>
        <v>315.42981818181812</v>
      </c>
      <c r="AC7" s="3">
        <f t="shared" si="1"/>
        <v>429.10276923076901</v>
      </c>
      <c r="AD7" s="3">
        <f t="shared" si="1"/>
        <v>523.40251748251717</v>
      </c>
      <c r="BA7" s="171">
        <v>3</v>
      </c>
      <c r="BB7" s="171" t="s">
        <v>623</v>
      </c>
      <c r="BC7" s="171">
        <v>1</v>
      </c>
      <c r="BD7" s="169">
        <v>0.8</v>
      </c>
      <c r="BE7" s="169">
        <v>0.65</v>
      </c>
      <c r="BF7" s="179">
        <v>1</v>
      </c>
    </row>
    <row r="8" spans="1:58">
      <c r="A8" t="s">
        <v>16</v>
      </c>
      <c r="B8" s="3" t="s">
        <v>387</v>
      </c>
      <c r="C8" s="3" t="s">
        <v>68</v>
      </c>
      <c r="D8">
        <f>MATCH(B8,Drivers!$A$7:$A$25,0)</f>
        <v>10</v>
      </c>
      <c r="E8" s="3"/>
      <c r="F8" s="18" cm="1">
        <f t="array" ref="F8">INDEX(Drivers!$C$7:$AG$25,$D8,F$3)</f>
        <v>186.51301855651582</v>
      </c>
      <c r="G8" s="18" cm="1">
        <f t="array" ref="G8">INDEX(Drivers!$C$7:$AG$25,$D8,G$3)</f>
        <v>198.3568473622208</v>
      </c>
      <c r="H8" s="18" cm="1">
        <f t="array" ref="H8">INDEX(Drivers!$C$7:$AG$25,$D8,H$3)</f>
        <v>201.78663829260577</v>
      </c>
      <c r="I8" s="18" cm="1">
        <f t="array" ref="I8">INDEX(Drivers!$C$7:$AG$25,$D8,I$3)</f>
        <v>198.05</v>
      </c>
      <c r="J8" s="18" cm="1">
        <f t="array" ref="J8">INDEX(Drivers!$C$7:$AG$25,$D8,J$3)</f>
        <v>190.12</v>
      </c>
      <c r="K8" s="18" cm="1">
        <f t="array" ref="K8">INDEX(Drivers!$C$7:$AG$25,$D8,K$3)</f>
        <v>194.67280741721856</v>
      </c>
      <c r="L8" s="18" cm="1">
        <f t="array" ref="L8">INDEX(Drivers!$C$7:$AG$25,$D8,L$3)</f>
        <v>226.56260450331129</v>
      </c>
      <c r="M8" s="18" cm="1">
        <f t="array" ref="M8">INDEX(Drivers!$C$7:$AG$25,$D8,M$3)</f>
        <v>259.89278092715239</v>
      </c>
      <c r="N8" s="18" cm="1">
        <f t="array" ref="N8">INDEX(Drivers!$C$7:$AG$25,$D8,N$3)</f>
        <v>263.57934622516564</v>
      </c>
      <c r="O8" s="3"/>
      <c r="P8" s="3">
        <f t="shared" ref="P8:P9" si="2">H8</f>
        <v>201.78663829260577</v>
      </c>
      <c r="Q8" s="3">
        <f t="shared" ref="Q8:Q9" si="3">I8</f>
        <v>198.05</v>
      </c>
      <c r="R8" s="3">
        <f>J8</f>
        <v>190.12</v>
      </c>
      <c r="S8" s="18">
        <f t="shared" ref="S8:S9" si="4">K8</f>
        <v>194.67280741721856</v>
      </c>
      <c r="T8" s="3">
        <f t="shared" ref="T8:V9" si="5">L8</f>
        <v>226.56260450331129</v>
      </c>
      <c r="U8" s="3">
        <f t="shared" si="5"/>
        <v>259.89278092715239</v>
      </c>
      <c r="V8" s="3">
        <f t="shared" si="5"/>
        <v>263.57934622516564</v>
      </c>
      <c r="X8" s="3">
        <f>P8</f>
        <v>201.78663829260577</v>
      </c>
      <c r="Y8" s="3">
        <f>Q8</f>
        <v>198.05</v>
      </c>
      <c r="Z8" s="3">
        <f t="shared" ref="Z8:Z9" si="6">R8</f>
        <v>190.12</v>
      </c>
      <c r="AA8" s="3">
        <f t="shared" ref="AA8:AA9" si="7">S8</f>
        <v>194.67280741721856</v>
      </c>
      <c r="AB8" s="3">
        <f t="shared" ref="AB8:AD9" si="8">T8</f>
        <v>226.56260450331129</v>
      </c>
      <c r="AC8" s="3">
        <f t="shared" si="8"/>
        <v>259.89278092715239</v>
      </c>
      <c r="AD8" s="3">
        <f t="shared" si="8"/>
        <v>263.57934622516564</v>
      </c>
    </row>
    <row r="9" spans="1:58">
      <c r="A9" t="s">
        <v>16</v>
      </c>
      <c r="B9" s="3" t="s">
        <v>388</v>
      </c>
      <c r="C9" s="3" t="s">
        <v>69</v>
      </c>
      <c r="D9">
        <f>MATCH(B9,Drivers!$A$7:$A$25,0)</f>
        <v>9</v>
      </c>
      <c r="E9" s="3"/>
      <c r="F9" s="18" cm="1">
        <f t="array" ref="F9">INDEX(Drivers!$C$7:$AG$25,$D9,F$3)</f>
        <v>19.344853564503961</v>
      </c>
      <c r="G9" s="18" cm="1">
        <f t="array" ref="G9">INDEX(Drivers!$C$7:$AG$25,$D9,G$3)</f>
        <v>20.822458982202448</v>
      </c>
      <c r="H9" s="18" cm="1">
        <f t="array" ref="H9">INDEX(Drivers!$C$7:$AG$25,$D9,H$3)</f>
        <v>21.03698901557286</v>
      </c>
      <c r="I9" s="18" cm="1">
        <f t="array" ref="I9">INDEX(Drivers!$C$7:$AG$25,$D9,I$3)</f>
        <v>20.85</v>
      </c>
      <c r="J9" s="18" cm="1">
        <f t="array" ref="J9">INDEX(Drivers!$C$7:$AG$25,$D9,J$3)</f>
        <v>19.82</v>
      </c>
      <c r="K9" s="18" cm="1">
        <f t="array" ref="K9">INDEX(Drivers!$C$7:$AG$25,$D9,K$3)</f>
        <v>20.041115618661262</v>
      </c>
      <c r="L9" s="18" cm="1">
        <f t="array" ref="L9">INDEX(Drivers!$C$7:$AG$25,$D9,L$3)</f>
        <v>23.257342799188642</v>
      </c>
      <c r="M9" s="18" cm="1">
        <f t="array" ref="M9">INDEX(Drivers!$C$7:$AG$25,$D9,M$3)</f>
        <v>28.71487829614604</v>
      </c>
      <c r="N9" s="18" cm="1">
        <f t="array" ref="N9">INDEX(Drivers!$C$7:$AG$25,$D9,N$3)</f>
        <v>32.383387423935083</v>
      </c>
      <c r="O9" s="3"/>
      <c r="P9" s="3">
        <f t="shared" si="2"/>
        <v>21.03698901557286</v>
      </c>
      <c r="Q9" s="3">
        <f t="shared" si="3"/>
        <v>20.85</v>
      </c>
      <c r="R9" s="3">
        <f>J9</f>
        <v>19.82</v>
      </c>
      <c r="S9" s="18">
        <f t="shared" si="4"/>
        <v>20.041115618661262</v>
      </c>
      <c r="T9" s="3">
        <f t="shared" si="5"/>
        <v>23.257342799188642</v>
      </c>
      <c r="U9" s="3">
        <f t="shared" si="5"/>
        <v>28.71487829614604</v>
      </c>
      <c r="V9" s="3">
        <f t="shared" si="5"/>
        <v>32.383387423935083</v>
      </c>
      <c r="X9" s="3">
        <f>P9</f>
        <v>21.03698901557286</v>
      </c>
      <c r="Y9" s="3">
        <f>Q9</f>
        <v>20.85</v>
      </c>
      <c r="Z9" s="3">
        <f t="shared" si="6"/>
        <v>19.82</v>
      </c>
      <c r="AA9" s="3">
        <f t="shared" si="7"/>
        <v>20.041115618661262</v>
      </c>
      <c r="AB9" s="3">
        <f t="shared" si="8"/>
        <v>23.257342799188642</v>
      </c>
      <c r="AC9" s="3">
        <f t="shared" si="8"/>
        <v>28.71487829614604</v>
      </c>
      <c r="AD9" s="3">
        <f t="shared" si="8"/>
        <v>32.383387423935083</v>
      </c>
    </row>
    <row r="10" spans="1:58">
      <c r="A10" t="s">
        <v>16</v>
      </c>
      <c r="B10" s="3"/>
      <c r="C10" s="3"/>
      <c r="E10" s="3"/>
      <c r="F10" s="3"/>
      <c r="G10" s="3"/>
      <c r="H10" s="3"/>
      <c r="J10" s="3"/>
      <c r="L10" s="3"/>
      <c r="M10" s="3"/>
      <c r="N10" s="3"/>
      <c r="O10" s="3"/>
    </row>
    <row r="11" spans="1:58">
      <c r="A11" t="s">
        <v>16</v>
      </c>
      <c r="P11" s="2" t="s">
        <v>41</v>
      </c>
      <c r="X11" s="2" t="s">
        <v>197</v>
      </c>
    </row>
    <row r="12" spans="1:58" ht="15.75" thickBot="1">
      <c r="A12" t="s">
        <v>16</v>
      </c>
      <c r="B12" s="9" t="s">
        <v>444</v>
      </c>
      <c r="C12" s="9"/>
      <c r="D12" s="9"/>
      <c r="F12">
        <f>F$4</f>
        <v>2012</v>
      </c>
      <c r="G12">
        <f t="shared" ref="G12:L12" si="9">G$4</f>
        <v>2015</v>
      </c>
      <c r="H12">
        <f t="shared" si="9"/>
        <v>2017</v>
      </c>
      <c r="I12">
        <f t="shared" si="9"/>
        <v>2019</v>
      </c>
      <c r="J12">
        <f t="shared" si="9"/>
        <v>2020</v>
      </c>
      <c r="K12">
        <f t="shared" si="9"/>
        <v>2021</v>
      </c>
      <c r="L12">
        <f t="shared" si="9"/>
        <v>2030</v>
      </c>
      <c r="M12">
        <f>M$4</f>
        <v>2040</v>
      </c>
      <c r="N12">
        <f>N$4</f>
        <v>2050</v>
      </c>
      <c r="P12" s="4">
        <f>P$4</f>
        <v>2017</v>
      </c>
      <c r="Q12" s="4">
        <f t="shared" ref="Q12:V12" si="10">Q$4</f>
        <v>2019</v>
      </c>
      <c r="R12" s="4">
        <f t="shared" si="10"/>
        <v>2020</v>
      </c>
      <c r="S12" s="4">
        <f t="shared" si="10"/>
        <v>2021</v>
      </c>
      <c r="T12" s="4">
        <f t="shared" si="10"/>
        <v>2030</v>
      </c>
      <c r="U12" s="4">
        <f t="shared" si="10"/>
        <v>2040</v>
      </c>
      <c r="V12" s="4">
        <f t="shared" si="10"/>
        <v>2050</v>
      </c>
      <c r="X12" s="4">
        <f t="shared" ref="X12:AD12" si="11">P12</f>
        <v>2017</v>
      </c>
      <c r="Y12" s="4">
        <f t="shared" si="11"/>
        <v>2019</v>
      </c>
      <c r="Z12" s="4">
        <f t="shared" si="11"/>
        <v>2020</v>
      </c>
      <c r="AA12" s="4">
        <f t="shared" si="11"/>
        <v>2021</v>
      </c>
      <c r="AB12" s="4">
        <f t="shared" si="11"/>
        <v>2030</v>
      </c>
      <c r="AC12" s="4">
        <f t="shared" si="11"/>
        <v>2040</v>
      </c>
      <c r="AD12" s="4">
        <f t="shared" si="11"/>
        <v>2050</v>
      </c>
    </row>
    <row r="13" spans="1:58">
      <c r="A13" t="s">
        <v>16</v>
      </c>
      <c r="B13" s="3" t="str">
        <f>ITEMS_TRA!C15</f>
        <v>TFLCV</v>
      </c>
      <c r="C13" s="3" t="str">
        <f>ITEMS_TRA!D15</f>
        <v>Transport Freight - LCV</v>
      </c>
      <c r="D13" s="3"/>
      <c r="F13" s="52">
        <v>0.8</v>
      </c>
      <c r="G13" s="52">
        <f t="shared" ref="G13:H25" si="12">F13</f>
        <v>0.8</v>
      </c>
      <c r="H13" s="52">
        <f t="shared" si="12"/>
        <v>0.8</v>
      </c>
      <c r="I13" s="52">
        <f t="shared" ref="I13:I25" si="13">H13</f>
        <v>0.8</v>
      </c>
      <c r="J13" s="52">
        <f t="shared" ref="J13:J25" si="14">I13</f>
        <v>0.8</v>
      </c>
      <c r="K13" s="52">
        <f t="shared" ref="K13:K25" si="15">J13</f>
        <v>0.8</v>
      </c>
      <c r="L13" s="52">
        <f t="shared" ref="L13:L25" si="16">IF($D$4,AB13,T13)</f>
        <v>0.8</v>
      </c>
      <c r="M13" s="52">
        <f t="shared" ref="M13:M25" si="17">IF($D$4,AC13,U13)</f>
        <v>0.8</v>
      </c>
      <c r="N13" s="52">
        <f t="shared" ref="N13:N25" si="18">IF($D$4,AD13,V13)</f>
        <v>0.8</v>
      </c>
      <c r="P13" s="52">
        <f>$H13</f>
        <v>0.8</v>
      </c>
      <c r="Q13" s="52">
        <f>$I13</f>
        <v>0.8</v>
      </c>
      <c r="R13" s="52">
        <f t="shared" ref="R13:V25" si="19">$G13</f>
        <v>0.8</v>
      </c>
      <c r="S13" s="52">
        <f t="shared" si="19"/>
        <v>0.8</v>
      </c>
      <c r="T13" s="52">
        <f t="shared" si="19"/>
        <v>0.8</v>
      </c>
      <c r="U13" s="52">
        <f t="shared" si="19"/>
        <v>0.8</v>
      </c>
      <c r="V13" s="52">
        <f t="shared" si="19"/>
        <v>0.8</v>
      </c>
      <c r="W13" s="202"/>
      <c r="X13" s="52">
        <f>$P13</f>
        <v>0.8</v>
      </c>
      <c r="Y13" s="52">
        <f>$I13</f>
        <v>0.8</v>
      </c>
      <c r="Z13" s="52">
        <f t="shared" ref="Z13:AD25" si="20">$G13</f>
        <v>0.8</v>
      </c>
      <c r="AA13" s="52">
        <f t="shared" si="20"/>
        <v>0.8</v>
      </c>
      <c r="AB13" s="52">
        <f t="shared" si="20"/>
        <v>0.8</v>
      </c>
      <c r="AC13" s="52">
        <f t="shared" si="20"/>
        <v>0.8</v>
      </c>
      <c r="AD13" s="52">
        <f t="shared" si="20"/>
        <v>0.8</v>
      </c>
      <c r="AE13" s="202"/>
      <c r="AF13" s="202"/>
      <c r="AG13" s="202"/>
      <c r="AH13" s="202"/>
      <c r="AI13" s="202"/>
      <c r="AJ13" s="202"/>
      <c r="AK13" s="202"/>
      <c r="AL13" s="202"/>
      <c r="AM13" s="202"/>
      <c r="AN13" s="202"/>
      <c r="AO13" s="202"/>
      <c r="AP13" s="202"/>
      <c r="AQ13" s="202"/>
      <c r="AR13" s="202"/>
      <c r="AS13" s="202"/>
    </row>
    <row r="14" spans="1:58">
      <c r="A14" t="s">
        <v>16</v>
      </c>
      <c r="B14" s="3" t="str">
        <f>ITEMS_TRA!C16</f>
        <v>TFHCV1</v>
      </c>
      <c r="C14" s="3" t="str">
        <f>ITEMS_TRA!D16</f>
        <v>Transport Freight - HCV1</v>
      </c>
      <c r="D14" s="3"/>
      <c r="F14" s="52">
        <f>F13</f>
        <v>0.8</v>
      </c>
      <c r="G14" s="52">
        <f t="shared" si="12"/>
        <v>0.8</v>
      </c>
      <c r="H14" s="52">
        <f t="shared" si="12"/>
        <v>0.8</v>
      </c>
      <c r="I14" s="52">
        <f t="shared" si="13"/>
        <v>0.8</v>
      </c>
      <c r="J14" s="52">
        <f t="shared" si="14"/>
        <v>0.8</v>
      </c>
      <c r="K14" s="52">
        <f t="shared" si="15"/>
        <v>0.8</v>
      </c>
      <c r="L14" s="52">
        <f t="shared" si="16"/>
        <v>0.8</v>
      </c>
      <c r="M14" s="52">
        <f t="shared" si="17"/>
        <v>0.8</v>
      </c>
      <c r="N14" s="52">
        <f t="shared" si="18"/>
        <v>0.8</v>
      </c>
      <c r="P14" s="52">
        <f t="shared" ref="P14:P25" si="21">$H14</f>
        <v>0.8</v>
      </c>
      <c r="Q14" s="52">
        <f t="shared" ref="Q14:Q25" si="22">$I14</f>
        <v>0.8</v>
      </c>
      <c r="R14" s="52">
        <f t="shared" si="19"/>
        <v>0.8</v>
      </c>
      <c r="S14" s="52">
        <f t="shared" si="19"/>
        <v>0.8</v>
      </c>
      <c r="T14" s="52">
        <f t="shared" si="19"/>
        <v>0.8</v>
      </c>
      <c r="U14" s="52">
        <f t="shared" si="19"/>
        <v>0.8</v>
      </c>
      <c r="V14" s="52">
        <f t="shared" si="19"/>
        <v>0.8</v>
      </c>
      <c r="W14" s="202"/>
      <c r="X14" s="52">
        <f t="shared" ref="X14:X25" si="23">$P14</f>
        <v>0.8</v>
      </c>
      <c r="Y14" s="52">
        <f t="shared" ref="Y14:Y25" si="24">$I14</f>
        <v>0.8</v>
      </c>
      <c r="Z14" s="52">
        <f t="shared" si="20"/>
        <v>0.8</v>
      </c>
      <c r="AA14" s="52">
        <f t="shared" si="20"/>
        <v>0.8</v>
      </c>
      <c r="AB14" s="52">
        <f t="shared" si="20"/>
        <v>0.8</v>
      </c>
      <c r="AC14" s="52">
        <f t="shared" si="20"/>
        <v>0.8</v>
      </c>
      <c r="AD14" s="52">
        <f t="shared" si="20"/>
        <v>0.8</v>
      </c>
      <c r="AE14" s="202"/>
      <c r="AF14" s="202"/>
      <c r="AG14" s="202"/>
      <c r="AH14" s="202"/>
      <c r="AI14" s="202"/>
      <c r="AJ14" s="202"/>
      <c r="AK14" s="202"/>
      <c r="AL14" s="202"/>
      <c r="AM14" s="202"/>
      <c r="AN14" s="202"/>
      <c r="AO14" s="202"/>
      <c r="AP14" s="202"/>
      <c r="AQ14" s="202"/>
      <c r="AR14" s="202"/>
      <c r="AS14" s="202"/>
    </row>
    <row r="15" spans="1:58">
      <c r="A15" t="s">
        <v>16</v>
      </c>
      <c r="B15" s="3" t="str">
        <f>ITEMS_TRA!C17</f>
        <v>TFHCV2</v>
      </c>
      <c r="C15" s="3" t="str">
        <f>ITEMS_TRA!D17</f>
        <v>Transport Freight - HCV2</v>
      </c>
      <c r="D15" s="3"/>
      <c r="F15" s="52">
        <f t="shared" ref="F15:F25" si="25">F14</f>
        <v>0.8</v>
      </c>
      <c r="G15" s="52">
        <f t="shared" si="12"/>
        <v>0.8</v>
      </c>
      <c r="H15" s="52">
        <f t="shared" si="12"/>
        <v>0.8</v>
      </c>
      <c r="I15" s="52">
        <f t="shared" si="13"/>
        <v>0.8</v>
      </c>
      <c r="J15" s="52">
        <f t="shared" si="14"/>
        <v>0.8</v>
      </c>
      <c r="K15" s="52">
        <f t="shared" si="15"/>
        <v>0.8</v>
      </c>
      <c r="L15" s="52">
        <f t="shared" si="16"/>
        <v>0.8</v>
      </c>
      <c r="M15" s="52">
        <f t="shared" si="17"/>
        <v>0.8</v>
      </c>
      <c r="N15" s="52">
        <f t="shared" si="18"/>
        <v>0.8</v>
      </c>
      <c r="P15" s="52">
        <f t="shared" si="21"/>
        <v>0.8</v>
      </c>
      <c r="Q15" s="52">
        <f t="shared" si="22"/>
        <v>0.8</v>
      </c>
      <c r="R15" s="52">
        <f t="shared" si="19"/>
        <v>0.8</v>
      </c>
      <c r="S15" s="52">
        <f t="shared" si="19"/>
        <v>0.8</v>
      </c>
      <c r="T15" s="52">
        <f t="shared" si="19"/>
        <v>0.8</v>
      </c>
      <c r="U15" s="52">
        <f t="shared" si="19"/>
        <v>0.8</v>
      </c>
      <c r="V15" s="52">
        <f t="shared" si="19"/>
        <v>0.8</v>
      </c>
      <c r="W15" s="202"/>
      <c r="X15" s="52">
        <f t="shared" si="23"/>
        <v>0.8</v>
      </c>
      <c r="Y15" s="52">
        <f t="shared" si="24"/>
        <v>0.8</v>
      </c>
      <c r="Z15" s="52">
        <f t="shared" si="20"/>
        <v>0.8</v>
      </c>
      <c r="AA15" s="52">
        <f t="shared" si="20"/>
        <v>0.8</v>
      </c>
      <c r="AB15" s="52">
        <f t="shared" si="20"/>
        <v>0.8</v>
      </c>
      <c r="AC15" s="52">
        <f t="shared" si="20"/>
        <v>0.8</v>
      </c>
      <c r="AD15" s="52">
        <f t="shared" si="20"/>
        <v>0.8</v>
      </c>
      <c r="AE15" s="202"/>
      <c r="AF15" s="202"/>
      <c r="AG15" s="202"/>
      <c r="AH15" s="202"/>
      <c r="AI15" s="202"/>
      <c r="AJ15" s="202"/>
      <c r="AK15" s="202"/>
      <c r="AL15" s="202"/>
      <c r="AM15" s="202"/>
      <c r="AN15" s="202"/>
      <c r="AO15" s="202"/>
      <c r="AP15" s="202"/>
      <c r="AQ15" s="202"/>
      <c r="AR15" s="202"/>
      <c r="AS15" s="202"/>
    </row>
    <row r="16" spans="1:58">
      <c r="A16" t="s">
        <v>16</v>
      </c>
      <c r="B16" s="3" t="str">
        <f>ITEMS_TRA!C18</f>
        <v>TFHCV3</v>
      </c>
      <c r="C16" s="3" t="str">
        <f>ITEMS_TRA!D18</f>
        <v>Transport Freight - HCV3</v>
      </c>
      <c r="D16" s="3"/>
      <c r="F16" s="52">
        <f t="shared" si="25"/>
        <v>0.8</v>
      </c>
      <c r="G16" s="52">
        <f t="shared" si="12"/>
        <v>0.8</v>
      </c>
      <c r="H16" s="52">
        <f t="shared" si="12"/>
        <v>0.8</v>
      </c>
      <c r="I16" s="52">
        <f t="shared" si="13"/>
        <v>0.8</v>
      </c>
      <c r="J16" s="52">
        <f t="shared" si="14"/>
        <v>0.8</v>
      </c>
      <c r="K16" s="52">
        <f t="shared" si="15"/>
        <v>0.8</v>
      </c>
      <c r="L16" s="52">
        <f t="shared" si="16"/>
        <v>0.8</v>
      </c>
      <c r="M16" s="52">
        <f t="shared" si="17"/>
        <v>0.8</v>
      </c>
      <c r="N16" s="52">
        <f t="shared" si="18"/>
        <v>0.8</v>
      </c>
      <c r="P16" s="52">
        <f t="shared" si="21"/>
        <v>0.8</v>
      </c>
      <c r="Q16" s="52">
        <f t="shared" si="22"/>
        <v>0.8</v>
      </c>
      <c r="R16" s="52">
        <f t="shared" si="19"/>
        <v>0.8</v>
      </c>
      <c r="S16" s="52">
        <f t="shared" si="19"/>
        <v>0.8</v>
      </c>
      <c r="T16" s="52">
        <f t="shared" si="19"/>
        <v>0.8</v>
      </c>
      <c r="U16" s="52">
        <f t="shared" si="19"/>
        <v>0.8</v>
      </c>
      <c r="V16" s="52">
        <f t="shared" si="19"/>
        <v>0.8</v>
      </c>
      <c r="W16" s="202"/>
      <c r="X16" s="52">
        <f t="shared" si="23"/>
        <v>0.8</v>
      </c>
      <c r="Y16" s="52">
        <f t="shared" si="24"/>
        <v>0.8</v>
      </c>
      <c r="Z16" s="52">
        <f t="shared" si="20"/>
        <v>0.8</v>
      </c>
      <c r="AA16" s="52">
        <f t="shared" si="20"/>
        <v>0.8</v>
      </c>
      <c r="AB16" s="52">
        <f t="shared" si="20"/>
        <v>0.8</v>
      </c>
      <c r="AC16" s="52">
        <f t="shared" si="20"/>
        <v>0.8</v>
      </c>
      <c r="AD16" s="52">
        <f t="shared" si="20"/>
        <v>0.8</v>
      </c>
      <c r="AE16" s="202"/>
      <c r="AF16" s="202"/>
      <c r="AG16" s="202"/>
      <c r="AH16" s="202"/>
      <c r="AI16" s="202"/>
      <c r="AJ16" s="202"/>
      <c r="AK16" s="202"/>
      <c r="AL16" s="202"/>
      <c r="AM16" s="202"/>
      <c r="AN16" s="202"/>
      <c r="AO16" s="202"/>
      <c r="AP16" s="202"/>
      <c r="AQ16" s="202"/>
      <c r="AR16" s="202"/>
      <c r="AS16" s="202"/>
    </row>
    <row r="17" spans="1:45">
      <c r="A17" t="s">
        <v>16</v>
      </c>
      <c r="B17" s="3" t="str">
        <f>ITEMS_TRA!C19</f>
        <v>TFHCV4</v>
      </c>
      <c r="C17" s="3" t="str">
        <f>ITEMS_TRA!D19</f>
        <v>Transport Freight - HCV4</v>
      </c>
      <c r="D17" s="3"/>
      <c r="F17" s="52">
        <f t="shared" si="25"/>
        <v>0.8</v>
      </c>
      <c r="G17" s="52">
        <f t="shared" si="12"/>
        <v>0.8</v>
      </c>
      <c r="H17" s="52">
        <f t="shared" si="12"/>
        <v>0.8</v>
      </c>
      <c r="I17" s="52">
        <f t="shared" si="13"/>
        <v>0.8</v>
      </c>
      <c r="J17" s="52">
        <f t="shared" si="14"/>
        <v>0.8</v>
      </c>
      <c r="K17" s="52">
        <f t="shared" si="15"/>
        <v>0.8</v>
      </c>
      <c r="L17" s="52">
        <f t="shared" si="16"/>
        <v>0.8</v>
      </c>
      <c r="M17" s="52">
        <f t="shared" si="17"/>
        <v>0.8</v>
      </c>
      <c r="N17" s="52">
        <f t="shared" si="18"/>
        <v>0.8</v>
      </c>
      <c r="P17" s="52">
        <f t="shared" si="21"/>
        <v>0.8</v>
      </c>
      <c r="Q17" s="52">
        <f t="shared" si="22"/>
        <v>0.8</v>
      </c>
      <c r="R17" s="52">
        <f t="shared" si="19"/>
        <v>0.8</v>
      </c>
      <c r="S17" s="52">
        <f t="shared" si="19"/>
        <v>0.8</v>
      </c>
      <c r="T17" s="52">
        <f t="shared" si="19"/>
        <v>0.8</v>
      </c>
      <c r="U17" s="52">
        <f t="shared" si="19"/>
        <v>0.8</v>
      </c>
      <c r="V17" s="52">
        <f t="shared" si="19"/>
        <v>0.8</v>
      </c>
      <c r="W17" s="202"/>
      <c r="X17" s="52">
        <f t="shared" si="23"/>
        <v>0.8</v>
      </c>
      <c r="Y17" s="52">
        <f t="shared" si="24"/>
        <v>0.8</v>
      </c>
      <c r="Z17" s="52">
        <f t="shared" si="20"/>
        <v>0.8</v>
      </c>
      <c r="AA17" s="52">
        <f t="shared" si="20"/>
        <v>0.8</v>
      </c>
      <c r="AB17" s="52">
        <f t="shared" si="20"/>
        <v>0.8</v>
      </c>
      <c r="AC17" s="52">
        <f t="shared" si="20"/>
        <v>0.8</v>
      </c>
      <c r="AD17" s="52">
        <f t="shared" si="20"/>
        <v>0.8</v>
      </c>
      <c r="AE17" s="202"/>
      <c r="AF17" s="202"/>
      <c r="AG17" s="202"/>
      <c r="AH17" s="202"/>
      <c r="AI17" s="202"/>
      <c r="AJ17" s="202"/>
      <c r="AK17" s="202"/>
      <c r="AL17" s="202"/>
      <c r="AM17" s="202"/>
      <c r="AN17" s="202"/>
      <c r="AO17" s="202"/>
      <c r="AP17" s="202"/>
      <c r="AQ17" s="202"/>
      <c r="AR17" s="202"/>
      <c r="AS17" s="202"/>
    </row>
    <row r="18" spans="1:45">
      <c r="A18" t="s">
        <v>16</v>
      </c>
      <c r="B18" s="3" t="str">
        <f>ITEMS_TRA!C20</f>
        <v>TFHCV5</v>
      </c>
      <c r="C18" s="3" t="str">
        <f>ITEMS_TRA!D20</f>
        <v>Transport Freight - HCV5</v>
      </c>
      <c r="D18" s="3"/>
      <c r="F18" s="52">
        <f t="shared" si="25"/>
        <v>0.8</v>
      </c>
      <c r="G18" s="52">
        <f t="shared" si="12"/>
        <v>0.8</v>
      </c>
      <c r="H18" s="52">
        <f t="shared" si="12"/>
        <v>0.8</v>
      </c>
      <c r="I18" s="52">
        <f t="shared" si="13"/>
        <v>0.8</v>
      </c>
      <c r="J18" s="52">
        <f t="shared" si="14"/>
        <v>0.8</v>
      </c>
      <c r="K18" s="52">
        <f t="shared" si="15"/>
        <v>0.8</v>
      </c>
      <c r="L18" s="52">
        <f t="shared" si="16"/>
        <v>0.8</v>
      </c>
      <c r="M18" s="52">
        <f t="shared" si="17"/>
        <v>0.8</v>
      </c>
      <c r="N18" s="52">
        <f t="shared" si="18"/>
        <v>0.8</v>
      </c>
      <c r="P18" s="52">
        <f t="shared" si="21"/>
        <v>0.8</v>
      </c>
      <c r="Q18" s="52">
        <f t="shared" si="22"/>
        <v>0.8</v>
      </c>
      <c r="R18" s="52">
        <f t="shared" si="19"/>
        <v>0.8</v>
      </c>
      <c r="S18" s="52">
        <f t="shared" si="19"/>
        <v>0.8</v>
      </c>
      <c r="T18" s="52">
        <f t="shared" si="19"/>
        <v>0.8</v>
      </c>
      <c r="U18" s="52">
        <f t="shared" si="19"/>
        <v>0.8</v>
      </c>
      <c r="V18" s="52">
        <f t="shared" si="19"/>
        <v>0.8</v>
      </c>
      <c r="W18" s="202"/>
      <c r="X18" s="52">
        <f t="shared" si="23"/>
        <v>0.8</v>
      </c>
      <c r="Y18" s="52">
        <f t="shared" si="24"/>
        <v>0.8</v>
      </c>
      <c r="Z18" s="52">
        <f t="shared" si="20"/>
        <v>0.8</v>
      </c>
      <c r="AA18" s="52">
        <f t="shared" si="20"/>
        <v>0.8</v>
      </c>
      <c r="AB18" s="52">
        <f t="shared" si="20"/>
        <v>0.8</v>
      </c>
      <c r="AC18" s="52">
        <f t="shared" si="20"/>
        <v>0.8</v>
      </c>
      <c r="AD18" s="52">
        <f t="shared" si="20"/>
        <v>0.8</v>
      </c>
      <c r="AE18" s="202"/>
      <c r="AF18" s="202"/>
      <c r="AG18" s="202"/>
      <c r="AH18" s="202"/>
      <c r="AI18" s="202"/>
      <c r="AJ18" s="202"/>
      <c r="AK18" s="202"/>
      <c r="AL18" s="202"/>
      <c r="AM18" s="202"/>
      <c r="AN18" s="202"/>
      <c r="AO18" s="202"/>
      <c r="AP18" s="202"/>
      <c r="AQ18" s="202"/>
      <c r="AR18" s="202"/>
      <c r="AS18" s="202"/>
    </row>
    <row r="19" spans="1:45">
      <c r="A19" t="s">
        <v>16</v>
      </c>
      <c r="B19" s="3" t="str">
        <f>ITEMS_TRA!C21</f>
        <v>TFHCV6</v>
      </c>
      <c r="C19" s="3" t="str">
        <f>ITEMS_TRA!D21</f>
        <v>Transport Freight - HCV6</v>
      </c>
      <c r="D19" s="3"/>
      <c r="F19" s="52">
        <f t="shared" si="25"/>
        <v>0.8</v>
      </c>
      <c r="G19" s="52">
        <f t="shared" si="12"/>
        <v>0.8</v>
      </c>
      <c r="H19" s="52">
        <f t="shared" si="12"/>
        <v>0.8</v>
      </c>
      <c r="I19" s="52">
        <f t="shared" si="13"/>
        <v>0.8</v>
      </c>
      <c r="J19" s="52">
        <f t="shared" si="14"/>
        <v>0.8</v>
      </c>
      <c r="K19" s="52">
        <f t="shared" si="15"/>
        <v>0.8</v>
      </c>
      <c r="L19" s="52">
        <f t="shared" si="16"/>
        <v>0.8</v>
      </c>
      <c r="M19" s="52">
        <f t="shared" si="17"/>
        <v>0.8</v>
      </c>
      <c r="N19" s="52">
        <f t="shared" si="18"/>
        <v>0.8</v>
      </c>
      <c r="P19" s="52">
        <f t="shared" si="21"/>
        <v>0.8</v>
      </c>
      <c r="Q19" s="52">
        <f t="shared" si="22"/>
        <v>0.8</v>
      </c>
      <c r="R19" s="52">
        <f t="shared" si="19"/>
        <v>0.8</v>
      </c>
      <c r="S19" s="52">
        <f t="shared" si="19"/>
        <v>0.8</v>
      </c>
      <c r="T19" s="52">
        <f t="shared" si="19"/>
        <v>0.8</v>
      </c>
      <c r="U19" s="52">
        <f t="shared" si="19"/>
        <v>0.8</v>
      </c>
      <c r="V19" s="52">
        <f t="shared" si="19"/>
        <v>0.8</v>
      </c>
      <c r="W19" s="202"/>
      <c r="X19" s="52">
        <f t="shared" si="23"/>
        <v>0.8</v>
      </c>
      <c r="Y19" s="52">
        <f t="shared" si="24"/>
        <v>0.8</v>
      </c>
      <c r="Z19" s="52">
        <f t="shared" si="20"/>
        <v>0.8</v>
      </c>
      <c r="AA19" s="52">
        <f t="shared" si="20"/>
        <v>0.8</v>
      </c>
      <c r="AB19" s="52">
        <f t="shared" si="20"/>
        <v>0.8</v>
      </c>
      <c r="AC19" s="52">
        <f t="shared" si="20"/>
        <v>0.8</v>
      </c>
      <c r="AD19" s="52">
        <f t="shared" si="20"/>
        <v>0.8</v>
      </c>
      <c r="AE19" s="202"/>
      <c r="AF19" s="202"/>
      <c r="AG19" s="202"/>
      <c r="AH19" s="202"/>
      <c r="AI19" s="202"/>
      <c r="AJ19" s="202"/>
      <c r="AK19" s="202"/>
      <c r="AL19" s="202"/>
      <c r="AM19" s="202"/>
      <c r="AN19" s="202"/>
      <c r="AO19" s="202"/>
      <c r="AP19" s="202"/>
      <c r="AQ19" s="202"/>
      <c r="AR19" s="202"/>
      <c r="AS19" s="202"/>
    </row>
    <row r="20" spans="1:45">
      <c r="A20" t="s">
        <v>16</v>
      </c>
      <c r="B20" s="3" t="str">
        <f>ITEMS_TRA!C22</f>
        <v>TFHCV7</v>
      </c>
      <c r="C20" s="3" t="str">
        <f>ITEMS_TRA!D22</f>
        <v>Transport Freight - HCV7</v>
      </c>
      <c r="D20" s="3"/>
      <c r="F20" s="52">
        <f t="shared" si="25"/>
        <v>0.8</v>
      </c>
      <c r="G20" s="52">
        <f t="shared" si="12"/>
        <v>0.8</v>
      </c>
      <c r="H20" s="52">
        <f t="shared" si="12"/>
        <v>0.8</v>
      </c>
      <c r="I20" s="52">
        <f t="shared" si="13"/>
        <v>0.8</v>
      </c>
      <c r="J20" s="52">
        <f t="shared" si="14"/>
        <v>0.8</v>
      </c>
      <c r="K20" s="52">
        <f t="shared" si="15"/>
        <v>0.8</v>
      </c>
      <c r="L20" s="52">
        <f t="shared" si="16"/>
        <v>0.8</v>
      </c>
      <c r="M20" s="52">
        <f t="shared" si="17"/>
        <v>0.8</v>
      </c>
      <c r="N20" s="52">
        <f t="shared" si="18"/>
        <v>0.8</v>
      </c>
      <c r="P20" s="52">
        <f t="shared" si="21"/>
        <v>0.8</v>
      </c>
      <c r="Q20" s="52">
        <f t="shared" si="22"/>
        <v>0.8</v>
      </c>
      <c r="R20" s="52">
        <f t="shared" si="19"/>
        <v>0.8</v>
      </c>
      <c r="S20" s="52">
        <f>$G20</f>
        <v>0.8</v>
      </c>
      <c r="T20" s="52">
        <f t="shared" si="19"/>
        <v>0.8</v>
      </c>
      <c r="U20" s="52">
        <f t="shared" si="19"/>
        <v>0.8</v>
      </c>
      <c r="V20" s="52">
        <f t="shared" si="19"/>
        <v>0.8</v>
      </c>
      <c r="W20" s="202"/>
      <c r="X20" s="52">
        <f t="shared" si="23"/>
        <v>0.8</v>
      </c>
      <c r="Y20" s="52">
        <f t="shared" si="24"/>
        <v>0.8</v>
      </c>
      <c r="Z20" s="52">
        <f t="shared" si="20"/>
        <v>0.8</v>
      </c>
      <c r="AA20" s="52">
        <f t="shared" si="20"/>
        <v>0.8</v>
      </c>
      <c r="AB20" s="52">
        <f t="shared" si="20"/>
        <v>0.8</v>
      </c>
      <c r="AC20" s="52">
        <f t="shared" si="20"/>
        <v>0.8</v>
      </c>
      <c r="AD20" s="52">
        <f t="shared" si="20"/>
        <v>0.8</v>
      </c>
      <c r="AE20" s="202"/>
      <c r="AF20" s="202"/>
      <c r="AG20" s="202"/>
      <c r="AH20" s="202"/>
      <c r="AI20" s="202"/>
      <c r="AJ20" s="202"/>
      <c r="AK20" s="202"/>
      <c r="AL20" s="202"/>
      <c r="AM20" s="202"/>
      <c r="AN20" s="202"/>
      <c r="AO20" s="202"/>
      <c r="AP20" s="202"/>
      <c r="AQ20" s="202"/>
      <c r="AR20" s="202"/>
      <c r="AS20" s="202"/>
    </row>
    <row r="21" spans="1:45">
      <c r="A21" t="s">
        <v>16</v>
      </c>
      <c r="B21" s="3" t="str">
        <f>ITEMS_TRA!C23</f>
        <v>TFHCV8</v>
      </c>
      <c r="C21" s="3" t="str">
        <f>ITEMS_TRA!D23</f>
        <v>Transport Freight - HCV8</v>
      </c>
      <c r="D21" s="3"/>
      <c r="F21" s="52">
        <f t="shared" si="25"/>
        <v>0.8</v>
      </c>
      <c r="G21" s="52">
        <f t="shared" si="12"/>
        <v>0.8</v>
      </c>
      <c r="H21" s="52">
        <f t="shared" si="12"/>
        <v>0.8</v>
      </c>
      <c r="I21" s="52">
        <f t="shared" si="13"/>
        <v>0.8</v>
      </c>
      <c r="J21" s="52">
        <f t="shared" si="14"/>
        <v>0.8</v>
      </c>
      <c r="K21" s="52">
        <f t="shared" si="15"/>
        <v>0.8</v>
      </c>
      <c r="L21" s="52">
        <f t="shared" si="16"/>
        <v>0.8</v>
      </c>
      <c r="M21" s="52">
        <f t="shared" si="17"/>
        <v>0.8</v>
      </c>
      <c r="N21" s="52">
        <f t="shared" si="18"/>
        <v>0.8</v>
      </c>
      <c r="P21" s="52">
        <f t="shared" si="21"/>
        <v>0.8</v>
      </c>
      <c r="Q21" s="52">
        <f t="shared" si="22"/>
        <v>0.8</v>
      </c>
      <c r="R21" s="52">
        <f t="shared" si="19"/>
        <v>0.8</v>
      </c>
      <c r="S21" s="52">
        <f t="shared" si="19"/>
        <v>0.8</v>
      </c>
      <c r="T21" s="52">
        <f t="shared" si="19"/>
        <v>0.8</v>
      </c>
      <c r="U21" s="52">
        <f t="shared" si="19"/>
        <v>0.8</v>
      </c>
      <c r="V21" s="52">
        <f t="shared" si="19"/>
        <v>0.8</v>
      </c>
      <c r="W21" s="202"/>
      <c r="X21" s="52">
        <f t="shared" si="23"/>
        <v>0.8</v>
      </c>
      <c r="Y21" s="52">
        <f t="shared" si="24"/>
        <v>0.8</v>
      </c>
      <c r="Z21" s="52">
        <f t="shared" si="20"/>
        <v>0.8</v>
      </c>
      <c r="AA21" s="52">
        <f t="shared" si="20"/>
        <v>0.8</v>
      </c>
      <c r="AB21" s="52">
        <f t="shared" si="20"/>
        <v>0.8</v>
      </c>
      <c r="AC21" s="52">
        <f t="shared" si="20"/>
        <v>0.8</v>
      </c>
      <c r="AD21" s="52">
        <f t="shared" si="20"/>
        <v>0.8</v>
      </c>
      <c r="AE21" s="202"/>
      <c r="AF21" s="202"/>
      <c r="AG21" s="202"/>
      <c r="AH21" s="202"/>
      <c r="AI21" s="202"/>
      <c r="AJ21" s="202"/>
      <c r="AK21" s="202"/>
      <c r="AL21" s="202"/>
      <c r="AM21" s="202"/>
      <c r="AN21" s="202"/>
      <c r="AO21" s="202"/>
      <c r="AP21" s="202"/>
      <c r="AQ21" s="202"/>
      <c r="AR21" s="202"/>
      <c r="AS21" s="202"/>
    </row>
    <row r="22" spans="1:45">
      <c r="A22" t="s">
        <v>16</v>
      </c>
      <c r="B22" s="3" t="str">
        <f>ITEMS_TRA!C24</f>
        <v>TFHCV9</v>
      </c>
      <c r="C22" s="3" t="str">
        <f>ITEMS_TRA!D24</f>
        <v>Transport Freight - HCV9</v>
      </c>
      <c r="D22" s="3"/>
      <c r="F22" s="52">
        <f t="shared" si="25"/>
        <v>0.8</v>
      </c>
      <c r="G22" s="52">
        <f t="shared" si="12"/>
        <v>0.8</v>
      </c>
      <c r="H22" s="52">
        <f t="shared" si="12"/>
        <v>0.8</v>
      </c>
      <c r="I22" s="52">
        <f t="shared" si="13"/>
        <v>0.8</v>
      </c>
      <c r="J22" s="52">
        <f t="shared" si="14"/>
        <v>0.8</v>
      </c>
      <c r="K22" s="52">
        <f t="shared" si="15"/>
        <v>0.8</v>
      </c>
      <c r="L22" s="52">
        <f t="shared" si="16"/>
        <v>0.8</v>
      </c>
      <c r="M22" s="52">
        <f t="shared" si="17"/>
        <v>0.8</v>
      </c>
      <c r="N22" s="52">
        <f t="shared" si="18"/>
        <v>0.8</v>
      </c>
      <c r="P22" s="52">
        <f t="shared" si="21"/>
        <v>0.8</v>
      </c>
      <c r="Q22" s="52">
        <f t="shared" si="22"/>
        <v>0.8</v>
      </c>
      <c r="R22" s="52">
        <f t="shared" ref="R22:T25" si="26">P22</f>
        <v>0.8</v>
      </c>
      <c r="S22" s="52">
        <f t="shared" si="26"/>
        <v>0.8</v>
      </c>
      <c r="T22" s="52">
        <f t="shared" si="26"/>
        <v>0.8</v>
      </c>
      <c r="U22" s="52">
        <f>T22</f>
        <v>0.8</v>
      </c>
      <c r="V22" s="52">
        <f t="shared" si="19"/>
        <v>0.8</v>
      </c>
      <c r="W22" s="202"/>
      <c r="X22" s="52">
        <f t="shared" si="23"/>
        <v>0.8</v>
      </c>
      <c r="Y22" s="52">
        <f t="shared" si="24"/>
        <v>0.8</v>
      </c>
      <c r="Z22" s="52">
        <f t="shared" ref="Z22:AB25" si="27">X22</f>
        <v>0.8</v>
      </c>
      <c r="AA22" s="52">
        <f t="shared" si="27"/>
        <v>0.8</v>
      </c>
      <c r="AB22" s="52">
        <f t="shared" si="27"/>
        <v>0.8</v>
      </c>
      <c r="AC22" s="52">
        <f>AB22</f>
        <v>0.8</v>
      </c>
      <c r="AD22" s="52">
        <f t="shared" si="20"/>
        <v>0.8</v>
      </c>
      <c r="AE22" s="202"/>
      <c r="AF22" s="202"/>
      <c r="AG22" s="202"/>
      <c r="AH22" s="202"/>
      <c r="AI22" s="202"/>
      <c r="AJ22" s="202"/>
      <c r="AK22" s="202"/>
      <c r="AL22" s="202"/>
      <c r="AM22" s="202"/>
      <c r="AN22" s="202"/>
      <c r="AO22" s="202"/>
      <c r="AP22" s="202"/>
      <c r="AQ22" s="202"/>
      <c r="AR22" s="202"/>
      <c r="AS22" s="202"/>
    </row>
    <row r="23" spans="1:45">
      <c r="A23" t="s">
        <v>16</v>
      </c>
      <c r="B23" s="3" t="str">
        <f>ITEMS_TRA!C25</f>
        <v>TFRCO</v>
      </c>
      <c r="C23" s="3" t="str">
        <f>ITEMS_TRA!D25</f>
        <v>Transport Freight - Rail Corridor</v>
      </c>
      <c r="D23" s="3"/>
      <c r="F23" s="52">
        <f t="shared" si="25"/>
        <v>0.8</v>
      </c>
      <c r="G23" s="52">
        <f t="shared" si="12"/>
        <v>0.8</v>
      </c>
      <c r="H23" s="52">
        <f t="shared" si="12"/>
        <v>0.8</v>
      </c>
      <c r="I23" s="52">
        <f t="shared" si="13"/>
        <v>0.8</v>
      </c>
      <c r="J23" s="52">
        <f t="shared" si="14"/>
        <v>0.8</v>
      </c>
      <c r="K23" s="52">
        <f t="shared" si="15"/>
        <v>0.8</v>
      </c>
      <c r="L23" s="52">
        <f t="shared" si="16"/>
        <v>0.8</v>
      </c>
      <c r="M23" s="52">
        <f t="shared" si="17"/>
        <v>0.8</v>
      </c>
      <c r="N23" s="52">
        <f t="shared" si="18"/>
        <v>0.8</v>
      </c>
      <c r="P23" s="52">
        <f t="shared" si="21"/>
        <v>0.8</v>
      </c>
      <c r="Q23" s="52">
        <f t="shared" si="22"/>
        <v>0.8</v>
      </c>
      <c r="R23" s="52">
        <f t="shared" si="26"/>
        <v>0.8</v>
      </c>
      <c r="S23" s="52">
        <f t="shared" si="26"/>
        <v>0.8</v>
      </c>
      <c r="T23" s="52">
        <f t="shared" si="26"/>
        <v>0.8</v>
      </c>
      <c r="U23" s="52">
        <f>T23</f>
        <v>0.8</v>
      </c>
      <c r="V23" s="52">
        <f t="shared" si="19"/>
        <v>0.8</v>
      </c>
      <c r="W23" s="202"/>
      <c r="X23" s="52">
        <f t="shared" si="23"/>
        <v>0.8</v>
      </c>
      <c r="Y23" s="52">
        <f t="shared" si="24"/>
        <v>0.8</v>
      </c>
      <c r="Z23" s="52">
        <f t="shared" si="27"/>
        <v>0.8</v>
      </c>
      <c r="AA23" s="52">
        <f t="shared" si="27"/>
        <v>0.8</v>
      </c>
      <c r="AB23" s="52">
        <f t="shared" si="27"/>
        <v>0.8</v>
      </c>
      <c r="AC23" s="52">
        <f>AB23</f>
        <v>0.8</v>
      </c>
      <c r="AD23" s="52">
        <f t="shared" si="20"/>
        <v>0.8</v>
      </c>
      <c r="AE23" s="202"/>
      <c r="AF23" s="202"/>
      <c r="AG23" s="202"/>
      <c r="AH23" s="202"/>
      <c r="AI23" s="202"/>
      <c r="AJ23" s="202"/>
      <c r="AK23" s="202"/>
      <c r="AL23" s="202"/>
      <c r="AM23" s="202"/>
      <c r="AN23" s="202"/>
      <c r="AO23" s="202"/>
      <c r="AP23" s="202"/>
      <c r="AQ23" s="202"/>
      <c r="AR23" s="202"/>
      <c r="AS23" s="202"/>
    </row>
    <row r="24" spans="1:45">
      <c r="A24" t="s">
        <v>16</v>
      </c>
      <c r="B24" s="3" t="str">
        <f>ITEMS_TRA!C26</f>
        <v>TFROT</v>
      </c>
      <c r="C24" s="3" t="str">
        <f>ITEMS_TRA!D26</f>
        <v>Transport Freight - Rail Other</v>
      </c>
      <c r="F24" s="52">
        <f t="shared" si="25"/>
        <v>0.8</v>
      </c>
      <c r="G24" s="52">
        <f t="shared" si="12"/>
        <v>0.8</v>
      </c>
      <c r="H24" s="52">
        <f t="shared" si="12"/>
        <v>0.8</v>
      </c>
      <c r="I24" s="52">
        <f t="shared" si="13"/>
        <v>0.8</v>
      </c>
      <c r="J24" s="52">
        <f t="shared" si="14"/>
        <v>0.8</v>
      </c>
      <c r="K24" s="52">
        <f t="shared" si="15"/>
        <v>0.8</v>
      </c>
      <c r="L24" s="52">
        <f t="shared" si="16"/>
        <v>0.8</v>
      </c>
      <c r="M24" s="52">
        <f t="shared" si="17"/>
        <v>0.8</v>
      </c>
      <c r="N24" s="52">
        <f t="shared" si="18"/>
        <v>0.8</v>
      </c>
      <c r="P24" s="52">
        <f t="shared" si="21"/>
        <v>0.8</v>
      </c>
      <c r="Q24" s="52">
        <f t="shared" si="22"/>
        <v>0.8</v>
      </c>
      <c r="R24" s="52">
        <f t="shared" si="26"/>
        <v>0.8</v>
      </c>
      <c r="S24" s="52">
        <f t="shared" si="26"/>
        <v>0.8</v>
      </c>
      <c r="T24" s="52">
        <f t="shared" si="26"/>
        <v>0.8</v>
      </c>
      <c r="U24" s="52">
        <f>T24</f>
        <v>0.8</v>
      </c>
      <c r="V24" s="52">
        <f t="shared" si="19"/>
        <v>0.8</v>
      </c>
      <c r="W24" s="202"/>
      <c r="X24" s="52">
        <f t="shared" si="23"/>
        <v>0.8</v>
      </c>
      <c r="Y24" s="52">
        <f t="shared" si="24"/>
        <v>0.8</v>
      </c>
      <c r="Z24" s="52">
        <f t="shared" si="27"/>
        <v>0.8</v>
      </c>
      <c r="AA24" s="52">
        <f t="shared" si="27"/>
        <v>0.8</v>
      </c>
      <c r="AB24" s="52">
        <f t="shared" si="27"/>
        <v>0.8</v>
      </c>
      <c r="AC24" s="52">
        <f>AB24</f>
        <v>0.8</v>
      </c>
      <c r="AD24" s="52">
        <f t="shared" si="20"/>
        <v>0.8</v>
      </c>
      <c r="AE24" s="202"/>
      <c r="AF24" s="202"/>
      <c r="AG24" s="202"/>
      <c r="AH24" s="202"/>
      <c r="AI24" s="202"/>
      <c r="AJ24" s="202"/>
      <c r="AK24" s="202"/>
      <c r="AL24" s="202"/>
      <c r="AM24" s="202"/>
      <c r="AN24" s="202"/>
      <c r="AO24" s="202"/>
      <c r="AP24" s="202"/>
      <c r="AQ24" s="202"/>
      <c r="AR24" s="202"/>
      <c r="AS24" s="202"/>
    </row>
    <row r="25" spans="1:45">
      <c r="A25" t="s">
        <v>16</v>
      </c>
      <c r="B25" s="3" t="str">
        <f>ITEMS_TRA!C27</f>
        <v>TFREX</v>
      </c>
      <c r="C25" s="3" t="str">
        <f>ITEMS_TRA!D27</f>
        <v>Transport Freight - Rail Export (bulk mining)</v>
      </c>
      <c r="F25" s="52">
        <f t="shared" si="25"/>
        <v>0.8</v>
      </c>
      <c r="G25" s="52">
        <f t="shared" si="12"/>
        <v>0.8</v>
      </c>
      <c r="H25" s="52">
        <f t="shared" si="12"/>
        <v>0.8</v>
      </c>
      <c r="I25" s="52">
        <f t="shared" si="13"/>
        <v>0.8</v>
      </c>
      <c r="J25" s="52">
        <f t="shared" si="14"/>
        <v>0.8</v>
      </c>
      <c r="K25" s="52">
        <f t="shared" si="15"/>
        <v>0.8</v>
      </c>
      <c r="L25" s="52">
        <f t="shared" si="16"/>
        <v>0.8</v>
      </c>
      <c r="M25" s="52">
        <f t="shared" si="17"/>
        <v>0.8</v>
      </c>
      <c r="N25" s="52">
        <f t="shared" si="18"/>
        <v>0.8</v>
      </c>
      <c r="P25" s="52">
        <f t="shared" si="21"/>
        <v>0.8</v>
      </c>
      <c r="Q25" s="52">
        <f t="shared" si="22"/>
        <v>0.8</v>
      </c>
      <c r="R25" s="52">
        <f t="shared" si="26"/>
        <v>0.8</v>
      </c>
      <c r="S25" s="52">
        <f t="shared" si="26"/>
        <v>0.8</v>
      </c>
      <c r="T25" s="52">
        <f t="shared" si="26"/>
        <v>0.8</v>
      </c>
      <c r="U25" s="52">
        <f>T25</f>
        <v>0.8</v>
      </c>
      <c r="V25" s="52">
        <f t="shared" si="19"/>
        <v>0.8</v>
      </c>
      <c r="W25" s="202"/>
      <c r="X25" s="52">
        <f t="shared" si="23"/>
        <v>0.8</v>
      </c>
      <c r="Y25" s="52">
        <f t="shared" si="24"/>
        <v>0.8</v>
      </c>
      <c r="Z25" s="52">
        <f t="shared" si="27"/>
        <v>0.8</v>
      </c>
      <c r="AA25" s="52">
        <f t="shared" si="27"/>
        <v>0.8</v>
      </c>
      <c r="AB25" s="52">
        <f t="shared" si="27"/>
        <v>0.8</v>
      </c>
      <c r="AC25" s="52">
        <f>AB25</f>
        <v>0.8</v>
      </c>
      <c r="AD25" s="52">
        <f t="shared" si="20"/>
        <v>0.8</v>
      </c>
      <c r="AE25" s="202"/>
      <c r="AF25" s="202"/>
      <c r="AG25" s="202"/>
      <c r="AH25" s="202"/>
      <c r="AI25" s="202"/>
      <c r="AJ25" s="202"/>
      <c r="AK25" s="202"/>
      <c r="AL25" s="202"/>
      <c r="AM25" s="202"/>
      <c r="AN25" s="202"/>
      <c r="AO25" s="202"/>
      <c r="AP25" s="202"/>
      <c r="AQ25" s="202"/>
      <c r="AR25" s="202"/>
      <c r="AS25" s="202"/>
    </row>
    <row r="26" spans="1:45" ht="15.75" thickBot="1">
      <c r="A26" t="s">
        <v>16</v>
      </c>
      <c r="B26" s="3"/>
      <c r="C26" s="3"/>
      <c r="P26" s="3"/>
      <c r="R26" s="3"/>
      <c r="T26" s="3"/>
      <c r="U26" s="3"/>
      <c r="V26" s="3"/>
      <c r="W26" s="3"/>
      <c r="X26" s="3"/>
      <c r="Y26" s="3"/>
      <c r="Z26" s="3"/>
      <c r="AB26" s="227">
        <v>2030</v>
      </c>
      <c r="AC26" s="227">
        <v>2050</v>
      </c>
      <c r="AD26" s="3"/>
      <c r="AE26" s="3"/>
      <c r="AF26" s="3"/>
      <c r="AG26" s="3"/>
      <c r="AH26" s="3"/>
      <c r="AI26" s="3"/>
      <c r="AJ26" s="3"/>
      <c r="AK26" s="3"/>
      <c r="AL26" s="3"/>
      <c r="AM26" s="3"/>
      <c r="AN26" s="3"/>
      <c r="AO26" s="3"/>
      <c r="AP26" s="3"/>
      <c r="AQ26" s="3"/>
      <c r="AR26" s="3"/>
      <c r="AS26" s="3"/>
    </row>
    <row r="27" spans="1:45" ht="15.75" thickBot="1">
      <c r="A27" t="s">
        <v>16</v>
      </c>
      <c r="B27" s="9" t="s">
        <v>153</v>
      </c>
      <c r="C27" s="9"/>
      <c r="AB27" s="167">
        <f>INDEX($BD$4:$BD$7,MATCH($D$3,$BA$4:$BA$7,0))</f>
        <v>0.95</v>
      </c>
      <c r="AC27" s="167">
        <f>INDEX($BE$4:$BE$7,MATCH($D$3,$BA$4:$BA$7,0))</f>
        <v>0.95</v>
      </c>
    </row>
    <row r="28" spans="1:45">
      <c r="A28" t="s">
        <v>16</v>
      </c>
      <c r="B28" s="3" t="str">
        <f>B15</f>
        <v>TFHCV2</v>
      </c>
      <c r="C28" s="3" t="str">
        <f>C15</f>
        <v>Transport Freight - HCV2</v>
      </c>
      <c r="D28" t="s">
        <v>48</v>
      </c>
      <c r="F28" s="203">
        <f>F51/F$60</f>
        <v>1.223309374555521E-2</v>
      </c>
      <c r="G28" s="53">
        <f t="shared" ref="G28:H35" si="28">F28</f>
        <v>1.223309374555521E-2</v>
      </c>
      <c r="H28" s="53">
        <f t="shared" si="28"/>
        <v>1.223309374555521E-2</v>
      </c>
      <c r="I28" s="53">
        <f t="shared" ref="I28:I35" si="29">H28</f>
        <v>1.223309374555521E-2</v>
      </c>
      <c r="J28" s="53">
        <f t="shared" ref="J28:J35" si="30">I28</f>
        <v>1.223309374555521E-2</v>
      </c>
      <c r="K28" s="53">
        <f t="shared" ref="K28:K35" si="31">J28</f>
        <v>1.223309374555521E-2</v>
      </c>
      <c r="L28" s="53">
        <f t="shared" ref="L28:N35" si="32">IF($D$4,AB28,T28)</f>
        <v>1.223309374555521E-2</v>
      </c>
      <c r="M28" s="53">
        <f t="shared" si="32"/>
        <v>1.223309374555521E-2</v>
      </c>
      <c r="N28" s="53">
        <f t="shared" si="32"/>
        <v>1.223309374555521E-2</v>
      </c>
      <c r="P28" s="204">
        <f>$H28</f>
        <v>1.223309374555521E-2</v>
      </c>
      <c r="Q28" s="204">
        <f>P28</f>
        <v>1.223309374555521E-2</v>
      </c>
      <c r="R28" s="204">
        <f>Q28</f>
        <v>1.223309374555521E-2</v>
      </c>
      <c r="S28" s="204">
        <f>R28</f>
        <v>1.223309374555521E-2</v>
      </c>
      <c r="T28" s="28">
        <f t="shared" ref="T28:T35" si="33">R28</f>
        <v>1.223309374555521E-2</v>
      </c>
      <c r="U28" s="28">
        <f t="shared" ref="U28:U35" si="34">T28</f>
        <v>1.223309374555521E-2</v>
      </c>
      <c r="V28" s="28">
        <f>T28</f>
        <v>1.223309374555521E-2</v>
      </c>
      <c r="W28" s="205"/>
      <c r="X28" s="204">
        <f>P28</f>
        <v>1.223309374555521E-2</v>
      </c>
      <c r="Y28" s="204">
        <f t="shared" ref="Y28:AA28" si="35">Q28</f>
        <v>1.223309374555521E-2</v>
      </c>
      <c r="Z28" s="204">
        <f t="shared" si="35"/>
        <v>1.223309374555521E-2</v>
      </c>
      <c r="AA28" s="204">
        <f t="shared" si="35"/>
        <v>1.223309374555521E-2</v>
      </c>
      <c r="AB28" s="228">
        <f t="shared" ref="AB28:AB35" si="36">IF(INDEX($BF$4:$BF$7,MATCH($D$3,$BA$4:$BA$7,0)),Z28*$AB$27,Z28)</f>
        <v>1.162143905827745E-2</v>
      </c>
      <c r="AC28" s="228">
        <f t="shared" ref="AC28:AD35" si="37">IF(INDEX($BF$4:$BF$7,MATCH($D$3,$BA$4:$BA$7,0)),AB28*$AC$27,AB28)</f>
        <v>1.1040367105363576E-2</v>
      </c>
      <c r="AD28" s="61">
        <f t="shared" si="37"/>
        <v>1.0488348750095397E-2</v>
      </c>
      <c r="AE28" s="205"/>
      <c r="AF28" s="205"/>
      <c r="AG28" s="205"/>
      <c r="AH28" s="205"/>
      <c r="AI28" s="205"/>
      <c r="AJ28" s="205"/>
      <c r="AK28" s="205"/>
      <c r="AL28" s="205"/>
      <c r="AM28" s="205"/>
      <c r="AN28" s="205"/>
      <c r="AO28" s="205"/>
      <c r="AP28" s="205"/>
      <c r="AQ28" s="205"/>
      <c r="AR28" s="205"/>
      <c r="AS28" s="205"/>
    </row>
    <row r="29" spans="1:45">
      <c r="A29" t="s">
        <v>16</v>
      </c>
      <c r="B29" s="3" t="str">
        <f t="shared" ref="B29:C35" si="38">B16</f>
        <v>TFHCV3</v>
      </c>
      <c r="C29" s="3" t="str">
        <f t="shared" si="38"/>
        <v>Transport Freight - HCV3</v>
      </c>
      <c r="F29" s="203">
        <f>F52/F$60</f>
        <v>8.1866056980928109E-2</v>
      </c>
      <c r="G29" s="53">
        <f t="shared" si="28"/>
        <v>8.1866056980928109E-2</v>
      </c>
      <c r="H29" s="53">
        <f t="shared" si="28"/>
        <v>8.1866056980928109E-2</v>
      </c>
      <c r="I29" s="53">
        <f t="shared" si="29"/>
        <v>8.1866056980928109E-2</v>
      </c>
      <c r="J29" s="53">
        <f t="shared" si="30"/>
        <v>8.1866056980928109E-2</v>
      </c>
      <c r="K29" s="53">
        <f t="shared" si="31"/>
        <v>8.1866056980928109E-2</v>
      </c>
      <c r="L29" s="53">
        <f t="shared" si="32"/>
        <v>8.1866056980928109E-2</v>
      </c>
      <c r="M29" s="53">
        <f t="shared" si="32"/>
        <v>8.1866056980928109E-2</v>
      </c>
      <c r="N29" s="53">
        <f t="shared" si="32"/>
        <v>8.1866056980928109E-2</v>
      </c>
      <c r="P29" s="204">
        <f t="shared" ref="P29:P36" si="39">$H29</f>
        <v>8.1866056980928109E-2</v>
      </c>
      <c r="Q29" s="204">
        <f t="shared" ref="Q29:R35" si="40">P29</f>
        <v>8.1866056980928109E-2</v>
      </c>
      <c r="R29" s="204">
        <f t="shared" si="40"/>
        <v>8.1866056980928109E-2</v>
      </c>
      <c r="S29" s="204">
        <f t="shared" ref="S29" si="41">R29</f>
        <v>8.1866056980928109E-2</v>
      </c>
      <c r="T29" s="28">
        <f t="shared" si="33"/>
        <v>8.1866056980928109E-2</v>
      </c>
      <c r="U29" s="28">
        <f t="shared" si="34"/>
        <v>8.1866056980928109E-2</v>
      </c>
      <c r="V29" s="28">
        <f t="shared" ref="V29:V35" si="42">T29</f>
        <v>8.1866056980928109E-2</v>
      </c>
      <c r="W29" s="205"/>
      <c r="X29" s="204">
        <f t="shared" ref="X29:X36" si="43">P29</f>
        <v>8.1866056980928109E-2</v>
      </c>
      <c r="Y29" s="204">
        <f t="shared" ref="Y29:Y35" si="44">Q29</f>
        <v>8.1866056980928109E-2</v>
      </c>
      <c r="Z29" s="204">
        <f t="shared" ref="Z29:Z35" si="45">R29</f>
        <v>8.1866056980928109E-2</v>
      </c>
      <c r="AA29" s="204">
        <f t="shared" ref="AA29:AA35" si="46">S29</f>
        <v>8.1866056980928109E-2</v>
      </c>
      <c r="AB29" s="59">
        <f t="shared" si="36"/>
        <v>7.77727541318817E-2</v>
      </c>
      <c r="AC29" s="228">
        <f t="shared" si="37"/>
        <v>7.388411642528761E-2</v>
      </c>
      <c r="AD29" s="61">
        <f t="shared" si="37"/>
        <v>7.0189910604023228E-2</v>
      </c>
      <c r="AE29" s="205"/>
      <c r="AF29" s="205"/>
      <c r="AG29" s="205"/>
      <c r="AH29" s="205"/>
      <c r="AI29" s="205"/>
      <c r="AJ29" s="205"/>
      <c r="AK29" s="205"/>
      <c r="AL29" s="205"/>
      <c r="AM29" s="205"/>
      <c r="AN29" s="205"/>
      <c r="AO29" s="205"/>
      <c r="AP29" s="205"/>
      <c r="AQ29" s="205"/>
      <c r="AR29" s="205"/>
      <c r="AS29" s="205"/>
    </row>
    <row r="30" spans="1:45">
      <c r="A30" t="s">
        <v>16</v>
      </c>
      <c r="B30" s="3" t="str">
        <f t="shared" si="38"/>
        <v>TFHCV4</v>
      </c>
      <c r="C30" s="3" t="str">
        <f t="shared" si="38"/>
        <v>Transport Freight - HCV4</v>
      </c>
      <c r="F30" s="203">
        <f t="shared" ref="F30:F35" si="47">F53/F$60</f>
        <v>2.7304410472915146E-2</v>
      </c>
      <c r="G30" s="53">
        <f t="shared" si="28"/>
        <v>2.7304410472915146E-2</v>
      </c>
      <c r="H30" s="53">
        <f t="shared" si="28"/>
        <v>2.7304410472915146E-2</v>
      </c>
      <c r="I30" s="53">
        <f t="shared" si="29"/>
        <v>2.7304410472915146E-2</v>
      </c>
      <c r="J30" s="53">
        <f t="shared" si="30"/>
        <v>2.7304410472915146E-2</v>
      </c>
      <c r="K30" s="53">
        <f t="shared" si="31"/>
        <v>2.7304410472915146E-2</v>
      </c>
      <c r="L30" s="53">
        <f t="shared" si="32"/>
        <v>2.7304410472915146E-2</v>
      </c>
      <c r="M30" s="53">
        <f t="shared" si="32"/>
        <v>2.7304410472915146E-2</v>
      </c>
      <c r="N30" s="53">
        <f t="shared" si="32"/>
        <v>2.7304410472915146E-2</v>
      </c>
      <c r="P30" s="204">
        <f t="shared" si="39"/>
        <v>2.7304410472915146E-2</v>
      </c>
      <c r="Q30" s="204">
        <f t="shared" si="40"/>
        <v>2.7304410472915146E-2</v>
      </c>
      <c r="R30" s="204">
        <f t="shared" si="40"/>
        <v>2.7304410472915146E-2</v>
      </c>
      <c r="S30" s="204">
        <f t="shared" ref="S30" si="48">R30</f>
        <v>2.7304410472915146E-2</v>
      </c>
      <c r="T30" s="28">
        <f t="shared" si="33"/>
        <v>2.7304410472915146E-2</v>
      </c>
      <c r="U30" s="28">
        <f t="shared" si="34"/>
        <v>2.7304410472915146E-2</v>
      </c>
      <c r="V30" s="28">
        <f t="shared" si="42"/>
        <v>2.7304410472915146E-2</v>
      </c>
      <c r="W30" s="205"/>
      <c r="X30" s="204">
        <f t="shared" si="43"/>
        <v>2.7304410472915146E-2</v>
      </c>
      <c r="Y30" s="204">
        <f t="shared" si="44"/>
        <v>2.7304410472915146E-2</v>
      </c>
      <c r="Z30" s="204">
        <f t="shared" si="45"/>
        <v>2.7304410472915146E-2</v>
      </c>
      <c r="AA30" s="204">
        <f t="shared" si="46"/>
        <v>2.7304410472915146E-2</v>
      </c>
      <c r="AB30" s="59">
        <f t="shared" si="36"/>
        <v>2.5939189949269387E-2</v>
      </c>
      <c r="AC30" s="228">
        <f t="shared" si="37"/>
        <v>2.4642230451805917E-2</v>
      </c>
      <c r="AD30" s="61">
        <f t="shared" si="37"/>
        <v>2.3410118929215618E-2</v>
      </c>
      <c r="AE30" s="205"/>
      <c r="AF30" s="205"/>
      <c r="AG30" s="205"/>
      <c r="AH30" s="205"/>
      <c r="AI30" s="205"/>
      <c r="AJ30" s="205"/>
      <c r="AK30" s="205"/>
      <c r="AL30" s="205"/>
      <c r="AM30" s="205"/>
      <c r="AN30" s="205"/>
      <c r="AO30" s="205"/>
      <c r="AP30" s="205"/>
      <c r="AQ30" s="205"/>
      <c r="AR30" s="205"/>
      <c r="AS30" s="205"/>
    </row>
    <row r="31" spans="1:45">
      <c r="A31" t="s">
        <v>16</v>
      </c>
      <c r="B31" s="3" t="str">
        <f t="shared" si="38"/>
        <v>TFHCV5</v>
      </c>
      <c r="C31" s="3" t="str">
        <f t="shared" si="38"/>
        <v>Transport Freight - HCV5</v>
      </c>
      <c r="F31" s="203">
        <f t="shared" si="47"/>
        <v>1.645969810781665E-2</v>
      </c>
      <c r="G31" s="53">
        <f t="shared" si="28"/>
        <v>1.645969810781665E-2</v>
      </c>
      <c r="H31" s="53">
        <f t="shared" si="28"/>
        <v>1.645969810781665E-2</v>
      </c>
      <c r="I31" s="53">
        <f t="shared" si="29"/>
        <v>1.645969810781665E-2</v>
      </c>
      <c r="J31" s="53">
        <f t="shared" si="30"/>
        <v>1.645969810781665E-2</v>
      </c>
      <c r="K31" s="53">
        <f t="shared" si="31"/>
        <v>1.645969810781665E-2</v>
      </c>
      <c r="L31" s="53">
        <f t="shared" si="32"/>
        <v>1.645969810781665E-2</v>
      </c>
      <c r="M31" s="53">
        <f t="shared" si="32"/>
        <v>1.645969810781665E-2</v>
      </c>
      <c r="N31" s="53">
        <f t="shared" si="32"/>
        <v>1.645969810781665E-2</v>
      </c>
      <c r="P31" s="204">
        <f t="shared" si="39"/>
        <v>1.645969810781665E-2</v>
      </c>
      <c r="Q31" s="204">
        <f t="shared" si="40"/>
        <v>1.645969810781665E-2</v>
      </c>
      <c r="R31" s="204">
        <f t="shared" si="40"/>
        <v>1.645969810781665E-2</v>
      </c>
      <c r="S31" s="204">
        <f t="shared" ref="S31" si="49">R31</f>
        <v>1.645969810781665E-2</v>
      </c>
      <c r="T31" s="28">
        <f t="shared" si="33"/>
        <v>1.645969810781665E-2</v>
      </c>
      <c r="U31" s="28">
        <f t="shared" si="34"/>
        <v>1.645969810781665E-2</v>
      </c>
      <c r="V31" s="28">
        <f t="shared" si="42"/>
        <v>1.645969810781665E-2</v>
      </c>
      <c r="W31" s="205"/>
      <c r="X31" s="204">
        <f t="shared" si="43"/>
        <v>1.645969810781665E-2</v>
      </c>
      <c r="Y31" s="204">
        <f t="shared" si="44"/>
        <v>1.645969810781665E-2</v>
      </c>
      <c r="Z31" s="204">
        <f t="shared" si="45"/>
        <v>1.645969810781665E-2</v>
      </c>
      <c r="AA31" s="204">
        <f t="shared" si="46"/>
        <v>1.645969810781665E-2</v>
      </c>
      <c r="AB31" s="59">
        <f t="shared" si="36"/>
        <v>1.5636713202425816E-2</v>
      </c>
      <c r="AC31" s="228">
        <f t="shared" si="37"/>
        <v>1.4854877542304525E-2</v>
      </c>
      <c r="AD31" s="61">
        <f t="shared" si="37"/>
        <v>1.4112133665189298E-2</v>
      </c>
      <c r="AE31" s="205"/>
      <c r="AF31" s="205"/>
      <c r="AG31" s="205"/>
      <c r="AH31" s="205"/>
      <c r="AI31" s="205"/>
      <c r="AJ31" s="205"/>
      <c r="AK31" s="205"/>
      <c r="AL31" s="205"/>
      <c r="AM31" s="205"/>
      <c r="AN31" s="205"/>
      <c r="AO31" s="205"/>
      <c r="AP31" s="205"/>
      <c r="AQ31" s="205"/>
      <c r="AR31" s="205"/>
      <c r="AS31" s="205"/>
    </row>
    <row r="32" spans="1:45">
      <c r="A32" t="s">
        <v>16</v>
      </c>
      <c r="B32" s="3" t="str">
        <f t="shared" si="38"/>
        <v>TFHCV6</v>
      </c>
      <c r="C32" s="3" t="str">
        <f t="shared" si="38"/>
        <v>Transport Freight - HCV6</v>
      </c>
      <c r="F32" s="203">
        <f t="shared" si="47"/>
        <v>0.54070490636323243</v>
      </c>
      <c r="G32" s="53">
        <f t="shared" si="28"/>
        <v>0.54070490636323243</v>
      </c>
      <c r="H32" s="53">
        <f t="shared" si="28"/>
        <v>0.54070490636323243</v>
      </c>
      <c r="I32" s="53">
        <f t="shared" si="29"/>
        <v>0.54070490636323243</v>
      </c>
      <c r="J32" s="53">
        <f t="shared" si="30"/>
        <v>0.54070490636323243</v>
      </c>
      <c r="K32" s="53">
        <f t="shared" si="31"/>
        <v>0.54070490636323243</v>
      </c>
      <c r="L32" s="53">
        <f t="shared" si="32"/>
        <v>0.54070490636323243</v>
      </c>
      <c r="M32" s="53">
        <f t="shared" si="32"/>
        <v>0.54070490636323243</v>
      </c>
      <c r="N32" s="53">
        <f t="shared" si="32"/>
        <v>0.54070490636323243</v>
      </c>
      <c r="P32" s="204">
        <f t="shared" si="39"/>
        <v>0.54070490636323243</v>
      </c>
      <c r="Q32" s="204">
        <f t="shared" si="40"/>
        <v>0.54070490636323243</v>
      </c>
      <c r="R32" s="204">
        <f t="shared" si="40"/>
        <v>0.54070490636323243</v>
      </c>
      <c r="S32" s="204">
        <f t="shared" ref="S32" si="50">R32</f>
        <v>0.54070490636323243</v>
      </c>
      <c r="T32" s="28">
        <f t="shared" si="33"/>
        <v>0.54070490636323243</v>
      </c>
      <c r="U32" s="28">
        <f t="shared" si="34"/>
        <v>0.54070490636323243</v>
      </c>
      <c r="V32" s="28">
        <f t="shared" si="42"/>
        <v>0.54070490636323243</v>
      </c>
      <c r="W32" s="205"/>
      <c r="X32" s="204">
        <f t="shared" si="43"/>
        <v>0.54070490636323243</v>
      </c>
      <c r="Y32" s="204">
        <f t="shared" si="44"/>
        <v>0.54070490636323243</v>
      </c>
      <c r="Z32" s="204">
        <f t="shared" si="45"/>
        <v>0.54070490636323243</v>
      </c>
      <c r="AA32" s="204">
        <f t="shared" si="46"/>
        <v>0.54070490636323243</v>
      </c>
      <c r="AB32" s="59">
        <f t="shared" si="36"/>
        <v>0.51366966104507084</v>
      </c>
      <c r="AC32" s="228">
        <f t="shared" si="37"/>
        <v>0.48798617799281729</v>
      </c>
      <c r="AD32" s="61">
        <f t="shared" si="37"/>
        <v>0.46358686909317642</v>
      </c>
      <c r="AE32" s="205"/>
      <c r="AF32" s="205"/>
      <c r="AG32" s="205"/>
      <c r="AH32" s="205"/>
      <c r="AI32" s="205"/>
      <c r="AJ32" s="205"/>
      <c r="AK32" s="205"/>
      <c r="AL32" s="205"/>
      <c r="AM32" s="205"/>
      <c r="AN32" s="205"/>
      <c r="AO32" s="205"/>
      <c r="AP32" s="205"/>
      <c r="AQ32" s="205"/>
      <c r="AR32" s="205"/>
      <c r="AS32" s="205"/>
    </row>
    <row r="33" spans="1:45">
      <c r="A33" t="s">
        <v>16</v>
      </c>
      <c r="B33" s="3" t="str">
        <f t="shared" si="38"/>
        <v>TFHCV7</v>
      </c>
      <c r="C33" s="3" t="str">
        <f t="shared" si="38"/>
        <v>Transport Freight - HCV7</v>
      </c>
      <c r="F33" s="203">
        <f t="shared" si="47"/>
        <v>0.1899915629254573</v>
      </c>
      <c r="G33" s="53">
        <f t="shared" si="28"/>
        <v>0.1899915629254573</v>
      </c>
      <c r="H33" s="53">
        <f t="shared" si="28"/>
        <v>0.1899915629254573</v>
      </c>
      <c r="I33" s="53">
        <f t="shared" si="29"/>
        <v>0.1899915629254573</v>
      </c>
      <c r="J33" s="53">
        <f t="shared" si="30"/>
        <v>0.1899915629254573</v>
      </c>
      <c r="K33" s="53">
        <f t="shared" si="31"/>
        <v>0.1899915629254573</v>
      </c>
      <c r="L33" s="53">
        <f t="shared" si="32"/>
        <v>0.1899915629254573</v>
      </c>
      <c r="M33" s="53">
        <f t="shared" si="32"/>
        <v>0.1899915629254573</v>
      </c>
      <c r="N33" s="53">
        <f t="shared" si="32"/>
        <v>0.1899915629254573</v>
      </c>
      <c r="P33" s="204">
        <f t="shared" si="39"/>
        <v>0.1899915629254573</v>
      </c>
      <c r="Q33" s="204">
        <f t="shared" si="40"/>
        <v>0.1899915629254573</v>
      </c>
      <c r="R33" s="204">
        <f t="shared" si="40"/>
        <v>0.1899915629254573</v>
      </c>
      <c r="S33" s="204">
        <f t="shared" ref="S33" si="51">R33</f>
        <v>0.1899915629254573</v>
      </c>
      <c r="T33" s="28">
        <f t="shared" si="33"/>
        <v>0.1899915629254573</v>
      </c>
      <c r="U33" s="28">
        <f t="shared" si="34"/>
        <v>0.1899915629254573</v>
      </c>
      <c r="V33" s="28">
        <f t="shared" si="42"/>
        <v>0.1899915629254573</v>
      </c>
      <c r="W33" s="205"/>
      <c r="X33" s="204">
        <f t="shared" si="43"/>
        <v>0.1899915629254573</v>
      </c>
      <c r="Y33" s="204">
        <f t="shared" si="44"/>
        <v>0.1899915629254573</v>
      </c>
      <c r="Z33" s="204">
        <f t="shared" si="45"/>
        <v>0.1899915629254573</v>
      </c>
      <c r="AA33" s="204">
        <f t="shared" si="46"/>
        <v>0.1899915629254573</v>
      </c>
      <c r="AB33" s="59">
        <f t="shared" si="36"/>
        <v>0.18049198477918443</v>
      </c>
      <c r="AC33" s="228">
        <f t="shared" si="37"/>
        <v>0.1714673855402252</v>
      </c>
      <c r="AD33" s="61">
        <f t="shared" si="37"/>
        <v>0.16289401626321393</v>
      </c>
      <c r="AE33" s="205"/>
      <c r="AF33" s="205"/>
      <c r="AG33" s="205"/>
      <c r="AH33" s="205"/>
      <c r="AI33" s="205"/>
      <c r="AJ33" s="205"/>
      <c r="AK33" s="205"/>
      <c r="AL33" s="205"/>
      <c r="AM33" s="205"/>
      <c r="AN33" s="205"/>
      <c r="AO33" s="205"/>
      <c r="AP33" s="205"/>
      <c r="AQ33" s="205"/>
      <c r="AR33" s="205"/>
      <c r="AS33" s="205"/>
    </row>
    <row r="34" spans="1:45">
      <c r="A34" t="s">
        <v>16</v>
      </c>
      <c r="B34" s="3" t="str">
        <f t="shared" si="38"/>
        <v>TFHCV8</v>
      </c>
      <c r="C34" s="3" t="str">
        <f t="shared" si="38"/>
        <v>Transport Freight - HCV8</v>
      </c>
      <c r="F34" s="203">
        <f t="shared" si="47"/>
        <v>6.9923140692989272E-3</v>
      </c>
      <c r="G34" s="53">
        <f t="shared" si="28"/>
        <v>6.9923140692989272E-3</v>
      </c>
      <c r="H34" s="53">
        <f t="shared" si="28"/>
        <v>6.9923140692989272E-3</v>
      </c>
      <c r="I34" s="53">
        <f t="shared" si="29"/>
        <v>6.9923140692989272E-3</v>
      </c>
      <c r="J34" s="53">
        <f t="shared" si="30"/>
        <v>6.9923140692989272E-3</v>
      </c>
      <c r="K34" s="53">
        <f t="shared" si="31"/>
        <v>6.9923140692989272E-3</v>
      </c>
      <c r="L34" s="53">
        <f t="shared" si="32"/>
        <v>6.9923140692989272E-3</v>
      </c>
      <c r="M34" s="53">
        <f t="shared" si="32"/>
        <v>6.9923140692989272E-3</v>
      </c>
      <c r="N34" s="53">
        <f t="shared" si="32"/>
        <v>6.9923140692989272E-3</v>
      </c>
      <c r="P34" s="204">
        <f t="shared" si="39"/>
        <v>6.9923140692989272E-3</v>
      </c>
      <c r="Q34" s="204">
        <f t="shared" si="40"/>
        <v>6.9923140692989272E-3</v>
      </c>
      <c r="R34" s="204">
        <f t="shared" si="40"/>
        <v>6.9923140692989272E-3</v>
      </c>
      <c r="S34" s="204">
        <f t="shared" ref="S34" si="52">R34</f>
        <v>6.9923140692989272E-3</v>
      </c>
      <c r="T34" s="28">
        <f t="shared" si="33"/>
        <v>6.9923140692989272E-3</v>
      </c>
      <c r="U34" s="28">
        <f t="shared" si="34"/>
        <v>6.9923140692989272E-3</v>
      </c>
      <c r="V34" s="28">
        <f t="shared" si="42"/>
        <v>6.9923140692989272E-3</v>
      </c>
      <c r="W34" s="205"/>
      <c r="X34" s="204">
        <f t="shared" si="43"/>
        <v>6.9923140692989272E-3</v>
      </c>
      <c r="Y34" s="204">
        <f t="shared" si="44"/>
        <v>6.9923140692989272E-3</v>
      </c>
      <c r="Z34" s="204">
        <f t="shared" si="45"/>
        <v>6.9923140692989272E-3</v>
      </c>
      <c r="AA34" s="204">
        <f t="shared" si="46"/>
        <v>6.9923140692989272E-3</v>
      </c>
      <c r="AB34" s="59">
        <f t="shared" si="36"/>
        <v>6.6426983658339801E-3</v>
      </c>
      <c r="AC34" s="228">
        <f t="shared" si="37"/>
        <v>6.3105634475422809E-3</v>
      </c>
      <c r="AD34" s="61">
        <f t="shared" si="37"/>
        <v>5.9950352751651668E-3</v>
      </c>
      <c r="AE34" s="205"/>
      <c r="AF34" s="205"/>
      <c r="AG34" s="205"/>
      <c r="AH34" s="205"/>
      <c r="AI34" s="205"/>
      <c r="AJ34" s="205"/>
      <c r="AK34" s="205"/>
      <c r="AL34" s="205"/>
      <c r="AM34" s="205"/>
      <c r="AN34" s="205"/>
      <c r="AO34" s="205"/>
      <c r="AP34" s="205"/>
      <c r="AQ34" s="205"/>
      <c r="AR34" s="205"/>
      <c r="AS34" s="205"/>
    </row>
    <row r="35" spans="1:45">
      <c r="A35" t="s">
        <v>16</v>
      </c>
      <c r="B35" s="3" t="str">
        <f t="shared" si="38"/>
        <v>TFHCV9</v>
      </c>
      <c r="C35" s="3" t="str">
        <f t="shared" si="38"/>
        <v>Transport Freight - HCV9</v>
      </c>
      <c r="F35" s="203">
        <f t="shared" si="47"/>
        <v>6.2183700673103847E-3</v>
      </c>
      <c r="G35" s="53">
        <f t="shared" si="28"/>
        <v>6.2183700673103847E-3</v>
      </c>
      <c r="H35" s="53">
        <f t="shared" si="28"/>
        <v>6.2183700673103847E-3</v>
      </c>
      <c r="I35" s="53">
        <f t="shared" si="29"/>
        <v>6.2183700673103847E-3</v>
      </c>
      <c r="J35" s="53">
        <f t="shared" si="30"/>
        <v>6.2183700673103847E-3</v>
      </c>
      <c r="K35" s="53">
        <f t="shared" si="31"/>
        <v>6.2183700673103847E-3</v>
      </c>
      <c r="L35" s="53">
        <f t="shared" si="32"/>
        <v>6.2183700673103847E-3</v>
      </c>
      <c r="M35" s="53">
        <f t="shared" si="32"/>
        <v>6.2183700673103847E-3</v>
      </c>
      <c r="N35" s="53">
        <f t="shared" si="32"/>
        <v>6.2183700673103847E-3</v>
      </c>
      <c r="P35" s="204">
        <f t="shared" si="39"/>
        <v>6.2183700673103847E-3</v>
      </c>
      <c r="Q35" s="204">
        <f t="shared" si="40"/>
        <v>6.2183700673103847E-3</v>
      </c>
      <c r="R35" s="204">
        <f t="shared" si="40"/>
        <v>6.2183700673103847E-3</v>
      </c>
      <c r="S35" s="204">
        <f t="shared" ref="S35" si="53">R35</f>
        <v>6.2183700673103847E-3</v>
      </c>
      <c r="T35" s="28">
        <f t="shared" si="33"/>
        <v>6.2183700673103847E-3</v>
      </c>
      <c r="U35" s="28">
        <f t="shared" si="34"/>
        <v>6.2183700673103847E-3</v>
      </c>
      <c r="V35" s="28">
        <f t="shared" si="42"/>
        <v>6.2183700673103847E-3</v>
      </c>
      <c r="W35" s="205"/>
      <c r="X35" s="204">
        <f t="shared" si="43"/>
        <v>6.2183700673103847E-3</v>
      </c>
      <c r="Y35" s="204">
        <f t="shared" si="44"/>
        <v>6.2183700673103847E-3</v>
      </c>
      <c r="Z35" s="204">
        <f t="shared" si="45"/>
        <v>6.2183700673103847E-3</v>
      </c>
      <c r="AA35" s="204">
        <f t="shared" si="46"/>
        <v>6.2183700673103847E-3</v>
      </c>
      <c r="AB35" s="59">
        <f t="shared" si="36"/>
        <v>5.907451563944865E-3</v>
      </c>
      <c r="AC35" s="228">
        <f t="shared" si="37"/>
        <v>5.6120789857476211E-3</v>
      </c>
      <c r="AD35" s="61">
        <f t="shared" si="37"/>
        <v>5.3314750364602398E-3</v>
      </c>
      <c r="AE35" s="205"/>
      <c r="AF35" s="205"/>
      <c r="AG35" s="205"/>
      <c r="AH35" s="205"/>
      <c r="AI35" s="205"/>
      <c r="AJ35" s="205"/>
      <c r="AK35" s="205"/>
      <c r="AL35" s="205"/>
      <c r="AM35" s="205"/>
      <c r="AN35" s="205"/>
      <c r="AO35" s="205"/>
      <c r="AP35" s="205"/>
      <c r="AQ35" s="205"/>
      <c r="AR35" s="205"/>
      <c r="AS35" s="205"/>
    </row>
    <row r="36" spans="1:45">
      <c r="A36" t="s">
        <v>16</v>
      </c>
      <c r="B36" s="3" t="str">
        <f>B23</f>
        <v>TFRCO</v>
      </c>
      <c r="C36" s="3" t="str">
        <f>C23</f>
        <v>Transport Freight - Rail Corridor</v>
      </c>
      <c r="D36" t="s">
        <v>48</v>
      </c>
      <c r="F36" s="203">
        <f>F59/F$60</f>
        <v>0.11822958726748586</v>
      </c>
      <c r="G36" s="53">
        <f t="shared" ref="G36:H36" si="54">1-SUM(G28:G35)</f>
        <v>0.11822958726748589</v>
      </c>
      <c r="H36" s="53">
        <f t="shared" si="54"/>
        <v>0.11822958726748589</v>
      </c>
      <c r="I36" s="53">
        <f t="shared" ref="I36:K36" si="55">1-SUM(I28:I35)</f>
        <v>0.11822958726748589</v>
      </c>
      <c r="J36" s="53">
        <f t="shared" si="55"/>
        <v>0.11822958726748589</v>
      </c>
      <c r="K36" s="53">
        <f t="shared" si="55"/>
        <v>0.11822958726748589</v>
      </c>
      <c r="L36" s="53">
        <f>1-SUM(L28:L35)</f>
        <v>0.11822958726748589</v>
      </c>
      <c r="M36" s="53">
        <f>1-SUM(M28:M35)</f>
        <v>0.11822958726748589</v>
      </c>
      <c r="N36" s="53">
        <f>1-SUM(N28:N35)</f>
        <v>0.11822958726748589</v>
      </c>
      <c r="P36" s="204">
        <f t="shared" si="39"/>
        <v>0.11822958726748589</v>
      </c>
      <c r="Q36" s="53">
        <f t="shared" ref="Q36:V36" si="56">1-SUM(Q28:Q35)</f>
        <v>0.11822958726748589</v>
      </c>
      <c r="R36" s="53">
        <f t="shared" si="56"/>
        <v>0.11822958726748589</v>
      </c>
      <c r="S36" s="53">
        <f t="shared" si="56"/>
        <v>0.11822958726748589</v>
      </c>
      <c r="T36" s="53">
        <f t="shared" si="56"/>
        <v>0.11822958726748589</v>
      </c>
      <c r="U36" s="53">
        <f t="shared" si="56"/>
        <v>0.11822958726748589</v>
      </c>
      <c r="V36" s="53">
        <f t="shared" si="56"/>
        <v>0.11822958726748589</v>
      </c>
      <c r="W36" s="205"/>
      <c r="X36" s="204">
        <f t="shared" si="43"/>
        <v>0.11822958726748589</v>
      </c>
      <c r="Y36" s="53">
        <f t="shared" ref="Y36:AD36" si="57">1-SUM(Y28:Y35)</f>
        <v>0.11822958726748589</v>
      </c>
      <c r="Z36" s="53">
        <f t="shared" si="57"/>
        <v>0.11822958726748589</v>
      </c>
      <c r="AA36" s="53">
        <f t="shared" si="57"/>
        <v>0.11822958726748589</v>
      </c>
      <c r="AB36" s="53">
        <f t="shared" si="57"/>
        <v>0.16231810790411161</v>
      </c>
      <c r="AC36" s="53">
        <f t="shared" si="57"/>
        <v>0.20420220250890586</v>
      </c>
      <c r="AD36" s="53">
        <f t="shared" si="57"/>
        <v>0.24399209238346053</v>
      </c>
      <c r="AE36" s="205"/>
      <c r="AF36" s="205"/>
      <c r="AG36" s="205"/>
      <c r="AH36" s="205"/>
      <c r="AI36" s="205"/>
      <c r="AJ36" s="205"/>
      <c r="AK36" s="205"/>
      <c r="AL36" s="205"/>
      <c r="AM36" s="205"/>
      <c r="AN36" s="205"/>
      <c r="AO36" s="205"/>
      <c r="AP36" s="205"/>
      <c r="AQ36" s="205"/>
      <c r="AR36" s="205"/>
      <c r="AS36" s="205"/>
    </row>
    <row r="37" spans="1:45">
      <c r="A37" t="s">
        <v>16</v>
      </c>
    </row>
    <row r="38" spans="1:45" ht="15.75" thickBot="1">
      <c r="A38" t="s">
        <v>16</v>
      </c>
      <c r="B38" s="9" t="s">
        <v>433</v>
      </c>
      <c r="C38" s="9"/>
      <c r="D38" s="9"/>
    </row>
    <row r="39" spans="1:45">
      <c r="A39" t="s">
        <v>16</v>
      </c>
      <c r="B39" s="3" t="str">
        <f>B14</f>
        <v>TFHCV1</v>
      </c>
      <c r="C39" s="3" t="str">
        <f>C14</f>
        <v>Transport Freight - HCV1</v>
      </c>
      <c r="D39" t="s">
        <v>48</v>
      </c>
      <c r="F39" s="203">
        <f>F46/F$48</f>
        <v>0.17795233566495883</v>
      </c>
      <c r="G39" s="53">
        <f>F39</f>
        <v>0.17795233566495883</v>
      </c>
      <c r="H39" s="53">
        <f>G39</f>
        <v>0.17795233566495883</v>
      </c>
      <c r="I39" s="53">
        <f>IF($D$4,AB39,T39)</f>
        <v>0.17795233566495883</v>
      </c>
      <c r="J39" s="53">
        <f>IF($D$4,Z39,R39)</f>
        <v>0.17795233566495883</v>
      </c>
      <c r="K39" s="53">
        <f>IF($D$4,AB39,T39)</f>
        <v>0.17795233566495883</v>
      </c>
      <c r="L39" s="53">
        <f>IF($D$4,AB39,T39)</f>
        <v>0.17795233566495883</v>
      </c>
      <c r="M39" s="53">
        <f>IF($D$4,AC39,U39)</f>
        <v>0.17795233566495883</v>
      </c>
      <c r="N39" s="53">
        <f>IF($D$4,AD39,V39)</f>
        <v>0.17795233566495883</v>
      </c>
      <c r="P39" s="204">
        <f>H39</f>
        <v>0.17795233566495883</v>
      </c>
      <c r="Q39" s="204">
        <f>P39</f>
        <v>0.17795233566495883</v>
      </c>
      <c r="R39" s="204">
        <f>Q39</f>
        <v>0.17795233566495883</v>
      </c>
      <c r="S39" s="204">
        <f>R39</f>
        <v>0.17795233566495883</v>
      </c>
      <c r="T39" s="28">
        <f>R39</f>
        <v>0.17795233566495883</v>
      </c>
      <c r="U39" s="28">
        <f>T39</f>
        <v>0.17795233566495883</v>
      </c>
      <c r="V39" s="28">
        <f>T39</f>
        <v>0.17795233566495883</v>
      </c>
      <c r="W39" s="205"/>
      <c r="X39" s="204">
        <f>P39</f>
        <v>0.17795233566495883</v>
      </c>
      <c r="Y39" s="204">
        <f t="shared" ref="Y39:AA39" si="58">Q39</f>
        <v>0.17795233566495883</v>
      </c>
      <c r="Z39" s="204">
        <f t="shared" si="58"/>
        <v>0.17795233566495883</v>
      </c>
      <c r="AA39" s="204">
        <f t="shared" si="58"/>
        <v>0.17795233566495883</v>
      </c>
      <c r="AB39" s="59">
        <f>Z39*0.95</f>
        <v>0.16905471888171089</v>
      </c>
      <c r="AC39" s="59">
        <f>AB39*0.95</f>
        <v>0.16060198293762534</v>
      </c>
      <c r="AD39" s="59">
        <f>AC39*0.95</f>
        <v>0.15257188379074407</v>
      </c>
      <c r="AE39" s="205"/>
      <c r="AF39" s="205"/>
      <c r="AG39" s="205"/>
      <c r="AH39" s="205"/>
      <c r="AI39" s="205"/>
      <c r="AJ39" s="205"/>
      <c r="AK39" s="205"/>
      <c r="AL39" s="205"/>
      <c r="AM39" s="205"/>
      <c r="AN39" s="205"/>
      <c r="AO39" s="205"/>
      <c r="AP39" s="205"/>
      <c r="AQ39" s="205"/>
      <c r="AR39" s="205"/>
      <c r="AS39" s="205"/>
    </row>
    <row r="40" spans="1:45">
      <c r="A40" t="s">
        <v>16</v>
      </c>
      <c r="B40" s="3" t="str">
        <f>B24</f>
        <v>TFROT</v>
      </c>
      <c r="C40" s="3" t="str">
        <f>C24</f>
        <v>Transport Freight - Rail Other</v>
      </c>
      <c r="D40" t="s">
        <v>48</v>
      </c>
      <c r="F40" s="203">
        <f>F47/F$48</f>
        <v>0.82204766433504117</v>
      </c>
      <c r="G40" s="53">
        <f t="shared" ref="G40:H40" si="59">1-G39</f>
        <v>0.82204766433504117</v>
      </c>
      <c r="H40" s="53">
        <f t="shared" si="59"/>
        <v>0.82204766433504117</v>
      </c>
      <c r="I40" s="53">
        <f t="shared" ref="I40" si="60">1-I39</f>
        <v>0.82204766433504117</v>
      </c>
      <c r="J40" s="53">
        <f>1-J39</f>
        <v>0.82204766433504117</v>
      </c>
      <c r="K40" s="53">
        <f>1-K39</f>
        <v>0.82204766433504117</v>
      </c>
      <c r="L40" s="53">
        <f>1-L39</f>
        <v>0.82204766433504117</v>
      </c>
      <c r="M40" s="53">
        <f>1-M39</f>
        <v>0.82204766433504117</v>
      </c>
      <c r="N40" s="53">
        <f>1-N39</f>
        <v>0.82204766433504117</v>
      </c>
      <c r="P40" s="204">
        <f>H40</f>
        <v>0.82204766433504117</v>
      </c>
      <c r="Q40" s="53">
        <f t="shared" ref="Q40:V40" si="61">1-Q39</f>
        <v>0.82204766433504117</v>
      </c>
      <c r="R40" s="53">
        <f t="shared" si="61"/>
        <v>0.82204766433504117</v>
      </c>
      <c r="S40" s="53">
        <f t="shared" si="61"/>
        <v>0.82204766433504117</v>
      </c>
      <c r="T40" s="53">
        <f t="shared" si="61"/>
        <v>0.82204766433504117</v>
      </c>
      <c r="U40" s="53">
        <f t="shared" si="61"/>
        <v>0.82204766433504117</v>
      </c>
      <c r="V40" s="53">
        <f t="shared" si="61"/>
        <v>0.82204766433504117</v>
      </c>
      <c r="W40" s="205"/>
      <c r="X40" s="204">
        <f>P40</f>
        <v>0.82204766433504117</v>
      </c>
      <c r="Y40" s="204">
        <f t="shared" ref="Y40" si="62">Q40</f>
        <v>0.82204766433504117</v>
      </c>
      <c r="Z40" s="204">
        <f t="shared" ref="Z40" si="63">R40</f>
        <v>0.82204766433504117</v>
      </c>
      <c r="AA40" s="204">
        <f t="shared" ref="AA40" si="64">S40</f>
        <v>0.82204766433504117</v>
      </c>
      <c r="AB40" s="53">
        <f>1-AB39</f>
        <v>0.83094528111828914</v>
      </c>
      <c r="AC40" s="53">
        <f>1-AC39</f>
        <v>0.83939801706237471</v>
      </c>
      <c r="AD40" s="53">
        <f>1-AD39</f>
        <v>0.84742811620925595</v>
      </c>
      <c r="AE40" s="205"/>
      <c r="AF40" s="205"/>
      <c r="AG40" s="205"/>
      <c r="AH40" s="205"/>
      <c r="AI40" s="205"/>
      <c r="AJ40" s="205"/>
      <c r="AK40" s="205"/>
      <c r="AL40" s="205"/>
      <c r="AM40" s="205"/>
      <c r="AN40" s="205"/>
      <c r="AO40" s="205"/>
      <c r="AP40" s="205"/>
      <c r="AQ40" s="205"/>
      <c r="AR40" s="205"/>
      <c r="AS40" s="205"/>
    </row>
    <row r="41" spans="1:45">
      <c r="A41" t="s">
        <v>16</v>
      </c>
    </row>
    <row r="42" spans="1:45" ht="15.75" thickBot="1">
      <c r="A42" t="s">
        <v>16</v>
      </c>
      <c r="B42" s="9" t="s">
        <v>207</v>
      </c>
      <c r="C42" s="9"/>
      <c r="D42" s="9"/>
      <c r="G42" s="39"/>
      <c r="H42" s="39"/>
      <c r="I42" s="39"/>
    </row>
    <row r="43" spans="1:45">
      <c r="A43" t="s">
        <v>16</v>
      </c>
      <c r="B43" s="3"/>
      <c r="C43" s="1" t="s">
        <v>5</v>
      </c>
      <c r="D43" s="2" t="s">
        <v>149</v>
      </c>
      <c r="E43" s="2"/>
      <c r="F43" s="39">
        <f>F63*F92</f>
        <v>17.310372778407704</v>
      </c>
      <c r="G43" s="39">
        <f t="shared" ref="G43:H43" si="65">G63*G92</f>
        <v>18.120758900121242</v>
      </c>
      <c r="H43" s="39">
        <f t="shared" si="65"/>
        <v>18.931145021834784</v>
      </c>
      <c r="I43" s="39">
        <f>H43*(1+(H13+I13)/2*((I7/H7)^(1/(I$4-H$4))-1))^(I$4-H$4)</f>
        <v>19.166790908504293</v>
      </c>
      <c r="J43" s="39">
        <f>G43*(1+(G13+J13)/2*((J7/G7)^(1/(J$4-G$4))-1))^(J$4-G$4)</f>
        <v>17.985521747895376</v>
      </c>
      <c r="K43" s="39">
        <f>H43*(1+(H13+K13)/2*((K7/H7)^(1/(K$4-H$4))-1))^(K$4-H$4)</f>
        <v>18.85956631792186</v>
      </c>
      <c r="L43" s="39">
        <f>J43*(1+(J13+L13)/2*((L7/J7)^(1/(L$4-J$4))-1))^(L$4-J$4)</f>
        <v>21.800113172294029</v>
      </c>
      <c r="M43" s="39">
        <f>L43*(1+(L13+M13)/2*((M7/L7)^(1/(M$4-L$4))-1))^(M$4-L$4)</f>
        <v>27.906968325000069</v>
      </c>
      <c r="N43" s="39">
        <f>M43*(1+(M13+N13)/2*((N7/M7)^(1/(N$4-M$4))-1))^(N$4-M$4)</f>
        <v>32.724183345833076</v>
      </c>
      <c r="O43" s="39"/>
      <c r="P43" s="39">
        <f>$H43</f>
        <v>18.931145021834784</v>
      </c>
      <c r="Q43" s="39">
        <f>I43</f>
        <v>19.166790908504293</v>
      </c>
      <c r="R43" s="39">
        <f t="shared" ref="R43:S43" si="66">J43</f>
        <v>17.985521747895376</v>
      </c>
      <c r="S43" s="39">
        <f t="shared" si="66"/>
        <v>18.85956631792186</v>
      </c>
      <c r="T43" s="268">
        <f>R43*(1+(R13+T13)/2*((T7/R7)^(1/(T$4-R$4))-1))^(T$4-R$4)</f>
        <v>21.800113172294029</v>
      </c>
      <c r="U43" s="268">
        <f>T43*(1+(T13+U13)/2*((U7/T7)^(1/(U$4-T$4))-1))^(U$4-T$4)</f>
        <v>27.906968325000069</v>
      </c>
      <c r="V43" s="268">
        <f>U43*(1+(U13+V13)/2*((V7/U7)^(1/(V$4-U$4))-1))^(V$4-U$4)</f>
        <v>32.724183345833076</v>
      </c>
      <c r="X43" s="39">
        <f>P43</f>
        <v>18.931145021834784</v>
      </c>
      <c r="Y43" s="39">
        <f t="shared" ref="Y43:AA43" si="67">Q43</f>
        <v>19.166790908504293</v>
      </c>
      <c r="Z43" s="39">
        <f t="shared" si="67"/>
        <v>17.985521747895376</v>
      </c>
      <c r="AA43" s="39">
        <f t="shared" si="67"/>
        <v>18.85956631792186</v>
      </c>
      <c r="AB43" s="268">
        <f>Z43*(1+(Z13+AB13)/2*((AB7/Z7)^(1/(AB$4-Z$4))-1))^(AB$4-Z$4)</f>
        <v>21.800113172294029</v>
      </c>
      <c r="AC43" s="268">
        <f>AB43*(1+(AB13+AC13)/2*((AC7/AB7)^(1/(AC$4-AB$4))-1))^(AC$4-AB$4)</f>
        <v>27.906968325000069</v>
      </c>
      <c r="AD43" s="268">
        <f>AC43*(1+(AC13+AD13)/2*((AD7/AC7)^(1/(AD$4-AC$4))-1))^(AD$4-AC$4)</f>
        <v>32.724183345833076</v>
      </c>
    </row>
    <row r="44" spans="1:45">
      <c r="A44" t="s">
        <v>16</v>
      </c>
    </row>
    <row r="45" spans="1:45" ht="15.75" thickBot="1">
      <c r="A45" t="s">
        <v>16</v>
      </c>
      <c r="B45" s="9" t="s">
        <v>411</v>
      </c>
      <c r="C45" s="9"/>
      <c r="D45" s="9"/>
    </row>
    <row r="46" spans="1:45">
      <c r="A46" t="s">
        <v>16</v>
      </c>
      <c r="B46" s="3" t="str">
        <f>B39</f>
        <v>TFHCV1</v>
      </c>
      <c r="C46" s="3" t="str">
        <f>C39</f>
        <v>Transport Freight - HCV1</v>
      </c>
      <c r="D46" t="s">
        <v>149</v>
      </c>
      <c r="F46" s="6">
        <f>F64*F93</f>
        <v>5.4335092951131081</v>
      </c>
      <c r="G46" s="6">
        <f t="shared" ref="G46:N46" si="68">G39*G$48</f>
        <v>5.725786025053389</v>
      </c>
      <c r="H46" s="6">
        <f t="shared" si="68"/>
        <v>5.8310789276794708</v>
      </c>
      <c r="I46" s="6">
        <f t="shared" si="68"/>
        <v>5.9036614240138503</v>
      </c>
      <c r="J46" s="6">
        <f t="shared" si="68"/>
        <v>5.6830538745650507</v>
      </c>
      <c r="K46" s="6">
        <f t="shared" si="68"/>
        <v>5.809031604520948</v>
      </c>
      <c r="L46" s="6">
        <f t="shared" si="68"/>
        <v>6.8883860788892406</v>
      </c>
      <c r="M46" s="6">
        <f t="shared" si="68"/>
        <v>8.8180263375075238</v>
      </c>
      <c r="N46" s="6">
        <f t="shared" si="68"/>
        <v>10.340166916607572</v>
      </c>
      <c r="P46" s="6">
        <f t="shared" ref="P46" si="69">P39*P$48</f>
        <v>5.725786025053389</v>
      </c>
      <c r="Q46" s="6">
        <f t="shared" ref="Q46:Q48" si="70">$I46</f>
        <v>5.9036614240138503</v>
      </c>
      <c r="R46" s="6">
        <f t="shared" ref="R46:V47" si="71">R39*R$48</f>
        <v>5.5806951792035084</v>
      </c>
      <c r="S46" s="6">
        <f t="shared" si="71"/>
        <v>5.8091792739244159</v>
      </c>
      <c r="T46" s="267">
        <f t="shared" si="71"/>
        <v>6.7643178881340225</v>
      </c>
      <c r="U46" s="267">
        <f t="shared" si="71"/>
        <v>8.6592029845193252</v>
      </c>
      <c r="V46" s="267">
        <f t="shared" si="71"/>
        <v>10.153927965021785</v>
      </c>
      <c r="W46" s="6"/>
      <c r="X46" s="6">
        <f t="shared" ref="X46:AD47" si="72">X39*X$48</f>
        <v>5.725786025053389</v>
      </c>
      <c r="Y46" s="6">
        <f t="shared" si="72"/>
        <v>5.9036614240138503</v>
      </c>
      <c r="Z46" s="6">
        <f t="shared" si="72"/>
        <v>5.5806951792035084</v>
      </c>
      <c r="AA46" s="6">
        <f t="shared" si="72"/>
        <v>5.8091792739244159</v>
      </c>
      <c r="AB46" s="267">
        <f t="shared" si="72"/>
        <v>6.4261019937273218</v>
      </c>
      <c r="AC46" s="267">
        <f t="shared" si="72"/>
        <v>7.8149306935286909</v>
      </c>
      <c r="AD46" s="267">
        <f t="shared" si="72"/>
        <v>8.7057239890105524</v>
      </c>
      <c r="AE46" s="6"/>
      <c r="AF46" s="6"/>
      <c r="AG46" s="6"/>
      <c r="AH46" s="6"/>
      <c r="AI46" s="6"/>
      <c r="AJ46" s="6"/>
      <c r="AK46" s="6"/>
      <c r="AL46" s="6"/>
      <c r="AM46" s="6"/>
      <c r="AN46" s="6"/>
      <c r="AO46" s="6"/>
      <c r="AP46" s="6"/>
      <c r="AQ46" s="6"/>
      <c r="AR46" s="6"/>
      <c r="AS46" s="6"/>
    </row>
    <row r="47" spans="1:45">
      <c r="A47" t="s">
        <v>16</v>
      </c>
      <c r="B47" s="3" t="str">
        <f>B40</f>
        <v>TFROT</v>
      </c>
      <c r="C47" s="3" t="str">
        <f>C40</f>
        <v>Transport Freight - Rail Other</v>
      </c>
      <c r="D47" t="s">
        <v>149</v>
      </c>
      <c r="F47" s="6">
        <f>F103</f>
        <v>25.1</v>
      </c>
      <c r="G47" s="6">
        <f t="shared" ref="G47:H47" si="73">G40*G$48</f>
        <v>26.450167179818607</v>
      </c>
      <c r="H47" s="6">
        <f t="shared" si="73"/>
        <v>26.936565879511939</v>
      </c>
      <c r="I47" s="6">
        <f t="shared" ref="I47" si="74">I40*I$48</f>
        <v>27.271859436409219</v>
      </c>
      <c r="J47" s="6">
        <f>J40*J$48</f>
        <v>26.252766767119954</v>
      </c>
      <c r="K47" s="6">
        <f>K40*K$48</f>
        <v>26.834718660482309</v>
      </c>
      <c r="L47" s="6">
        <f>L40*L$48</f>
        <v>31.820777547141518</v>
      </c>
      <c r="M47" s="6">
        <f>M40*M$48</f>
        <v>40.734716561634485</v>
      </c>
      <c r="N47" s="6">
        <f>N40*N$48</f>
        <v>47.766218020511793</v>
      </c>
      <c r="P47" s="6">
        <f>P40*P$48</f>
        <v>26.450167179818607</v>
      </c>
      <c r="Q47" s="6">
        <f t="shared" si="70"/>
        <v>27.271859436409219</v>
      </c>
      <c r="R47" s="6">
        <f t="shared" si="71"/>
        <v>25.779922585941232</v>
      </c>
      <c r="S47" s="6">
        <f t="shared" si="71"/>
        <v>26.835400816677453</v>
      </c>
      <c r="T47" s="267">
        <f t="shared" si="71"/>
        <v>31.247646736312355</v>
      </c>
      <c r="U47" s="267">
        <f t="shared" si="71"/>
        <v>40.001034894136609</v>
      </c>
      <c r="V47" s="267">
        <f t="shared" si="71"/>
        <v>46.905890480627463</v>
      </c>
      <c r="W47" s="6"/>
      <c r="X47" s="6">
        <f t="shared" si="72"/>
        <v>26.450167179818607</v>
      </c>
      <c r="Y47" s="6">
        <f t="shared" si="72"/>
        <v>27.271859436409219</v>
      </c>
      <c r="Z47" s="6">
        <f t="shared" si="72"/>
        <v>25.779922585941232</v>
      </c>
      <c r="AA47" s="6">
        <f t="shared" si="72"/>
        <v>26.835400816677453</v>
      </c>
      <c r="AB47" s="267">
        <f t="shared" si="72"/>
        <v>31.585862630719056</v>
      </c>
      <c r="AC47" s="267">
        <f t="shared" si="72"/>
        <v>40.845307185127247</v>
      </c>
      <c r="AD47" s="267">
        <f t="shared" si="72"/>
        <v>48.354094456638698</v>
      </c>
      <c r="AE47" s="6"/>
      <c r="AF47" s="6"/>
      <c r="AG47" s="6"/>
      <c r="AH47" s="6"/>
      <c r="AI47" s="6"/>
      <c r="AJ47" s="6"/>
      <c r="AK47" s="6"/>
      <c r="AL47" s="6"/>
      <c r="AM47" s="6"/>
      <c r="AN47" s="6"/>
      <c r="AO47" s="6"/>
      <c r="AP47" s="6"/>
      <c r="AQ47" s="6"/>
      <c r="AR47" s="6"/>
      <c r="AS47" s="6"/>
    </row>
    <row r="48" spans="1:45">
      <c r="A48" t="s">
        <v>16</v>
      </c>
      <c r="B48" s="3"/>
      <c r="C48" s="1" t="s">
        <v>5</v>
      </c>
      <c r="D48" s="2" t="s">
        <v>149</v>
      </c>
      <c r="E48" s="2"/>
      <c r="F48" s="39">
        <f>SUM(F46:F47)</f>
        <v>30.53350929511311</v>
      </c>
      <c r="G48" s="39">
        <f>F48*(1+(F21+G21)/2*((G7/F7)^(1/(G$4-F$4))-1))^(G$4-F$4)</f>
        <v>32.175953204871995</v>
      </c>
      <c r="H48" s="39">
        <f>G48*(1+(G21+H21)/2*((H7/G7)^(1/(H$4-G$4))-1))^(H$4-G$4)</f>
        <v>32.767644807191409</v>
      </c>
      <c r="I48" s="39">
        <f>H48*(1+(H21+I21)/2*((I7/H7)^(1/(I$4-H$4))-1))^(I$4-H$4)</f>
        <v>33.17552086042307</v>
      </c>
      <c r="J48" s="39">
        <f>G48*(1+(G21+J21)/2*((J7/G7)^(1/(J$4-G$4))-1))^(J$4-G$4)</f>
        <v>31.935820641685005</v>
      </c>
      <c r="K48" s="39">
        <f>H48*(1+(H21+K21)/2*((K7/H7)^(1/(K$4-H$4))-1))^(K$4-H$4)</f>
        <v>32.643750265003256</v>
      </c>
      <c r="L48" s="39">
        <f>J48*(1+(J21+L21)/2*((L7/J7)^(1/(L$4-J$4))-1))^(L$4-J$4)</f>
        <v>38.709163626030758</v>
      </c>
      <c r="M48" s="39">
        <f>L48*(1+(L21+M21)/2*((M7/L7)^(1/(M$4-L$4))-1))^(M$4-L$4)</f>
        <v>49.552742899142011</v>
      </c>
      <c r="N48" s="39">
        <f>M48*(1+(M21+N21)/2*((N7/M7)^(1/(N$4-M$4))-1))^(N$4-M$4)</f>
        <v>58.106384937119365</v>
      </c>
      <c r="P48" s="39">
        <f>$G48</f>
        <v>32.175953204871995</v>
      </c>
      <c r="Q48" s="39">
        <f t="shared" si="70"/>
        <v>33.17552086042307</v>
      </c>
      <c r="R48" s="39">
        <f>P48*(1+(P21+R21)/2*((R7/P7)^(1/(R$4-P$4))-1))^(R$4-P$4)</f>
        <v>31.360617765144742</v>
      </c>
      <c r="S48" s="39">
        <f>Q48*(1+(Q21+S21)/2*((S7/Q7)^(1/(S$4-Q$4))-1))^(S$4-Q$4)</f>
        <v>32.64458009060187</v>
      </c>
      <c r="T48" s="268">
        <f>R48*(1+(R21+T21)/2*((T7/R7)^(1/(T$4-R$4))-1))^(T$4-R$4)</f>
        <v>38.011964624446378</v>
      </c>
      <c r="U48" s="268">
        <f>T48*(1+(T21+U21)/2*((U7/T7)^(1/(U$4-T$4))-1))^(U$4-T$4)</f>
        <v>48.660237878655934</v>
      </c>
      <c r="V48" s="268">
        <f>U48*(1+(U21+V21)/2*((V7/U7)^(1/(V$4-U$4))-1))^(V$4-U$4)</f>
        <v>57.059818445649249</v>
      </c>
      <c r="W48" s="3"/>
      <c r="X48" s="39">
        <f>P48</f>
        <v>32.175953204871995</v>
      </c>
      <c r="Y48" s="39">
        <f>Q48</f>
        <v>33.17552086042307</v>
      </c>
      <c r="Z48" s="39">
        <f>R48</f>
        <v>31.360617765144742</v>
      </c>
      <c r="AA48" s="39">
        <f>S48</f>
        <v>32.64458009060187</v>
      </c>
      <c r="AB48" s="268">
        <f>Z48*(1+(Z21+AB21)/2*((AB7/Z7)^(1/(AB$4-Z$4))-1))^(AB$4-Z$4)</f>
        <v>38.011964624446378</v>
      </c>
      <c r="AC48" s="268">
        <f>AB48*(1+(AB21+AC21)/2*((AC7/AB7)^(1/(AC$4-AB$4))-1))^(AC$4-AB$4)</f>
        <v>48.660237878655934</v>
      </c>
      <c r="AD48" s="268">
        <f>AC48*(1+(AC21+AD21)/2*((AD7/AC7)^(1/(AD$4-AC$4))-1))^(AD$4-AC$4)</f>
        <v>57.059818445649249</v>
      </c>
      <c r="AE48" s="3"/>
      <c r="AF48" s="3"/>
      <c r="AG48" s="3"/>
      <c r="AH48" s="3"/>
      <c r="AI48" s="3"/>
      <c r="AJ48" s="3"/>
      <c r="AK48" s="3"/>
      <c r="AL48" s="3"/>
      <c r="AM48" s="3"/>
      <c r="AN48" s="3"/>
      <c r="AO48" s="3"/>
      <c r="AP48" s="3"/>
      <c r="AQ48" s="3"/>
      <c r="AR48" s="3"/>
      <c r="AS48" s="3"/>
    </row>
    <row r="49" spans="1:45">
      <c r="A49" t="s">
        <v>16</v>
      </c>
      <c r="B49" s="3"/>
      <c r="C49" s="1"/>
      <c r="D49" s="2"/>
      <c r="E49" s="2"/>
      <c r="F49" s="39"/>
      <c r="G49" s="39"/>
      <c r="H49" s="39"/>
      <c r="I49" s="39"/>
      <c r="J49" s="39"/>
      <c r="K49" s="39"/>
      <c r="L49" s="39"/>
      <c r="M49" s="39"/>
      <c r="N49" s="39"/>
      <c r="P49" s="6"/>
      <c r="R49" s="3"/>
      <c r="T49" s="3"/>
      <c r="U49" s="3"/>
      <c r="V49" s="3"/>
      <c r="W49" s="3"/>
      <c r="X49" s="3"/>
      <c r="Z49" s="3"/>
      <c r="AB49" s="3"/>
      <c r="AC49" s="3"/>
      <c r="AD49" s="3"/>
      <c r="AE49" s="3"/>
      <c r="AF49" s="3"/>
      <c r="AG49" s="3"/>
      <c r="AH49" s="3"/>
      <c r="AI49" s="3"/>
      <c r="AJ49" s="3"/>
      <c r="AK49" s="3"/>
      <c r="AL49" s="3"/>
      <c r="AM49" s="3"/>
      <c r="AN49" s="3"/>
      <c r="AO49" s="3"/>
      <c r="AP49" s="3"/>
      <c r="AQ49" s="3"/>
      <c r="AR49" s="3"/>
      <c r="AS49" s="3"/>
    </row>
    <row r="50" spans="1:45" ht="15.75" thickBot="1">
      <c r="A50" t="s">
        <v>16</v>
      </c>
      <c r="B50" s="9" t="s">
        <v>208</v>
      </c>
      <c r="C50" s="9"/>
      <c r="D50" s="9"/>
    </row>
    <row r="51" spans="1:45">
      <c r="A51" t="s">
        <v>16</v>
      </c>
      <c r="B51" s="3" t="str">
        <f>B15</f>
        <v>TFHCV2</v>
      </c>
      <c r="C51" s="3" t="str">
        <f>C28</f>
        <v>Transport Freight - HCV2</v>
      </c>
      <c r="D51" t="s">
        <v>149</v>
      </c>
      <c r="F51" s="6">
        <f>F65*F94</f>
        <v>2.2763173637182028</v>
      </c>
      <c r="G51" s="6">
        <f t="shared" ref="G51:H59" si="75">G28*G$60</f>
        <v>2.3987639372378653</v>
      </c>
      <c r="H51" s="6">
        <f t="shared" si="75"/>
        <v>2.4428754036044746</v>
      </c>
      <c r="I51" s="6">
        <f t="shared" ref="I51" si="76">I28*I$60</f>
        <v>2.473283154421531</v>
      </c>
      <c r="J51" s="6">
        <f t="shared" ref="J51:N59" si="77">J28*J$60</f>
        <v>2.380861706678858</v>
      </c>
      <c r="K51" s="6">
        <f t="shared" si="77"/>
        <v>2.433638885950149</v>
      </c>
      <c r="L51" s="6">
        <f t="shared" si="77"/>
        <v>2.8858242413375517</v>
      </c>
      <c r="M51" s="6">
        <f t="shared" si="77"/>
        <v>3.6942287894576897</v>
      </c>
      <c r="N51" s="6">
        <f t="shared" si="77"/>
        <v>4.3319151983761079</v>
      </c>
      <c r="P51" s="6">
        <f t="shared" ref="P51:V51" si="78">P28*P$60</f>
        <v>2.3987639372378653</v>
      </c>
      <c r="Q51" s="6">
        <f t="shared" si="78"/>
        <v>2.4286226095077832</v>
      </c>
      <c r="R51" s="6">
        <f t="shared" si="78"/>
        <v>2.3379794987127132</v>
      </c>
      <c r="S51" s="6">
        <f t="shared" si="78"/>
        <v>2.3897549527399438</v>
      </c>
      <c r="T51" s="267">
        <f t="shared" si="78"/>
        <v>2.8338470454661451</v>
      </c>
      <c r="U51" s="267">
        <f t="shared" si="78"/>
        <v>3.6276912468613896</v>
      </c>
      <c r="V51" s="267">
        <f t="shared" si="78"/>
        <v>4.2538921498691895</v>
      </c>
      <c r="W51" s="6"/>
      <c r="X51" s="6">
        <f>P51</f>
        <v>2.3987639372378653</v>
      </c>
      <c r="Y51" s="6">
        <f t="shared" ref="Y51:AA51" si="79">Q51</f>
        <v>2.4286226095077832</v>
      </c>
      <c r="Z51" s="6">
        <f t="shared" si="79"/>
        <v>2.3379794987127132</v>
      </c>
      <c r="AA51" s="6">
        <f t="shared" si="79"/>
        <v>2.3897549527399438</v>
      </c>
      <c r="AB51" s="267">
        <f t="shared" ref="AB51:AD59" si="80">AB28*AB$60</f>
        <v>2.6921546931928377</v>
      </c>
      <c r="AC51" s="267">
        <f t="shared" si="80"/>
        <v>3.2739913502924041</v>
      </c>
      <c r="AD51" s="267">
        <f t="shared" si="80"/>
        <v>3.6471807819940958</v>
      </c>
      <c r="AE51" s="6"/>
      <c r="AF51" s="6"/>
      <c r="AG51" s="6"/>
      <c r="AH51" s="6"/>
      <c r="AI51" s="6"/>
      <c r="AJ51" s="6"/>
      <c r="AK51" s="6"/>
      <c r="AL51" s="6"/>
      <c r="AM51" s="6"/>
      <c r="AN51" s="6"/>
      <c r="AO51" s="6"/>
      <c r="AP51" s="6"/>
      <c r="AQ51" s="6"/>
      <c r="AR51" s="6"/>
      <c r="AS51" s="6"/>
    </row>
    <row r="52" spans="1:45">
      <c r="A52" t="s">
        <v>16</v>
      </c>
      <c r="B52" s="3" t="str">
        <f t="shared" ref="B52:B58" si="81">B16</f>
        <v>TFHCV3</v>
      </c>
      <c r="C52" s="3" t="str">
        <f t="shared" ref="C52:C58" si="82">C29</f>
        <v>Transport Freight - HCV3</v>
      </c>
      <c r="D52" t="s">
        <v>149</v>
      </c>
      <c r="F52" s="6">
        <f t="shared" ref="F52:F58" si="83">F66*F95</f>
        <v>15.233523986729871</v>
      </c>
      <c r="G52" s="6">
        <f t="shared" si="75"/>
        <v>16.052958413816011</v>
      </c>
      <c r="H52" s="6">
        <f t="shared" si="75"/>
        <v>16.34816025679978</v>
      </c>
      <c r="I52" s="6">
        <f t="shared" ref="I52" si="84">I29*I$60</f>
        <v>16.551654377978693</v>
      </c>
      <c r="J52" s="6">
        <f t="shared" si="77"/>
        <v>15.933153476691098</v>
      </c>
      <c r="K52" s="6">
        <f t="shared" si="77"/>
        <v>16.286347824366729</v>
      </c>
      <c r="L52" s="6">
        <f t="shared" si="77"/>
        <v>19.31245330839743</v>
      </c>
      <c r="M52" s="6">
        <f t="shared" si="77"/>
        <v>24.722441507342683</v>
      </c>
      <c r="N52" s="6">
        <f t="shared" si="77"/>
        <v>28.989953305610953</v>
      </c>
      <c r="P52" s="6">
        <f t="shared" ref="P52:P59" si="85">P29*P$60</f>
        <v>16.052958413816011</v>
      </c>
      <c r="Q52" s="6">
        <f t="shared" ref="Q52:V59" si="86">Q29*Q$60</f>
        <v>16.252778002896829</v>
      </c>
      <c r="R52" s="6">
        <f t="shared" si="86"/>
        <v>15.646178051353582</v>
      </c>
      <c r="S52" s="6">
        <f t="shared" si="86"/>
        <v>15.992668674066808</v>
      </c>
      <c r="T52" s="267">
        <f t="shared" si="86"/>
        <v>18.964612593086677</v>
      </c>
      <c r="U52" s="267">
        <f t="shared" si="86"/>
        <v>24.277160340790779</v>
      </c>
      <c r="V52" s="267">
        <f t="shared" si="86"/>
        <v>28.467809073926801</v>
      </c>
      <c r="W52" s="6"/>
      <c r="X52" s="6">
        <f t="shared" ref="X52:X59" si="87">P52</f>
        <v>16.052958413816011</v>
      </c>
      <c r="Y52" s="6">
        <f t="shared" ref="Y52:Y60" si="88">Q52</f>
        <v>16.252778002896829</v>
      </c>
      <c r="Z52" s="6">
        <f t="shared" ref="Z52:Z60" si="89">R52</f>
        <v>15.646178051353582</v>
      </c>
      <c r="AA52" s="6">
        <f t="shared" ref="AA52:AA60" si="90">S52</f>
        <v>15.992668674066808</v>
      </c>
      <c r="AB52" s="267">
        <f t="shared" si="80"/>
        <v>18.016381963432341</v>
      </c>
      <c r="AC52" s="267">
        <f t="shared" si="80"/>
        <v>21.910137207563675</v>
      </c>
      <c r="AD52" s="267">
        <f t="shared" si="80"/>
        <v>24.407587804757988</v>
      </c>
      <c r="AE52" s="6"/>
      <c r="AF52" s="6"/>
      <c r="AG52" s="6"/>
      <c r="AH52" s="6"/>
      <c r="AI52" s="6"/>
      <c r="AJ52" s="6"/>
      <c r="AK52" s="6"/>
      <c r="AL52" s="6"/>
      <c r="AM52" s="6"/>
      <c r="AN52" s="6"/>
      <c r="AO52" s="6"/>
      <c r="AP52" s="6"/>
      <c r="AQ52" s="6"/>
      <c r="AR52" s="6"/>
      <c r="AS52" s="6"/>
    </row>
    <row r="53" spans="1:45">
      <c r="A53" t="s">
        <v>16</v>
      </c>
      <c r="B53" s="3" t="str">
        <f t="shared" si="81"/>
        <v>TFHCV4</v>
      </c>
      <c r="C53" s="3" t="str">
        <f t="shared" si="82"/>
        <v>Transport Freight - HCV4</v>
      </c>
      <c r="D53" t="s">
        <v>149</v>
      </c>
      <c r="F53" s="6">
        <f t="shared" si="83"/>
        <v>5.0807673805466287</v>
      </c>
      <c r="G53" s="6">
        <f t="shared" si="75"/>
        <v>5.3540695863437202</v>
      </c>
      <c r="H53" s="6">
        <f t="shared" si="75"/>
        <v>5.4525269029708987</v>
      </c>
      <c r="I53" s="6">
        <f t="shared" ref="I53" si="91">I30*I$60</f>
        <v>5.5203973637992325</v>
      </c>
      <c r="J53" s="6">
        <f t="shared" si="77"/>
        <v>5.3141115951984714</v>
      </c>
      <c r="K53" s="6">
        <f t="shared" si="77"/>
        <v>5.431910885909339</v>
      </c>
      <c r="L53" s="6">
        <f t="shared" si="77"/>
        <v>6.4411939675357432</v>
      </c>
      <c r="M53" s="6">
        <f t="shared" si="77"/>
        <v>8.2455625164209163</v>
      </c>
      <c r="N53" s="6">
        <f t="shared" si="77"/>
        <v>9.6688861518205123</v>
      </c>
      <c r="P53" s="6">
        <f t="shared" si="85"/>
        <v>5.3540695863437202</v>
      </c>
      <c r="Q53" s="6">
        <f t="shared" si="86"/>
        <v>5.4207144973361112</v>
      </c>
      <c r="R53" s="6">
        <f t="shared" si="86"/>
        <v>5.2183979979150399</v>
      </c>
      <c r="S53" s="6">
        <f t="shared" si="86"/>
        <v>5.3339614259885568</v>
      </c>
      <c r="T53" s="267">
        <f t="shared" si="86"/>
        <v>6.3251802492709217</v>
      </c>
      <c r="U53" s="267">
        <f t="shared" si="86"/>
        <v>8.0970499314038538</v>
      </c>
      <c r="V53" s="267">
        <f t="shared" si="86"/>
        <v>9.4947377812535709</v>
      </c>
      <c r="W53" s="6"/>
      <c r="X53" s="6">
        <f t="shared" si="87"/>
        <v>5.3540695863437202</v>
      </c>
      <c r="Y53" s="6">
        <f t="shared" si="88"/>
        <v>5.4207144973361112</v>
      </c>
      <c r="Z53" s="6">
        <f t="shared" si="89"/>
        <v>5.2183979979150399</v>
      </c>
      <c r="AA53" s="6">
        <f t="shared" si="90"/>
        <v>5.3339614259885568</v>
      </c>
      <c r="AB53" s="267">
        <f t="shared" si="80"/>
        <v>6.0089212368073746</v>
      </c>
      <c r="AC53" s="267">
        <f t="shared" si="80"/>
        <v>7.3075875630919773</v>
      </c>
      <c r="AD53" s="267">
        <f t="shared" si="80"/>
        <v>8.1405508052022792</v>
      </c>
      <c r="AE53" s="6"/>
      <c r="AF53" s="6"/>
      <c r="AG53" s="6"/>
      <c r="AH53" s="6"/>
      <c r="AI53" s="6"/>
      <c r="AJ53" s="6"/>
      <c r="AK53" s="6"/>
      <c r="AL53" s="6"/>
      <c r="AM53" s="6"/>
      <c r="AN53" s="6"/>
      <c r="AO53" s="6"/>
      <c r="AP53" s="6"/>
      <c r="AQ53" s="6"/>
      <c r="AR53" s="6"/>
      <c r="AS53" s="6"/>
    </row>
    <row r="54" spans="1:45">
      <c r="A54" t="s">
        <v>16</v>
      </c>
      <c r="B54" s="3" t="str">
        <f t="shared" si="81"/>
        <v>TFHCV5</v>
      </c>
      <c r="C54" s="3" t="str">
        <f t="shared" si="82"/>
        <v>Transport Freight - HCV5</v>
      </c>
      <c r="D54" t="s">
        <v>149</v>
      </c>
      <c r="F54" s="6">
        <f t="shared" si="83"/>
        <v>3.0627981264343846</v>
      </c>
      <c r="G54" s="6">
        <f t="shared" si="75"/>
        <v>3.2275506965029748</v>
      </c>
      <c r="H54" s="6">
        <f t="shared" si="75"/>
        <v>3.2869029286193441</v>
      </c>
      <c r="I54" s="6">
        <f t="shared" ref="I54" si="92">I31*I$60</f>
        <v>3.3278167325185679</v>
      </c>
      <c r="J54" s="6">
        <f t="shared" si="77"/>
        <v>3.2034631421535407</v>
      </c>
      <c r="K54" s="6">
        <f t="shared" si="77"/>
        <v>3.2744751409051402</v>
      </c>
      <c r="L54" s="6">
        <f t="shared" si="77"/>
        <v>3.8828931415565879</v>
      </c>
      <c r="M54" s="6">
        <f t="shared" si="77"/>
        <v>4.9706061181597523</v>
      </c>
      <c r="N54" s="6">
        <f t="shared" si="77"/>
        <v>5.8286168549832604</v>
      </c>
      <c r="P54" s="6">
        <f t="shared" si="85"/>
        <v>3.2275506965029748</v>
      </c>
      <c r="Q54" s="6">
        <f t="shared" si="86"/>
        <v>3.2677257120538581</v>
      </c>
      <c r="R54" s="6">
        <f t="shared" si="86"/>
        <v>3.1457648842965851</v>
      </c>
      <c r="S54" s="6">
        <f t="shared" si="86"/>
        <v>3.2154290559615002</v>
      </c>
      <c r="T54" s="267">
        <f t="shared" si="86"/>
        <v>3.8129575250781271</v>
      </c>
      <c r="U54" s="267">
        <f t="shared" si="86"/>
        <v>4.8810794712827903</v>
      </c>
      <c r="V54" s="267">
        <f t="shared" si="86"/>
        <v>5.7236363937371406</v>
      </c>
      <c r="W54" s="6"/>
      <c r="X54" s="6">
        <f t="shared" si="87"/>
        <v>3.2275506965029748</v>
      </c>
      <c r="Y54" s="6">
        <f t="shared" si="88"/>
        <v>3.2677257120538581</v>
      </c>
      <c r="Z54" s="6">
        <f t="shared" si="89"/>
        <v>3.1457648842965851</v>
      </c>
      <c r="AA54" s="6">
        <f t="shared" si="90"/>
        <v>3.2154290559615002</v>
      </c>
      <c r="AB54" s="267">
        <f t="shared" si="80"/>
        <v>3.6223096488242206</v>
      </c>
      <c r="AC54" s="267">
        <f t="shared" si="80"/>
        <v>4.4051742228327182</v>
      </c>
      <c r="AD54" s="267">
        <f t="shared" si="80"/>
        <v>4.9073027530803799</v>
      </c>
      <c r="AE54" s="6"/>
      <c r="AF54" s="6"/>
      <c r="AG54" s="6"/>
      <c r="AH54" s="6"/>
      <c r="AI54" s="6"/>
      <c r="AJ54" s="6"/>
      <c r="AK54" s="6"/>
      <c r="AL54" s="6"/>
      <c r="AM54" s="6"/>
      <c r="AN54" s="6"/>
      <c r="AO54" s="6"/>
      <c r="AP54" s="6"/>
      <c r="AQ54" s="6"/>
      <c r="AR54" s="6"/>
      <c r="AS54" s="6"/>
    </row>
    <row r="55" spans="1:45">
      <c r="A55" t="s">
        <v>16</v>
      </c>
      <c r="B55" s="3" t="str">
        <f t="shared" si="81"/>
        <v>TFHCV6</v>
      </c>
      <c r="C55" s="3" t="str">
        <f t="shared" si="82"/>
        <v>Transport Freight - HCV6</v>
      </c>
      <c r="D55" t="s">
        <v>149</v>
      </c>
      <c r="F55" s="6">
        <f>F69*F98</f>
        <v>100.6136299290159</v>
      </c>
      <c r="G55" s="6">
        <f t="shared" si="75"/>
        <v>106.02579012712634</v>
      </c>
      <c r="H55" s="6">
        <f t="shared" si="75"/>
        <v>107.97552473943311</v>
      </c>
      <c r="I55" s="6">
        <f>I32*I$60</f>
        <v>109.31955270163417</v>
      </c>
      <c r="J55" s="6">
        <f t="shared" si="77"/>
        <v>105.23450837130574</v>
      </c>
      <c r="K55" s="6">
        <f t="shared" si="77"/>
        <v>107.56726902609657</v>
      </c>
      <c r="L55" s="6">
        <f t="shared" si="77"/>
        <v>127.55394168054322</v>
      </c>
      <c r="M55" s="6">
        <f t="shared" si="77"/>
        <v>163.28556563329269</v>
      </c>
      <c r="N55" s="6">
        <f t="shared" si="77"/>
        <v>191.47141765037702</v>
      </c>
      <c r="P55" s="6">
        <f t="shared" si="85"/>
        <v>106.02579012712634</v>
      </c>
      <c r="Q55" s="6">
        <f t="shared" si="86"/>
        <v>107.34554872046687</v>
      </c>
      <c r="R55" s="6">
        <f t="shared" si="86"/>
        <v>103.33910719763226</v>
      </c>
      <c r="S55" s="6">
        <f t="shared" si="86"/>
        <v>105.6275914195307</v>
      </c>
      <c r="T55" s="267">
        <f t="shared" si="86"/>
        <v>125.25654043346425</v>
      </c>
      <c r="U55" s="267">
        <f t="shared" si="86"/>
        <v>160.34459448670566</v>
      </c>
      <c r="V55" s="267">
        <f t="shared" si="86"/>
        <v>188.02278511190443</v>
      </c>
      <c r="W55" s="6"/>
      <c r="X55" s="6">
        <f t="shared" si="87"/>
        <v>106.02579012712634</v>
      </c>
      <c r="Y55" s="6">
        <f t="shared" si="88"/>
        <v>107.34554872046687</v>
      </c>
      <c r="Z55" s="6">
        <f t="shared" si="89"/>
        <v>103.33910719763226</v>
      </c>
      <c r="AA55" s="6">
        <f t="shared" si="90"/>
        <v>105.6275914195307</v>
      </c>
      <c r="AB55" s="267">
        <f t="shared" si="80"/>
        <v>118.99371341179105</v>
      </c>
      <c r="AC55" s="267">
        <f t="shared" si="80"/>
        <v>144.71099652425187</v>
      </c>
      <c r="AD55" s="267">
        <f t="shared" si="80"/>
        <v>161.20603538531907</v>
      </c>
      <c r="AE55" s="6"/>
      <c r="AF55" s="6"/>
      <c r="AG55" s="6"/>
      <c r="AH55" s="6"/>
      <c r="AI55" s="6"/>
      <c r="AJ55" s="6"/>
      <c r="AK55" s="6"/>
      <c r="AL55" s="6"/>
      <c r="AM55" s="6"/>
      <c r="AN55" s="6"/>
      <c r="AO55" s="6"/>
      <c r="AP55" s="6"/>
      <c r="AQ55" s="6"/>
      <c r="AR55" s="6"/>
      <c r="AS55" s="6"/>
    </row>
    <row r="56" spans="1:45">
      <c r="A56" t="s">
        <v>16</v>
      </c>
      <c r="B56" s="3" t="str">
        <f t="shared" si="81"/>
        <v>TFHCV7</v>
      </c>
      <c r="C56" s="3" t="str">
        <f t="shared" si="82"/>
        <v>Transport Freight - HCV7</v>
      </c>
      <c r="D56" t="s">
        <v>149</v>
      </c>
      <c r="F56" s="6">
        <f t="shared" si="83"/>
        <v>35.353370344628992</v>
      </c>
      <c r="G56" s="6">
        <f t="shared" si="75"/>
        <v>37.255081911772038</v>
      </c>
      <c r="H56" s="6">
        <f t="shared" si="75"/>
        <v>37.940174874537156</v>
      </c>
      <c r="I56" s="6">
        <f t="shared" ref="I56" si="93">I33*I$60</f>
        <v>38.412436121196819</v>
      </c>
      <c r="J56" s="6">
        <f t="shared" si="77"/>
        <v>36.977043270484465</v>
      </c>
      <c r="K56" s="6">
        <f t="shared" si="77"/>
        <v>37.79672298398237</v>
      </c>
      <c r="L56" s="6">
        <f t="shared" si="77"/>
        <v>44.819590967256929</v>
      </c>
      <c r="M56" s="6">
        <f t="shared" si="77"/>
        <v>57.374881294301034</v>
      </c>
      <c r="N56" s="6">
        <f t="shared" si="77"/>
        <v>67.278756798463917</v>
      </c>
      <c r="P56" s="6">
        <f t="shared" si="85"/>
        <v>37.255081911772038</v>
      </c>
      <c r="Q56" s="6">
        <f t="shared" si="86"/>
        <v>37.718815447166712</v>
      </c>
      <c r="R56" s="6">
        <f t="shared" si="86"/>
        <v>36.311041858033704</v>
      </c>
      <c r="S56" s="6">
        <f t="shared" si="86"/>
        <v>37.115163827211198</v>
      </c>
      <c r="T56" s="267">
        <f t="shared" si="86"/>
        <v>44.012335755656899</v>
      </c>
      <c r="U56" s="267">
        <f t="shared" si="86"/>
        <v>56.341490070949753</v>
      </c>
      <c r="V56" s="267">
        <f t="shared" si="86"/>
        <v>66.066984761204395</v>
      </c>
      <c r="W56" s="6"/>
      <c r="X56" s="6">
        <f t="shared" si="87"/>
        <v>37.255081911772038</v>
      </c>
      <c r="Y56" s="6">
        <f t="shared" si="88"/>
        <v>37.718815447166712</v>
      </c>
      <c r="Z56" s="6">
        <f t="shared" si="89"/>
        <v>36.311041858033704</v>
      </c>
      <c r="AA56" s="6">
        <f t="shared" si="90"/>
        <v>37.115163827211198</v>
      </c>
      <c r="AB56" s="267">
        <f t="shared" si="80"/>
        <v>41.81171896787405</v>
      </c>
      <c r="AC56" s="267">
        <f t="shared" si="80"/>
        <v>50.848194789032142</v>
      </c>
      <c r="AD56" s="267">
        <f t="shared" si="80"/>
        <v>56.64418105963761</v>
      </c>
      <c r="AE56" s="6"/>
      <c r="AF56" s="6"/>
      <c r="AG56" s="6"/>
      <c r="AH56" s="6"/>
      <c r="AI56" s="6"/>
      <c r="AJ56" s="6"/>
      <c r="AK56" s="6"/>
      <c r="AL56" s="6"/>
      <c r="AM56" s="6"/>
      <c r="AN56" s="6"/>
      <c r="AO56" s="6"/>
      <c r="AP56" s="6"/>
      <c r="AQ56" s="6"/>
      <c r="AR56" s="6"/>
      <c r="AS56" s="6"/>
    </row>
    <row r="57" spans="1:45">
      <c r="A57" t="s">
        <v>16</v>
      </c>
      <c r="B57" s="3" t="str">
        <f t="shared" si="81"/>
        <v>TFHCV8</v>
      </c>
      <c r="C57" s="3" t="str">
        <f t="shared" si="82"/>
        <v>Transport Freight - HCV8</v>
      </c>
      <c r="D57" t="s">
        <v>149</v>
      </c>
      <c r="F57" s="6">
        <f t="shared" si="83"/>
        <v>1.3011202447704153</v>
      </c>
      <c r="G57" s="6">
        <f t="shared" si="75"/>
        <v>1.3711094818814338</v>
      </c>
      <c r="H57" s="6">
        <f t="shared" si="75"/>
        <v>1.3963231549970117</v>
      </c>
      <c r="I57" s="6">
        <f t="shared" ref="I57" si="94">I34*I$60</f>
        <v>1.4137039213245071</v>
      </c>
      <c r="J57" s="6">
        <f t="shared" si="77"/>
        <v>1.3608767458938542</v>
      </c>
      <c r="K57" s="6">
        <f t="shared" si="77"/>
        <v>1.3910436538594411</v>
      </c>
      <c r="L57" s="6">
        <f t="shared" si="77"/>
        <v>1.6495082817100282</v>
      </c>
      <c r="M57" s="6">
        <f t="shared" si="77"/>
        <v>2.1115842383795758</v>
      </c>
      <c r="N57" s="6">
        <f t="shared" si="77"/>
        <v>2.4760794136496145</v>
      </c>
      <c r="P57" s="6">
        <f t="shared" si="85"/>
        <v>1.3711094818814338</v>
      </c>
      <c r="Q57" s="6">
        <f t="shared" si="86"/>
        <v>1.3881764004014847</v>
      </c>
      <c r="R57" s="6">
        <f t="shared" si="86"/>
        <v>1.3363657045889328</v>
      </c>
      <c r="S57" s="6">
        <f t="shared" si="86"/>
        <v>1.3659600364210163</v>
      </c>
      <c r="T57" s="267">
        <f t="shared" si="86"/>
        <v>1.6197986362569801</v>
      </c>
      <c r="U57" s="267">
        <f t="shared" si="86"/>
        <v>2.0735520443238626</v>
      </c>
      <c r="V57" s="267">
        <f t="shared" si="86"/>
        <v>2.4314822192561074</v>
      </c>
      <c r="W57" s="6"/>
      <c r="X57" s="6">
        <f t="shared" si="87"/>
        <v>1.3711094818814338</v>
      </c>
      <c r="Y57" s="6">
        <f t="shared" si="88"/>
        <v>1.3881764004014847</v>
      </c>
      <c r="Z57" s="6">
        <f t="shared" si="89"/>
        <v>1.3363657045889328</v>
      </c>
      <c r="AA57" s="6">
        <f t="shared" si="90"/>
        <v>1.3659600364210163</v>
      </c>
      <c r="AB57" s="267">
        <f t="shared" si="80"/>
        <v>1.538808704444131</v>
      </c>
      <c r="AC57" s="267">
        <f t="shared" si="80"/>
        <v>1.8713807200022856</v>
      </c>
      <c r="AD57" s="267">
        <f t="shared" si="80"/>
        <v>2.0846920677347049</v>
      </c>
      <c r="AE57" s="6"/>
      <c r="AF57" s="6"/>
      <c r="AG57" s="6"/>
      <c r="AH57" s="6"/>
      <c r="AI57" s="6"/>
      <c r="AJ57" s="6"/>
      <c r="AK57" s="6"/>
      <c r="AL57" s="6"/>
      <c r="AM57" s="6"/>
      <c r="AN57" s="6"/>
      <c r="AO57" s="6"/>
      <c r="AP57" s="6"/>
      <c r="AQ57" s="6"/>
      <c r="AR57" s="6"/>
      <c r="AS57" s="6"/>
    </row>
    <row r="58" spans="1:45">
      <c r="A58" t="s">
        <v>16</v>
      </c>
      <c r="B58" s="3" t="str">
        <f t="shared" si="81"/>
        <v>TFHCV9</v>
      </c>
      <c r="C58" s="3" t="str">
        <f t="shared" si="82"/>
        <v>Transport Freight - HCV9</v>
      </c>
      <c r="D58" t="s">
        <v>149</v>
      </c>
      <c r="F58" s="6">
        <f t="shared" si="83"/>
        <v>1.1571058027236365</v>
      </c>
      <c r="G58" s="6">
        <f t="shared" si="75"/>
        <v>1.219348283935394</v>
      </c>
      <c r="H58" s="6">
        <f t="shared" si="75"/>
        <v>1.2417711826546127</v>
      </c>
      <c r="I58" s="6">
        <f t="shared" ref="I58" si="95">I35*I$60</f>
        <v>1.2572281595590626</v>
      </c>
      <c r="J58" s="6">
        <f t="shared" si="77"/>
        <v>1.2102481579197106</v>
      </c>
      <c r="K58" s="6">
        <f t="shared" si="77"/>
        <v>1.2370760428884591</v>
      </c>
      <c r="L58" s="6">
        <f t="shared" si="77"/>
        <v>1.4669325237838824</v>
      </c>
      <c r="M58" s="6">
        <f t="shared" si="77"/>
        <v>1.8778636217438198</v>
      </c>
      <c r="N58" s="6">
        <f t="shared" si="77"/>
        <v>2.2020146631751603</v>
      </c>
      <c r="P58" s="6">
        <f t="shared" si="85"/>
        <v>1.219348283935394</v>
      </c>
      <c r="Q58" s="6">
        <f t="shared" si="86"/>
        <v>1.2345261512643642</v>
      </c>
      <c r="R58" s="6">
        <f t="shared" si="86"/>
        <v>1.1884501202373998</v>
      </c>
      <c r="S58" s="6">
        <f t="shared" si="86"/>
        <v>1.2147688046389902</v>
      </c>
      <c r="T58" s="267">
        <f t="shared" si="86"/>
        <v>1.4405112892448337</v>
      </c>
      <c r="U58" s="267">
        <f t="shared" si="86"/>
        <v>1.8440410195600052</v>
      </c>
      <c r="V58" s="267">
        <f t="shared" si="86"/>
        <v>2.1623537074523274</v>
      </c>
      <c r="W58" s="6"/>
      <c r="X58" s="6">
        <f t="shared" si="87"/>
        <v>1.219348283935394</v>
      </c>
      <c r="Y58" s="6">
        <f t="shared" si="88"/>
        <v>1.2345261512643642</v>
      </c>
      <c r="Z58" s="6">
        <f t="shared" si="89"/>
        <v>1.1884501202373998</v>
      </c>
      <c r="AA58" s="6">
        <f t="shared" si="90"/>
        <v>1.2147688046389902</v>
      </c>
      <c r="AB58" s="267">
        <f t="shared" si="80"/>
        <v>1.3684857247825919</v>
      </c>
      <c r="AC58" s="267">
        <f t="shared" si="80"/>
        <v>1.6642470201529045</v>
      </c>
      <c r="AD58" s="267">
        <f t="shared" si="80"/>
        <v>1.8539480099269388</v>
      </c>
      <c r="AE58" s="6"/>
      <c r="AF58" s="6"/>
      <c r="AG58" s="6"/>
      <c r="AH58" s="6"/>
      <c r="AI58" s="6"/>
      <c r="AJ58" s="6"/>
      <c r="AK58" s="6"/>
      <c r="AL58" s="6"/>
      <c r="AM58" s="6"/>
      <c r="AN58" s="6"/>
      <c r="AO58" s="6"/>
      <c r="AP58" s="6"/>
      <c r="AQ58" s="6"/>
      <c r="AR58" s="6"/>
      <c r="AS58" s="6"/>
    </row>
    <row r="59" spans="1:45">
      <c r="A59" t="s">
        <v>16</v>
      </c>
      <c r="B59" s="3" t="str">
        <f>B23</f>
        <v>TFRCO</v>
      </c>
      <c r="C59" s="3" t="str">
        <f>C36</f>
        <v>Transport Freight - Rail Corridor</v>
      </c>
      <c r="D59" t="s">
        <v>149</v>
      </c>
      <c r="F59" s="6">
        <f>F102</f>
        <v>22</v>
      </c>
      <c r="G59" s="6">
        <f t="shared" si="75"/>
        <v>23.183413464382845</v>
      </c>
      <c r="H59" s="6">
        <f t="shared" si="75"/>
        <v>23.609739017898917</v>
      </c>
      <c r="I59" s="6">
        <f t="shared" ref="I59" si="96">I36*I$60</f>
        <v>23.903621816773025</v>
      </c>
      <c r="J59" s="6">
        <f t="shared" si="77"/>
        <v>23.010393182336216</v>
      </c>
      <c r="K59" s="6">
        <f t="shared" si="77"/>
        <v>23.52047053906816</v>
      </c>
      <c r="L59" s="6">
        <f t="shared" si="77"/>
        <v>27.890721356060297</v>
      </c>
      <c r="M59" s="6">
        <f t="shared" si="77"/>
        <v>35.703735631711503</v>
      </c>
      <c r="N59" s="6">
        <f t="shared" si="77"/>
        <v>41.866804639492415</v>
      </c>
      <c r="P59" s="6">
        <f t="shared" si="85"/>
        <v>23.183413464382845</v>
      </c>
      <c r="Q59" s="6">
        <f t="shared" si="86"/>
        <v>23.471989565592747</v>
      </c>
      <c r="R59" s="6">
        <f t="shared" si="86"/>
        <v>22.595948083295109</v>
      </c>
      <c r="S59" s="6">
        <f t="shared" si="86"/>
        <v>23.096344032803003</v>
      </c>
      <c r="T59" s="267">
        <f t="shared" si="86"/>
        <v>27.388375625453065</v>
      </c>
      <c r="U59" s="267">
        <f t="shared" si="86"/>
        <v>35.060668034701415</v>
      </c>
      <c r="V59" s="267">
        <f t="shared" si="86"/>
        <v>41.112732692183442</v>
      </c>
      <c r="W59" s="6"/>
      <c r="X59" s="6">
        <f t="shared" si="87"/>
        <v>23.183413464382845</v>
      </c>
      <c r="Y59" s="6">
        <f t="shared" si="88"/>
        <v>23.471989565592747</v>
      </c>
      <c r="Z59" s="6">
        <f t="shared" si="89"/>
        <v>22.595948083295109</v>
      </c>
      <c r="AA59" s="6">
        <f t="shared" si="90"/>
        <v>23.096344032803003</v>
      </c>
      <c r="AB59" s="267">
        <f t="shared" si="80"/>
        <v>37.601664801829308</v>
      </c>
      <c r="AC59" s="267">
        <f t="shared" si="80"/>
        <v>60.555617249359486</v>
      </c>
      <c r="AD59" s="267">
        <f t="shared" si="80"/>
        <v>84.844935223134271</v>
      </c>
      <c r="AE59" s="6"/>
      <c r="AF59" s="6"/>
      <c r="AG59" s="6"/>
      <c r="AH59" s="6"/>
      <c r="AI59" s="6"/>
      <c r="AJ59" s="6"/>
      <c r="AK59" s="6"/>
      <c r="AL59" s="6"/>
      <c r="AM59" s="6"/>
      <c r="AN59" s="6"/>
      <c r="AO59" s="6"/>
      <c r="AP59" s="6"/>
      <c r="AQ59" s="6"/>
      <c r="AR59" s="6"/>
      <c r="AS59" s="6"/>
    </row>
    <row r="60" spans="1:45">
      <c r="A60" t="s">
        <v>16</v>
      </c>
      <c r="B60" s="3"/>
      <c r="C60" s="1" t="s">
        <v>5</v>
      </c>
      <c r="D60" s="2" t="s">
        <v>149</v>
      </c>
      <c r="E60" s="2"/>
      <c r="F60" s="39">
        <f>SUM(F51:F59)</f>
        <v>186.07863317856803</v>
      </c>
      <c r="G60" s="39">
        <f>F60*(1+(F22+G22)/2*((G7/F7)^(1/(G$4-F$4))-1))^(G$4-F$4)</f>
        <v>196.08808590299861</v>
      </c>
      <c r="H60" s="39">
        <f>G60*(1+(G22+H22)/2*((H7/G7)^(1/(H$4-G$4))-1))^(H$4-G$4)</f>
        <v>199.69399846151529</v>
      </c>
      <c r="I60" s="39">
        <f>H60*(1+(H22+I22)/2*((I7/H7)^(1/(I$4-H$4))-1))^(I$4-H$4)</f>
        <v>202.17969434920559</v>
      </c>
      <c r="J60" s="39">
        <f>G60*(1+(G22+J22)/2*((J7/G7)^(1/(J$4-G$4))-1))^(J$4-G$4)</f>
        <v>194.62465964866195</v>
      </c>
      <c r="K60" s="39">
        <f>H60*(1+(H22+K22)/2*((K7/H7)^(1/(K$4-H$4))-1))^(K$4-H$4)</f>
        <v>198.93895498302635</v>
      </c>
      <c r="L60" s="39">
        <f>J60*(1+(J22+L22)/2*((L7/J7)^(1/(L$4-J$4))-1))^(L$4-J$4)</f>
        <v>235.90305946818165</v>
      </c>
      <c r="M60" s="39">
        <f>L60*(1+(L22+M22)/2*((M7/L7)^(1/(M$4-L$4))-1))^(M$4-L$4)</f>
        <v>301.98646935080967</v>
      </c>
      <c r="N60" s="39">
        <f>M60*(1+(M22+N22)/2*((N7/M7)^(1/(N$4-M$4))-1))^(N$4-M$4)</f>
        <v>354.11444467594896</v>
      </c>
      <c r="P60" s="66">
        <f>$G60</f>
        <v>196.08808590299861</v>
      </c>
      <c r="Q60" s="39">
        <f>P60*(1+(P22+Q22)/2*((Q7/P7)^(1/(Q$4-P$4))-1))^(Q$4-P$4)</f>
        <v>198.52889710668674</v>
      </c>
      <c r="R60" s="39">
        <f>P60*(1+(P22+R22)/2*((R7/P7)^(1/(R$4-P$4))-1))^(R$4-P$4)</f>
        <v>191.11923339606531</v>
      </c>
      <c r="S60" s="39">
        <f>Q60*(1+(Q22+S22)/2*((S7/Q7)^(1/(S$4-Q$4))-1))^(S$4-Q$4)</f>
        <v>195.35164222936172</v>
      </c>
      <c r="T60" s="268">
        <f>R60*(1+(R22+T22)/2*((T7/R7)^(1/(T$4-R$4))-1))^(T$4-R$4)</f>
        <v>231.65415915297788</v>
      </c>
      <c r="U60" s="268">
        <f>T60*(1+(T22+U22)/2*((U7/T7)^(1/(U$4-T$4))-1))^(U$4-T$4)</f>
        <v>296.54732664657951</v>
      </c>
      <c r="V60" s="268">
        <f>U60*(1+(U22+V22)/2*((V7/U7)^(1/(V$4-U$4))-1))^(V$4-U$4)</f>
        <v>347.73641389078739</v>
      </c>
      <c r="X60" s="66">
        <f>P60</f>
        <v>196.08808590299861</v>
      </c>
      <c r="Y60" s="66">
        <f t="shared" si="88"/>
        <v>198.52889710668674</v>
      </c>
      <c r="Z60" s="66">
        <f t="shared" si="89"/>
        <v>191.11923339606531</v>
      </c>
      <c r="AA60" s="66">
        <f t="shared" si="90"/>
        <v>195.35164222936172</v>
      </c>
      <c r="AB60" s="268">
        <f>Z60*(1+(Z22+AB22)/2*((AB7/Z7)^(1/(AB$4-Z$4))-1))^(AB$4-Z$4)</f>
        <v>231.65415915297788</v>
      </c>
      <c r="AC60" s="268">
        <f>AB60*(1+(AB22+AC22)/2*((AC7/AB7)^(1/(AC$4-AB$4))-1))^(AC$4-AB$4)</f>
        <v>296.54732664657951</v>
      </c>
      <c r="AD60" s="268">
        <f>AC60*(1+(AC22+AD22)/2*((AD7/AC7)^(1/(AD$4-AC$4))-1))^(AD$4-AC$4)</f>
        <v>347.73641389078739</v>
      </c>
    </row>
    <row r="61" spans="1:45">
      <c r="A61" t="s">
        <v>16</v>
      </c>
      <c r="B61" s="3"/>
      <c r="C61" s="1"/>
      <c r="D61" s="2"/>
      <c r="E61" s="2"/>
      <c r="F61" s="39"/>
      <c r="G61" s="6"/>
      <c r="H61" s="6"/>
      <c r="J61" s="6"/>
      <c r="L61" s="6"/>
      <c r="M61" s="6"/>
      <c r="N61" s="6"/>
    </row>
    <row r="62" spans="1:45" ht="15.75" thickBot="1">
      <c r="A62" t="s">
        <v>16</v>
      </c>
      <c r="B62" s="9" t="s">
        <v>148</v>
      </c>
      <c r="C62" s="9"/>
      <c r="D62" s="9"/>
    </row>
    <row r="63" spans="1:45">
      <c r="A63" t="s">
        <v>16</v>
      </c>
      <c r="B63" t="s">
        <v>151</v>
      </c>
      <c r="C63" t="s">
        <v>152</v>
      </c>
      <c r="D63" t="s">
        <v>147</v>
      </c>
      <c r="F63" s="41">
        <f>[2]Calib_1011!$AC$36</f>
        <v>0.39784000000000003</v>
      </c>
      <c r="G63" s="52">
        <f t="shared" ref="G63:I72" si="97">F63</f>
        <v>0.39784000000000003</v>
      </c>
      <c r="H63" s="52">
        <f t="shared" si="97"/>
        <v>0.39784000000000003</v>
      </c>
      <c r="I63" s="52">
        <f t="shared" si="97"/>
        <v>0.39784000000000003</v>
      </c>
      <c r="J63" s="52">
        <f t="shared" ref="J63:J72" si="98">IF($D$4,Z63,R63)</f>
        <v>0.39784000000000003</v>
      </c>
      <c r="K63" s="52">
        <f t="shared" ref="K63:K72" si="99">IF($D$4,AB63,T63)</f>
        <v>0.39784000000000003</v>
      </c>
      <c r="L63" s="52">
        <f t="shared" ref="L63:L72" si="100">IF($D$4,AB63,T63)</f>
        <v>0.39784000000000003</v>
      </c>
      <c r="M63" s="52">
        <f t="shared" ref="M63:M72" si="101">IF($D$4,AC63,U63)</f>
        <v>0.39784000000000003</v>
      </c>
      <c r="N63" s="52">
        <f t="shared" ref="N63:N72" si="102">IF($D$4,AD63,V63)</f>
        <v>0.39784000000000003</v>
      </c>
      <c r="O63" s="3"/>
      <c r="P63" s="52">
        <f>$H63</f>
        <v>0.39784000000000003</v>
      </c>
      <c r="Q63" s="52">
        <f>P63</f>
        <v>0.39784000000000003</v>
      </c>
      <c r="R63" s="52">
        <f t="shared" ref="R63:S63" si="103">Q63</f>
        <v>0.39784000000000003</v>
      </c>
      <c r="S63" s="52">
        <f t="shared" si="103"/>
        <v>0.39784000000000003</v>
      </c>
      <c r="T63" s="38">
        <f t="shared" ref="T63:T72" si="104">R63</f>
        <v>0.39784000000000003</v>
      </c>
      <c r="U63" s="38">
        <f t="shared" ref="U63:U72" si="105">T63</f>
        <v>0.39784000000000003</v>
      </c>
      <c r="V63" s="38">
        <f>T63</f>
        <v>0.39784000000000003</v>
      </c>
      <c r="W63" s="206"/>
      <c r="X63" s="52">
        <f>P63</f>
        <v>0.39784000000000003</v>
      </c>
      <c r="Y63" s="52">
        <f t="shared" ref="Y63:AA63" si="106">Q63</f>
        <v>0.39784000000000003</v>
      </c>
      <c r="Z63" s="52">
        <f t="shared" si="106"/>
        <v>0.39784000000000003</v>
      </c>
      <c r="AA63" s="52">
        <f t="shared" si="106"/>
        <v>0.39784000000000003</v>
      </c>
      <c r="AB63" s="38">
        <f t="shared" ref="AB63:AB72" si="107">Z63</f>
        <v>0.39784000000000003</v>
      </c>
      <c r="AC63" s="38">
        <f t="shared" ref="AC63:AC72" si="108">AB63</f>
        <v>0.39784000000000003</v>
      </c>
      <c r="AD63" s="38">
        <f>AB63</f>
        <v>0.39784000000000003</v>
      </c>
      <c r="AE63" s="206"/>
      <c r="AF63" s="206"/>
      <c r="AG63" s="206"/>
      <c r="AH63" s="206"/>
      <c r="AI63" s="206"/>
      <c r="AJ63" s="206"/>
      <c r="AK63" s="206"/>
      <c r="AL63" s="206"/>
      <c r="AM63" s="206"/>
      <c r="AN63" s="206"/>
      <c r="AO63" s="206"/>
      <c r="AP63" s="206"/>
      <c r="AQ63" s="206"/>
      <c r="AR63" s="206"/>
      <c r="AS63" s="206"/>
    </row>
    <row r="64" spans="1:45">
      <c r="A64" t="s">
        <v>16</v>
      </c>
      <c r="B64" t="s">
        <v>412</v>
      </c>
      <c r="C64" t="s">
        <v>421</v>
      </c>
      <c r="D64" t="s">
        <v>147</v>
      </c>
      <c r="F64" s="41">
        <f>[2]Calib_1011!$AC$35</f>
        <v>1.4841</v>
      </c>
      <c r="G64" s="52">
        <f t="shared" si="97"/>
        <v>1.4841</v>
      </c>
      <c r="H64" s="52">
        <f t="shared" si="97"/>
        <v>1.4841</v>
      </c>
      <c r="I64" s="52">
        <f t="shared" si="97"/>
        <v>1.4841</v>
      </c>
      <c r="J64" s="52">
        <f t="shared" si="98"/>
        <v>1.4841</v>
      </c>
      <c r="K64" s="52">
        <f t="shared" si="99"/>
        <v>1.4841</v>
      </c>
      <c r="L64" s="52">
        <f t="shared" si="100"/>
        <v>1.4841</v>
      </c>
      <c r="M64" s="52">
        <f t="shared" si="101"/>
        <v>1.4841</v>
      </c>
      <c r="N64" s="52">
        <f t="shared" si="102"/>
        <v>1.4841</v>
      </c>
      <c r="O64" s="3"/>
      <c r="P64" s="52">
        <f t="shared" ref="P64:P72" si="109">$H64</f>
        <v>1.4841</v>
      </c>
      <c r="Q64" s="52">
        <f t="shared" ref="Q64:Q71" si="110">P64</f>
        <v>1.4841</v>
      </c>
      <c r="R64" s="52">
        <f t="shared" ref="R64:S64" si="111">Q64</f>
        <v>1.4841</v>
      </c>
      <c r="S64" s="52">
        <f t="shared" si="111"/>
        <v>1.4841</v>
      </c>
      <c r="T64" s="38">
        <f t="shared" si="104"/>
        <v>1.4841</v>
      </c>
      <c r="U64" s="38">
        <f t="shared" si="105"/>
        <v>1.4841</v>
      </c>
      <c r="V64" s="38">
        <f t="shared" ref="V64:V70" si="112">T64</f>
        <v>1.4841</v>
      </c>
      <c r="W64" s="206"/>
      <c r="X64" s="52">
        <f t="shared" ref="X64:X72" si="113">P64</f>
        <v>1.4841</v>
      </c>
      <c r="Y64" s="52">
        <f t="shared" ref="Y64:Y72" si="114">Q64</f>
        <v>1.4841</v>
      </c>
      <c r="Z64" s="52">
        <f t="shared" ref="Z64:Z72" si="115">R64</f>
        <v>1.4841</v>
      </c>
      <c r="AA64" s="52">
        <f t="shared" ref="AA64:AA72" si="116">S64</f>
        <v>1.4841</v>
      </c>
      <c r="AB64" s="38">
        <f t="shared" si="107"/>
        <v>1.4841</v>
      </c>
      <c r="AC64" s="38">
        <f t="shared" si="108"/>
        <v>1.4841</v>
      </c>
      <c r="AD64" s="38">
        <f t="shared" ref="AD64:AD70" si="117">AB64</f>
        <v>1.4841</v>
      </c>
      <c r="AE64" s="206"/>
      <c r="AF64" s="206"/>
      <c r="AG64" s="206"/>
      <c r="AH64" s="206"/>
      <c r="AI64" s="206"/>
      <c r="AJ64" s="206"/>
      <c r="AK64" s="206"/>
      <c r="AL64" s="206"/>
      <c r="AM64" s="206"/>
      <c r="AN64" s="206"/>
      <c r="AO64" s="206"/>
      <c r="AP64" s="206"/>
      <c r="AQ64" s="206"/>
      <c r="AR64" s="206"/>
      <c r="AS64" s="206"/>
    </row>
    <row r="65" spans="1:46">
      <c r="A65" t="s">
        <v>16</v>
      </c>
      <c r="B65" t="s">
        <v>413</v>
      </c>
      <c r="C65" t="s">
        <v>422</v>
      </c>
      <c r="D65" t="s">
        <v>147</v>
      </c>
      <c r="F65" s="41">
        <f>[2]Calib_1011!$AC27</f>
        <v>2.5009999999999999</v>
      </c>
      <c r="G65" s="52">
        <f t="shared" si="97"/>
        <v>2.5009999999999999</v>
      </c>
      <c r="H65" s="52">
        <f t="shared" si="97"/>
        <v>2.5009999999999999</v>
      </c>
      <c r="I65" s="52">
        <f t="shared" si="97"/>
        <v>2.5009999999999999</v>
      </c>
      <c r="J65" s="52">
        <f t="shared" si="98"/>
        <v>2.5009999999999999</v>
      </c>
      <c r="K65" s="52">
        <f t="shared" si="99"/>
        <v>2.5009999999999999</v>
      </c>
      <c r="L65" s="52">
        <f t="shared" si="100"/>
        <v>2.5009999999999999</v>
      </c>
      <c r="M65" s="52">
        <f t="shared" si="101"/>
        <v>2.5009999999999999</v>
      </c>
      <c r="N65" s="52">
        <f t="shared" si="102"/>
        <v>2.5009999999999999</v>
      </c>
      <c r="O65" s="3"/>
      <c r="P65" s="52">
        <f t="shared" si="109"/>
        <v>2.5009999999999999</v>
      </c>
      <c r="Q65" s="52">
        <f t="shared" si="110"/>
        <v>2.5009999999999999</v>
      </c>
      <c r="R65" s="52">
        <f t="shared" ref="R65:S65" si="118">Q65</f>
        <v>2.5009999999999999</v>
      </c>
      <c r="S65" s="52">
        <f t="shared" si="118"/>
        <v>2.5009999999999999</v>
      </c>
      <c r="T65" s="38">
        <f t="shared" si="104"/>
        <v>2.5009999999999999</v>
      </c>
      <c r="U65" s="38">
        <f t="shared" si="105"/>
        <v>2.5009999999999999</v>
      </c>
      <c r="V65" s="38">
        <f t="shared" si="112"/>
        <v>2.5009999999999999</v>
      </c>
      <c r="W65" s="206"/>
      <c r="X65" s="52">
        <f t="shared" si="113"/>
        <v>2.5009999999999999</v>
      </c>
      <c r="Y65" s="52">
        <f t="shared" si="114"/>
        <v>2.5009999999999999</v>
      </c>
      <c r="Z65" s="52">
        <f t="shared" si="115"/>
        <v>2.5009999999999999</v>
      </c>
      <c r="AA65" s="52">
        <f t="shared" si="116"/>
        <v>2.5009999999999999</v>
      </c>
      <c r="AB65" s="38">
        <f t="shared" si="107"/>
        <v>2.5009999999999999</v>
      </c>
      <c r="AC65" s="38">
        <f t="shared" si="108"/>
        <v>2.5009999999999999</v>
      </c>
      <c r="AD65" s="38">
        <f t="shared" si="117"/>
        <v>2.5009999999999999</v>
      </c>
      <c r="AE65" s="206"/>
      <c r="AF65" s="206"/>
      <c r="AG65" s="206"/>
      <c r="AH65" s="206"/>
      <c r="AI65" s="206"/>
      <c r="AJ65" s="206"/>
      <c r="AK65" s="206"/>
      <c r="AL65" s="206"/>
      <c r="AM65" s="206"/>
      <c r="AN65" s="206"/>
      <c r="AO65" s="206"/>
      <c r="AP65" s="206"/>
      <c r="AQ65" s="206"/>
      <c r="AR65" s="206"/>
      <c r="AS65" s="206"/>
    </row>
    <row r="66" spans="1:46">
      <c r="A66" t="s">
        <v>16</v>
      </c>
      <c r="B66" t="s">
        <v>414</v>
      </c>
      <c r="C66" t="s">
        <v>423</v>
      </c>
      <c r="D66" t="s">
        <v>147</v>
      </c>
      <c r="F66" s="41">
        <f>[2]Calib_1011!$AC28</f>
        <v>5.0070955734014992</v>
      </c>
      <c r="G66" s="52">
        <f t="shared" si="97"/>
        <v>5.0070955734014992</v>
      </c>
      <c r="H66" s="52">
        <f t="shared" si="97"/>
        <v>5.0070955734014992</v>
      </c>
      <c r="I66" s="52">
        <f t="shared" si="97"/>
        <v>5.0070955734014992</v>
      </c>
      <c r="J66" s="52">
        <f t="shared" si="98"/>
        <v>5.0070955734014992</v>
      </c>
      <c r="K66" s="52">
        <f t="shared" si="99"/>
        <v>5.0070955734014992</v>
      </c>
      <c r="L66" s="52">
        <f t="shared" si="100"/>
        <v>5.0070955734014992</v>
      </c>
      <c r="M66" s="52">
        <f t="shared" si="101"/>
        <v>5.0070955734014992</v>
      </c>
      <c r="N66" s="52">
        <f t="shared" si="102"/>
        <v>5.0070955734014992</v>
      </c>
      <c r="O66" s="3"/>
      <c r="P66" s="52">
        <f t="shared" si="109"/>
        <v>5.0070955734014992</v>
      </c>
      <c r="Q66" s="52">
        <f t="shared" si="110"/>
        <v>5.0070955734014992</v>
      </c>
      <c r="R66" s="52">
        <f t="shared" ref="R66:S66" si="119">Q66</f>
        <v>5.0070955734014992</v>
      </c>
      <c r="S66" s="52">
        <f t="shared" si="119"/>
        <v>5.0070955734014992</v>
      </c>
      <c r="T66" s="38">
        <f t="shared" si="104"/>
        <v>5.0070955734014992</v>
      </c>
      <c r="U66" s="38">
        <f t="shared" si="105"/>
        <v>5.0070955734014992</v>
      </c>
      <c r="V66" s="38">
        <f t="shared" si="112"/>
        <v>5.0070955734014992</v>
      </c>
      <c r="W66" s="206"/>
      <c r="X66" s="52">
        <f t="shared" si="113"/>
        <v>5.0070955734014992</v>
      </c>
      <c r="Y66" s="52">
        <f t="shared" si="114"/>
        <v>5.0070955734014992</v>
      </c>
      <c r="Z66" s="52">
        <f t="shared" si="115"/>
        <v>5.0070955734014992</v>
      </c>
      <c r="AA66" s="52">
        <f t="shared" si="116"/>
        <v>5.0070955734014992</v>
      </c>
      <c r="AB66" s="38">
        <f t="shared" si="107"/>
        <v>5.0070955734014992</v>
      </c>
      <c r="AC66" s="38">
        <f t="shared" si="108"/>
        <v>5.0070955734014992</v>
      </c>
      <c r="AD66" s="38">
        <f t="shared" si="117"/>
        <v>5.0070955734014992</v>
      </c>
      <c r="AE66" s="206"/>
      <c r="AF66" s="206"/>
      <c r="AG66" s="206"/>
      <c r="AH66" s="206"/>
      <c r="AI66" s="206"/>
      <c r="AJ66" s="206"/>
      <c r="AK66" s="206"/>
      <c r="AL66" s="206"/>
      <c r="AM66" s="206"/>
      <c r="AN66" s="206"/>
      <c r="AO66" s="206"/>
      <c r="AP66" s="206"/>
      <c r="AQ66" s="206"/>
      <c r="AR66" s="206"/>
      <c r="AS66" s="206"/>
    </row>
    <row r="67" spans="1:46">
      <c r="A67" t="s">
        <v>16</v>
      </c>
      <c r="B67" t="s">
        <v>415</v>
      </c>
      <c r="C67" t="s">
        <v>424</v>
      </c>
      <c r="D67" t="s">
        <v>147</v>
      </c>
      <c r="F67" s="41">
        <f>[2]Calib_1011!$AC29</f>
        <v>7.9193584801965402</v>
      </c>
      <c r="G67" s="52">
        <f t="shared" si="97"/>
        <v>7.9193584801965402</v>
      </c>
      <c r="H67" s="52">
        <f t="shared" si="97"/>
        <v>7.9193584801965402</v>
      </c>
      <c r="I67" s="52">
        <f t="shared" si="97"/>
        <v>7.9193584801965402</v>
      </c>
      <c r="J67" s="52">
        <f t="shared" si="98"/>
        <v>7.9193584801965402</v>
      </c>
      <c r="K67" s="52">
        <f t="shared" si="99"/>
        <v>7.9193584801965402</v>
      </c>
      <c r="L67" s="52">
        <f t="shared" si="100"/>
        <v>7.9193584801965402</v>
      </c>
      <c r="M67" s="52">
        <f t="shared" si="101"/>
        <v>7.9193584801965402</v>
      </c>
      <c r="N67" s="52">
        <f t="shared" si="102"/>
        <v>7.9193584801965402</v>
      </c>
      <c r="O67" s="3"/>
      <c r="P67" s="52">
        <f t="shared" si="109"/>
        <v>7.9193584801965402</v>
      </c>
      <c r="Q67" s="52">
        <f t="shared" si="110"/>
        <v>7.9193584801965402</v>
      </c>
      <c r="R67" s="52">
        <f t="shared" ref="R67:S67" si="120">Q67</f>
        <v>7.9193584801965402</v>
      </c>
      <c r="S67" s="52">
        <f t="shared" si="120"/>
        <v>7.9193584801965402</v>
      </c>
      <c r="T67" s="38">
        <f t="shared" si="104"/>
        <v>7.9193584801965402</v>
      </c>
      <c r="U67" s="38">
        <f t="shared" si="105"/>
        <v>7.9193584801965402</v>
      </c>
      <c r="V67" s="38">
        <f t="shared" si="112"/>
        <v>7.9193584801965402</v>
      </c>
      <c r="W67" s="206"/>
      <c r="X67" s="52">
        <f t="shared" si="113"/>
        <v>7.9193584801965402</v>
      </c>
      <c r="Y67" s="52">
        <f t="shared" si="114"/>
        <v>7.9193584801965402</v>
      </c>
      <c r="Z67" s="52">
        <f t="shared" si="115"/>
        <v>7.9193584801965402</v>
      </c>
      <c r="AA67" s="52">
        <f t="shared" si="116"/>
        <v>7.9193584801965402</v>
      </c>
      <c r="AB67" s="38">
        <f t="shared" si="107"/>
        <v>7.9193584801965402</v>
      </c>
      <c r="AC67" s="38">
        <f t="shared" si="108"/>
        <v>7.9193584801965402</v>
      </c>
      <c r="AD67" s="38">
        <f t="shared" si="117"/>
        <v>7.9193584801965402</v>
      </c>
      <c r="AE67" s="206"/>
      <c r="AF67" s="206"/>
      <c r="AG67" s="206"/>
      <c r="AH67" s="206"/>
      <c r="AI67" s="206"/>
      <c r="AJ67" s="206"/>
      <c r="AK67" s="206"/>
      <c r="AL67" s="206"/>
      <c r="AM67" s="206"/>
      <c r="AN67" s="206"/>
      <c r="AO67" s="206"/>
      <c r="AP67" s="206"/>
      <c r="AQ67" s="206"/>
      <c r="AR67" s="206"/>
      <c r="AS67" s="206"/>
    </row>
    <row r="68" spans="1:46">
      <c r="A68" t="s">
        <v>16</v>
      </c>
      <c r="B68" t="s">
        <v>416</v>
      </c>
      <c r="C68" t="s">
        <v>425</v>
      </c>
      <c r="D68" t="s">
        <v>147</v>
      </c>
      <c r="F68" s="41">
        <f>[2]Calib_1011!$AC30</f>
        <v>10.886935146339562</v>
      </c>
      <c r="G68" s="52">
        <f t="shared" si="97"/>
        <v>10.886935146339562</v>
      </c>
      <c r="H68" s="52">
        <f t="shared" si="97"/>
        <v>10.886935146339562</v>
      </c>
      <c r="I68" s="52">
        <f t="shared" si="97"/>
        <v>10.886935146339562</v>
      </c>
      <c r="J68" s="52">
        <f t="shared" si="98"/>
        <v>10.886935146339562</v>
      </c>
      <c r="K68" s="52">
        <f t="shared" si="99"/>
        <v>10.886935146339562</v>
      </c>
      <c r="L68" s="52">
        <f t="shared" si="100"/>
        <v>10.886935146339562</v>
      </c>
      <c r="M68" s="52">
        <f t="shared" si="101"/>
        <v>10.886935146339562</v>
      </c>
      <c r="N68" s="52">
        <f t="shared" si="102"/>
        <v>10.886935146339562</v>
      </c>
      <c r="O68" s="3"/>
      <c r="P68" s="52">
        <f t="shared" si="109"/>
        <v>10.886935146339562</v>
      </c>
      <c r="Q68" s="52">
        <f t="shared" si="110"/>
        <v>10.886935146339562</v>
      </c>
      <c r="R68" s="52">
        <f t="shared" ref="R68:S68" si="121">Q68</f>
        <v>10.886935146339562</v>
      </c>
      <c r="S68" s="52">
        <f t="shared" si="121"/>
        <v>10.886935146339562</v>
      </c>
      <c r="T68" s="38">
        <f t="shared" si="104"/>
        <v>10.886935146339562</v>
      </c>
      <c r="U68" s="38">
        <f t="shared" si="105"/>
        <v>10.886935146339562</v>
      </c>
      <c r="V68" s="38">
        <f t="shared" si="112"/>
        <v>10.886935146339562</v>
      </c>
      <c r="W68" s="206"/>
      <c r="X68" s="52">
        <f t="shared" si="113"/>
        <v>10.886935146339562</v>
      </c>
      <c r="Y68" s="52">
        <f t="shared" si="114"/>
        <v>10.886935146339562</v>
      </c>
      <c r="Z68" s="52">
        <f t="shared" si="115"/>
        <v>10.886935146339562</v>
      </c>
      <c r="AA68" s="52">
        <f t="shared" si="116"/>
        <v>10.886935146339562</v>
      </c>
      <c r="AB68" s="38">
        <f t="shared" si="107"/>
        <v>10.886935146339562</v>
      </c>
      <c r="AC68" s="38">
        <f t="shared" si="108"/>
        <v>10.886935146339562</v>
      </c>
      <c r="AD68" s="38">
        <f t="shared" si="117"/>
        <v>10.886935146339562</v>
      </c>
      <c r="AE68" s="206"/>
      <c r="AF68" s="206"/>
      <c r="AG68" s="206"/>
      <c r="AH68" s="206"/>
      <c r="AI68" s="206"/>
      <c r="AJ68" s="206"/>
      <c r="AK68" s="206"/>
      <c r="AL68" s="206"/>
      <c r="AM68" s="206"/>
      <c r="AN68" s="206"/>
      <c r="AO68" s="206"/>
      <c r="AP68" s="206"/>
      <c r="AQ68" s="206"/>
      <c r="AR68" s="206"/>
      <c r="AS68" s="206"/>
    </row>
    <row r="69" spans="1:46">
      <c r="A69" t="s">
        <v>16</v>
      </c>
      <c r="B69" t="s">
        <v>417</v>
      </c>
      <c r="C69" t="s">
        <v>426</v>
      </c>
      <c r="D69" t="s">
        <v>147</v>
      </c>
      <c r="F69" s="41">
        <f>[2]Calib_1011!$AC31</f>
        <v>19.520776457571557</v>
      </c>
      <c r="G69" s="52">
        <f t="shared" si="97"/>
        <v>19.520776457571557</v>
      </c>
      <c r="H69" s="52">
        <f t="shared" si="97"/>
        <v>19.520776457571557</v>
      </c>
      <c r="I69" s="52">
        <v>19.520776457571557</v>
      </c>
      <c r="J69" s="52">
        <f t="shared" si="98"/>
        <v>19.520776457571557</v>
      </c>
      <c r="K69" s="52">
        <f t="shared" si="99"/>
        <v>19.520776457571557</v>
      </c>
      <c r="L69" s="52">
        <f t="shared" si="100"/>
        <v>19.520776457571557</v>
      </c>
      <c r="M69" s="52">
        <f t="shared" si="101"/>
        <v>19.520776457571557</v>
      </c>
      <c r="N69" s="52">
        <f t="shared" si="102"/>
        <v>19.520776457571557</v>
      </c>
      <c r="O69" s="3"/>
      <c r="P69" s="52">
        <f t="shared" si="109"/>
        <v>19.520776457571557</v>
      </c>
      <c r="Q69" s="52">
        <f t="shared" si="110"/>
        <v>19.520776457571557</v>
      </c>
      <c r="R69" s="52">
        <f t="shared" ref="R69:S69" si="122">Q69</f>
        <v>19.520776457571557</v>
      </c>
      <c r="S69" s="52">
        <f t="shared" si="122"/>
        <v>19.520776457571557</v>
      </c>
      <c r="T69" s="38">
        <f t="shared" si="104"/>
        <v>19.520776457571557</v>
      </c>
      <c r="U69" s="38">
        <f t="shared" si="105"/>
        <v>19.520776457571557</v>
      </c>
      <c r="V69" s="38">
        <f t="shared" si="112"/>
        <v>19.520776457571557</v>
      </c>
      <c r="W69" s="206"/>
      <c r="X69" s="52">
        <f t="shared" si="113"/>
        <v>19.520776457571557</v>
      </c>
      <c r="Y69" s="52">
        <f t="shared" si="114"/>
        <v>19.520776457571557</v>
      </c>
      <c r="Z69" s="52">
        <f t="shared" si="115"/>
        <v>19.520776457571557</v>
      </c>
      <c r="AA69" s="52">
        <f t="shared" si="116"/>
        <v>19.520776457571557</v>
      </c>
      <c r="AB69" s="38">
        <f t="shared" si="107"/>
        <v>19.520776457571557</v>
      </c>
      <c r="AC69" s="38">
        <f t="shared" si="108"/>
        <v>19.520776457571557</v>
      </c>
      <c r="AD69" s="38">
        <f t="shared" si="117"/>
        <v>19.520776457571557</v>
      </c>
      <c r="AE69" s="206"/>
      <c r="AF69" s="206"/>
      <c r="AG69" s="206"/>
      <c r="AH69" s="206"/>
      <c r="AI69" s="206"/>
      <c r="AJ69" s="206"/>
      <c r="AK69" s="206"/>
      <c r="AL69" s="206"/>
      <c r="AM69" s="206"/>
      <c r="AN69" s="206"/>
      <c r="AO69" s="206"/>
      <c r="AP69" s="206"/>
      <c r="AQ69" s="206"/>
      <c r="AR69" s="206"/>
      <c r="AS69" s="206"/>
    </row>
    <row r="70" spans="1:46">
      <c r="A70" t="s">
        <v>16</v>
      </c>
      <c r="B70" t="s">
        <v>418</v>
      </c>
      <c r="C70" t="s">
        <v>427</v>
      </c>
      <c r="D70" t="s">
        <v>147</v>
      </c>
      <c r="F70" s="41">
        <f>[2]Calib_1011!$AC32</f>
        <v>17.889918497338776</v>
      </c>
      <c r="G70" s="52">
        <f t="shared" si="97"/>
        <v>17.889918497338776</v>
      </c>
      <c r="H70" s="52">
        <f t="shared" si="97"/>
        <v>17.889918497338776</v>
      </c>
      <c r="I70" s="52">
        <f t="shared" si="97"/>
        <v>17.889918497338776</v>
      </c>
      <c r="J70" s="52">
        <f t="shared" si="98"/>
        <v>17.889918497338776</v>
      </c>
      <c r="K70" s="52">
        <f t="shared" si="99"/>
        <v>17.889918497338776</v>
      </c>
      <c r="L70" s="52">
        <f t="shared" si="100"/>
        <v>17.889918497338776</v>
      </c>
      <c r="M70" s="52">
        <f t="shared" si="101"/>
        <v>17.889918497338776</v>
      </c>
      <c r="N70" s="52">
        <f t="shared" si="102"/>
        <v>17.889918497338776</v>
      </c>
      <c r="O70" s="3"/>
      <c r="P70" s="52">
        <f t="shared" si="109"/>
        <v>17.889918497338776</v>
      </c>
      <c r="Q70" s="52">
        <f t="shared" si="110"/>
        <v>17.889918497338776</v>
      </c>
      <c r="R70" s="52">
        <f t="shared" ref="R70:S70" si="123">Q70</f>
        <v>17.889918497338776</v>
      </c>
      <c r="S70" s="52">
        <f t="shared" si="123"/>
        <v>17.889918497338776</v>
      </c>
      <c r="T70" s="38">
        <f t="shared" si="104"/>
        <v>17.889918497338776</v>
      </c>
      <c r="U70" s="38">
        <f t="shared" si="105"/>
        <v>17.889918497338776</v>
      </c>
      <c r="V70" s="38">
        <f t="shared" si="112"/>
        <v>17.889918497338776</v>
      </c>
      <c r="W70" s="206"/>
      <c r="X70" s="52">
        <f t="shared" si="113"/>
        <v>17.889918497338776</v>
      </c>
      <c r="Y70" s="52">
        <f t="shared" si="114"/>
        <v>17.889918497338776</v>
      </c>
      <c r="Z70" s="52">
        <f t="shared" si="115"/>
        <v>17.889918497338776</v>
      </c>
      <c r="AA70" s="52">
        <f t="shared" si="116"/>
        <v>17.889918497338776</v>
      </c>
      <c r="AB70" s="38">
        <f t="shared" si="107"/>
        <v>17.889918497338776</v>
      </c>
      <c r="AC70" s="38">
        <f t="shared" si="108"/>
        <v>17.889918497338776</v>
      </c>
      <c r="AD70" s="38">
        <f t="shared" si="117"/>
        <v>17.889918497338776</v>
      </c>
      <c r="AE70" s="206"/>
      <c r="AF70" s="206"/>
      <c r="AG70" s="206"/>
      <c r="AH70" s="206"/>
      <c r="AI70" s="206"/>
      <c r="AJ70" s="206"/>
      <c r="AK70" s="206"/>
      <c r="AL70" s="206"/>
      <c r="AM70" s="206"/>
      <c r="AN70" s="206"/>
      <c r="AO70" s="206"/>
      <c r="AP70" s="206"/>
      <c r="AQ70" s="206"/>
      <c r="AR70" s="206"/>
      <c r="AS70" s="206"/>
    </row>
    <row r="71" spans="1:46">
      <c r="A71" t="s">
        <v>16</v>
      </c>
      <c r="B71" t="s">
        <v>419</v>
      </c>
      <c r="C71" t="s">
        <v>428</v>
      </c>
      <c r="D71" t="s">
        <v>147</v>
      </c>
      <c r="F71" s="41">
        <f>[2]Calib_1011!$AC33</f>
        <v>18.402975262404723</v>
      </c>
      <c r="G71" s="52">
        <f t="shared" si="97"/>
        <v>18.402975262404723</v>
      </c>
      <c r="H71" s="52">
        <f t="shared" si="97"/>
        <v>18.402975262404723</v>
      </c>
      <c r="I71" s="52">
        <f t="shared" si="97"/>
        <v>18.402975262404723</v>
      </c>
      <c r="J71" s="52">
        <f t="shared" si="98"/>
        <v>18.402975262404723</v>
      </c>
      <c r="K71" s="52">
        <f t="shared" si="99"/>
        <v>18.402975262404723</v>
      </c>
      <c r="L71" s="52">
        <f t="shared" si="100"/>
        <v>18.402975262404723</v>
      </c>
      <c r="M71" s="52">
        <f t="shared" si="101"/>
        <v>18.402975262404723</v>
      </c>
      <c r="N71" s="52">
        <f t="shared" si="102"/>
        <v>18.402975262404723</v>
      </c>
      <c r="O71" s="3"/>
      <c r="P71" s="52">
        <f t="shared" si="109"/>
        <v>18.402975262404723</v>
      </c>
      <c r="Q71" s="52">
        <f t="shared" si="110"/>
        <v>18.402975262404723</v>
      </c>
      <c r="R71" s="52">
        <f t="shared" ref="R71:S71" si="124">Q71</f>
        <v>18.402975262404723</v>
      </c>
      <c r="S71" s="52">
        <f t="shared" si="124"/>
        <v>18.402975262404723</v>
      </c>
      <c r="T71" s="38">
        <f t="shared" si="104"/>
        <v>18.402975262404723</v>
      </c>
      <c r="U71" s="38">
        <f t="shared" si="105"/>
        <v>18.402975262404723</v>
      </c>
      <c r="V71" s="38">
        <f>T71</f>
        <v>18.402975262404723</v>
      </c>
      <c r="W71" s="206"/>
      <c r="X71" s="52">
        <f t="shared" si="113"/>
        <v>18.402975262404723</v>
      </c>
      <c r="Y71" s="52">
        <f t="shared" si="114"/>
        <v>18.402975262404723</v>
      </c>
      <c r="Z71" s="52">
        <f t="shared" si="115"/>
        <v>18.402975262404723</v>
      </c>
      <c r="AA71" s="52">
        <f t="shared" si="116"/>
        <v>18.402975262404723</v>
      </c>
      <c r="AB71" s="38">
        <f t="shared" si="107"/>
        <v>18.402975262404723</v>
      </c>
      <c r="AC71" s="38">
        <f t="shared" si="108"/>
        <v>18.402975262404723</v>
      </c>
      <c r="AD71" s="38">
        <f>AB71</f>
        <v>18.402975262404723</v>
      </c>
      <c r="AE71" s="206"/>
      <c r="AF71" s="206"/>
      <c r="AG71" s="206"/>
      <c r="AH71" s="206"/>
      <c r="AI71" s="206"/>
      <c r="AJ71" s="206"/>
      <c r="AK71" s="206"/>
      <c r="AL71" s="206"/>
      <c r="AM71" s="206"/>
      <c r="AN71" s="206"/>
      <c r="AO71" s="206"/>
      <c r="AP71" s="206"/>
      <c r="AQ71" s="206"/>
      <c r="AR71" s="206"/>
      <c r="AS71" s="206"/>
    </row>
    <row r="72" spans="1:46">
      <c r="A72" t="s">
        <v>16</v>
      </c>
      <c r="B72" t="s">
        <v>420</v>
      </c>
      <c r="C72" t="s">
        <v>429</v>
      </c>
      <c r="D72" t="s">
        <v>147</v>
      </c>
      <c r="F72" s="41">
        <f>[2]Calib_1011!$AC34</f>
        <v>21.907017031495844</v>
      </c>
      <c r="G72" s="52">
        <f>F72</f>
        <v>21.907017031495844</v>
      </c>
      <c r="H72" s="52">
        <f t="shared" si="97"/>
        <v>21.907017031495844</v>
      </c>
      <c r="I72" s="52">
        <f t="shared" si="97"/>
        <v>21.907017031495844</v>
      </c>
      <c r="J72" s="52">
        <f t="shared" si="98"/>
        <v>21.907017031495844</v>
      </c>
      <c r="K72" s="52">
        <f t="shared" si="99"/>
        <v>21.907017031495844</v>
      </c>
      <c r="L72" s="52">
        <f t="shared" si="100"/>
        <v>21.907017031495844</v>
      </c>
      <c r="M72" s="52">
        <f t="shared" si="101"/>
        <v>21.907017031495844</v>
      </c>
      <c r="N72" s="52">
        <f t="shared" si="102"/>
        <v>21.907017031495844</v>
      </c>
      <c r="O72" s="3"/>
      <c r="P72" s="52">
        <f t="shared" si="109"/>
        <v>21.907017031495844</v>
      </c>
      <c r="Q72" s="52">
        <f>P72</f>
        <v>21.907017031495844</v>
      </c>
      <c r="R72" s="52">
        <f t="shared" ref="R72:S72" si="125">Q72</f>
        <v>21.907017031495844</v>
      </c>
      <c r="S72" s="52">
        <f t="shared" si="125"/>
        <v>21.907017031495844</v>
      </c>
      <c r="T72" s="38">
        <f t="shared" si="104"/>
        <v>21.907017031495844</v>
      </c>
      <c r="U72" s="38">
        <f t="shared" si="105"/>
        <v>21.907017031495844</v>
      </c>
      <c r="V72" s="38">
        <f>T72</f>
        <v>21.907017031495844</v>
      </c>
      <c r="W72" s="206"/>
      <c r="X72" s="52">
        <f t="shared" si="113"/>
        <v>21.907017031495844</v>
      </c>
      <c r="Y72" s="52">
        <f t="shared" si="114"/>
        <v>21.907017031495844</v>
      </c>
      <c r="Z72" s="52">
        <f t="shared" si="115"/>
        <v>21.907017031495844</v>
      </c>
      <c r="AA72" s="52">
        <f t="shared" si="116"/>
        <v>21.907017031495844</v>
      </c>
      <c r="AB72" s="38">
        <f t="shared" si="107"/>
        <v>21.907017031495844</v>
      </c>
      <c r="AC72" s="38">
        <f t="shared" si="108"/>
        <v>21.907017031495844</v>
      </c>
      <c r="AD72" s="38">
        <f>AB72</f>
        <v>21.907017031495844</v>
      </c>
      <c r="AE72" s="206"/>
      <c r="AF72" s="206"/>
      <c r="AG72" s="206"/>
      <c r="AH72" s="206"/>
      <c r="AI72" s="206"/>
      <c r="AJ72" s="206"/>
      <c r="AK72" s="206"/>
      <c r="AL72" s="206"/>
      <c r="AM72" s="206"/>
      <c r="AN72" s="206"/>
      <c r="AO72" s="206"/>
      <c r="AP72" s="206"/>
      <c r="AQ72" s="206"/>
      <c r="AR72" s="206"/>
      <c r="AS72" s="206"/>
    </row>
    <row r="73" spans="1:46">
      <c r="A73" t="s">
        <v>16</v>
      </c>
      <c r="P73" s="52">
        <f>SUM(P86:P88)/P89</f>
        <v>0.39986484307843589</v>
      </c>
      <c r="Q73" s="52"/>
      <c r="R73" s="52"/>
      <c r="S73" s="52"/>
    </row>
    <row r="74" spans="1:46">
      <c r="A74" t="s">
        <v>16</v>
      </c>
      <c r="P74" s="2" t="s">
        <v>41</v>
      </c>
      <c r="X74" s="2" t="s">
        <v>197</v>
      </c>
      <c r="AI74" t="s">
        <v>476</v>
      </c>
    </row>
    <row r="75" spans="1:46" ht="15.75" thickBot="1">
      <c r="A75" t="s">
        <v>16</v>
      </c>
      <c r="B75" s="9" t="s">
        <v>210</v>
      </c>
      <c r="C75" s="9"/>
      <c r="D75" s="9"/>
      <c r="E75" s="229" t="s">
        <v>626</v>
      </c>
      <c r="F75">
        <f t="shared" ref="F75:K75" si="126">F$4</f>
        <v>2012</v>
      </c>
      <c r="G75">
        <f t="shared" si="126"/>
        <v>2015</v>
      </c>
      <c r="H75">
        <f t="shared" si="126"/>
        <v>2017</v>
      </c>
      <c r="I75">
        <f t="shared" si="126"/>
        <v>2019</v>
      </c>
      <c r="J75">
        <f t="shared" si="126"/>
        <v>2020</v>
      </c>
      <c r="K75">
        <f t="shared" si="126"/>
        <v>2021</v>
      </c>
      <c r="L75">
        <f>L$4</f>
        <v>2030</v>
      </c>
      <c r="M75">
        <f>M$4</f>
        <v>2040</v>
      </c>
      <c r="N75">
        <f>N$4</f>
        <v>2050</v>
      </c>
      <c r="P75" s="4">
        <f t="shared" ref="P75:T75" si="127">P$4</f>
        <v>2017</v>
      </c>
      <c r="Q75" s="4">
        <f t="shared" si="127"/>
        <v>2019</v>
      </c>
      <c r="R75" s="4">
        <f t="shared" si="127"/>
        <v>2020</v>
      </c>
      <c r="S75" s="4">
        <f t="shared" si="127"/>
        <v>2021</v>
      </c>
      <c r="T75" s="4">
        <f t="shared" si="127"/>
        <v>2030</v>
      </c>
      <c r="U75" s="4">
        <f>U$4</f>
        <v>2040</v>
      </c>
      <c r="V75" s="4">
        <f>V$4</f>
        <v>2050</v>
      </c>
      <c r="W75">
        <f>W$4</f>
        <v>0</v>
      </c>
      <c r="X75" s="4">
        <f t="shared" ref="X75:AD75" si="128">P75</f>
        <v>2017</v>
      </c>
      <c r="Y75" s="4">
        <f t="shared" si="128"/>
        <v>2019</v>
      </c>
      <c r="Z75" s="4">
        <f t="shared" si="128"/>
        <v>2020</v>
      </c>
      <c r="AA75" s="4">
        <f t="shared" si="128"/>
        <v>2021</v>
      </c>
      <c r="AB75" s="4">
        <f t="shared" si="128"/>
        <v>2030</v>
      </c>
      <c r="AC75" s="4">
        <f t="shared" si="128"/>
        <v>2040</v>
      </c>
      <c r="AD75" s="4">
        <f t="shared" si="128"/>
        <v>2050</v>
      </c>
      <c r="AJ75" s="4" t="str">
        <f>P74</f>
        <v>Reference</v>
      </c>
      <c r="AP75" s="4" t="s">
        <v>627</v>
      </c>
    </row>
    <row r="76" spans="1:46">
      <c r="A76" t="s">
        <v>16</v>
      </c>
      <c r="B76" s="3" t="str">
        <f>B92</f>
        <v>TFLCV</v>
      </c>
      <c r="C76" s="3" t="str">
        <f>C92</f>
        <v>Transport Freight - LCV</v>
      </c>
      <c r="D76" t="s">
        <v>149</v>
      </c>
      <c r="E76" s="230">
        <v>21.7</v>
      </c>
      <c r="F76" s="207">
        <f>F63*F92</f>
        <v>17.310372778407704</v>
      </c>
      <c r="G76" s="207">
        <f t="shared" ref="G76:H76" si="129">G63*G92</f>
        <v>18.120758900121242</v>
      </c>
      <c r="H76" s="207">
        <f t="shared" si="129"/>
        <v>18.931145021834784</v>
      </c>
      <c r="I76" s="207">
        <f t="shared" ref="I76:N85" si="130">I63*I92</f>
        <v>19.166790908504293</v>
      </c>
      <c r="J76" s="207">
        <f t="shared" si="130"/>
        <v>17.985521747895376</v>
      </c>
      <c r="K76" s="207">
        <f>K63*K92</f>
        <v>18.85956631792186</v>
      </c>
      <c r="L76" s="207">
        <f t="shared" si="130"/>
        <v>21.800113172294029</v>
      </c>
      <c r="M76" s="207">
        <f t="shared" si="130"/>
        <v>27.906968325000069</v>
      </c>
      <c r="N76" s="207">
        <f t="shared" si="130"/>
        <v>32.724183345833076</v>
      </c>
      <c r="O76" s="5"/>
      <c r="P76" s="207">
        <f>P43</f>
        <v>18.931145021834784</v>
      </c>
      <c r="Q76" s="207">
        <f t="shared" ref="Q76:V76" si="131">Q43</f>
        <v>19.166790908504293</v>
      </c>
      <c r="R76" s="207">
        <f t="shared" si="131"/>
        <v>17.985521747895376</v>
      </c>
      <c r="S76" s="207">
        <f t="shared" si="131"/>
        <v>18.85956631792186</v>
      </c>
      <c r="T76" s="207">
        <f t="shared" si="131"/>
        <v>21.800113172294029</v>
      </c>
      <c r="U76" s="207">
        <f t="shared" si="131"/>
        <v>27.906968325000069</v>
      </c>
      <c r="V76" s="207">
        <f t="shared" si="131"/>
        <v>32.724183345833076</v>
      </c>
      <c r="W76" s="5"/>
      <c r="X76" s="207">
        <f>X43</f>
        <v>18.931145021834784</v>
      </c>
      <c r="Y76" s="207">
        <f>Y43</f>
        <v>19.166790908504293</v>
      </c>
      <c r="Z76" s="207">
        <f t="shared" ref="Z76:AD76" si="132">Z43</f>
        <v>17.985521747895376</v>
      </c>
      <c r="AA76" s="207">
        <f t="shared" si="132"/>
        <v>18.85956631792186</v>
      </c>
      <c r="AB76" s="207">
        <f t="shared" si="132"/>
        <v>21.800113172294029</v>
      </c>
      <c r="AC76" s="207">
        <f t="shared" si="132"/>
        <v>27.906968325000069</v>
      </c>
      <c r="AD76" s="207">
        <f t="shared" si="132"/>
        <v>32.724183345833076</v>
      </c>
      <c r="AJ76" s="4">
        <f>P75</f>
        <v>2017</v>
      </c>
      <c r="AK76" s="4">
        <f>R75</f>
        <v>2020</v>
      </c>
      <c r="AL76" s="4">
        <f>T75</f>
        <v>2030</v>
      </c>
      <c r="AM76" s="4">
        <f>U75</f>
        <v>2040</v>
      </c>
      <c r="AN76" s="4">
        <f>V75</f>
        <v>2050</v>
      </c>
      <c r="AO76" s="4"/>
      <c r="AP76" s="4">
        <f>X75</f>
        <v>2017</v>
      </c>
      <c r="AQ76" s="4">
        <f>Z75</f>
        <v>2020</v>
      </c>
      <c r="AR76" s="4">
        <f>AB75</f>
        <v>2030</v>
      </c>
      <c r="AS76" s="4">
        <f>AC75</f>
        <v>2040</v>
      </c>
      <c r="AT76" s="4">
        <f>AD75</f>
        <v>2050</v>
      </c>
    </row>
    <row r="77" spans="1:46">
      <c r="A77" t="s">
        <v>16</v>
      </c>
      <c r="B77" s="3" t="str">
        <f t="shared" ref="B77:C88" si="133">B93</f>
        <v>TFHCV1</v>
      </c>
      <c r="C77" s="3" t="str">
        <f t="shared" si="133"/>
        <v>Transport Freight - HCV1</v>
      </c>
      <c r="D77" t="s">
        <v>149</v>
      </c>
      <c r="E77" s="230">
        <v>7</v>
      </c>
      <c r="F77" s="207">
        <f t="shared" ref="F77:H77" si="134">F64*F93</f>
        <v>5.4335092951131081</v>
      </c>
      <c r="G77" s="207">
        <f t="shared" si="134"/>
        <v>5.4263341725680903</v>
      </c>
      <c r="H77" s="207">
        <f t="shared" si="134"/>
        <v>5.4191590500230733</v>
      </c>
      <c r="I77" s="207">
        <f t="shared" si="130"/>
        <v>5.4866141636927921</v>
      </c>
      <c r="J77" s="207">
        <f>J64*J93</f>
        <v>5.2815908030203893</v>
      </c>
      <c r="K77" s="207">
        <f t="shared" si="130"/>
        <v>5.3986691968920963</v>
      </c>
      <c r="L77" s="207">
        <f t="shared" si="130"/>
        <v>6.4017757643903295</v>
      </c>
      <c r="M77" s="207">
        <f t="shared" si="130"/>
        <v>8.1951021111049691</v>
      </c>
      <c r="N77" s="207">
        <f t="shared" si="130"/>
        <v>9.60971542657248</v>
      </c>
      <c r="O77" s="5"/>
      <c r="P77" s="207">
        <f>P46</f>
        <v>5.725786025053389</v>
      </c>
      <c r="Q77" s="207">
        <f t="shared" ref="Q77:V77" si="135">Q46</f>
        <v>5.9036614240138503</v>
      </c>
      <c r="R77" s="207">
        <f t="shared" si="135"/>
        <v>5.5806951792035084</v>
      </c>
      <c r="S77" s="207">
        <f t="shared" si="135"/>
        <v>5.8091792739244159</v>
      </c>
      <c r="T77" s="207">
        <f t="shared" si="135"/>
        <v>6.7643178881340225</v>
      </c>
      <c r="U77" s="207">
        <f t="shared" si="135"/>
        <v>8.6592029845193252</v>
      </c>
      <c r="V77" s="207">
        <f t="shared" si="135"/>
        <v>10.153927965021785</v>
      </c>
      <c r="W77" s="5"/>
      <c r="X77" s="207">
        <f>X46</f>
        <v>5.725786025053389</v>
      </c>
      <c r="Y77" s="207">
        <f>Y46</f>
        <v>5.9036614240138503</v>
      </c>
      <c r="Z77" s="207">
        <f t="shared" ref="Z77:AD77" si="136">Z46</f>
        <v>5.5806951792035084</v>
      </c>
      <c r="AA77" s="207">
        <f t="shared" si="136"/>
        <v>5.8091792739244159</v>
      </c>
      <c r="AB77" s="207">
        <f t="shared" si="136"/>
        <v>6.4261019937273218</v>
      </c>
      <c r="AC77" s="207">
        <f t="shared" si="136"/>
        <v>7.8149306935286909</v>
      </c>
      <c r="AD77" s="207">
        <f t="shared" si="136"/>
        <v>8.7057239890105524</v>
      </c>
      <c r="AI77" t="s">
        <v>592</v>
      </c>
      <c r="AJ77" s="3">
        <f>SUM(P78:P85)</f>
        <v>172.90467243861579</v>
      </c>
      <c r="AK77" s="3">
        <f>SUM(R78:R85)</f>
        <v>168.52328531277024</v>
      </c>
      <c r="AL77" s="3">
        <f>SUM(T78:T85)</f>
        <v>204.2657835275248</v>
      </c>
      <c r="AM77" s="3">
        <f>SUM(U78:U85)</f>
        <v>261.48665861187811</v>
      </c>
      <c r="AN77" s="3">
        <f>SUM(V78:V85)</f>
        <v>306.62368119860395</v>
      </c>
      <c r="AO77" s="3"/>
      <c r="AP77" s="3">
        <f>SUM(G78:G85)</f>
        <v>181.50313258938655</v>
      </c>
      <c r="AQ77" s="3">
        <f>SUM(J78:J85)</f>
        <v>194.71059781939132</v>
      </c>
      <c r="AR77" s="3">
        <f>SUM(L78:L85)</f>
        <v>236.00722446678333</v>
      </c>
      <c r="AS77" s="3">
        <f>SUM(M78:M85)</f>
        <v>302.11981404005866</v>
      </c>
      <c r="AT77" s="3">
        <f>SUM(N78:N85)</f>
        <v>354.27080691524202</v>
      </c>
    </row>
    <row r="78" spans="1:46">
      <c r="A78" t="s">
        <v>16</v>
      </c>
      <c r="B78" s="3" t="str">
        <f t="shared" si="133"/>
        <v>TFHCV2</v>
      </c>
      <c r="C78" s="3" t="str">
        <f t="shared" si="133"/>
        <v>Transport Freight - HCV2</v>
      </c>
      <c r="D78" t="s">
        <v>149</v>
      </c>
      <c r="E78" s="230">
        <v>2.011130021669262</v>
      </c>
      <c r="F78" s="207">
        <f t="shared" ref="F78:H78" si="137">F65*F94</f>
        <v>2.2763173637182028</v>
      </c>
      <c r="G78" s="207">
        <f t="shared" si="137"/>
        <v>2.3924342095881879</v>
      </c>
      <c r="H78" s="207">
        <f t="shared" si="137"/>
        <v>2.5085510554581725</v>
      </c>
      <c r="I78" s="207">
        <f t="shared" si="130"/>
        <v>2.539776305544069</v>
      </c>
      <c r="J78" s="207">
        <f t="shared" si="130"/>
        <v>2.4448701470311263</v>
      </c>
      <c r="K78" s="207">
        <f t="shared" si="130"/>
        <v>2.4990662180095127</v>
      </c>
      <c r="L78" s="207">
        <f t="shared" si="130"/>
        <v>2.9634083816933776</v>
      </c>
      <c r="M78" s="207">
        <f t="shared" si="130"/>
        <v>3.7935465375042492</v>
      </c>
      <c r="N78" s="207">
        <f t="shared" si="130"/>
        <v>4.4483768705549283</v>
      </c>
      <c r="O78" s="5"/>
      <c r="P78" s="207">
        <f>P51</f>
        <v>2.3987639372378653</v>
      </c>
      <c r="Q78" s="207">
        <f t="shared" ref="Q78:V78" si="138">Q51</f>
        <v>2.4286226095077832</v>
      </c>
      <c r="R78" s="207">
        <f t="shared" si="138"/>
        <v>2.3379794987127132</v>
      </c>
      <c r="S78" s="207">
        <f t="shared" si="138"/>
        <v>2.3897549527399438</v>
      </c>
      <c r="T78" s="207">
        <f t="shared" si="138"/>
        <v>2.8338470454661451</v>
      </c>
      <c r="U78" s="207">
        <f t="shared" si="138"/>
        <v>3.6276912468613896</v>
      </c>
      <c r="V78" s="207">
        <f t="shared" si="138"/>
        <v>4.2538921498691895</v>
      </c>
      <c r="W78" s="5"/>
      <c r="X78" s="207">
        <f>X51</f>
        <v>2.3987639372378653</v>
      </c>
      <c r="Y78" s="207">
        <f>Y51</f>
        <v>2.4286226095077832</v>
      </c>
      <c r="Z78" s="207">
        <f t="shared" ref="Z78:AD78" si="139">Z51</f>
        <v>2.3379794987127132</v>
      </c>
      <c r="AA78" s="207">
        <f t="shared" si="139"/>
        <v>2.3897549527399438</v>
      </c>
      <c r="AB78" s="207">
        <f t="shared" si="139"/>
        <v>2.6921546931928377</v>
      </c>
      <c r="AC78" s="207">
        <f t="shared" si="139"/>
        <v>3.2739913502924041</v>
      </c>
      <c r="AD78" s="207">
        <f t="shared" si="139"/>
        <v>3.6471807819940958</v>
      </c>
      <c r="AI78" t="s">
        <v>625</v>
      </c>
      <c r="AJ78" s="3">
        <f>P86</f>
        <v>23.183413464382845</v>
      </c>
      <c r="AK78" s="3">
        <f>R86</f>
        <v>22.595948083295109</v>
      </c>
      <c r="AL78" s="3">
        <f>T86</f>
        <v>27.388375625453065</v>
      </c>
      <c r="AM78" s="3">
        <f>U86</f>
        <v>35.060668034701415</v>
      </c>
      <c r="AN78" s="3">
        <f>V86</f>
        <v>41.112732692183442</v>
      </c>
      <c r="AO78" s="3"/>
      <c r="AP78" s="3">
        <f>H86</f>
        <v>23.609739017898917</v>
      </c>
      <c r="AQ78" s="3">
        <f>J86</f>
        <v>23.010393182336216</v>
      </c>
      <c r="AR78" s="3">
        <f>L86</f>
        <v>27.890721356060297</v>
      </c>
      <c r="AS78" s="3">
        <f>M86</f>
        <v>35.703735631711503</v>
      </c>
      <c r="AT78" s="3">
        <f>N86</f>
        <v>41.866804639492415</v>
      </c>
    </row>
    <row r="79" spans="1:46">
      <c r="A79" t="s">
        <v>16</v>
      </c>
      <c r="B79" s="3" t="str">
        <f t="shared" si="133"/>
        <v>TFHCV3</v>
      </c>
      <c r="C79" s="3" t="str">
        <f t="shared" si="133"/>
        <v>Transport Freight - HCV3</v>
      </c>
      <c r="D79" t="s">
        <v>149</v>
      </c>
      <c r="E79" s="230">
        <v>16.207267472028231</v>
      </c>
      <c r="F79" s="207">
        <f t="shared" ref="F79:H79" si="140">F66*F95</f>
        <v>15.233523986729871</v>
      </c>
      <c r="G79" s="207">
        <f t="shared" si="140"/>
        <v>15.876853345004987</v>
      </c>
      <c r="H79" s="207">
        <f t="shared" si="140"/>
        <v>16.520182703280103</v>
      </c>
      <c r="I79" s="207">
        <f t="shared" si="130"/>
        <v>16.725818078032489</v>
      </c>
      <c r="J79" s="207">
        <f t="shared" si="130"/>
        <v>16.100809041485729</v>
      </c>
      <c r="K79" s="207">
        <f t="shared" si="130"/>
        <v>16.457719853571778</v>
      </c>
      <c r="L79" s="207">
        <f t="shared" si="130"/>
        <v>19.515667334530175</v>
      </c>
      <c r="M79" s="207">
        <f t="shared" si="130"/>
        <v>24.982581780269783</v>
      </c>
      <c r="N79" s="207">
        <f t="shared" si="130"/>
        <v>29.294998192169821</v>
      </c>
      <c r="O79" s="5"/>
      <c r="P79" s="207">
        <f t="shared" ref="P79:P85" si="141">P52</f>
        <v>16.052958413816011</v>
      </c>
      <c r="Q79" s="207">
        <f t="shared" ref="Q79:V79" si="142">Q52</f>
        <v>16.252778002896829</v>
      </c>
      <c r="R79" s="207">
        <f t="shared" si="142"/>
        <v>15.646178051353582</v>
      </c>
      <c r="S79" s="207">
        <f t="shared" si="142"/>
        <v>15.992668674066808</v>
      </c>
      <c r="T79" s="207">
        <f t="shared" si="142"/>
        <v>18.964612593086677</v>
      </c>
      <c r="U79" s="207">
        <f t="shared" si="142"/>
        <v>24.277160340790779</v>
      </c>
      <c r="V79" s="207">
        <f t="shared" si="142"/>
        <v>28.467809073926801</v>
      </c>
      <c r="W79" s="5"/>
      <c r="X79" s="207">
        <f t="shared" ref="X79:X85" si="143">X52</f>
        <v>16.052958413816011</v>
      </c>
      <c r="Y79" s="207">
        <f t="shared" ref="Y79:AD79" si="144">Y52</f>
        <v>16.252778002896829</v>
      </c>
      <c r="Z79" s="207">
        <f t="shared" si="144"/>
        <v>15.646178051353582</v>
      </c>
      <c r="AA79" s="207">
        <f t="shared" si="144"/>
        <v>15.992668674066808</v>
      </c>
      <c r="AB79" s="207">
        <f t="shared" si="144"/>
        <v>18.016381963432341</v>
      </c>
      <c r="AC79" s="207">
        <f t="shared" si="144"/>
        <v>21.910137207563675</v>
      </c>
      <c r="AD79" s="207">
        <f t="shared" si="144"/>
        <v>24.407587804757988</v>
      </c>
      <c r="AI79" s="3"/>
    </row>
    <row r="80" spans="1:46">
      <c r="A80" t="s">
        <v>16</v>
      </c>
      <c r="B80" s="3" t="str">
        <f t="shared" si="133"/>
        <v>TFHCV4</v>
      </c>
      <c r="C80" s="3" t="str">
        <f t="shared" si="133"/>
        <v>Transport Freight - HCV4</v>
      </c>
      <c r="D80" t="s">
        <v>149</v>
      </c>
      <c r="E80" s="230">
        <v>5.3871747310586002</v>
      </c>
      <c r="F80" s="207">
        <f t="shared" ref="F80:H80" si="145">F67*F96</f>
        <v>5.0807673805466287</v>
      </c>
      <c r="G80" s="207">
        <f t="shared" si="145"/>
        <v>4.7389994637867714</v>
      </c>
      <c r="H80" s="207">
        <f t="shared" si="145"/>
        <v>4.7389994637867714</v>
      </c>
      <c r="I80" s="207">
        <f t="shared" si="130"/>
        <v>4.7979882745154603</v>
      </c>
      <c r="J80" s="207">
        <f t="shared" si="130"/>
        <v>4.6186974311721301</v>
      </c>
      <c r="K80" s="207">
        <f t="shared" si="130"/>
        <v>4.7210812956532191</v>
      </c>
      <c r="L80" s="207">
        <f t="shared" si="130"/>
        <v>5.5982877850023129</v>
      </c>
      <c r="M80" s="207">
        <f t="shared" si="130"/>
        <v>7.1665334329020878</v>
      </c>
      <c r="N80" s="207">
        <f t="shared" si="130"/>
        <v>8.4035983873690761</v>
      </c>
      <c r="O80" s="5"/>
      <c r="P80" s="207">
        <f t="shared" si="141"/>
        <v>5.3540695863437202</v>
      </c>
      <c r="Q80" s="207">
        <f t="shared" ref="Q80:V80" si="146">Q53</f>
        <v>5.4207144973361112</v>
      </c>
      <c r="R80" s="207">
        <f t="shared" si="146"/>
        <v>5.2183979979150399</v>
      </c>
      <c r="S80" s="207">
        <f t="shared" si="146"/>
        <v>5.3339614259885568</v>
      </c>
      <c r="T80" s="207">
        <f t="shared" si="146"/>
        <v>6.3251802492709217</v>
      </c>
      <c r="U80" s="207">
        <f t="shared" si="146"/>
        <v>8.0970499314038538</v>
      </c>
      <c r="V80" s="207">
        <f t="shared" si="146"/>
        <v>9.4947377812535709</v>
      </c>
      <c r="W80" s="5"/>
      <c r="X80" s="207">
        <f t="shared" si="143"/>
        <v>5.3540695863437202</v>
      </c>
      <c r="Y80" s="207">
        <f t="shared" ref="Y80:AD80" si="147">Y53</f>
        <v>5.4207144973361112</v>
      </c>
      <c r="Z80" s="207">
        <f t="shared" si="147"/>
        <v>5.2183979979150399</v>
      </c>
      <c r="AA80" s="207">
        <f t="shared" si="147"/>
        <v>5.3339614259885568</v>
      </c>
      <c r="AB80" s="207">
        <f t="shared" si="147"/>
        <v>6.0089212368073746</v>
      </c>
      <c r="AC80" s="207">
        <f t="shared" si="147"/>
        <v>7.3075875630919773</v>
      </c>
      <c r="AD80" s="207">
        <f t="shared" si="147"/>
        <v>8.1405508052022792</v>
      </c>
      <c r="AI80" s="3" t="s">
        <v>475</v>
      </c>
      <c r="AJ80" s="3">
        <f>SUM(AJ77:AJ78)</f>
        <v>196.08808590299864</v>
      </c>
      <c r="AK80" s="3">
        <f>SUM(AK77:AK78)</f>
        <v>191.11923339606534</v>
      </c>
      <c r="AL80" s="3">
        <f>SUM(AL77:AL78)</f>
        <v>231.65415915297785</v>
      </c>
      <c r="AM80" s="3">
        <f>SUM(AM77:AM78)</f>
        <v>296.54732664657951</v>
      </c>
      <c r="AN80" s="3">
        <f>SUM(AN77:AN78)</f>
        <v>347.73641389078739</v>
      </c>
      <c r="AO80" s="3"/>
      <c r="AP80" s="3">
        <f>SUM(AP77:AP78)</f>
        <v>205.11287160728546</v>
      </c>
      <c r="AQ80" s="3">
        <f>SUM(AQ77:AQ78)</f>
        <v>217.72099100172755</v>
      </c>
      <c r="AR80" s="3">
        <f>SUM(AR77:AR78)</f>
        <v>263.89794582284361</v>
      </c>
      <c r="AS80" s="3">
        <f>SUM(AS77:AS78)</f>
        <v>337.82354967177014</v>
      </c>
      <c r="AT80" s="3">
        <f>SUM(AT77:AT78)</f>
        <v>396.13761155473446</v>
      </c>
    </row>
    <row r="81" spans="1:46">
      <c r="A81" t="s">
        <v>16</v>
      </c>
      <c r="B81" s="3" t="str">
        <f t="shared" si="133"/>
        <v>TFHCV5</v>
      </c>
      <c r="C81" s="3" t="str">
        <f t="shared" si="133"/>
        <v>Transport Freight - HCV5</v>
      </c>
      <c r="D81" t="s">
        <v>149</v>
      </c>
      <c r="E81" s="230">
        <v>3.9725286670479121</v>
      </c>
      <c r="F81" s="207">
        <f t="shared" ref="F81:H81" si="148">F68*F97</f>
        <v>3.0627981264343846</v>
      </c>
      <c r="G81" s="207">
        <f t="shared" si="148"/>
        <v>3.15348760127408</v>
      </c>
      <c r="H81" s="207">
        <f t="shared" si="148"/>
        <v>3.2441770761137754</v>
      </c>
      <c r="I81" s="207">
        <f t="shared" si="130"/>
        <v>3.2845590489279921</v>
      </c>
      <c r="J81" s="207">
        <f t="shared" si="130"/>
        <v>3.1618219082348467</v>
      </c>
      <c r="K81" s="207">
        <f t="shared" si="130"/>
        <v>3.2319108349485202</v>
      </c>
      <c r="L81" s="207">
        <f t="shared" si="130"/>
        <v>3.8324201208243585</v>
      </c>
      <c r="M81" s="207">
        <f t="shared" si="130"/>
        <v>4.9059941145564157</v>
      </c>
      <c r="N81" s="207">
        <f t="shared" si="130"/>
        <v>5.752851726086651</v>
      </c>
      <c r="O81" s="5"/>
      <c r="P81" s="207">
        <f t="shared" si="141"/>
        <v>3.2275506965029748</v>
      </c>
      <c r="Q81" s="207">
        <f t="shared" ref="Q81:V81" si="149">Q54</f>
        <v>3.2677257120538581</v>
      </c>
      <c r="R81" s="207">
        <f t="shared" si="149"/>
        <v>3.1457648842965851</v>
      </c>
      <c r="S81" s="207">
        <f t="shared" si="149"/>
        <v>3.2154290559615002</v>
      </c>
      <c r="T81" s="207">
        <f t="shared" si="149"/>
        <v>3.8129575250781271</v>
      </c>
      <c r="U81" s="207">
        <f t="shared" si="149"/>
        <v>4.8810794712827903</v>
      </c>
      <c r="V81" s="207">
        <f t="shared" si="149"/>
        <v>5.7236363937371406</v>
      </c>
      <c r="W81" s="5"/>
      <c r="X81" s="207">
        <f t="shared" si="143"/>
        <v>3.2275506965029748</v>
      </c>
      <c r="Y81" s="207">
        <f t="shared" ref="Y81:AD81" si="150">Y54</f>
        <v>3.2677257120538581</v>
      </c>
      <c r="Z81" s="207">
        <f t="shared" si="150"/>
        <v>3.1457648842965851</v>
      </c>
      <c r="AA81" s="207">
        <f t="shared" si="150"/>
        <v>3.2154290559615002</v>
      </c>
      <c r="AB81" s="207">
        <f t="shared" si="150"/>
        <v>3.6223096488242206</v>
      </c>
      <c r="AC81" s="207">
        <f t="shared" si="150"/>
        <v>4.4051742228327182</v>
      </c>
      <c r="AD81" s="207">
        <f t="shared" si="150"/>
        <v>4.9073027530803799</v>
      </c>
      <c r="AE81" s="3"/>
      <c r="AF81" s="3"/>
      <c r="AG81" s="3"/>
      <c r="AH81" s="3"/>
      <c r="AI81" t="s">
        <v>474</v>
      </c>
      <c r="AJ81" s="170">
        <f>AJ78/AJ80</f>
        <v>0.11822958726748588</v>
      </c>
      <c r="AK81" s="170">
        <f>AK78/AK80</f>
        <v>0.11822958726748588</v>
      </c>
      <c r="AL81" s="170">
        <f>AL78/AL80</f>
        <v>0.11822958726748591</v>
      </c>
      <c r="AM81" s="170">
        <f>AM78/AM80</f>
        <v>0.11822958726748589</v>
      </c>
      <c r="AN81" s="170">
        <f>AN78/AN80</f>
        <v>0.11822958726748589</v>
      </c>
      <c r="AO81" s="170"/>
      <c r="AP81" s="170">
        <f>AP78/AP80</f>
        <v>0.11510608199714911</v>
      </c>
      <c r="AQ81" s="170">
        <f>AQ78/AQ80</f>
        <v>0.10568752730945284</v>
      </c>
      <c r="AR81" s="170">
        <f>AR78/AR80</f>
        <v>0.10568752730945287</v>
      </c>
      <c r="AS81" s="170">
        <f>AS78/AS80</f>
        <v>0.10568752730945283</v>
      </c>
      <c r="AT81" s="170">
        <f>AT78/AT80</f>
        <v>0.10568752730945283</v>
      </c>
    </row>
    <row r="82" spans="1:46">
      <c r="A82" t="s">
        <v>16</v>
      </c>
      <c r="B82" s="3" t="str">
        <f t="shared" si="133"/>
        <v>TFHCV6</v>
      </c>
      <c r="C82" s="3" t="str">
        <f t="shared" si="133"/>
        <v>Transport Freight - HCV6</v>
      </c>
      <c r="D82" t="s">
        <v>149</v>
      </c>
      <c r="E82" s="230">
        <v>140.25526500597067</v>
      </c>
      <c r="F82" s="207">
        <f>F69*F98</f>
        <v>100.6136299290159</v>
      </c>
      <c r="G82" s="207">
        <f t="shared" ref="G82" si="151">G69*G98</f>
        <v>115.33235400043283</v>
      </c>
      <c r="H82" s="207">
        <f>H69*H98</f>
        <v>130.05107807184976</v>
      </c>
      <c r="I82" s="207">
        <f>I69*I98</f>
        <v>131.66989201940657</v>
      </c>
      <c r="J82" s="207">
        <f t="shared" si="130"/>
        <v>126.74966199123529</v>
      </c>
      <c r="K82" s="207">
        <f t="shared" si="130"/>
        <v>129.55935463937249</v>
      </c>
      <c r="L82" s="207">
        <f t="shared" si="130"/>
        <v>153.63229461398763</v>
      </c>
      <c r="M82" s="207">
        <f t="shared" si="130"/>
        <v>196.66923495326364</v>
      </c>
      <c r="N82" s="207">
        <f>N69*N98</f>
        <v>230.61767326871777</v>
      </c>
      <c r="O82" s="5"/>
      <c r="P82" s="207">
        <f>P55</f>
        <v>106.02579012712634</v>
      </c>
      <c r="Q82" s="207">
        <f t="shared" ref="Q82:V82" si="152">Q55</f>
        <v>107.34554872046687</v>
      </c>
      <c r="R82" s="207">
        <f t="shared" si="152"/>
        <v>103.33910719763226</v>
      </c>
      <c r="S82" s="207">
        <f t="shared" si="152"/>
        <v>105.6275914195307</v>
      </c>
      <c r="T82" s="207">
        <f t="shared" si="152"/>
        <v>125.25654043346425</v>
      </c>
      <c r="U82" s="207">
        <f t="shared" si="152"/>
        <v>160.34459448670566</v>
      </c>
      <c r="V82" s="207">
        <f t="shared" si="152"/>
        <v>188.02278511190443</v>
      </c>
      <c r="W82" s="5"/>
      <c r="X82" s="207">
        <f t="shared" si="143"/>
        <v>106.02579012712634</v>
      </c>
      <c r="Y82" s="207">
        <f t="shared" ref="Y82:AD82" si="153">Y55</f>
        <v>107.34554872046687</v>
      </c>
      <c r="Z82" s="207">
        <f t="shared" si="153"/>
        <v>103.33910719763226</v>
      </c>
      <c r="AA82" s="207">
        <f t="shared" si="153"/>
        <v>105.6275914195307</v>
      </c>
      <c r="AB82" s="207">
        <f t="shared" si="153"/>
        <v>118.99371341179105</v>
      </c>
      <c r="AC82" s="207">
        <f t="shared" si="153"/>
        <v>144.71099652425187</v>
      </c>
      <c r="AD82" s="207">
        <f t="shared" si="153"/>
        <v>161.20603538531907</v>
      </c>
      <c r="AE82" s="3"/>
      <c r="AF82" s="3"/>
      <c r="AG82" s="3"/>
      <c r="AH82" s="3"/>
      <c r="AI82" s="3"/>
      <c r="AJ82" s="3"/>
      <c r="AK82" s="3"/>
      <c r="AL82" s="3"/>
      <c r="AM82" s="3"/>
      <c r="AN82" s="3"/>
      <c r="AO82" s="3"/>
      <c r="AP82" s="3"/>
      <c r="AQ82" s="3"/>
      <c r="AR82" s="3"/>
      <c r="AS82" s="3"/>
    </row>
    <row r="83" spans="1:46">
      <c r="A83" t="s">
        <v>16</v>
      </c>
      <c r="B83" s="3" t="str">
        <f t="shared" si="133"/>
        <v>TFHCV7</v>
      </c>
      <c r="C83" s="3" t="str">
        <f t="shared" si="133"/>
        <v>Transport Freight - HCV7</v>
      </c>
      <c r="D83" t="s">
        <v>149</v>
      </c>
      <c r="E83" s="230">
        <v>32.638769732712682</v>
      </c>
      <c r="F83" s="207">
        <f t="shared" ref="F83:H83" si="154">F70*F99</f>
        <v>35.353370344628992</v>
      </c>
      <c r="G83" s="207">
        <f>G70*G99</f>
        <v>37.589565514758952</v>
      </c>
      <c r="H83" s="207">
        <f t="shared" si="154"/>
        <v>39.825760684888905</v>
      </c>
      <c r="I83" s="207">
        <f t="shared" si="130"/>
        <v>40.321492806641402</v>
      </c>
      <c r="J83" s="207">
        <f t="shared" si="130"/>
        <v>38.814762477898604</v>
      </c>
      <c r="K83" s="207">
        <f t="shared" si="130"/>
        <v>39.675179389944375</v>
      </c>
      <c r="L83" s="207">
        <f t="shared" si="130"/>
        <v>47.047076344778141</v>
      </c>
      <c r="M83" s="207">
        <f t="shared" si="130"/>
        <v>60.226351072627132</v>
      </c>
      <c r="N83" s="207">
        <f t="shared" si="130"/>
        <v>70.622438517823355</v>
      </c>
      <c r="O83" s="5"/>
      <c r="P83" s="207">
        <f>P56</f>
        <v>37.255081911772038</v>
      </c>
      <c r="Q83" s="207">
        <f t="shared" ref="Q83:V83" si="155">Q56</f>
        <v>37.718815447166712</v>
      </c>
      <c r="R83" s="207">
        <f t="shared" si="155"/>
        <v>36.311041858033704</v>
      </c>
      <c r="S83" s="207">
        <f t="shared" si="155"/>
        <v>37.115163827211198</v>
      </c>
      <c r="T83" s="207">
        <f t="shared" si="155"/>
        <v>44.012335755656899</v>
      </c>
      <c r="U83" s="207">
        <f t="shared" si="155"/>
        <v>56.341490070949753</v>
      </c>
      <c r="V83" s="207">
        <f t="shared" si="155"/>
        <v>66.066984761204395</v>
      </c>
      <c r="W83" s="5"/>
      <c r="X83" s="207">
        <f t="shared" si="143"/>
        <v>37.255081911772038</v>
      </c>
      <c r="Y83" s="207">
        <f t="shared" ref="Y83:AD83" si="156">Y56</f>
        <v>37.718815447166712</v>
      </c>
      <c r="Z83" s="207">
        <f t="shared" si="156"/>
        <v>36.311041858033704</v>
      </c>
      <c r="AA83" s="207">
        <f t="shared" si="156"/>
        <v>37.115163827211198</v>
      </c>
      <c r="AB83" s="207">
        <f t="shared" si="156"/>
        <v>41.81171896787405</v>
      </c>
      <c r="AC83" s="207">
        <f t="shared" si="156"/>
        <v>50.848194789032142</v>
      </c>
      <c r="AD83" s="207">
        <f t="shared" si="156"/>
        <v>56.64418105963761</v>
      </c>
      <c r="AE83" s="3"/>
      <c r="AF83" s="3"/>
      <c r="AG83" s="3"/>
      <c r="AH83" s="3"/>
      <c r="AI83" s="3"/>
      <c r="AJ83" s="3"/>
      <c r="AK83" s="3"/>
      <c r="AL83" s="3"/>
      <c r="AM83" s="3"/>
      <c r="AN83" s="3"/>
      <c r="AO83" s="3"/>
      <c r="AP83" s="3"/>
      <c r="AQ83" s="3"/>
      <c r="AR83" s="3"/>
      <c r="AS83" s="3"/>
    </row>
    <row r="84" spans="1:46">
      <c r="A84" t="s">
        <v>16</v>
      </c>
      <c r="B84" s="3" t="str">
        <f>B100</f>
        <v>TFHCV8</v>
      </c>
      <c r="C84" s="3" t="str">
        <f>C100</f>
        <v>Transport Freight - HCV8</v>
      </c>
      <c r="D84" t="s">
        <v>149</v>
      </c>
      <c r="E84" s="230">
        <v>1.371120760523014</v>
      </c>
      <c r="F84" s="207">
        <f t="shared" ref="F84:H84" si="157">F71*F100</f>
        <v>1.3011202447704153</v>
      </c>
      <c r="G84" s="207">
        <f t="shared" si="157"/>
        <v>1.7751077766857204</v>
      </c>
      <c r="H84" s="207">
        <f t="shared" si="157"/>
        <v>2.2490953086010257</v>
      </c>
      <c r="I84" s="207">
        <f t="shared" si="130"/>
        <v>2.2770909769870769</v>
      </c>
      <c r="J84" s="207">
        <f t="shared" si="130"/>
        <v>2.1920008228902059</v>
      </c>
      <c r="K84" s="207">
        <f t="shared" si="130"/>
        <v>2.2405914739422865</v>
      </c>
      <c r="L84" s="207">
        <f t="shared" si="130"/>
        <v>2.6569074104486248</v>
      </c>
      <c r="M84" s="207">
        <f t="shared" si="130"/>
        <v>3.4011855975170291</v>
      </c>
      <c r="N84" s="207">
        <f t="shared" si="130"/>
        <v>3.9882877921442512</v>
      </c>
      <c r="O84" s="5"/>
      <c r="P84" s="207">
        <f t="shared" si="141"/>
        <v>1.3711094818814338</v>
      </c>
      <c r="Q84" s="207">
        <f t="shared" ref="Q84:V84" si="158">Q57</f>
        <v>1.3881764004014847</v>
      </c>
      <c r="R84" s="207">
        <f t="shared" si="158"/>
        <v>1.3363657045889328</v>
      </c>
      <c r="S84" s="207">
        <f t="shared" si="158"/>
        <v>1.3659600364210163</v>
      </c>
      <c r="T84" s="207">
        <f t="shared" si="158"/>
        <v>1.6197986362569801</v>
      </c>
      <c r="U84" s="207">
        <f t="shared" si="158"/>
        <v>2.0735520443238626</v>
      </c>
      <c r="V84" s="207">
        <f t="shared" si="158"/>
        <v>2.4314822192561074</v>
      </c>
      <c r="W84" s="5"/>
      <c r="X84" s="207">
        <f t="shared" si="143"/>
        <v>1.3711094818814338</v>
      </c>
      <c r="Y84" s="207">
        <f t="shared" ref="Y84:AD84" si="159">Y57</f>
        <v>1.3881764004014847</v>
      </c>
      <c r="Z84" s="207">
        <f t="shared" si="159"/>
        <v>1.3363657045889328</v>
      </c>
      <c r="AA84" s="207">
        <f t="shared" si="159"/>
        <v>1.3659600364210163</v>
      </c>
      <c r="AB84" s="207">
        <f t="shared" si="159"/>
        <v>1.538808704444131</v>
      </c>
      <c r="AC84" s="207">
        <f t="shared" si="159"/>
        <v>1.8713807200022856</v>
      </c>
      <c r="AD84" s="207">
        <f t="shared" si="159"/>
        <v>2.0846920677347049</v>
      </c>
      <c r="AE84" s="3"/>
      <c r="AF84" s="3"/>
      <c r="AG84" s="3"/>
      <c r="AH84" s="3"/>
      <c r="AI84" s="3"/>
      <c r="AJ84" s="3"/>
      <c r="AK84" s="3"/>
      <c r="AL84" s="3"/>
      <c r="AM84" s="3"/>
      <c r="AN84" s="3"/>
      <c r="AO84" s="3"/>
      <c r="AP84" s="3"/>
      <c r="AQ84" s="3"/>
      <c r="AR84" s="3"/>
      <c r="AS84" s="3"/>
    </row>
    <row r="85" spans="1:46">
      <c r="A85" t="s">
        <v>16</v>
      </c>
      <c r="B85" s="3" t="str">
        <f t="shared" si="133"/>
        <v>TFHCV9</v>
      </c>
      <c r="C85" s="3" t="str">
        <f t="shared" si="133"/>
        <v>Transport Freight - HCV9</v>
      </c>
      <c r="D85" t="s">
        <v>149</v>
      </c>
      <c r="E85" s="230">
        <v>0.85603927035432403</v>
      </c>
      <c r="F85" s="207">
        <f t="shared" ref="F85:H85" si="160">F72*F101</f>
        <v>1.1571058027236365</v>
      </c>
      <c r="G85" s="207">
        <f t="shared" si="160"/>
        <v>0.64433067785501452</v>
      </c>
      <c r="H85" s="207">
        <f t="shared" si="160"/>
        <v>0.64433067785501452</v>
      </c>
      <c r="I85" s="207">
        <f t="shared" si="130"/>
        <v>0.65235099959024978</v>
      </c>
      <c r="J85" s="207">
        <f t="shared" si="130"/>
        <v>0.62797399944340959</v>
      </c>
      <c r="K85" s="207">
        <f t="shared" si="130"/>
        <v>0.64189446204456013</v>
      </c>
      <c r="L85" s="207">
        <f t="shared" si="130"/>
        <v>0.76116247551875416</v>
      </c>
      <c r="M85" s="207">
        <f t="shared" si="130"/>
        <v>0.97438655141831287</v>
      </c>
      <c r="N85" s="207">
        <f t="shared" si="130"/>
        <v>1.1425821603761326</v>
      </c>
      <c r="O85" s="5"/>
      <c r="P85" s="207">
        <f t="shared" si="141"/>
        <v>1.219348283935394</v>
      </c>
      <c r="Q85" s="207">
        <f t="shared" ref="Q85:V85" si="161">Q58</f>
        <v>1.2345261512643642</v>
      </c>
      <c r="R85" s="207">
        <f t="shared" si="161"/>
        <v>1.1884501202373998</v>
      </c>
      <c r="S85" s="207">
        <f t="shared" si="161"/>
        <v>1.2147688046389902</v>
      </c>
      <c r="T85" s="207">
        <f t="shared" si="161"/>
        <v>1.4405112892448337</v>
      </c>
      <c r="U85" s="207">
        <f t="shared" si="161"/>
        <v>1.8440410195600052</v>
      </c>
      <c r="V85" s="207">
        <f t="shared" si="161"/>
        <v>2.1623537074523274</v>
      </c>
      <c r="W85" s="5"/>
      <c r="X85" s="207">
        <f t="shared" si="143"/>
        <v>1.219348283935394</v>
      </c>
      <c r="Y85" s="207">
        <f t="shared" ref="Y85:AD85" si="162">Y58</f>
        <v>1.2345261512643642</v>
      </c>
      <c r="Z85" s="207">
        <f t="shared" si="162"/>
        <v>1.1884501202373998</v>
      </c>
      <c r="AA85" s="207">
        <f t="shared" si="162"/>
        <v>1.2147688046389902</v>
      </c>
      <c r="AB85" s="207">
        <f t="shared" si="162"/>
        <v>1.3684857247825919</v>
      </c>
      <c r="AC85" s="207">
        <f t="shared" si="162"/>
        <v>1.6642470201529045</v>
      </c>
      <c r="AD85" s="207">
        <f t="shared" si="162"/>
        <v>1.8539480099269388</v>
      </c>
      <c r="AE85" s="3"/>
      <c r="AF85" s="3"/>
      <c r="AG85" s="3"/>
      <c r="AH85" s="3"/>
      <c r="AI85" s="3"/>
      <c r="AJ85" s="3"/>
      <c r="AK85" s="3"/>
      <c r="AL85" s="3"/>
      <c r="AM85" s="3"/>
      <c r="AN85" s="3"/>
      <c r="AO85" s="3"/>
      <c r="AP85" s="3"/>
      <c r="AQ85" s="3"/>
      <c r="AR85" s="3"/>
      <c r="AS85" s="3"/>
    </row>
    <row r="86" spans="1:46">
      <c r="A86" t="s">
        <v>16</v>
      </c>
      <c r="B86" s="3" t="str">
        <f t="shared" si="133"/>
        <v>TFRCO</v>
      </c>
      <c r="C86" s="3" t="str">
        <f t="shared" si="133"/>
        <v>Transport Freight - Rail Corridor</v>
      </c>
      <c r="D86" t="s">
        <v>149</v>
      </c>
      <c r="E86" s="39"/>
      <c r="F86" s="207">
        <f t="shared" ref="F86:H86" si="163">F59</f>
        <v>22</v>
      </c>
      <c r="G86" s="207">
        <f t="shared" si="163"/>
        <v>23.183413464382845</v>
      </c>
      <c r="H86" s="207">
        <f t="shared" si="163"/>
        <v>23.609739017898917</v>
      </c>
      <c r="I86" s="207">
        <f t="shared" ref="I86:N86" si="164">I59</f>
        <v>23.903621816773025</v>
      </c>
      <c r="J86" s="207">
        <f t="shared" si="164"/>
        <v>23.010393182336216</v>
      </c>
      <c r="K86" s="207">
        <f t="shared" si="164"/>
        <v>23.52047053906816</v>
      </c>
      <c r="L86" s="207">
        <f t="shared" si="164"/>
        <v>27.890721356060297</v>
      </c>
      <c r="M86" s="207">
        <f t="shared" si="164"/>
        <v>35.703735631711503</v>
      </c>
      <c r="N86" s="207">
        <f t="shared" si="164"/>
        <v>41.866804639492415</v>
      </c>
      <c r="O86" s="5"/>
      <c r="P86" s="207">
        <f>P59</f>
        <v>23.183413464382845</v>
      </c>
      <c r="Q86" s="207">
        <f t="shared" ref="Q86:V86" si="165">Q59</f>
        <v>23.471989565592747</v>
      </c>
      <c r="R86" s="207">
        <f t="shared" si="165"/>
        <v>22.595948083295109</v>
      </c>
      <c r="S86" s="207">
        <f t="shared" si="165"/>
        <v>23.096344032803003</v>
      </c>
      <c r="T86" s="207">
        <f t="shared" si="165"/>
        <v>27.388375625453065</v>
      </c>
      <c r="U86" s="207">
        <f t="shared" si="165"/>
        <v>35.060668034701415</v>
      </c>
      <c r="V86" s="207">
        <f t="shared" si="165"/>
        <v>41.112732692183442</v>
      </c>
      <c r="W86" s="5"/>
      <c r="X86" s="207">
        <f>X59</f>
        <v>23.183413464382845</v>
      </c>
      <c r="Y86" s="207">
        <f>Y59</f>
        <v>23.471989565592747</v>
      </c>
      <c r="Z86" s="207">
        <f t="shared" ref="Z86:AD86" si="166">Z59</f>
        <v>22.595948083295109</v>
      </c>
      <c r="AA86" s="207">
        <f t="shared" si="166"/>
        <v>23.096344032803003</v>
      </c>
      <c r="AB86" s="207">
        <f t="shared" si="166"/>
        <v>37.601664801829308</v>
      </c>
      <c r="AC86" s="207">
        <f t="shared" si="166"/>
        <v>60.555617249359486</v>
      </c>
      <c r="AD86" s="207">
        <f t="shared" si="166"/>
        <v>84.844935223134271</v>
      </c>
      <c r="AE86" s="3"/>
      <c r="AF86" s="3"/>
      <c r="AG86" s="3"/>
      <c r="AH86" s="3"/>
      <c r="AI86" s="3"/>
      <c r="AJ86" s="3"/>
      <c r="AK86" s="3"/>
      <c r="AL86" s="3"/>
      <c r="AM86" s="3"/>
      <c r="AN86" s="3"/>
      <c r="AO86" s="3"/>
      <c r="AP86" s="3"/>
      <c r="AQ86" s="3"/>
      <c r="AR86" s="3"/>
      <c r="AS86" s="3"/>
    </row>
    <row r="87" spans="1:46">
      <c r="A87" t="s">
        <v>16</v>
      </c>
      <c r="B87" s="3" t="str">
        <f t="shared" si="133"/>
        <v>TFROT</v>
      </c>
      <c r="C87" s="3" t="str">
        <f t="shared" si="133"/>
        <v>Transport Freight - Rail Other</v>
      </c>
      <c r="D87" t="s">
        <v>149</v>
      </c>
      <c r="E87" s="39"/>
      <c r="F87" s="207">
        <f t="shared" ref="F87:H87" si="167">F47</f>
        <v>25.1</v>
      </c>
      <c r="G87" s="207">
        <f t="shared" si="167"/>
        <v>26.450167179818607</v>
      </c>
      <c r="H87" s="207">
        <f t="shared" si="167"/>
        <v>26.936565879511939</v>
      </c>
      <c r="I87" s="207">
        <f t="shared" ref="I87:N87" si="168">I47</f>
        <v>27.271859436409219</v>
      </c>
      <c r="J87" s="207">
        <f t="shared" si="168"/>
        <v>26.252766767119954</v>
      </c>
      <c r="K87" s="207">
        <f t="shared" si="168"/>
        <v>26.834718660482309</v>
      </c>
      <c r="L87" s="207">
        <f t="shared" si="168"/>
        <v>31.820777547141518</v>
      </c>
      <c r="M87" s="207">
        <f t="shared" si="168"/>
        <v>40.734716561634485</v>
      </c>
      <c r="N87" s="207">
        <f t="shared" si="168"/>
        <v>47.766218020511793</v>
      </c>
      <c r="O87" s="5"/>
      <c r="P87" s="207">
        <f>P47</f>
        <v>26.450167179818607</v>
      </c>
      <c r="Q87" s="207">
        <f t="shared" ref="Q87:V87" si="169">Q47</f>
        <v>27.271859436409219</v>
      </c>
      <c r="R87" s="207">
        <f t="shared" si="169"/>
        <v>25.779922585941232</v>
      </c>
      <c r="S87" s="207">
        <f t="shared" si="169"/>
        <v>26.835400816677453</v>
      </c>
      <c r="T87" s="207">
        <f t="shared" si="169"/>
        <v>31.247646736312355</v>
      </c>
      <c r="U87" s="207">
        <f t="shared" si="169"/>
        <v>40.001034894136609</v>
      </c>
      <c r="V87" s="207">
        <f t="shared" si="169"/>
        <v>46.905890480627463</v>
      </c>
      <c r="W87" s="5"/>
      <c r="X87" s="207">
        <f>X47</f>
        <v>26.450167179818607</v>
      </c>
      <c r="Y87" s="207">
        <f>Y47</f>
        <v>27.271859436409219</v>
      </c>
      <c r="Z87" s="207">
        <f t="shared" ref="Z87:AD87" si="170">Z47</f>
        <v>25.779922585941232</v>
      </c>
      <c r="AA87" s="207">
        <f t="shared" si="170"/>
        <v>26.835400816677453</v>
      </c>
      <c r="AB87" s="207">
        <f t="shared" si="170"/>
        <v>31.585862630719056</v>
      </c>
      <c r="AC87" s="207">
        <f t="shared" si="170"/>
        <v>40.845307185127247</v>
      </c>
      <c r="AD87" s="207">
        <f t="shared" si="170"/>
        <v>48.354094456638698</v>
      </c>
      <c r="AE87" s="3"/>
      <c r="AF87" s="3"/>
      <c r="AG87" s="3"/>
      <c r="AH87" s="3"/>
      <c r="AI87" s="3"/>
      <c r="AJ87" s="3"/>
      <c r="AK87" s="3"/>
      <c r="AL87" s="3"/>
      <c r="AM87" s="3"/>
      <c r="AN87" s="3"/>
      <c r="AO87" s="3"/>
      <c r="AP87" s="3"/>
      <c r="AQ87" s="3"/>
      <c r="AR87" s="3"/>
      <c r="AS87" s="3"/>
    </row>
    <row r="88" spans="1:46">
      <c r="A88" t="s">
        <v>16</v>
      </c>
      <c r="B88" s="3" t="str">
        <f t="shared" si="133"/>
        <v>TFREX</v>
      </c>
      <c r="C88" s="3" t="str">
        <f t="shared" si="133"/>
        <v>Transport Freight - Rail Export (bulk mining)</v>
      </c>
      <c r="D88" t="s">
        <v>149</v>
      </c>
      <c r="E88" s="39"/>
      <c r="F88" s="207">
        <f t="shared" ref="F88:H88" si="171">F104</f>
        <v>82</v>
      </c>
      <c r="G88" s="207">
        <f t="shared" si="171"/>
        <v>82</v>
      </c>
      <c r="H88" s="207">
        <f t="shared" si="171"/>
        <v>82</v>
      </c>
      <c r="I88" s="207">
        <f t="shared" ref="I88:N88" si="172">I104</f>
        <v>86.036801673044508</v>
      </c>
      <c r="J88" s="207">
        <f t="shared" si="172"/>
        <v>79.266714881385326</v>
      </c>
      <c r="K88" s="207">
        <f t="shared" si="172"/>
        <v>84.862097424278346</v>
      </c>
      <c r="L88" s="207">
        <f t="shared" si="172"/>
        <v>91.22747843551079</v>
      </c>
      <c r="M88" s="207">
        <f t="shared" si="172"/>
        <v>101.82999626076513</v>
      </c>
      <c r="N88" s="207">
        <f t="shared" si="172"/>
        <v>102.98409220847734</v>
      </c>
      <c r="O88" s="5"/>
      <c r="P88" s="207">
        <f>F104</f>
        <v>82</v>
      </c>
      <c r="Q88" s="207">
        <f t="shared" ref="Q88:V88" si="173">G104</f>
        <v>82</v>
      </c>
      <c r="R88" s="207">
        <f t="shared" si="173"/>
        <v>82</v>
      </c>
      <c r="S88" s="207">
        <f t="shared" si="173"/>
        <v>86.036801673044508</v>
      </c>
      <c r="T88" s="207">
        <f t="shared" si="173"/>
        <v>79.266714881385326</v>
      </c>
      <c r="U88" s="207">
        <f t="shared" si="173"/>
        <v>84.862097424278346</v>
      </c>
      <c r="V88" s="207">
        <f t="shared" si="173"/>
        <v>91.22747843551079</v>
      </c>
      <c r="W88" s="5"/>
      <c r="X88" s="207">
        <f>P88</f>
        <v>82</v>
      </c>
      <c r="Y88" s="207">
        <f>Q88</f>
        <v>82</v>
      </c>
      <c r="Z88" s="207">
        <f t="shared" ref="Z88:AD88" si="174">R88</f>
        <v>82</v>
      </c>
      <c r="AA88" s="207">
        <f t="shared" si="174"/>
        <v>86.036801673044508</v>
      </c>
      <c r="AB88" s="207">
        <f t="shared" si="174"/>
        <v>79.266714881385326</v>
      </c>
      <c r="AC88" s="207">
        <f t="shared" si="174"/>
        <v>84.862097424278346</v>
      </c>
      <c r="AD88" s="207">
        <f t="shared" si="174"/>
        <v>91.22747843551079</v>
      </c>
      <c r="AE88" s="3"/>
      <c r="AF88" s="3"/>
      <c r="AG88" s="3"/>
      <c r="AH88" s="3"/>
      <c r="AI88" s="3"/>
      <c r="AJ88" s="3"/>
      <c r="AK88" s="3"/>
      <c r="AL88" s="3"/>
      <c r="AM88" s="3"/>
      <c r="AN88" s="3"/>
      <c r="AO88" s="3"/>
      <c r="AP88" s="3"/>
      <c r="AQ88" s="3"/>
      <c r="AR88" s="3"/>
      <c r="AS88" s="3"/>
    </row>
    <row r="89" spans="1:46">
      <c r="A89" t="s">
        <v>16</v>
      </c>
      <c r="C89" s="2" t="s">
        <v>211</v>
      </c>
      <c r="E89" s="231">
        <f>SUM(E76:E85)-SUM(G76:G85)</f>
        <v>26.349069999288815</v>
      </c>
      <c r="F89" s="67">
        <f t="shared" ref="F89:K89" si="175">SUM(F76:F88)</f>
        <v>315.92251525208883</v>
      </c>
      <c r="G89" s="67">
        <f>SUM(G76:G88)</f>
        <v>336.68380630627735</v>
      </c>
      <c r="H89" s="67">
        <f>SUM(H76:H88)</f>
        <v>356.67878401110221</v>
      </c>
      <c r="I89" s="67">
        <f t="shared" si="175"/>
        <v>364.13465650806916</v>
      </c>
      <c r="J89" s="67">
        <f t="shared" si="175"/>
        <v>346.50758520114863</v>
      </c>
      <c r="K89" s="67">
        <f t="shared" si="175"/>
        <v>358.50232030612949</v>
      </c>
      <c r="L89" s="67">
        <f t="shared" ref="L89:N89" si="176">SUM(L76:L88)</f>
        <v>415.14809074218033</v>
      </c>
      <c r="M89" s="67">
        <f t="shared" si="176"/>
        <v>516.4903329302748</v>
      </c>
      <c r="N89" s="67">
        <f t="shared" si="176"/>
        <v>589.22182055612916</v>
      </c>
      <c r="O89" s="5"/>
      <c r="P89" s="67">
        <f t="shared" ref="P89:V89" si="177">SUM(P76:P88)</f>
        <v>329.19518412970541</v>
      </c>
      <c r="Q89" s="67">
        <f>SUM(Q76:Q88)</f>
        <v>332.87120887561412</v>
      </c>
      <c r="R89" s="67">
        <f t="shared" si="177"/>
        <v>322.46537290910544</v>
      </c>
      <c r="S89" s="67">
        <f t="shared" si="177"/>
        <v>332.89259031093002</v>
      </c>
      <c r="T89" s="67">
        <f t="shared" si="177"/>
        <v>370.73295183110361</v>
      </c>
      <c r="U89" s="67">
        <f t="shared" si="177"/>
        <v>457.97663027451381</v>
      </c>
      <c r="V89" s="67">
        <f t="shared" si="177"/>
        <v>528.74789411778045</v>
      </c>
      <c r="W89" s="308"/>
      <c r="X89" s="67">
        <f t="shared" ref="X89:AD89" si="178">SUM(X76:X88)</f>
        <v>329.19518412970541</v>
      </c>
      <c r="Y89" s="67">
        <f t="shared" si="178"/>
        <v>332.87120887561412</v>
      </c>
      <c r="Z89" s="67">
        <f t="shared" si="178"/>
        <v>322.46537290910544</v>
      </c>
      <c r="AA89" s="67">
        <f t="shared" si="178"/>
        <v>332.89259031093002</v>
      </c>
      <c r="AB89" s="67">
        <f t="shared" si="178"/>
        <v>370.73295183110366</v>
      </c>
      <c r="AC89" s="67">
        <f t="shared" si="178"/>
        <v>457.97663027451381</v>
      </c>
      <c r="AD89" s="67">
        <f t="shared" si="178"/>
        <v>528.74789411778045</v>
      </c>
    </row>
    <row r="90" spans="1:46">
      <c r="A90" t="s">
        <v>16</v>
      </c>
      <c r="N90">
        <f>N89/F89</f>
        <v>1.8650833419896093</v>
      </c>
      <c r="O90" s="5"/>
      <c r="P90" s="2" t="s">
        <v>41</v>
      </c>
      <c r="X90" s="2" t="s">
        <v>197</v>
      </c>
    </row>
    <row r="91" spans="1:46" ht="15.75" thickBot="1">
      <c r="A91" t="s">
        <v>16</v>
      </c>
      <c r="B91" s="9" t="s">
        <v>209</v>
      </c>
      <c r="C91" s="9"/>
      <c r="D91" s="9"/>
      <c r="F91">
        <f t="shared" ref="F91:K91" si="179">F$4</f>
        <v>2012</v>
      </c>
      <c r="G91">
        <f t="shared" si="179"/>
        <v>2015</v>
      </c>
      <c r="H91">
        <f t="shared" si="179"/>
        <v>2017</v>
      </c>
      <c r="I91">
        <f t="shared" si="179"/>
        <v>2019</v>
      </c>
      <c r="J91">
        <f t="shared" si="179"/>
        <v>2020</v>
      </c>
      <c r="K91">
        <f t="shared" si="179"/>
        <v>2021</v>
      </c>
      <c r="L91">
        <f>L$4</f>
        <v>2030</v>
      </c>
      <c r="M91">
        <f>M$4</f>
        <v>2040</v>
      </c>
      <c r="N91">
        <f>N$4</f>
        <v>2050</v>
      </c>
      <c r="O91" s="5"/>
      <c r="P91" s="4">
        <f>P75</f>
        <v>2017</v>
      </c>
      <c r="Q91" s="4">
        <f t="shared" ref="Q91:T91" si="180">Q75</f>
        <v>2019</v>
      </c>
      <c r="R91" s="4">
        <f t="shared" si="180"/>
        <v>2020</v>
      </c>
      <c r="S91" s="4">
        <f t="shared" si="180"/>
        <v>2021</v>
      </c>
      <c r="T91" s="4">
        <f t="shared" si="180"/>
        <v>2030</v>
      </c>
      <c r="U91" s="4">
        <f>U75</f>
        <v>2040</v>
      </c>
      <c r="V91" s="4">
        <f>V75</f>
        <v>2050</v>
      </c>
      <c r="X91" s="4">
        <f>X75</f>
        <v>2017</v>
      </c>
      <c r="Y91" s="4">
        <f t="shared" ref="Y91:AA91" si="181">Y75</f>
        <v>2019</v>
      </c>
      <c r="Z91" s="4">
        <f t="shared" si="181"/>
        <v>2020</v>
      </c>
      <c r="AA91" s="4">
        <f t="shared" si="181"/>
        <v>2021</v>
      </c>
      <c r="AB91" s="4">
        <f>AB75</f>
        <v>2030</v>
      </c>
      <c r="AC91" s="4">
        <f>AC75</f>
        <v>2040</v>
      </c>
      <c r="AD91" s="4">
        <f>AD75</f>
        <v>2050</v>
      </c>
    </row>
    <row r="92" spans="1:46">
      <c r="A92" t="s">
        <v>16</v>
      </c>
      <c r="B92" s="3" t="str">
        <f>'[2]TS BYDem'!D19</f>
        <v>TFLCV</v>
      </c>
      <c r="C92" s="3" t="str">
        <f>C13</f>
        <v>Transport Freight - LCV</v>
      </c>
      <c r="D92" t="s">
        <v>150</v>
      </c>
      <c r="F92" s="208">
        <f>SUMIF($I$223:$I$247,$B92,$W$223:$W$247)/1000000000</f>
        <v>43.510890756102206</v>
      </c>
      <c r="G92" s="208">
        <f>(F92+H92)/2</f>
        <v>45.547855670926104</v>
      </c>
      <c r="H92" s="208">
        <f>SUMIF($I$223:$I$247,$B92,$AB$223:$AB$247)/1000000000</f>
        <v>47.584820585750002</v>
      </c>
      <c r="I92" s="18">
        <f t="shared" ref="I92:N92" si="182">I43/I63</f>
        <v>48.177133793746961</v>
      </c>
      <c r="J92" s="3">
        <f t="shared" si="182"/>
        <v>45.207927176491495</v>
      </c>
      <c r="K92" s="6">
        <f t="shared" si="182"/>
        <v>47.404902267046701</v>
      </c>
      <c r="L92" s="6">
        <f t="shared" si="182"/>
        <v>54.796182315237353</v>
      </c>
      <c r="M92" s="6">
        <f t="shared" si="182"/>
        <v>70.14621034838143</v>
      </c>
      <c r="N92" s="6">
        <f t="shared" si="182"/>
        <v>82.254633384860938</v>
      </c>
      <c r="O92" s="5"/>
      <c r="P92" s="6">
        <f>P76/P63</f>
        <v>47.584820585750009</v>
      </c>
      <c r="Q92" s="6">
        <f t="shared" ref="Q92:V92" si="183">Q76/Q63</f>
        <v>48.177133793746961</v>
      </c>
      <c r="R92" s="6">
        <f t="shared" si="183"/>
        <v>45.207927176491495</v>
      </c>
      <c r="S92" s="6">
        <f t="shared" si="183"/>
        <v>47.404902267046701</v>
      </c>
      <c r="T92" s="6">
        <f t="shared" si="183"/>
        <v>54.796182315237353</v>
      </c>
      <c r="U92" s="6">
        <f t="shared" si="183"/>
        <v>70.14621034838143</v>
      </c>
      <c r="V92" s="6">
        <f t="shared" si="183"/>
        <v>82.254633384860938</v>
      </c>
      <c r="X92" s="6">
        <f>P92</f>
        <v>47.584820585750009</v>
      </c>
      <c r="Y92" s="6">
        <f t="shared" ref="Y92:AA92" si="184">Q92</f>
        <v>48.177133793746961</v>
      </c>
      <c r="Z92" s="6">
        <f t="shared" si="184"/>
        <v>45.207927176491495</v>
      </c>
      <c r="AA92" s="6">
        <f t="shared" si="184"/>
        <v>47.404902267046701</v>
      </c>
      <c r="AB92" s="6">
        <f t="shared" ref="AB92:AD92" si="185">AB76/AB63</f>
        <v>54.796182315237353</v>
      </c>
      <c r="AC92" s="6">
        <f t="shared" si="185"/>
        <v>70.14621034838143</v>
      </c>
      <c r="AD92" s="6">
        <f t="shared" si="185"/>
        <v>82.254633384860938</v>
      </c>
    </row>
    <row r="93" spans="1:46">
      <c r="A93" t="s">
        <v>16</v>
      </c>
      <c r="B93" s="3" t="str">
        <f>'[2]TS BYDem'!D20</f>
        <v>TFHCV1</v>
      </c>
      <c r="C93" s="3" t="str">
        <f t="shared" ref="C93:C99" si="186">C14</f>
        <v>Transport Freight - HCV1</v>
      </c>
      <c r="D93" t="s">
        <v>150</v>
      </c>
      <c r="F93" s="208">
        <f t="shared" ref="F93:F101" si="187">SUMIF($I$223:$I$247,$B93,$W$223:$W$247)/1000000000</f>
        <v>3.6611476956492877</v>
      </c>
      <c r="G93" s="208">
        <f t="shared" ref="G93:G100" si="188">(F93+H93)/2</f>
        <v>3.6563130331972848</v>
      </c>
      <c r="H93" s="208">
        <f t="shared" ref="H93:H101" si="189">SUMIF($I$223:$I$247,$B93,$AB$223:$AB$247)/1000000000</f>
        <v>3.6514783707452825</v>
      </c>
      <c r="I93" s="18">
        <f>I46/H46*H93</f>
        <v>3.6969302362999743</v>
      </c>
      <c r="J93" s="18">
        <f t="shared" ref="J93:N93" si="190">J46/I46*I93</f>
        <v>3.5587836419516132</v>
      </c>
      <c r="K93" s="18">
        <f t="shared" si="190"/>
        <v>3.6376721224257773</v>
      </c>
      <c r="L93" s="18">
        <f t="shared" si="190"/>
        <v>4.3135743982146284</v>
      </c>
      <c r="M93" s="18">
        <f t="shared" si="190"/>
        <v>5.5219339068155575</v>
      </c>
      <c r="N93" s="18">
        <f t="shared" si="190"/>
        <v>6.4751131504430157</v>
      </c>
      <c r="P93" s="6">
        <f t="shared" ref="P93:V100" si="191">P77/P64</f>
        <v>3.8580863992004506</v>
      </c>
      <c r="Q93" s="6">
        <f t="shared" si="191"/>
        <v>3.9779404514613912</v>
      </c>
      <c r="R93" s="6">
        <f t="shared" si="191"/>
        <v>3.7603228752803104</v>
      </c>
      <c r="S93" s="6">
        <f t="shared" si="191"/>
        <v>3.9142775243746488</v>
      </c>
      <c r="T93" s="6">
        <f t="shared" si="191"/>
        <v>4.557858559486573</v>
      </c>
      <c r="U93" s="6">
        <f t="shared" si="191"/>
        <v>5.8346492719623511</v>
      </c>
      <c r="V93" s="6">
        <f t="shared" si="191"/>
        <v>6.8418084799014789</v>
      </c>
      <c r="X93" s="6">
        <f t="shared" ref="X93:X101" si="192">P93</f>
        <v>3.8580863992004506</v>
      </c>
      <c r="Y93" s="6">
        <f t="shared" ref="Y93:Y101" si="193">Q93</f>
        <v>3.9779404514613912</v>
      </c>
      <c r="Z93" s="6">
        <f t="shared" ref="Z93:Z101" si="194">R93</f>
        <v>3.7603228752803104</v>
      </c>
      <c r="AA93" s="6">
        <f t="shared" ref="AA93:AA101" si="195">S93</f>
        <v>3.9142775243746488</v>
      </c>
      <c r="AB93" s="6">
        <f t="shared" ref="AB93:AD93" si="196">AB77/AB64</f>
        <v>4.3299656315122448</v>
      </c>
      <c r="AC93" s="6">
        <f t="shared" si="196"/>
        <v>5.2657709679460218</v>
      </c>
      <c r="AD93" s="6">
        <f t="shared" si="196"/>
        <v>5.8659955454555304</v>
      </c>
    </row>
    <row r="94" spans="1:46">
      <c r="A94" t="s">
        <v>16</v>
      </c>
      <c r="B94" s="3" t="str">
        <f>'[2]TS BYDem'!D21</f>
        <v>TFHCV2</v>
      </c>
      <c r="C94" s="3" t="str">
        <f t="shared" si="186"/>
        <v>Transport Freight - HCV2</v>
      </c>
      <c r="D94" t="s">
        <v>150</v>
      </c>
      <c r="F94" s="208">
        <f t="shared" si="187"/>
        <v>0.91016288033514703</v>
      </c>
      <c r="G94" s="208">
        <f t="shared" si="188"/>
        <v>0.95659104741630863</v>
      </c>
      <c r="H94" s="208">
        <f t="shared" si="189"/>
        <v>1.0030192144974701</v>
      </c>
      <c r="I94" s="18">
        <f>I51/H51*H94</f>
        <v>1.0155043204894318</v>
      </c>
      <c r="J94" s="18">
        <f t="shared" ref="J94:N94" si="197">J51/I51*I94</f>
        <v>0.97755703599805133</v>
      </c>
      <c r="K94" s="18">
        <f t="shared" si="197"/>
        <v>0.99922679648521096</v>
      </c>
      <c r="L94" s="18">
        <f t="shared" si="197"/>
        <v>1.1848893969185836</v>
      </c>
      <c r="M94" s="18">
        <f t="shared" si="197"/>
        <v>1.5168118902456016</v>
      </c>
      <c r="N94" s="18">
        <f t="shared" si="197"/>
        <v>1.7786392925049694</v>
      </c>
      <c r="P94" s="6">
        <f t="shared" si="191"/>
        <v>0.95912192612469627</v>
      </c>
      <c r="Q94" s="6">
        <f t="shared" si="191"/>
        <v>0.97106061955529122</v>
      </c>
      <c r="R94" s="6">
        <f t="shared" si="191"/>
        <v>0.93481787233615088</v>
      </c>
      <c r="S94" s="6">
        <f t="shared" si="191"/>
        <v>0.95551977318670289</v>
      </c>
      <c r="T94" s="6">
        <f t="shared" si="191"/>
        <v>1.1330855839528768</v>
      </c>
      <c r="U94" s="6">
        <f t="shared" si="191"/>
        <v>1.4504963002244662</v>
      </c>
      <c r="V94" s="6">
        <f t="shared" si="191"/>
        <v>1.7008765093439384</v>
      </c>
      <c r="X94" s="6">
        <f t="shared" si="192"/>
        <v>0.95912192612469627</v>
      </c>
      <c r="Y94" s="6">
        <f t="shared" si="193"/>
        <v>0.97106061955529122</v>
      </c>
      <c r="Z94" s="6">
        <f t="shared" si="194"/>
        <v>0.93481787233615088</v>
      </c>
      <c r="AA94" s="6">
        <f t="shared" si="195"/>
        <v>0.95551977318670289</v>
      </c>
      <c r="AB94" s="6">
        <f t="shared" ref="AB94:AD94" si="198">AB78/AB65</f>
        <v>1.076431304755233</v>
      </c>
      <c r="AC94" s="6">
        <f t="shared" si="198"/>
        <v>1.3090729109525807</v>
      </c>
      <c r="AD94" s="6">
        <f t="shared" si="198"/>
        <v>1.4582889971987589</v>
      </c>
    </row>
    <row r="95" spans="1:46">
      <c r="A95" t="s">
        <v>16</v>
      </c>
      <c r="B95" s="3" t="str">
        <f>'[2]TS BYDem'!D22</f>
        <v>TFHCV3</v>
      </c>
      <c r="C95" s="3" t="str">
        <f t="shared" si="186"/>
        <v>Transport Freight - HCV3</v>
      </c>
      <c r="D95" t="s">
        <v>150</v>
      </c>
      <c r="F95" s="208">
        <f t="shared" si="187"/>
        <v>3.04238730086416</v>
      </c>
      <c r="G95" s="208">
        <f t="shared" si="188"/>
        <v>3.1708708396431251</v>
      </c>
      <c r="H95" s="208">
        <f t="shared" si="189"/>
        <v>3.2993543784220902</v>
      </c>
      <c r="I95" s="18">
        <f t="shared" ref="I95:N101" si="199">I52/H52*H95</f>
        <v>3.3404231720446353</v>
      </c>
      <c r="J95" s="18">
        <f t="shared" si="199"/>
        <v>3.2155985052523919</v>
      </c>
      <c r="K95" s="18">
        <f t="shared" si="199"/>
        <v>3.2868795117468586</v>
      </c>
      <c r="L95" s="18">
        <f t="shared" si="199"/>
        <v>3.8976023222325837</v>
      </c>
      <c r="M95" s="18">
        <f t="shared" si="199"/>
        <v>4.9894357744999507</v>
      </c>
      <c r="N95" s="18">
        <f t="shared" si="199"/>
        <v>5.8506968286744083</v>
      </c>
      <c r="P95" s="6">
        <f t="shared" si="191"/>
        <v>3.2060419415782513</v>
      </c>
      <c r="Q95" s="6">
        <f t="shared" si="191"/>
        <v>3.2459492263807008</v>
      </c>
      <c r="R95" s="6">
        <f t="shared" si="191"/>
        <v>3.1248011590728582</v>
      </c>
      <c r="S95" s="6">
        <f t="shared" si="191"/>
        <v>3.1940010809904344</v>
      </c>
      <c r="T95" s="6">
        <f t="shared" si="191"/>
        <v>3.7875475542807218</v>
      </c>
      <c r="U95" s="6">
        <f t="shared" si="191"/>
        <v>4.8485514176631614</v>
      </c>
      <c r="V95" s="6">
        <f t="shared" si="191"/>
        <v>5.6854934475691659</v>
      </c>
      <c r="X95" s="6">
        <f t="shared" si="192"/>
        <v>3.2060419415782513</v>
      </c>
      <c r="Y95" s="6">
        <f t="shared" si="193"/>
        <v>3.2459492263807008</v>
      </c>
      <c r="Z95" s="6">
        <f t="shared" si="194"/>
        <v>3.1248011590728582</v>
      </c>
      <c r="AA95" s="6">
        <f t="shared" si="195"/>
        <v>3.1940010809904344</v>
      </c>
      <c r="AB95" s="6">
        <f t="shared" ref="AB95:AD95" si="200">AB79/AB66</f>
        <v>3.5981701765666854</v>
      </c>
      <c r="AC95" s="6">
        <f t="shared" si="200"/>
        <v>4.3758176544410023</v>
      </c>
      <c r="AD95" s="6">
        <f t="shared" si="200"/>
        <v>4.8745999446096135</v>
      </c>
    </row>
    <row r="96" spans="1:46">
      <c r="A96" t="s">
        <v>16</v>
      </c>
      <c r="B96" s="3" t="str">
        <f>'[2]TS BYDem'!D23</f>
        <v>TFHCV4</v>
      </c>
      <c r="C96" s="3" t="str">
        <f t="shared" si="186"/>
        <v>Transport Freight - HCV4</v>
      </c>
      <c r="D96" t="s">
        <v>150</v>
      </c>
      <c r="F96" s="208">
        <f t="shared" si="187"/>
        <v>0.64156299948433904</v>
      </c>
      <c r="G96" s="282">
        <f>H96</f>
        <v>0.59840698910616308</v>
      </c>
      <c r="H96" s="208">
        <f t="shared" si="189"/>
        <v>0.59840698910616308</v>
      </c>
      <c r="I96" s="18">
        <f t="shared" si="199"/>
        <v>0.60585567461221745</v>
      </c>
      <c r="J96" s="18">
        <f t="shared" si="199"/>
        <v>0.58321610806251878</v>
      </c>
      <c r="K96" s="18">
        <f t="shared" si="199"/>
        <v>0.59614441087102454</v>
      </c>
      <c r="L96" s="18">
        <f t="shared" si="199"/>
        <v>0.70691177814486006</v>
      </c>
      <c r="M96" s="18">
        <f t="shared" si="199"/>
        <v>0.9049386324439036</v>
      </c>
      <c r="N96" s="18">
        <f t="shared" si="199"/>
        <v>1.0611463552740346</v>
      </c>
      <c r="P96" s="6">
        <f t="shared" si="191"/>
        <v>0.67607364911341206</v>
      </c>
      <c r="Q96" s="6">
        <f t="shared" si="191"/>
        <v>0.68448909225303578</v>
      </c>
      <c r="R96" s="6">
        <f t="shared" si="191"/>
        <v>0.65894201038687306</v>
      </c>
      <c r="S96" s="6">
        <f t="shared" si="191"/>
        <v>0.67353453430942301</v>
      </c>
      <c r="T96" s="6">
        <f t="shared" si="191"/>
        <v>0.79869856442133746</v>
      </c>
      <c r="U96" s="6">
        <f t="shared" si="191"/>
        <v>1.0224376067394418</v>
      </c>
      <c r="V96" s="6">
        <f t="shared" si="191"/>
        <v>1.1989276410452294</v>
      </c>
      <c r="X96" s="6">
        <f t="shared" si="192"/>
        <v>0.67607364911341206</v>
      </c>
      <c r="Y96" s="6">
        <f t="shared" si="193"/>
        <v>0.68448909225303578</v>
      </c>
      <c r="Z96" s="6">
        <f t="shared" si="194"/>
        <v>0.65894201038687306</v>
      </c>
      <c r="AA96" s="6">
        <f t="shared" si="195"/>
        <v>0.67353453430942301</v>
      </c>
      <c r="AB96" s="6">
        <f t="shared" ref="AB96:AD96" si="201">AB80/AB67</f>
        <v>0.75876363620027043</v>
      </c>
      <c r="AC96" s="6">
        <f t="shared" si="201"/>
        <v>0.92274994008234612</v>
      </c>
      <c r="AD96" s="6">
        <f t="shared" si="201"/>
        <v>1.0279305862411534</v>
      </c>
    </row>
    <row r="97" spans="1:78">
      <c r="A97" t="s">
        <v>16</v>
      </c>
      <c r="B97" s="3" t="str">
        <f>'[2]TS BYDem'!D24</f>
        <v>TFHCV5</v>
      </c>
      <c r="C97" s="3" t="str">
        <f t="shared" si="186"/>
        <v>Transport Freight - HCV5</v>
      </c>
      <c r="D97" t="s">
        <v>150</v>
      </c>
      <c r="F97" s="208">
        <f t="shared" si="187"/>
        <v>0.28132785630344898</v>
      </c>
      <c r="G97" s="208">
        <f t="shared" si="188"/>
        <v>0.28965797617838801</v>
      </c>
      <c r="H97" s="208">
        <f t="shared" si="189"/>
        <v>0.29798809605332705</v>
      </c>
      <c r="I97" s="18">
        <f t="shared" si="199"/>
        <v>0.30169731010405959</v>
      </c>
      <c r="J97" s="18">
        <f t="shared" si="199"/>
        <v>0.29042350907159797</v>
      </c>
      <c r="K97" s="18">
        <f t="shared" si="199"/>
        <v>0.29686140236034775</v>
      </c>
      <c r="L97" s="18">
        <f t="shared" si="199"/>
        <v>0.35202011119841253</v>
      </c>
      <c r="M97" s="18">
        <f t="shared" si="199"/>
        <v>0.45063133458693594</v>
      </c>
      <c r="N97" s="18">
        <f t="shared" si="199"/>
        <v>0.52841792926642828</v>
      </c>
      <c r="P97" s="6">
        <f t="shared" si="191"/>
        <v>0.29646090962415178</v>
      </c>
      <c r="Q97" s="6">
        <f t="shared" si="191"/>
        <v>0.30015111398477862</v>
      </c>
      <c r="R97" s="6">
        <f t="shared" si="191"/>
        <v>0.28894861979170178</v>
      </c>
      <c r="S97" s="6">
        <f t="shared" si="191"/>
        <v>0.29534749796342835</v>
      </c>
      <c r="T97" s="6">
        <f t="shared" si="191"/>
        <v>0.35023240919737925</v>
      </c>
      <c r="U97" s="6">
        <f t="shared" si="191"/>
        <v>0.44834284448951839</v>
      </c>
      <c r="V97" s="6">
        <f t="shared" si="191"/>
        <v>0.52573440704857688</v>
      </c>
      <c r="X97" s="6">
        <f t="shared" si="192"/>
        <v>0.29646090962415178</v>
      </c>
      <c r="Y97" s="6">
        <f t="shared" si="193"/>
        <v>0.30015111398477862</v>
      </c>
      <c r="Z97" s="6">
        <f t="shared" si="194"/>
        <v>0.28894861979170178</v>
      </c>
      <c r="AA97" s="6">
        <f t="shared" si="195"/>
        <v>0.29534749796342835</v>
      </c>
      <c r="AB97" s="6">
        <f t="shared" ref="AB97:AD97" si="202">AB81/AB68</f>
        <v>0.33272078873751026</v>
      </c>
      <c r="AC97" s="6">
        <f t="shared" si="202"/>
        <v>0.40462941715179035</v>
      </c>
      <c r="AD97" s="6">
        <f t="shared" si="202"/>
        <v>0.45075153724327344</v>
      </c>
    </row>
    <row r="98" spans="1:78">
      <c r="A98" t="s">
        <v>16</v>
      </c>
      <c r="B98" s="3" t="str">
        <f>'[2]TS BYDem'!D25</f>
        <v>TFHCV6</v>
      </c>
      <c r="C98" s="3" t="str">
        <f t="shared" si="186"/>
        <v>Transport Freight - HCV6</v>
      </c>
      <c r="D98" t="s">
        <v>150</v>
      </c>
      <c r="F98" s="208">
        <f t="shared" si="187"/>
        <v>5.15418175848178</v>
      </c>
      <c r="G98" s="208">
        <f t="shared" si="188"/>
        <v>5.9081847615594549</v>
      </c>
      <c r="H98" s="208">
        <f t="shared" si="189"/>
        <v>6.6621877646371299</v>
      </c>
      <c r="I98" s="18">
        <f>I55/H55*H98</f>
        <v>6.7451155083708541</v>
      </c>
      <c r="J98" s="18">
        <f t="shared" si="199"/>
        <v>6.4930645697790714</v>
      </c>
      <c r="K98" s="18">
        <f>K55/J55*J98</f>
        <v>6.6369980170086968</v>
      </c>
      <c r="L98" s="18">
        <f t="shared" si="199"/>
        <v>7.8701938392618604</v>
      </c>
      <c r="M98" s="18">
        <f t="shared" si="199"/>
        <v>10.074867430643682</v>
      </c>
      <c r="N98" s="18">
        <f t="shared" si="199"/>
        <v>11.81396005276561</v>
      </c>
      <c r="P98" s="6">
        <f t="shared" si="191"/>
        <v>5.4314330353392233</v>
      </c>
      <c r="Q98" s="6">
        <f t="shared" si="191"/>
        <v>5.4990409297387632</v>
      </c>
      <c r="R98" s="6">
        <f t="shared" si="191"/>
        <v>5.2938010648418619</v>
      </c>
      <c r="S98" s="6">
        <f t="shared" si="191"/>
        <v>5.4110343227951239</v>
      </c>
      <c r="T98" s="6">
        <f t="shared" si="191"/>
        <v>6.4165757292344168</v>
      </c>
      <c r="U98" s="6">
        <f t="shared" si="191"/>
        <v>8.2140479829383288</v>
      </c>
      <c r="V98" s="6">
        <f t="shared" si="191"/>
        <v>9.6319316765176985</v>
      </c>
      <c r="X98" s="6">
        <f t="shared" si="192"/>
        <v>5.4314330353392233</v>
      </c>
      <c r="Y98" s="6">
        <f t="shared" si="193"/>
        <v>5.4990409297387632</v>
      </c>
      <c r="Z98" s="6">
        <f t="shared" si="194"/>
        <v>5.2938010648418619</v>
      </c>
      <c r="AA98" s="6">
        <f t="shared" si="195"/>
        <v>5.4110343227951239</v>
      </c>
      <c r="AB98" s="6">
        <f t="shared" ref="AB98:AD98" si="203">AB82/AB69</f>
        <v>6.0957469427726965</v>
      </c>
      <c r="AC98" s="6">
        <f t="shared" si="203"/>
        <v>7.4131783046018418</v>
      </c>
      <c r="AD98" s="6">
        <f t="shared" si="203"/>
        <v>8.2581774211543628</v>
      </c>
    </row>
    <row r="99" spans="1:78">
      <c r="A99" t="s">
        <v>16</v>
      </c>
      <c r="B99" s="3" t="str">
        <f>'[2]TS BYDem'!D26</f>
        <v>TFHCV7</v>
      </c>
      <c r="C99" s="3" t="str">
        <f t="shared" si="186"/>
        <v>Transport Freight - HCV7</v>
      </c>
      <c r="D99" t="s">
        <v>150</v>
      </c>
      <c r="F99" s="208">
        <f t="shared" si="187"/>
        <v>1.9761616214119699</v>
      </c>
      <c r="G99" s="208">
        <f t="shared" si="188"/>
        <v>2.1011591260379752</v>
      </c>
      <c r="H99" s="208">
        <f t="shared" si="189"/>
        <v>2.2261566306639802</v>
      </c>
      <c r="I99" s="18">
        <f t="shared" si="199"/>
        <v>2.2538667693002314</v>
      </c>
      <c r="J99" s="18">
        <f t="shared" si="199"/>
        <v>2.1696444555447534</v>
      </c>
      <c r="K99" s="18">
        <f t="shared" si="199"/>
        <v>2.2177395272005445</v>
      </c>
      <c r="L99" s="18">
        <f t="shared" si="199"/>
        <v>2.6298094288007321</v>
      </c>
      <c r="M99" s="18">
        <f t="shared" si="199"/>
        <v>3.3664966713842848</v>
      </c>
      <c r="N99" s="18">
        <f t="shared" si="199"/>
        <v>3.9476109702975353</v>
      </c>
      <c r="P99" s="6">
        <f t="shared" si="191"/>
        <v>2.0824623609835862</v>
      </c>
      <c r="Q99" s="6">
        <f t="shared" si="191"/>
        <v>2.1083838617139365</v>
      </c>
      <c r="R99" s="6">
        <f t="shared" si="191"/>
        <v>2.0296929728011435</v>
      </c>
      <c r="S99" s="6">
        <f t="shared" si="191"/>
        <v>2.0746413032978479</v>
      </c>
      <c r="T99" s="6">
        <f t="shared" si="191"/>
        <v>2.4601753083561548</v>
      </c>
      <c r="U99" s="6">
        <f t="shared" si="191"/>
        <v>3.1493430268746536</v>
      </c>
      <c r="V99" s="6">
        <f t="shared" si="191"/>
        <v>3.6929729317119149</v>
      </c>
      <c r="X99" s="6">
        <f t="shared" si="192"/>
        <v>2.0824623609835862</v>
      </c>
      <c r="Y99" s="6">
        <f t="shared" si="193"/>
        <v>2.1083838617139365</v>
      </c>
      <c r="Z99" s="6">
        <f t="shared" si="194"/>
        <v>2.0296929728011435</v>
      </c>
      <c r="AA99" s="6">
        <f t="shared" si="195"/>
        <v>2.0746413032978479</v>
      </c>
      <c r="AB99" s="6">
        <f t="shared" ref="AB99:AD99" si="204">AB83/AB70</f>
        <v>2.3371665429383466</v>
      </c>
      <c r="AC99" s="6">
        <f t="shared" si="204"/>
        <v>2.8422820817543744</v>
      </c>
      <c r="AD99" s="6">
        <f t="shared" si="204"/>
        <v>3.1662626673265026</v>
      </c>
    </row>
    <row r="100" spans="1:78">
      <c r="A100" t="s">
        <v>16</v>
      </c>
      <c r="B100" s="3" t="str">
        <f>'[2]TS BYDem'!D27</f>
        <v>TFHCV8</v>
      </c>
      <c r="C100" s="3" t="str">
        <f>C21</f>
        <v>Transport Freight - HCV8</v>
      </c>
      <c r="D100" t="s">
        <v>150</v>
      </c>
      <c r="F100" s="208">
        <f t="shared" si="187"/>
        <v>7.0701624395945503E-2</v>
      </c>
      <c r="G100" s="208">
        <f t="shared" si="188"/>
        <v>9.6457651622891244E-2</v>
      </c>
      <c r="H100" s="208">
        <f>SUMIF($I$223:$I$247,$B100,$AB$223:$AB$247)/1000000000</f>
        <v>0.122213678849837</v>
      </c>
      <c r="I100" s="18">
        <f t="shared" si="199"/>
        <v>0.12373493658054988</v>
      </c>
      <c r="J100" s="18">
        <f t="shared" si="199"/>
        <v>0.11911121933463797</v>
      </c>
      <c r="K100" s="18">
        <f t="shared" si="199"/>
        <v>0.1217515886422763</v>
      </c>
      <c r="L100" s="18">
        <f t="shared" si="199"/>
        <v>0.1443737967673302</v>
      </c>
      <c r="M100" s="18">
        <f t="shared" si="199"/>
        <v>0.18481715858550771</v>
      </c>
      <c r="N100" s="18">
        <f t="shared" si="199"/>
        <v>0.21671972793942126</v>
      </c>
      <c r="P100" s="6">
        <f t="shared" si="191"/>
        <v>7.450477231703187E-2</v>
      </c>
      <c r="Q100" s="6">
        <f t="shared" si="191"/>
        <v>7.5432172276913179E-2</v>
      </c>
      <c r="R100" s="6">
        <f t="shared" si="191"/>
        <v>7.2616828829791591E-2</v>
      </c>
      <c r="S100" s="6">
        <f t="shared" si="191"/>
        <v>7.4224956396671579E-2</v>
      </c>
      <c r="T100" s="6">
        <f t="shared" si="191"/>
        <v>8.8018302103902324E-2</v>
      </c>
      <c r="U100" s="6">
        <f t="shared" si="191"/>
        <v>0.11267482647547236</v>
      </c>
      <c r="V100" s="6">
        <f t="shared" si="191"/>
        <v>0.13212440839516645</v>
      </c>
      <c r="X100" s="6">
        <f t="shared" si="192"/>
        <v>7.450477231703187E-2</v>
      </c>
      <c r="Y100" s="6">
        <f t="shared" si="193"/>
        <v>7.5432172276913179E-2</v>
      </c>
      <c r="Z100" s="6">
        <f t="shared" si="194"/>
        <v>7.2616828829791591E-2</v>
      </c>
      <c r="AA100" s="6">
        <f t="shared" si="195"/>
        <v>7.4224956396671579E-2</v>
      </c>
      <c r="AB100" s="6">
        <f t="shared" ref="AB100:AD100" si="205">AB84/AB71</f>
        <v>8.3617386998707202E-2</v>
      </c>
      <c r="AC100" s="6">
        <f t="shared" si="205"/>
        <v>0.10168903089411378</v>
      </c>
      <c r="AD100" s="6">
        <f t="shared" si="205"/>
        <v>0.11328016464780584</v>
      </c>
    </row>
    <row r="101" spans="1:78">
      <c r="A101" t="s">
        <v>16</v>
      </c>
      <c r="B101" s="3" t="str">
        <f>'[2]TS BYDem'!D28</f>
        <v>TFHCV9</v>
      </c>
      <c r="C101" s="3" t="str">
        <f>C22</f>
        <v>Transport Freight - HCV9</v>
      </c>
      <c r="D101" t="s">
        <v>150</v>
      </c>
      <c r="F101" s="208">
        <f t="shared" si="187"/>
        <v>5.2818957554105102E-2</v>
      </c>
      <c r="G101" s="282">
        <f>H101</f>
        <v>2.9412068148240201E-2</v>
      </c>
      <c r="H101" s="208">
        <f t="shared" si="189"/>
        <v>2.9412068148240201E-2</v>
      </c>
      <c r="I101" s="18">
        <f t="shared" si="199"/>
        <v>2.9778175579649249E-2</v>
      </c>
      <c r="J101" s="18">
        <f t="shared" si="199"/>
        <v>2.8665427088524546E-2</v>
      </c>
      <c r="K101" s="18">
        <f t="shared" si="199"/>
        <v>2.9300861049302369E-2</v>
      </c>
      <c r="L101" s="18">
        <f t="shared" si="199"/>
        <v>3.4745144645865138E-2</v>
      </c>
      <c r="M101" s="18">
        <f t="shared" si="199"/>
        <v>4.4478285200464845E-2</v>
      </c>
      <c r="N101" s="18">
        <f t="shared" si="199"/>
        <v>5.2155989961272943E-2</v>
      </c>
      <c r="P101" s="6">
        <f>P85/P72</f>
        <v>5.5660169624295722E-2</v>
      </c>
      <c r="Q101" s="6">
        <f t="shared" ref="Q101:V101" si="206">Q85/Q72</f>
        <v>5.6353000935247317E-2</v>
      </c>
      <c r="R101" s="6">
        <f t="shared" si="206"/>
        <v>5.4249746486651207E-2</v>
      </c>
      <c r="S101" s="6">
        <f t="shared" si="206"/>
        <v>5.5451127960165006E-2</v>
      </c>
      <c r="T101" s="6">
        <f t="shared" si="206"/>
        <v>6.5755702256213272E-2</v>
      </c>
      <c r="U101" s="6">
        <f t="shared" si="206"/>
        <v>8.4175815306521046E-2</v>
      </c>
      <c r="V101" s="6">
        <f t="shared" si="206"/>
        <v>9.8705985590986631E-2</v>
      </c>
      <c r="X101" s="6">
        <f t="shared" si="192"/>
        <v>5.5660169624295722E-2</v>
      </c>
      <c r="Y101" s="6">
        <f t="shared" si="193"/>
        <v>5.6353000935247317E-2</v>
      </c>
      <c r="Z101" s="6">
        <f t="shared" si="194"/>
        <v>5.4249746486651207E-2</v>
      </c>
      <c r="AA101" s="6">
        <f t="shared" si="195"/>
        <v>5.5451127960165006E-2</v>
      </c>
      <c r="AB101" s="6">
        <f t="shared" ref="AB101:AD101" si="207">AB85/AB72</f>
        <v>6.24679171434026E-2</v>
      </c>
      <c r="AC101" s="6">
        <f t="shared" si="207"/>
        <v>7.5968673314135232E-2</v>
      </c>
      <c r="AD101" s="6">
        <f t="shared" si="207"/>
        <v>8.4628044396072133E-2</v>
      </c>
    </row>
    <row r="102" spans="1:78">
      <c r="A102" t="s">
        <v>16</v>
      </c>
      <c r="B102" s="3" t="str">
        <f>'[2]TS BYDem'!D29</f>
        <v>TFRCO</v>
      </c>
      <c r="C102" s="3" t="str">
        <f>C23</f>
        <v>Transport Freight - Rail Corridor</v>
      </c>
      <c r="D102" t="s">
        <v>149</v>
      </c>
      <c r="F102" s="208">
        <f>'[2]TS BYDem'!J29</f>
        <v>22</v>
      </c>
      <c r="G102" s="18">
        <f t="shared" ref="G102:H102" si="208">G59</f>
        <v>23.183413464382845</v>
      </c>
      <c r="H102" s="18">
        <f t="shared" si="208"/>
        <v>23.609739017898917</v>
      </c>
      <c r="I102" s="18">
        <f t="shared" ref="I102:N102" si="209">I59</f>
        <v>23.903621816773025</v>
      </c>
      <c r="J102" s="6">
        <f t="shared" si="209"/>
        <v>23.010393182336216</v>
      </c>
      <c r="K102" s="6">
        <f t="shared" si="209"/>
        <v>23.52047053906816</v>
      </c>
      <c r="L102" s="6">
        <f t="shared" si="209"/>
        <v>27.890721356060297</v>
      </c>
      <c r="M102" s="6">
        <f t="shared" si="209"/>
        <v>35.703735631711503</v>
      </c>
      <c r="N102" s="6">
        <f t="shared" si="209"/>
        <v>41.866804639492415</v>
      </c>
      <c r="P102" s="6"/>
    </row>
    <row r="103" spans="1:78">
      <c r="A103" t="s">
        <v>16</v>
      </c>
      <c r="B103" s="3" t="str">
        <f>'[2]TS BYDem'!D30</f>
        <v>TFROT</v>
      </c>
      <c r="C103" s="3" t="str">
        <f>C24</f>
        <v>Transport Freight - Rail Other</v>
      </c>
      <c r="D103" t="s">
        <v>149</v>
      </c>
      <c r="F103" s="208">
        <f>'[2]TS BYDem'!J30</f>
        <v>25.1</v>
      </c>
      <c r="G103" s="18">
        <f t="shared" ref="G103:H103" si="210">G47</f>
        <v>26.450167179818607</v>
      </c>
      <c r="H103" s="18">
        <f t="shared" si="210"/>
        <v>26.936565879511939</v>
      </c>
      <c r="I103" s="18">
        <f t="shared" ref="I103:N103" si="211">I47</f>
        <v>27.271859436409219</v>
      </c>
      <c r="J103" s="6">
        <f t="shared" si="211"/>
        <v>26.252766767119954</v>
      </c>
      <c r="K103" s="6">
        <f t="shared" si="211"/>
        <v>26.834718660482309</v>
      </c>
      <c r="L103" s="6">
        <f t="shared" si="211"/>
        <v>31.820777547141518</v>
      </c>
      <c r="M103" s="6">
        <f t="shared" si="211"/>
        <v>40.734716561634485</v>
      </c>
      <c r="N103" s="6">
        <f t="shared" si="211"/>
        <v>47.766218020511793</v>
      </c>
      <c r="P103" s="6"/>
    </row>
    <row r="104" spans="1:78">
      <c r="A104" t="s">
        <v>16</v>
      </c>
      <c r="B104" s="3" t="str">
        <f>'[2]TS BYDem'!D31</f>
        <v>TFREX</v>
      </c>
      <c r="C104" s="3" t="str">
        <f>C25</f>
        <v>Transport Freight - Rail Export (bulk mining)</v>
      </c>
      <c r="D104" t="s">
        <v>149</v>
      </c>
      <c r="F104" s="208">
        <f>'[2]TS BYDem'!J31</f>
        <v>82</v>
      </c>
      <c r="G104" s="18">
        <f>F104</f>
        <v>82</v>
      </c>
      <c r="H104" s="18">
        <f>G104</f>
        <v>82</v>
      </c>
      <c r="I104" s="18">
        <f>F104*(1+(F25+I25)/2*((I8/F8)^(1/(I$4-F$4))-1))^(I$4-F$4)</f>
        <v>86.036801673044508</v>
      </c>
      <c r="J104" s="6">
        <f>G104*(1+(G25+J25)/2*((J8/G8)^(1/(J$4-G$4))-1))^(J$4-G$4)</f>
        <v>79.266714881385326</v>
      </c>
      <c r="K104" s="6">
        <f>I104*(1+(I25+K25)/2*((K8/I8)^(1/(K$4-I$4))-1))^(K$4-I$4)</f>
        <v>84.862097424278346</v>
      </c>
      <c r="L104" s="6">
        <f>J104*(1+(J25+L25)/2*((L8/J8)^(1/(L$4-J$4))-1))^(L$4-J$4)</f>
        <v>91.22747843551079</v>
      </c>
      <c r="M104" s="6">
        <f>L104*(1+(L25+M25)/2*((M8/L8)^(1/(M$4-L$4))-1))^(M$4-L$4)</f>
        <v>101.82999626076513</v>
      </c>
      <c r="N104" s="6">
        <f>M104*(1+(M25+N25)/2*((N8/M8)^(1/(N$4-M$4))-1))^(N$4-M$4)</f>
        <v>102.98409220847734</v>
      </c>
      <c r="P104" s="6"/>
    </row>
    <row r="105" spans="1:78">
      <c r="B105" s="3"/>
      <c r="C105" s="3"/>
      <c r="F105" s="208"/>
      <c r="G105" s="6"/>
      <c r="H105" s="6"/>
      <c r="J105" s="6"/>
      <c r="L105" s="6"/>
      <c r="M105" s="6"/>
      <c r="N105" s="6"/>
      <c r="P105" s="6"/>
    </row>
    <row r="106" spans="1:78" ht="23.25">
      <c r="A106" s="102" t="s">
        <v>16</v>
      </c>
      <c r="B106" s="106" t="s">
        <v>18</v>
      </c>
      <c r="C106" s="106" t="s">
        <v>19</v>
      </c>
      <c r="D106" s="106" t="s">
        <v>20</v>
      </c>
      <c r="E106" s="106" t="s">
        <v>21</v>
      </c>
      <c r="F106" s="106" t="s">
        <v>22</v>
      </c>
      <c r="G106" s="106" t="s">
        <v>23</v>
      </c>
      <c r="H106" s="106" t="s">
        <v>24</v>
      </c>
      <c r="I106" s="106" t="s">
        <v>612</v>
      </c>
      <c r="J106" s="106" t="s">
        <v>642</v>
      </c>
      <c r="K106" s="106" t="s">
        <v>643</v>
      </c>
      <c r="L106" s="107" t="s">
        <v>25</v>
      </c>
      <c r="M106">
        <v>2012</v>
      </c>
      <c r="N106">
        <f t="shared" ref="N106:AY106" si="212">1+M106</f>
        <v>2013</v>
      </c>
      <c r="O106">
        <f t="shared" si="212"/>
        <v>2014</v>
      </c>
      <c r="P106">
        <f t="shared" si="212"/>
        <v>2015</v>
      </c>
      <c r="Q106">
        <f t="shared" si="212"/>
        <v>2016</v>
      </c>
      <c r="R106">
        <f t="shared" si="212"/>
        <v>2017</v>
      </c>
      <c r="S106">
        <f t="shared" si="212"/>
        <v>2018</v>
      </c>
      <c r="T106">
        <f t="shared" si="212"/>
        <v>2019</v>
      </c>
      <c r="U106">
        <f t="shared" si="212"/>
        <v>2020</v>
      </c>
      <c r="V106">
        <f t="shared" si="212"/>
        <v>2021</v>
      </c>
      <c r="W106">
        <f t="shared" si="212"/>
        <v>2022</v>
      </c>
      <c r="X106">
        <f t="shared" si="212"/>
        <v>2023</v>
      </c>
      <c r="Y106">
        <f t="shared" si="212"/>
        <v>2024</v>
      </c>
      <c r="Z106">
        <f t="shared" si="212"/>
        <v>2025</v>
      </c>
      <c r="AA106">
        <f t="shared" si="212"/>
        <v>2026</v>
      </c>
      <c r="AB106">
        <f t="shared" si="212"/>
        <v>2027</v>
      </c>
      <c r="AC106">
        <f t="shared" si="212"/>
        <v>2028</v>
      </c>
      <c r="AD106">
        <f t="shared" si="212"/>
        <v>2029</v>
      </c>
      <c r="AE106">
        <f t="shared" si="212"/>
        <v>2030</v>
      </c>
      <c r="AF106">
        <f t="shared" si="212"/>
        <v>2031</v>
      </c>
      <c r="AG106">
        <f t="shared" si="212"/>
        <v>2032</v>
      </c>
      <c r="AH106">
        <f t="shared" si="212"/>
        <v>2033</v>
      </c>
      <c r="AI106">
        <f t="shared" si="212"/>
        <v>2034</v>
      </c>
      <c r="AJ106">
        <f t="shared" si="212"/>
        <v>2035</v>
      </c>
      <c r="AK106">
        <f t="shared" si="212"/>
        <v>2036</v>
      </c>
      <c r="AL106">
        <f t="shared" si="212"/>
        <v>2037</v>
      </c>
      <c r="AM106">
        <f t="shared" si="212"/>
        <v>2038</v>
      </c>
      <c r="AN106">
        <f t="shared" si="212"/>
        <v>2039</v>
      </c>
      <c r="AO106">
        <f t="shared" si="212"/>
        <v>2040</v>
      </c>
      <c r="AP106">
        <f t="shared" si="212"/>
        <v>2041</v>
      </c>
      <c r="AQ106">
        <f t="shared" si="212"/>
        <v>2042</v>
      </c>
      <c r="AR106">
        <f t="shared" si="212"/>
        <v>2043</v>
      </c>
      <c r="AS106">
        <f t="shared" si="212"/>
        <v>2044</v>
      </c>
      <c r="AT106">
        <f t="shared" si="212"/>
        <v>2045</v>
      </c>
      <c r="AU106">
        <f t="shared" si="212"/>
        <v>2046</v>
      </c>
      <c r="AV106">
        <f t="shared" si="212"/>
        <v>2047</v>
      </c>
      <c r="AW106">
        <f t="shared" si="212"/>
        <v>2048</v>
      </c>
      <c r="AX106">
        <f t="shared" si="212"/>
        <v>2049</v>
      </c>
      <c r="AY106">
        <f t="shared" si="212"/>
        <v>2050</v>
      </c>
      <c r="AZ106">
        <v>2060</v>
      </c>
      <c r="BA106">
        <v>2070</v>
      </c>
    </row>
    <row r="107" spans="1:78" s="103" customFormat="1">
      <c r="A107" s="102" t="s">
        <v>16</v>
      </c>
      <c r="B107" s="103" t="s">
        <v>392</v>
      </c>
      <c r="C107" s="103">
        <v>1</v>
      </c>
      <c r="D107" s="103">
        <v>2012</v>
      </c>
      <c r="E107" s="103">
        <v>2015</v>
      </c>
      <c r="F107" s="103">
        <v>2017</v>
      </c>
      <c r="G107" s="103">
        <v>2019</v>
      </c>
      <c r="H107" s="103">
        <v>2020</v>
      </c>
      <c r="I107" s="103">
        <v>2021</v>
      </c>
      <c r="J107" s="103">
        <v>2030</v>
      </c>
      <c r="K107" s="103">
        <v>2040</v>
      </c>
      <c r="L107" s="108">
        <v>2050</v>
      </c>
      <c r="M107" s="103">
        <f t="shared" ref="M107:V108" si="213">MATCH(M$106,$D$107:$L$107,$C107)</f>
        <v>1</v>
      </c>
      <c r="N107" s="103">
        <f t="shared" si="213"/>
        <v>1</v>
      </c>
      <c r="O107" s="103">
        <f t="shared" si="213"/>
        <v>1</v>
      </c>
      <c r="P107" s="103">
        <f t="shared" si="213"/>
        <v>2</v>
      </c>
      <c r="Q107" s="103">
        <f t="shared" si="213"/>
        <v>2</v>
      </c>
      <c r="R107" s="103">
        <f t="shared" si="213"/>
        <v>3</v>
      </c>
      <c r="S107" s="103">
        <f t="shared" si="213"/>
        <v>3</v>
      </c>
      <c r="T107" s="103">
        <f t="shared" si="213"/>
        <v>4</v>
      </c>
      <c r="U107" s="103">
        <f t="shared" si="213"/>
        <v>5</v>
      </c>
      <c r="V107" s="103">
        <f t="shared" si="213"/>
        <v>6</v>
      </c>
      <c r="W107" s="103">
        <f t="shared" ref="W107:AF108" si="214">MATCH(W$106,$D$107:$L$107,$C107)</f>
        <v>6</v>
      </c>
      <c r="X107" s="103">
        <f t="shared" si="214"/>
        <v>6</v>
      </c>
      <c r="Y107" s="103">
        <f t="shared" si="214"/>
        <v>6</v>
      </c>
      <c r="Z107" s="103">
        <f t="shared" si="214"/>
        <v>6</v>
      </c>
      <c r="AA107" s="103">
        <f t="shared" si="214"/>
        <v>6</v>
      </c>
      <c r="AB107" s="103">
        <f t="shared" si="214"/>
        <v>6</v>
      </c>
      <c r="AC107" s="103">
        <f t="shared" si="214"/>
        <v>6</v>
      </c>
      <c r="AD107" s="103">
        <f t="shared" si="214"/>
        <v>6</v>
      </c>
      <c r="AE107" s="103">
        <f t="shared" si="214"/>
        <v>7</v>
      </c>
      <c r="AF107" s="103">
        <f t="shared" si="214"/>
        <v>7</v>
      </c>
      <c r="AG107" s="103">
        <f t="shared" ref="AG107:AP108" si="215">MATCH(AG$106,$D$107:$L$107,$C107)</f>
        <v>7</v>
      </c>
      <c r="AH107" s="103">
        <f t="shared" si="215"/>
        <v>7</v>
      </c>
      <c r="AI107" s="103">
        <f t="shared" si="215"/>
        <v>7</v>
      </c>
      <c r="AJ107" s="103">
        <f t="shared" si="215"/>
        <v>7</v>
      </c>
      <c r="AK107" s="103">
        <f t="shared" si="215"/>
        <v>7</v>
      </c>
      <c r="AL107" s="103">
        <f t="shared" si="215"/>
        <v>7</v>
      </c>
      <c r="AM107" s="103">
        <f t="shared" si="215"/>
        <v>7</v>
      </c>
      <c r="AN107" s="103">
        <f t="shared" si="215"/>
        <v>7</v>
      </c>
      <c r="AO107" s="103">
        <f t="shared" si="215"/>
        <v>8</v>
      </c>
      <c r="AP107" s="103">
        <f t="shared" si="215"/>
        <v>8</v>
      </c>
      <c r="AQ107" s="103">
        <f t="shared" ref="AQ107:BA108" si="216">MATCH(AQ$106,$D$107:$L$107,$C107)</f>
        <v>8</v>
      </c>
      <c r="AR107" s="103">
        <f t="shared" si="216"/>
        <v>8</v>
      </c>
      <c r="AS107" s="103">
        <f t="shared" si="216"/>
        <v>8</v>
      </c>
      <c r="AT107" s="103">
        <f t="shared" si="216"/>
        <v>8</v>
      </c>
      <c r="AU107" s="103">
        <f t="shared" si="216"/>
        <v>8</v>
      </c>
      <c r="AV107" s="103">
        <f t="shared" si="216"/>
        <v>8</v>
      </c>
      <c r="AW107" s="103">
        <f t="shared" si="216"/>
        <v>8</v>
      </c>
      <c r="AX107" s="103">
        <f t="shared" si="216"/>
        <v>8</v>
      </c>
      <c r="AY107" s="103">
        <f t="shared" si="216"/>
        <v>9</v>
      </c>
      <c r="AZ107" s="103">
        <f t="shared" si="216"/>
        <v>9</v>
      </c>
      <c r="BA107" s="103">
        <f t="shared" si="216"/>
        <v>9</v>
      </c>
      <c r="BB107"/>
      <c r="BC107"/>
      <c r="BD107"/>
      <c r="BE107"/>
      <c r="BF107"/>
      <c r="BG107"/>
      <c r="BH107"/>
      <c r="BI107"/>
      <c r="BJ107"/>
      <c r="BK107"/>
      <c r="BL107"/>
      <c r="BM107"/>
      <c r="BN107"/>
      <c r="BO107"/>
      <c r="BP107"/>
      <c r="BQ107"/>
      <c r="BR107"/>
      <c r="BS107"/>
      <c r="BT107"/>
      <c r="BU107"/>
      <c r="BV107"/>
      <c r="BW107"/>
      <c r="BX107"/>
      <c r="BY107"/>
      <c r="BZ107"/>
    </row>
    <row r="108" spans="1:78">
      <c r="A108" s="34" t="s">
        <v>16</v>
      </c>
      <c r="B108" t="s">
        <v>393</v>
      </c>
      <c r="C108">
        <v>0</v>
      </c>
      <c r="D108" cm="1">
        <f t="array" ref="D108">INDEX($D107:$L107,0,COUNT($D107:$L107)-D109)</f>
        <v>2050</v>
      </c>
      <c r="E108" cm="1">
        <f t="array" ref="E108">INDEX($D107:$L107,0,COUNT($D107:$L107)-E109)</f>
        <v>2040</v>
      </c>
      <c r="F108" cm="1">
        <f t="array" ref="F108">INDEX($D107:$L107,0,COUNT($D107:$L107)-F109)</f>
        <v>2030</v>
      </c>
      <c r="G108" cm="1">
        <f t="array" ref="G108">INDEX($D107:$L107,0,COUNT($D107:$L107)-G109)</f>
        <v>2021</v>
      </c>
      <c r="H108" cm="1">
        <f t="array" ref="H108">INDEX($D107:$L107,0,COUNT($D107:$L107)-H109)</f>
        <v>2020</v>
      </c>
      <c r="I108" cm="1">
        <f t="array" ref="I108">INDEX($D107:$L107,0,COUNT($D107:$L107)-I109)</f>
        <v>2019</v>
      </c>
      <c r="J108" cm="1">
        <f t="array" ref="J108">INDEX($D107:$L107,0,COUNT($D107:$L107)-J109)</f>
        <v>2017</v>
      </c>
      <c r="K108" cm="1">
        <f t="array" ref="K108">INDEX($D107:$L107,0,COUNT($D107:$L107)-K109)</f>
        <v>2015</v>
      </c>
      <c r="L108" cm="1">
        <f t="array" ref="L108">INDEX($D107:$L107,0,COUNT($D107:$L107)-L109)</f>
        <v>2012</v>
      </c>
      <c r="M108" s="34">
        <f t="shared" si="213"/>
        <v>1</v>
      </c>
      <c r="N108" s="34" t="e">
        <f t="shared" si="213"/>
        <v>#N/A</v>
      </c>
      <c r="O108" s="34" t="e">
        <f t="shared" si="213"/>
        <v>#N/A</v>
      </c>
      <c r="P108" s="34">
        <f t="shared" si="213"/>
        <v>2</v>
      </c>
      <c r="Q108" s="34" t="e">
        <f t="shared" si="213"/>
        <v>#N/A</v>
      </c>
      <c r="R108" s="34">
        <f t="shared" si="213"/>
        <v>3</v>
      </c>
      <c r="S108" s="34" t="e">
        <f t="shared" si="213"/>
        <v>#N/A</v>
      </c>
      <c r="T108" s="34">
        <f t="shared" si="213"/>
        <v>4</v>
      </c>
      <c r="U108" s="34">
        <f t="shared" si="213"/>
        <v>5</v>
      </c>
      <c r="V108" s="34">
        <f t="shared" si="213"/>
        <v>6</v>
      </c>
      <c r="W108" s="34" t="e">
        <f t="shared" si="214"/>
        <v>#N/A</v>
      </c>
      <c r="X108" s="34" t="e">
        <f t="shared" si="214"/>
        <v>#N/A</v>
      </c>
      <c r="Y108" s="34" t="e">
        <f t="shared" si="214"/>
        <v>#N/A</v>
      </c>
      <c r="Z108" s="34" t="e">
        <f t="shared" si="214"/>
        <v>#N/A</v>
      </c>
      <c r="AA108" s="34" t="e">
        <f t="shared" si="214"/>
        <v>#N/A</v>
      </c>
      <c r="AB108" s="34" t="e">
        <f t="shared" si="214"/>
        <v>#N/A</v>
      </c>
      <c r="AC108" s="34" t="e">
        <f t="shared" si="214"/>
        <v>#N/A</v>
      </c>
      <c r="AD108" s="34" t="e">
        <f t="shared" si="214"/>
        <v>#N/A</v>
      </c>
      <c r="AE108" s="34">
        <f t="shared" si="214"/>
        <v>7</v>
      </c>
      <c r="AF108" s="34" t="e">
        <f t="shared" si="214"/>
        <v>#N/A</v>
      </c>
      <c r="AG108" s="34" t="e">
        <f t="shared" si="215"/>
        <v>#N/A</v>
      </c>
      <c r="AH108" s="34" t="e">
        <f t="shared" si="215"/>
        <v>#N/A</v>
      </c>
      <c r="AI108" s="34" t="e">
        <f t="shared" si="215"/>
        <v>#N/A</v>
      </c>
      <c r="AJ108" s="34" t="e">
        <f t="shared" si="215"/>
        <v>#N/A</v>
      </c>
      <c r="AK108" s="34" t="e">
        <f t="shared" si="215"/>
        <v>#N/A</v>
      </c>
      <c r="AL108" s="34" t="e">
        <f t="shared" si="215"/>
        <v>#N/A</v>
      </c>
      <c r="AM108" s="34" t="e">
        <f t="shared" si="215"/>
        <v>#N/A</v>
      </c>
      <c r="AN108" s="34" t="e">
        <f t="shared" si="215"/>
        <v>#N/A</v>
      </c>
      <c r="AO108" s="34">
        <f t="shared" si="215"/>
        <v>8</v>
      </c>
      <c r="AP108" s="34" t="e">
        <f t="shared" si="215"/>
        <v>#N/A</v>
      </c>
      <c r="AQ108" s="34" t="e">
        <f t="shared" si="216"/>
        <v>#N/A</v>
      </c>
      <c r="AR108" s="34" t="e">
        <f t="shared" si="216"/>
        <v>#N/A</v>
      </c>
      <c r="AS108" s="34" t="e">
        <f t="shared" si="216"/>
        <v>#N/A</v>
      </c>
      <c r="AT108" s="34" t="e">
        <f t="shared" si="216"/>
        <v>#N/A</v>
      </c>
      <c r="AU108" s="34" t="e">
        <f t="shared" si="216"/>
        <v>#N/A</v>
      </c>
      <c r="AV108" s="34" t="e">
        <f t="shared" si="216"/>
        <v>#N/A</v>
      </c>
      <c r="AW108" s="34" t="e">
        <f t="shared" si="216"/>
        <v>#N/A</v>
      </c>
      <c r="AX108" s="34" t="e">
        <f t="shared" si="216"/>
        <v>#N/A</v>
      </c>
      <c r="AY108" s="34">
        <f t="shared" si="216"/>
        <v>9</v>
      </c>
      <c r="AZ108" s="34" t="e">
        <f t="shared" si="216"/>
        <v>#N/A</v>
      </c>
      <c r="BA108" s="34" t="e">
        <f t="shared" si="216"/>
        <v>#N/A</v>
      </c>
    </row>
    <row r="109" spans="1:78">
      <c r="A109" s="34" t="s">
        <v>16</v>
      </c>
      <c r="B109" t="s">
        <v>391</v>
      </c>
      <c r="C109">
        <v>-1</v>
      </c>
      <c r="D109">
        <v>0</v>
      </c>
      <c r="E109">
        <v>1</v>
      </c>
      <c r="F109">
        <v>2</v>
      </c>
      <c r="G109">
        <v>3</v>
      </c>
      <c r="H109">
        <v>4</v>
      </c>
      <c r="I109">
        <v>5</v>
      </c>
      <c r="J109">
        <v>6</v>
      </c>
      <c r="K109">
        <v>7</v>
      </c>
      <c r="L109">
        <v>8</v>
      </c>
      <c r="M109" s="34">
        <f t="shared" ref="M109:BA109" si="217">MATCH(M$106,$D$108:$L$108,$C109)</f>
        <v>9</v>
      </c>
      <c r="N109" s="34">
        <f t="shared" si="217"/>
        <v>8</v>
      </c>
      <c r="O109" s="34">
        <f t="shared" si="217"/>
        <v>8</v>
      </c>
      <c r="P109" s="34">
        <f t="shared" si="217"/>
        <v>8</v>
      </c>
      <c r="Q109" s="34">
        <f t="shared" si="217"/>
        <v>7</v>
      </c>
      <c r="R109" s="34">
        <f t="shared" si="217"/>
        <v>7</v>
      </c>
      <c r="S109" s="34">
        <f t="shared" si="217"/>
        <v>6</v>
      </c>
      <c r="T109" s="34">
        <f t="shared" si="217"/>
        <v>6</v>
      </c>
      <c r="U109" s="34">
        <f t="shared" si="217"/>
        <v>5</v>
      </c>
      <c r="V109" s="34">
        <f t="shared" si="217"/>
        <v>4</v>
      </c>
      <c r="W109" s="34">
        <f t="shared" si="217"/>
        <v>3</v>
      </c>
      <c r="X109" s="34">
        <f t="shared" si="217"/>
        <v>3</v>
      </c>
      <c r="Y109" s="34">
        <f t="shared" si="217"/>
        <v>3</v>
      </c>
      <c r="Z109" s="34">
        <f t="shared" si="217"/>
        <v>3</v>
      </c>
      <c r="AA109" s="34">
        <f t="shared" si="217"/>
        <v>3</v>
      </c>
      <c r="AB109" s="34">
        <f t="shared" si="217"/>
        <v>3</v>
      </c>
      <c r="AC109" s="34">
        <f t="shared" si="217"/>
        <v>3</v>
      </c>
      <c r="AD109" s="34">
        <f t="shared" si="217"/>
        <v>3</v>
      </c>
      <c r="AE109" s="34">
        <f t="shared" si="217"/>
        <v>3</v>
      </c>
      <c r="AF109" s="34">
        <f t="shared" si="217"/>
        <v>2</v>
      </c>
      <c r="AG109" s="34">
        <f t="shared" si="217"/>
        <v>2</v>
      </c>
      <c r="AH109" s="34">
        <f t="shared" si="217"/>
        <v>2</v>
      </c>
      <c r="AI109" s="34">
        <f t="shared" si="217"/>
        <v>2</v>
      </c>
      <c r="AJ109" s="34">
        <f t="shared" si="217"/>
        <v>2</v>
      </c>
      <c r="AK109" s="34">
        <f t="shared" si="217"/>
        <v>2</v>
      </c>
      <c r="AL109" s="34">
        <f t="shared" si="217"/>
        <v>2</v>
      </c>
      <c r="AM109" s="34">
        <f t="shared" si="217"/>
        <v>2</v>
      </c>
      <c r="AN109" s="34">
        <f t="shared" si="217"/>
        <v>2</v>
      </c>
      <c r="AO109" s="34">
        <f t="shared" si="217"/>
        <v>2</v>
      </c>
      <c r="AP109" s="34">
        <f t="shared" si="217"/>
        <v>1</v>
      </c>
      <c r="AQ109" s="34">
        <f t="shared" si="217"/>
        <v>1</v>
      </c>
      <c r="AR109" s="34">
        <f t="shared" si="217"/>
        <v>1</v>
      </c>
      <c r="AS109" s="34">
        <f t="shared" si="217"/>
        <v>1</v>
      </c>
      <c r="AT109" s="34">
        <f t="shared" si="217"/>
        <v>1</v>
      </c>
      <c r="AU109" s="34">
        <f t="shared" si="217"/>
        <v>1</v>
      </c>
      <c r="AV109" s="34">
        <f t="shared" si="217"/>
        <v>1</v>
      </c>
      <c r="AW109" s="34">
        <f t="shared" si="217"/>
        <v>1</v>
      </c>
      <c r="AX109" s="34">
        <f t="shared" si="217"/>
        <v>1</v>
      </c>
      <c r="AY109" s="34">
        <f t="shared" si="217"/>
        <v>1</v>
      </c>
      <c r="AZ109" s="34" t="e">
        <f t="shared" si="217"/>
        <v>#N/A</v>
      </c>
      <c r="BA109" s="34" t="e">
        <f t="shared" si="217"/>
        <v>#N/A</v>
      </c>
    </row>
    <row r="110" spans="1:78" s="105" customFormat="1">
      <c r="A110" s="104" t="s">
        <v>16</v>
      </c>
      <c r="B110" s="105" t="s">
        <v>394</v>
      </c>
      <c r="L110" s="110"/>
      <c r="M110" s="71">
        <f t="shared" ref="M110:BA110" si="218">IF(ISNA(M107),-1,IF(ISNA(M109),99,IF(ISNA(M108),M107,0)))</f>
        <v>0</v>
      </c>
      <c r="N110" s="71">
        <f t="shared" si="218"/>
        <v>1</v>
      </c>
      <c r="O110" s="71">
        <f t="shared" si="218"/>
        <v>1</v>
      </c>
      <c r="P110" s="71">
        <f t="shared" si="218"/>
        <v>0</v>
      </c>
      <c r="Q110" s="71">
        <f t="shared" si="218"/>
        <v>2</v>
      </c>
      <c r="R110" s="71">
        <f t="shared" si="218"/>
        <v>0</v>
      </c>
      <c r="S110" s="71">
        <f t="shared" si="218"/>
        <v>3</v>
      </c>
      <c r="T110" s="71">
        <f t="shared" si="218"/>
        <v>0</v>
      </c>
      <c r="U110" s="71">
        <f t="shared" si="218"/>
        <v>0</v>
      </c>
      <c r="V110" s="71">
        <f t="shared" si="218"/>
        <v>0</v>
      </c>
      <c r="W110" s="71">
        <f t="shared" si="218"/>
        <v>6</v>
      </c>
      <c r="X110" s="71">
        <f t="shared" si="218"/>
        <v>6</v>
      </c>
      <c r="Y110" s="71">
        <f t="shared" si="218"/>
        <v>6</v>
      </c>
      <c r="Z110" s="71">
        <f t="shared" si="218"/>
        <v>6</v>
      </c>
      <c r="AA110" s="71">
        <f t="shared" si="218"/>
        <v>6</v>
      </c>
      <c r="AB110" s="71">
        <f t="shared" si="218"/>
        <v>6</v>
      </c>
      <c r="AC110" s="71">
        <f t="shared" si="218"/>
        <v>6</v>
      </c>
      <c r="AD110" s="71">
        <f t="shared" si="218"/>
        <v>6</v>
      </c>
      <c r="AE110" s="71">
        <f t="shared" si="218"/>
        <v>0</v>
      </c>
      <c r="AF110" s="71">
        <f t="shared" si="218"/>
        <v>7</v>
      </c>
      <c r="AG110" s="71">
        <f t="shared" si="218"/>
        <v>7</v>
      </c>
      <c r="AH110" s="71">
        <f t="shared" si="218"/>
        <v>7</v>
      </c>
      <c r="AI110" s="71">
        <f t="shared" si="218"/>
        <v>7</v>
      </c>
      <c r="AJ110" s="71">
        <f t="shared" si="218"/>
        <v>7</v>
      </c>
      <c r="AK110" s="71">
        <f t="shared" si="218"/>
        <v>7</v>
      </c>
      <c r="AL110" s="71">
        <f t="shared" si="218"/>
        <v>7</v>
      </c>
      <c r="AM110" s="71">
        <f t="shared" si="218"/>
        <v>7</v>
      </c>
      <c r="AN110" s="71">
        <f t="shared" si="218"/>
        <v>7</v>
      </c>
      <c r="AO110" s="71">
        <f t="shared" si="218"/>
        <v>0</v>
      </c>
      <c r="AP110" s="71">
        <f t="shared" si="218"/>
        <v>8</v>
      </c>
      <c r="AQ110" s="71">
        <f t="shared" si="218"/>
        <v>8</v>
      </c>
      <c r="AR110" s="71">
        <f t="shared" si="218"/>
        <v>8</v>
      </c>
      <c r="AS110" s="71">
        <f t="shared" si="218"/>
        <v>8</v>
      </c>
      <c r="AT110" s="71">
        <f t="shared" si="218"/>
        <v>8</v>
      </c>
      <c r="AU110" s="71">
        <f t="shared" si="218"/>
        <v>8</v>
      </c>
      <c r="AV110" s="71">
        <f t="shared" si="218"/>
        <v>8</v>
      </c>
      <c r="AW110" s="71">
        <f t="shared" si="218"/>
        <v>8</v>
      </c>
      <c r="AX110" s="71">
        <f t="shared" si="218"/>
        <v>8</v>
      </c>
      <c r="AY110" s="71">
        <f t="shared" si="218"/>
        <v>0</v>
      </c>
      <c r="AZ110" s="71">
        <f t="shared" si="218"/>
        <v>99</v>
      </c>
      <c r="BA110" s="71">
        <f t="shared" si="218"/>
        <v>99</v>
      </c>
      <c r="BB110"/>
      <c r="BC110"/>
      <c r="BD110"/>
      <c r="BE110"/>
      <c r="BF110"/>
      <c r="BG110"/>
      <c r="BH110"/>
      <c r="BI110"/>
      <c r="BJ110"/>
      <c r="BK110"/>
      <c r="BL110"/>
      <c r="BM110"/>
      <c r="BN110"/>
      <c r="BO110"/>
      <c r="BP110"/>
      <c r="BQ110"/>
      <c r="BR110"/>
      <c r="BS110"/>
      <c r="BT110"/>
      <c r="BU110"/>
      <c r="BV110"/>
      <c r="BW110"/>
      <c r="BX110"/>
      <c r="BY110"/>
      <c r="BZ110"/>
    </row>
    <row r="111" spans="1:78">
      <c r="A111" s="104" t="s">
        <v>16</v>
      </c>
      <c r="B111" s="16" t="str">
        <f t="shared" ref="B111:B123" si="219">IF(A111="*","","COM_PROJ")</f>
        <v/>
      </c>
      <c r="C111" s="17" t="str">
        <f t="shared" ref="C111:C123" si="220">IF($A111="*","","-")</f>
        <v/>
      </c>
      <c r="D111" s="48" t="str">
        <f>ITEMS_TRA!C15</f>
        <v>TFLCV</v>
      </c>
      <c r="E111" s="17" t="str">
        <f t="shared" ref="E111:K123" si="221">IF($A111="*","","-")</f>
        <v/>
      </c>
      <c r="H111" s="17" t="str">
        <f t="shared" si="221"/>
        <v/>
      </c>
      <c r="J111" s="17" t="str">
        <f t="shared" si="221"/>
        <v/>
      </c>
      <c r="K111" s="17" t="str">
        <f t="shared" si="221"/>
        <v/>
      </c>
      <c r="L111" s="111" t="str">
        <f t="shared" ref="L111:L123" si="222">IF(A111="*","",0)</f>
        <v/>
      </c>
      <c r="M111" s="3">
        <f>INDEX('[2]TS BYDem'!J$10:J$59,MATCH($D111,'[2]TS BYDem'!D$10:D$59,0))</f>
        <v>43.510890756102256</v>
      </c>
      <c r="N111" s="3" cm="1">
        <f t="array" ref="N111">IF(N$110=-1,O111,IF(N$110=99,M111,IF(N$110=0,INDEX($F92:$N92,0,N$108),(INDEX($F92:$N92,0,N$110+1)-INDEX($F92:$N92,0,N$110))/(INDEX($F$4:$N$4,0,N$110+1)-INDEX($F$4:$N$4,0,N$110))+M111)))</f>
        <v>44.189879061043555</v>
      </c>
      <c r="O111" s="3" cm="1">
        <f t="array" ref="O111">IF(O$110=-1,P111,IF(O$110=99,N111,IF(O$110=0,INDEX($F92:$N92,0,O$108),(INDEX($F92:$N92,0,O$110+1)-INDEX($F92:$N92,0,O$110))/(INDEX($F$4:$N$4,0,O$110+1)-INDEX($F$4:$N$4,0,O$110))+N111)))</f>
        <v>44.868867365984855</v>
      </c>
      <c r="P111" s="3" cm="1">
        <f t="array" ref="P111">IF(P$110=-1,Q111,IF(P$110=99,O111,IF(P$110=0,INDEX($F92:$N92,0,P$108),(INDEX($F92:$N92,0,P$110+1)-INDEX($F92:$N92,0,P$110))/(INDEX($F$4:$N$4,0,P$110+1)-INDEX($F$4:$N$4,0,P$110))+O111)))</f>
        <v>45.547855670926104</v>
      </c>
      <c r="Q111" s="3" cm="1">
        <f t="array" ref="Q111">IF(Q$110=-1,R111,IF(Q$110=99,P111,IF(Q$110=0,INDEX($F92:$N92,0,Q$108),(INDEX($F92:$N92,0,Q$110+1)-INDEX($F92:$N92,0,Q$110))/(INDEX($F$4:$N$4,0,Q$110+1)-INDEX($F$4:$N$4,0,Q$110))+P111)))</f>
        <v>46.566338128338053</v>
      </c>
      <c r="R111" s="3" cm="1">
        <f t="array" ref="R111">IF(R$110=-1,S111,IF(R$110=99,Q111,IF(R$110=0,INDEX($F92:$N92,0,R$108),(INDEX($F92:$N92,0,R$110+1)-INDEX($F92:$N92,0,R$110))/(INDEX($F$4:$N$4,0,R$110+1)-INDEX($F$4:$N$4,0,R$110))+Q111)))</f>
        <v>47.584820585750002</v>
      </c>
      <c r="S111" s="3" cm="1">
        <f t="array" ref="S111">IF(S$110=-1,T111,IF(S$110=99,R111,IF(S$110=0,INDEX($F92:$N92,0,S$108),(INDEX($F92:$N92,0,S$110+1)-INDEX($F92:$N92,0,S$110))/(INDEX($F$4:$N$4,0,S$110+1)-INDEX($F$4:$N$4,0,S$110))+R111)))</f>
        <v>47.880977189748478</v>
      </c>
      <c r="T111" s="3" cm="1">
        <f t="array" ref="T111">IF(T$110=-1,U111,IF(T$110=99,S111,IF(T$110=0,INDEX($F92:$N92,0,T$108),(INDEX($F92:$N92,0,T$110+1)-INDEX($F92:$N92,0,T$110))/(INDEX($F$4:$N$4,0,T$110+1)-INDEX($F$4:$N$4,0,T$110))+S111)))</f>
        <v>48.177133793746961</v>
      </c>
      <c r="U111" s="3" cm="1">
        <f t="array" ref="U111">IF(U$110=-1,V111,IF(U$110=99,T111,IF(U$110=0,INDEX($F92:$N92,0,U$108),(INDEX($F92:$N92,0,U$110+1)-INDEX($F92:$N92,0,U$110))/(INDEX($F$4:$N$4,0,U$110+1)-INDEX($F$4:$N$4,0,U$110))+T111)))</f>
        <v>45.207927176491495</v>
      </c>
      <c r="V111" s="3" cm="1">
        <f t="array" ref="V111">IF(V$110=-1,W111,IF(V$110=99,U111,IF(V$110=0,INDEX($F92:$N92,0,V$108),(INDEX($F92:$N92,0,V$110+1)-INDEX($F92:$N92,0,V$110))/(INDEX($F$4:$N$4,0,V$110+1)-INDEX($F$4:$N$4,0,V$110))+U111)))</f>
        <v>47.404902267046701</v>
      </c>
      <c r="W111" s="3" cm="1">
        <f t="array" ref="W111">IF(W$110=-1,X111,IF(W$110=99,V111,IF(W$110=0,INDEX($F92:$N92,0,W$108),(INDEX($F92:$N92,0,W$110+1)-INDEX($F92:$N92,0,W$110))/(INDEX($F$4:$N$4,0,W$110+1)-INDEX($F$4:$N$4,0,W$110))+V111)))</f>
        <v>48.226155605734554</v>
      </c>
      <c r="X111" s="3" cm="1">
        <f t="array" ref="X111">IF(X$110=-1,Y111,IF(X$110=99,W111,IF(X$110=0,INDEX($F92:$N92,0,X$108),(INDEX($F92:$N92,0,X$110+1)-INDEX($F92:$N92,0,X$110))/(INDEX($F$4:$N$4,0,X$110+1)-INDEX($F$4:$N$4,0,X$110))+W111)))</f>
        <v>49.047408944422408</v>
      </c>
      <c r="Y111" s="3" cm="1">
        <f t="array" ref="Y111">IF(Y$110=-1,Z111,IF(Y$110=99,X111,IF(Y$110=0,INDEX($F92:$N92,0,Y$108),(INDEX($F92:$N92,0,Y$110+1)-INDEX($F92:$N92,0,Y$110))/(INDEX($F$4:$N$4,0,Y$110+1)-INDEX($F$4:$N$4,0,Y$110))+X111)))</f>
        <v>49.868662283110261</v>
      </c>
      <c r="Z111" s="3" cm="1">
        <f t="array" ref="Z111">IF(Z$110=-1,AA111,IF(Z$110=99,Y111,IF(Z$110=0,INDEX($F92:$N92,0,Z$108),(INDEX($F92:$N92,0,Z$110+1)-INDEX($F92:$N92,0,Z$110))/(INDEX($F$4:$N$4,0,Z$110+1)-INDEX($F$4:$N$4,0,Z$110))+Y111)))</f>
        <v>50.689915621798114</v>
      </c>
      <c r="AA111" s="3" cm="1">
        <f t="array" ref="AA111">IF(AA$110=-1,AB111,IF(AA$110=99,Z111,IF(AA$110=0,INDEX($F92:$N92,0,AA$108),(INDEX($F92:$N92,0,AA$110+1)-INDEX($F92:$N92,0,AA$110))/(INDEX($F$4:$N$4,0,AA$110+1)-INDEX($F$4:$N$4,0,AA$110))+Z111)))</f>
        <v>51.511168960485968</v>
      </c>
      <c r="AB111" s="3" cm="1">
        <f t="array" ref="AB111">IF(AB$110=-1,AC111,IF(AB$110=99,AA111,IF(AB$110=0,INDEX($F92:$N92,0,AB$108),(INDEX($F92:$N92,0,AB$110+1)-INDEX($F92:$N92,0,AB$110))/(INDEX($F$4:$N$4,0,AB$110+1)-INDEX($F$4:$N$4,0,AB$110))+AA111)))</f>
        <v>52.332422299173821</v>
      </c>
      <c r="AC111" s="3" cm="1">
        <f t="array" ref="AC111">IF(AC$110=-1,AD111,IF(AC$110=99,AB111,IF(AC$110=0,INDEX($F92:$N92,0,AC$108),(INDEX($F92:$N92,0,AC$110+1)-INDEX($F92:$N92,0,AC$110))/(INDEX($F$4:$N$4,0,AC$110+1)-INDEX($F$4:$N$4,0,AC$110))+AB111)))</f>
        <v>53.153675637861674</v>
      </c>
      <c r="AD111" s="3" cm="1">
        <f t="array" ref="AD111">IF(AD$110=-1,AE111,IF(AD$110=99,AC111,IF(AD$110=0,INDEX($F92:$N92,0,AD$108),(INDEX($F92:$N92,0,AD$110+1)-INDEX($F92:$N92,0,AD$110))/(INDEX($F$4:$N$4,0,AD$110+1)-INDEX($F$4:$N$4,0,AD$110))+AC111)))</f>
        <v>53.974928976549528</v>
      </c>
      <c r="AE111" s="3" cm="1">
        <f t="array" ref="AE111">IF(AE$110=-1,AF111,IF(AE$110=99,AD111,IF(AE$110=0,INDEX($F92:$N92,0,AE$108),(INDEX($F92:$N92,0,AE$110+1)-INDEX($F92:$N92,0,AE$110))/(INDEX($F$4:$N$4,0,AE$110+1)-INDEX($F$4:$N$4,0,AE$110))+AD111)))</f>
        <v>54.796182315237353</v>
      </c>
      <c r="AF111" s="3" cm="1">
        <f t="array" ref="AF111">IF(AF$110=-1,AG111,IF(AF$110=99,AE111,IF(AF$110=0,INDEX($F92:$N92,0,AF$108),(INDEX($F92:$N92,0,AF$110+1)-INDEX($F92:$N92,0,AF$110))/(INDEX($F$4:$N$4,0,AF$110+1)-INDEX($F$4:$N$4,0,AF$110))+AE111)))</f>
        <v>56.331185118551758</v>
      </c>
      <c r="AG111" s="3" cm="1">
        <f t="array" ref="AG111">IF(AG$110=-1,AH111,IF(AG$110=99,AF111,IF(AG$110=0,INDEX($F92:$N92,0,AG$108),(INDEX($F92:$N92,0,AG$110+1)-INDEX($F92:$N92,0,AG$110))/(INDEX($F$4:$N$4,0,AG$110+1)-INDEX($F$4:$N$4,0,AG$110))+AF111)))</f>
        <v>57.866187921866164</v>
      </c>
      <c r="AH111" s="3" cm="1">
        <f t="array" ref="AH111">IF(AH$110=-1,AI111,IF(AH$110=99,AG111,IF(AH$110=0,INDEX($F92:$N92,0,AH$108),(INDEX($F92:$N92,0,AH$110+1)-INDEX($F92:$N92,0,AH$110))/(INDEX($F$4:$N$4,0,AH$110+1)-INDEX($F$4:$N$4,0,AH$110))+AG111)))</f>
        <v>59.40119072518057</v>
      </c>
      <c r="AI111" s="3" cm="1">
        <f t="array" ref="AI111">IF(AI$110=-1,AJ111,IF(AI$110=99,AH111,IF(AI$110=0,INDEX($F92:$N92,0,AI$108),(INDEX($F92:$N92,0,AI$110+1)-INDEX($F92:$N92,0,AI$110))/(INDEX($F$4:$N$4,0,AI$110+1)-INDEX($F$4:$N$4,0,AI$110))+AH111)))</f>
        <v>60.936193528494975</v>
      </c>
      <c r="AJ111" s="3" cm="1">
        <f t="array" ref="AJ111">IF(AJ$110=-1,AK111,IF(AJ$110=99,AI111,IF(AJ$110=0,INDEX($F92:$N92,0,AJ$108),(INDEX($F92:$N92,0,AJ$110+1)-INDEX($F92:$N92,0,AJ$110))/(INDEX($F$4:$N$4,0,AJ$110+1)-INDEX($F$4:$N$4,0,AJ$110))+AI111)))</f>
        <v>62.471196331809381</v>
      </c>
      <c r="AK111" s="3" cm="1">
        <f t="array" ref="AK111">IF(AK$110=-1,AL111,IF(AK$110=99,AJ111,IF(AK$110=0,INDEX($F92:$N92,0,AK$108),(INDEX($F92:$N92,0,AK$110+1)-INDEX($F92:$N92,0,AK$110))/(INDEX($F$4:$N$4,0,AK$110+1)-INDEX($F$4:$N$4,0,AK$110))+AJ111)))</f>
        <v>64.006199135123794</v>
      </c>
      <c r="AL111" s="3" cm="1">
        <f t="array" ref="AL111">IF(AL$110=-1,AM111,IF(AL$110=99,AK111,IF(AL$110=0,INDEX($F92:$N92,0,AL$108),(INDEX($F92:$N92,0,AL$110+1)-INDEX($F92:$N92,0,AL$110))/(INDEX($F$4:$N$4,0,AL$110+1)-INDEX($F$4:$N$4,0,AL$110))+AK111)))</f>
        <v>65.541201938438206</v>
      </c>
      <c r="AM111" s="3" cm="1">
        <f t="array" ref="AM111">IF(AM$110=-1,AN111,IF(AM$110=99,AL111,IF(AM$110=0,INDEX($F92:$N92,0,AM$108),(INDEX($F92:$N92,0,AM$110+1)-INDEX($F92:$N92,0,AM$110))/(INDEX($F$4:$N$4,0,AM$110+1)-INDEX($F$4:$N$4,0,AM$110))+AL111)))</f>
        <v>67.076204741752619</v>
      </c>
      <c r="AN111" s="3" cm="1">
        <f t="array" ref="AN111">IF(AN$110=-1,AO111,IF(AN$110=99,AM111,IF(AN$110=0,INDEX($F92:$N92,0,AN$108),(INDEX($F92:$N92,0,AN$110+1)-INDEX($F92:$N92,0,AN$110))/(INDEX($F$4:$N$4,0,AN$110+1)-INDEX($F$4:$N$4,0,AN$110))+AM111)))</f>
        <v>68.611207545067032</v>
      </c>
      <c r="AO111" s="3" cm="1">
        <f t="array" ref="AO111">IF(AO$110=-1,AP111,IF(AO$110=99,AN111,IF(AO$110=0,INDEX($F92:$N92,0,AO$108),(INDEX($F92:$N92,0,AO$110+1)-INDEX($F92:$N92,0,AO$110))/(INDEX($F$4:$N$4,0,AO$110+1)-INDEX($F$4:$N$4,0,AO$110))+AN111)))</f>
        <v>70.14621034838143</v>
      </c>
      <c r="AP111" s="3" cm="1">
        <f t="array" ref="AP111">IF(AP$110=-1,AQ111,IF(AP$110=99,AO111,IF(AP$110=0,INDEX($F92:$N92,0,AP$108),(INDEX($F92:$N92,0,AP$110+1)-INDEX($F92:$N92,0,AP$110))/(INDEX($F$4:$N$4,0,AP$110+1)-INDEX($F$4:$N$4,0,AP$110))+AO111)))</f>
        <v>71.357052652029381</v>
      </c>
      <c r="AQ111" s="3" cm="1">
        <f t="array" ref="AQ111">IF(AQ$110=-1,AR111,IF(AQ$110=99,AP111,IF(AQ$110=0,INDEX($F92:$N92,0,AQ$108),(INDEX($F92:$N92,0,AQ$110+1)-INDEX($F92:$N92,0,AQ$110))/(INDEX($F$4:$N$4,0,AQ$110+1)-INDEX($F$4:$N$4,0,AQ$110))+AP111)))</f>
        <v>72.567894955677332</v>
      </c>
      <c r="AR111" s="3" cm="1">
        <f t="array" ref="AR111">IF(AR$110=-1,AS111,IF(AR$110=99,AQ111,IF(AR$110=0,INDEX($F92:$N92,0,AR$108),(INDEX($F92:$N92,0,AR$110+1)-INDEX($F92:$N92,0,AR$110))/(INDEX($F$4:$N$4,0,AR$110+1)-INDEX($F$4:$N$4,0,AR$110))+AQ111)))</f>
        <v>73.778737259325283</v>
      </c>
      <c r="AS111" s="3" cm="1">
        <f t="array" ref="AS111">IF(AS$110=-1,AT111,IF(AS$110=99,AR111,IF(AS$110=0,INDEX($F92:$N92,0,AS$108),(INDEX($F92:$N92,0,AS$110+1)-INDEX($F92:$N92,0,AS$110))/(INDEX($F$4:$N$4,0,AS$110+1)-INDEX($F$4:$N$4,0,AS$110))+AR111)))</f>
        <v>74.989579562973233</v>
      </c>
      <c r="AT111" s="3" cm="1">
        <f t="array" ref="AT111">IF(AT$110=-1,AU111,IF(AT$110=99,AS111,IF(AT$110=0,INDEX($F92:$N92,0,AT$108),(INDEX($F92:$N92,0,AT$110+1)-INDEX($F92:$N92,0,AT$110))/(INDEX($F$4:$N$4,0,AT$110+1)-INDEX($F$4:$N$4,0,AT$110))+AS111)))</f>
        <v>76.200421866621184</v>
      </c>
      <c r="AU111" s="3" cm="1">
        <f t="array" ref="AU111">IF(AU$110=-1,AV111,IF(AU$110=99,AT111,IF(AU$110=0,INDEX($F92:$N92,0,AU$108),(INDEX($F92:$N92,0,AU$110+1)-INDEX($F92:$N92,0,AU$110))/(INDEX($F$4:$N$4,0,AU$110+1)-INDEX($F$4:$N$4,0,AU$110))+AT111)))</f>
        <v>77.411264170269135</v>
      </c>
      <c r="AV111" s="3" cm="1">
        <f t="array" ref="AV111">IF(AV$110=-1,AW111,IF(AV$110=99,AU111,IF(AV$110=0,INDEX($F92:$N92,0,AV$108),(INDEX($F92:$N92,0,AV$110+1)-INDEX($F92:$N92,0,AV$110))/(INDEX($F$4:$N$4,0,AV$110+1)-INDEX($F$4:$N$4,0,AV$110))+AU111)))</f>
        <v>78.622106473917086</v>
      </c>
      <c r="AW111" s="3" cm="1">
        <f t="array" ref="AW111">IF(AW$110=-1,AX111,IF(AW$110=99,AV111,IF(AW$110=0,INDEX($F92:$N92,0,AW$108),(INDEX($F92:$N92,0,AW$110+1)-INDEX($F92:$N92,0,AW$110))/(INDEX($F$4:$N$4,0,AW$110+1)-INDEX($F$4:$N$4,0,AW$110))+AV111)))</f>
        <v>79.832948777565036</v>
      </c>
      <c r="AX111" s="3" cm="1">
        <f t="array" ref="AX111">IF(AX$110=-1,AY111,IF(AX$110=99,AW111,IF(AX$110=0,INDEX($F92:$N92,0,AX$108),(INDEX($F92:$N92,0,AX$110+1)-INDEX($F92:$N92,0,AX$110))/(INDEX($F$4:$N$4,0,AX$110+1)-INDEX($F$4:$N$4,0,AX$110))+AW111)))</f>
        <v>81.043791081212987</v>
      </c>
      <c r="AY111" s="3" cm="1">
        <f t="array" ref="AY111">IF(AY$110=-1,AZ111,IF(AY$110=99,AX111,IF(AY$110=0,INDEX($F92:$N92,0,AY$108),(INDEX($F92:$N92,0,AY$110+1)-INDEX($F92:$N92,0,AY$110))/(INDEX($F$4:$N$4,0,AY$110+1)-INDEX($F$4:$N$4,0,AY$110))+AX111)))</f>
        <v>82.254633384860938</v>
      </c>
      <c r="AZ111" s="3" cm="1">
        <f t="array" ref="AZ111">IF(AZ$110=-1,BA111,IF(AZ$110=99,AY111,IF(AZ$110=0,INDEX($F92:$N92,0,AZ$108),(INDEX($F92:$N92,0,AZ$110+1)-INDEX($F92:$N92,0,AZ$110))/(INDEX($F$4:$N$4,0,AZ$110+1)-INDEX($F$4:$N$4,0,AZ$110))+AY111)))</f>
        <v>82.254633384860938</v>
      </c>
      <c r="BA111" s="3" cm="1">
        <f t="array" ref="BA111">IF(BA$110=-1,BB111,IF(BA$110=99,AZ111,IF(BA$110=0,INDEX($F92:$N92,0,BA$108),(INDEX($F92:$N92,0,BA$110+1)-INDEX($F92:$N92,0,BA$110))/(INDEX($F$4:$N$4,0,BA$110+1)-INDEX($F$4:$N$4,0,BA$110))+AZ111)))</f>
        <v>82.254633384860938</v>
      </c>
    </row>
    <row r="112" spans="1:78">
      <c r="A112" s="104" t="s">
        <v>16</v>
      </c>
      <c r="B112" s="16" t="str">
        <f t="shared" si="219"/>
        <v/>
      </c>
      <c r="C112" s="17" t="str">
        <f t="shared" si="220"/>
        <v/>
      </c>
      <c r="D112" s="48" t="str">
        <f>ITEMS_TRA!C16</f>
        <v>TFHCV1</v>
      </c>
      <c r="E112" s="17" t="str">
        <f t="shared" si="221"/>
        <v/>
      </c>
      <c r="H112" s="17" t="str">
        <f t="shared" si="221"/>
        <v/>
      </c>
      <c r="J112" s="17" t="str">
        <f t="shared" si="221"/>
        <v/>
      </c>
      <c r="K112" s="17" t="str">
        <f t="shared" si="221"/>
        <v/>
      </c>
      <c r="L112" s="111" t="str">
        <f t="shared" si="222"/>
        <v/>
      </c>
      <c r="M112" s="3">
        <f>INDEX('[2]TS BYDem'!J$10:J$59,MATCH($D112,'[2]TS BYDem'!D$10:D$59,0))</f>
        <v>3.6611476956493059</v>
      </c>
      <c r="N112" s="3" cm="1">
        <f t="array" ref="N112">IF(N$110=-1,O112,IF(N$110=99,M112,IF(N$110=0,INDEX($F93:$N93,0,N$108),(INDEX($F93:$N93,0,N$110+1)-INDEX($F93:$N93,0,N$110))/(INDEX($F$4:$N$4,0,N$110+1)-INDEX($F$4:$N$4,0,N$110))+M112)))</f>
        <v>3.6595361414986383</v>
      </c>
      <c r="O112" s="3" cm="1">
        <f t="array" ref="O112">IF(O$110=-1,P112,IF(O$110=99,N112,IF(O$110=0,INDEX($F93:$N93,0,O$108),(INDEX($F93:$N93,0,O$110+1)-INDEX($F93:$N93,0,O$110))/(INDEX($F$4:$N$4,0,O$110+1)-INDEX($F$4:$N$4,0,O$110))+N112)))</f>
        <v>3.6579245873479707</v>
      </c>
      <c r="P112" s="3" cm="1">
        <f t="array" ref="P112">IF(P$110=-1,Q112,IF(P$110=99,O112,IF(P$110=0,INDEX($F93:$N93,0,P$108),(INDEX($F93:$N93,0,P$110+1)-INDEX($F93:$N93,0,P$110))/(INDEX($F$4:$N$4,0,P$110+1)-INDEX($F$4:$N$4,0,P$110))+O112)))</f>
        <v>3.6563130331972848</v>
      </c>
      <c r="Q112" s="3" cm="1">
        <f t="array" ref="Q112">IF(Q$110=-1,R112,IF(Q$110=99,P112,IF(Q$110=0,INDEX($F93:$N93,0,Q$108),(INDEX($F93:$N93,0,Q$110+1)-INDEX($F93:$N93,0,Q$110))/(INDEX($F$4:$N$4,0,Q$110+1)-INDEX($F$4:$N$4,0,Q$110))+P112)))</f>
        <v>3.6538957019712837</v>
      </c>
      <c r="R112" s="3" cm="1">
        <f t="array" ref="R112">IF(R$110=-1,S112,IF(R$110=99,Q112,IF(R$110=0,INDEX($F93:$N93,0,R$108),(INDEX($F93:$N93,0,R$110+1)-INDEX($F93:$N93,0,R$110))/(INDEX($F$4:$N$4,0,R$110+1)-INDEX($F$4:$N$4,0,R$110))+Q112)))</f>
        <v>3.6514783707452825</v>
      </c>
      <c r="S112" s="3" cm="1">
        <f t="array" ref="S112">IF(S$110=-1,T112,IF(S$110=99,R112,IF(S$110=0,INDEX($F93:$N93,0,S$108),(INDEX($F93:$N93,0,S$110+1)-INDEX($F93:$N93,0,S$110))/(INDEX($F$4:$N$4,0,S$110+1)-INDEX($F$4:$N$4,0,S$110))+R112)))</f>
        <v>3.6742043035226284</v>
      </c>
      <c r="T112" s="3" cm="1">
        <f t="array" ref="T112">IF(T$110=-1,U112,IF(T$110=99,S112,IF(T$110=0,INDEX($F93:$N93,0,T$108),(INDEX($F93:$N93,0,T$110+1)-INDEX($F93:$N93,0,T$110))/(INDEX($F$4:$N$4,0,T$110+1)-INDEX($F$4:$N$4,0,T$110))+S112)))</f>
        <v>3.6969302362999743</v>
      </c>
      <c r="U112" s="3" cm="1">
        <f t="array" ref="U112">IF(U$110=-1,V112,IF(U$110=99,T112,IF(U$110=0,INDEX($F93:$N93,0,U$108),(INDEX($F93:$N93,0,U$110+1)-INDEX($F93:$N93,0,U$110))/(INDEX($F$4:$N$4,0,U$110+1)-INDEX($F$4:$N$4,0,U$110))+T112)))</f>
        <v>3.5587836419516132</v>
      </c>
      <c r="V112" s="3" cm="1">
        <f t="array" ref="V112">IF(V$110=-1,W112,IF(V$110=99,U112,IF(V$110=0,INDEX($F93:$N93,0,V$108),(INDEX($F93:$N93,0,V$110+1)-INDEX($F93:$N93,0,V$110))/(INDEX($F$4:$N$4,0,V$110+1)-INDEX($F$4:$N$4,0,V$110))+U112)))</f>
        <v>3.6376721224257773</v>
      </c>
      <c r="W112" s="3" cm="1">
        <f t="array" ref="W112">IF(W$110=-1,X112,IF(W$110=99,V112,IF(W$110=0,INDEX($F93:$N93,0,W$108),(INDEX($F93:$N93,0,W$110+1)-INDEX($F93:$N93,0,W$110))/(INDEX($F$4:$N$4,0,W$110+1)-INDEX($F$4:$N$4,0,W$110))+V112)))</f>
        <v>3.7127723752912054</v>
      </c>
      <c r="X112" s="3" cm="1">
        <f t="array" ref="X112">IF(X$110=-1,Y112,IF(X$110=99,W112,IF(X$110=0,INDEX($F93:$N93,0,X$108),(INDEX($F93:$N93,0,X$110+1)-INDEX($F93:$N93,0,X$110))/(INDEX($F$4:$N$4,0,X$110+1)-INDEX($F$4:$N$4,0,X$110))+W112)))</f>
        <v>3.7878726281566335</v>
      </c>
      <c r="Y112" s="3" cm="1">
        <f t="array" ref="Y112">IF(Y$110=-1,Z112,IF(Y$110=99,X112,IF(Y$110=0,INDEX($F93:$N93,0,Y$108),(INDEX($F93:$N93,0,Y$110+1)-INDEX($F93:$N93,0,Y$110))/(INDEX($F$4:$N$4,0,Y$110+1)-INDEX($F$4:$N$4,0,Y$110))+X112)))</f>
        <v>3.8629728810220616</v>
      </c>
      <c r="Z112" s="3" cm="1">
        <f t="array" ref="Z112">IF(Z$110=-1,AA112,IF(Z$110=99,Y112,IF(Z$110=0,INDEX($F93:$N93,0,Z$108),(INDEX($F93:$N93,0,Z$110+1)-INDEX($F93:$N93,0,Z$110))/(INDEX($F$4:$N$4,0,Z$110+1)-INDEX($F$4:$N$4,0,Z$110))+Y112)))</f>
        <v>3.9380731338874897</v>
      </c>
      <c r="AA112" s="3" cm="1">
        <f t="array" ref="AA112">IF(AA$110=-1,AB112,IF(AA$110=99,Z112,IF(AA$110=0,INDEX($F93:$N93,0,AA$108),(INDEX($F93:$N93,0,AA$110+1)-INDEX($F93:$N93,0,AA$110))/(INDEX($F$4:$N$4,0,AA$110+1)-INDEX($F$4:$N$4,0,AA$110))+Z112)))</f>
        <v>4.0131733867529178</v>
      </c>
      <c r="AB112" s="3" cm="1">
        <f t="array" ref="AB112">IF(AB$110=-1,AC112,IF(AB$110=99,AA112,IF(AB$110=0,INDEX($F93:$N93,0,AB$108),(INDEX($F93:$N93,0,AB$110+1)-INDEX($F93:$N93,0,AB$110))/(INDEX($F$4:$N$4,0,AB$110+1)-INDEX($F$4:$N$4,0,AB$110))+AA112)))</f>
        <v>4.0882736396183459</v>
      </c>
      <c r="AC112" s="3" cm="1">
        <f t="array" ref="AC112">IF(AC$110=-1,AD112,IF(AC$110=99,AB112,IF(AC$110=0,INDEX($F93:$N93,0,AC$108),(INDEX($F93:$N93,0,AC$110+1)-INDEX($F93:$N93,0,AC$110))/(INDEX($F$4:$N$4,0,AC$110+1)-INDEX($F$4:$N$4,0,AC$110))+AB112)))</f>
        <v>4.163373892483774</v>
      </c>
      <c r="AD112" s="3" cm="1">
        <f t="array" ref="AD112">IF(AD$110=-1,AE112,IF(AD$110=99,AC112,IF(AD$110=0,INDEX($F93:$N93,0,AD$108),(INDEX($F93:$N93,0,AD$110+1)-INDEX($F93:$N93,0,AD$110))/(INDEX($F$4:$N$4,0,AD$110+1)-INDEX($F$4:$N$4,0,AD$110))+AC112)))</f>
        <v>4.2384741453492021</v>
      </c>
      <c r="AE112" s="3" cm="1">
        <f t="array" ref="AE112">IF(AE$110=-1,AF112,IF(AE$110=99,AD112,IF(AE$110=0,INDEX($F93:$N93,0,AE$108),(INDEX($F93:$N93,0,AE$110+1)-INDEX($F93:$N93,0,AE$110))/(INDEX($F$4:$N$4,0,AE$110+1)-INDEX($F$4:$N$4,0,AE$110))+AD112)))</f>
        <v>4.3135743982146284</v>
      </c>
      <c r="AF112" s="3" cm="1">
        <f t="array" ref="AF112">IF(AF$110=-1,AG112,IF(AF$110=99,AE112,IF(AF$110=0,INDEX($F93:$N93,0,AF$108),(INDEX($F93:$N93,0,AF$110+1)-INDEX($F93:$N93,0,AF$110))/(INDEX($F$4:$N$4,0,AF$110+1)-INDEX($F$4:$N$4,0,AF$110))+AE112)))</f>
        <v>4.4344103490747209</v>
      </c>
      <c r="AG112" s="3" cm="1">
        <f t="array" ref="AG112">IF(AG$110=-1,AH112,IF(AG$110=99,AF112,IF(AG$110=0,INDEX($F93:$N93,0,AG$108),(INDEX($F93:$N93,0,AG$110+1)-INDEX($F93:$N93,0,AG$110))/(INDEX($F$4:$N$4,0,AG$110+1)-INDEX($F$4:$N$4,0,AG$110))+AF112)))</f>
        <v>4.5552462999348133</v>
      </c>
      <c r="AH112" s="3" cm="1">
        <f t="array" ref="AH112">IF(AH$110=-1,AI112,IF(AH$110=99,AG112,IF(AH$110=0,INDEX($F93:$N93,0,AH$108),(INDEX($F93:$N93,0,AH$110+1)-INDEX($F93:$N93,0,AH$110))/(INDEX($F$4:$N$4,0,AH$110+1)-INDEX($F$4:$N$4,0,AH$110))+AG112)))</f>
        <v>4.6760822507949058</v>
      </c>
      <c r="AI112" s="3" cm="1">
        <f t="array" ref="AI112">IF(AI$110=-1,AJ112,IF(AI$110=99,AH112,IF(AI$110=0,INDEX($F93:$N93,0,AI$108),(INDEX($F93:$N93,0,AI$110+1)-INDEX($F93:$N93,0,AI$110))/(INDEX($F$4:$N$4,0,AI$110+1)-INDEX($F$4:$N$4,0,AI$110))+AH112)))</f>
        <v>4.7969182016549983</v>
      </c>
      <c r="AJ112" s="3" cm="1">
        <f t="array" ref="AJ112">IF(AJ$110=-1,AK112,IF(AJ$110=99,AI112,IF(AJ$110=0,INDEX($F93:$N93,0,AJ$108),(INDEX($F93:$N93,0,AJ$110+1)-INDEX($F93:$N93,0,AJ$110))/(INDEX($F$4:$N$4,0,AJ$110+1)-INDEX($F$4:$N$4,0,AJ$110))+AI112)))</f>
        <v>4.9177541525150907</v>
      </c>
      <c r="AK112" s="3" cm="1">
        <f t="array" ref="AK112">IF(AK$110=-1,AL112,IF(AK$110=99,AJ112,IF(AK$110=0,INDEX($F93:$N93,0,AK$108),(INDEX($F93:$N93,0,AK$110+1)-INDEX($F93:$N93,0,AK$110))/(INDEX($F$4:$N$4,0,AK$110+1)-INDEX($F$4:$N$4,0,AK$110))+AJ112)))</f>
        <v>5.0385901033751832</v>
      </c>
      <c r="AL112" s="3" cm="1">
        <f t="array" ref="AL112">IF(AL$110=-1,AM112,IF(AL$110=99,AK112,IF(AL$110=0,INDEX($F93:$N93,0,AL$108),(INDEX($F93:$N93,0,AL$110+1)-INDEX($F93:$N93,0,AL$110))/(INDEX($F$4:$N$4,0,AL$110+1)-INDEX($F$4:$N$4,0,AL$110))+AK112)))</f>
        <v>5.1594260542352757</v>
      </c>
      <c r="AM112" s="3" cm="1">
        <f t="array" ref="AM112">IF(AM$110=-1,AN112,IF(AM$110=99,AL112,IF(AM$110=0,INDEX($F93:$N93,0,AM$108),(INDEX($F93:$N93,0,AM$110+1)-INDEX($F93:$N93,0,AM$110))/(INDEX($F$4:$N$4,0,AM$110+1)-INDEX($F$4:$N$4,0,AM$110))+AL112)))</f>
        <v>5.2802620050953681</v>
      </c>
      <c r="AN112" s="3" cm="1">
        <f t="array" ref="AN112">IF(AN$110=-1,AO112,IF(AN$110=99,AM112,IF(AN$110=0,INDEX($F93:$N93,0,AN$108),(INDEX($F93:$N93,0,AN$110+1)-INDEX($F93:$N93,0,AN$110))/(INDEX($F$4:$N$4,0,AN$110+1)-INDEX($F$4:$N$4,0,AN$110))+AM112)))</f>
        <v>5.4010979559554606</v>
      </c>
      <c r="AO112" s="3" cm="1">
        <f t="array" ref="AO112">IF(AO$110=-1,AP112,IF(AO$110=99,AN112,IF(AO$110=0,INDEX($F93:$N93,0,AO$108),(INDEX($F93:$N93,0,AO$110+1)-INDEX($F93:$N93,0,AO$110))/(INDEX($F$4:$N$4,0,AO$110+1)-INDEX($F$4:$N$4,0,AO$110))+AN112)))</f>
        <v>5.5219339068155575</v>
      </c>
      <c r="AP112" s="3" cm="1">
        <f t="array" ref="AP112">IF(AP$110=-1,AQ112,IF(AP$110=99,AO112,IF(AP$110=0,INDEX($F93:$N93,0,AP$108),(INDEX($F93:$N93,0,AP$110+1)-INDEX($F93:$N93,0,AP$110))/(INDEX($F$4:$N$4,0,AP$110+1)-INDEX($F$4:$N$4,0,AP$110))+AO112)))</f>
        <v>5.6172518311783035</v>
      </c>
      <c r="AQ112" s="3" cm="1">
        <f t="array" ref="AQ112">IF(AQ$110=-1,AR112,IF(AQ$110=99,AP112,IF(AQ$110=0,INDEX($F93:$N93,0,AQ$108),(INDEX($F93:$N93,0,AQ$110+1)-INDEX($F93:$N93,0,AQ$110))/(INDEX($F$4:$N$4,0,AQ$110+1)-INDEX($F$4:$N$4,0,AQ$110))+AP112)))</f>
        <v>5.7125697555410495</v>
      </c>
      <c r="AR112" s="3" cm="1">
        <f t="array" ref="AR112">IF(AR$110=-1,AS112,IF(AR$110=99,AQ112,IF(AR$110=0,INDEX($F93:$N93,0,AR$108),(INDEX($F93:$N93,0,AR$110+1)-INDEX($F93:$N93,0,AR$110))/(INDEX($F$4:$N$4,0,AR$110+1)-INDEX($F$4:$N$4,0,AR$110))+AQ112)))</f>
        <v>5.8078876799037955</v>
      </c>
      <c r="AS112" s="3" cm="1">
        <f t="array" ref="AS112">IF(AS$110=-1,AT112,IF(AS$110=99,AR112,IF(AS$110=0,INDEX($F93:$N93,0,AS$108),(INDEX($F93:$N93,0,AS$110+1)-INDEX($F93:$N93,0,AS$110))/(INDEX($F$4:$N$4,0,AS$110+1)-INDEX($F$4:$N$4,0,AS$110))+AR112)))</f>
        <v>5.9032056042665415</v>
      </c>
      <c r="AT112" s="3" cm="1">
        <f t="array" ref="AT112">IF(AT$110=-1,AU112,IF(AT$110=99,AS112,IF(AT$110=0,INDEX($F93:$N93,0,AT$108),(INDEX($F93:$N93,0,AT$110+1)-INDEX($F93:$N93,0,AT$110))/(INDEX($F$4:$N$4,0,AT$110+1)-INDEX($F$4:$N$4,0,AT$110))+AS112)))</f>
        <v>5.9985235286292875</v>
      </c>
      <c r="AU112" s="3" cm="1">
        <f t="array" ref="AU112">IF(AU$110=-1,AV112,IF(AU$110=99,AT112,IF(AU$110=0,INDEX($F93:$N93,0,AU$108),(INDEX($F93:$N93,0,AU$110+1)-INDEX($F93:$N93,0,AU$110))/(INDEX($F$4:$N$4,0,AU$110+1)-INDEX($F$4:$N$4,0,AU$110))+AT112)))</f>
        <v>6.0938414529920335</v>
      </c>
      <c r="AV112" s="3" cm="1">
        <f t="array" ref="AV112">IF(AV$110=-1,AW112,IF(AV$110=99,AU112,IF(AV$110=0,INDEX($F93:$N93,0,AV$108),(INDEX($F93:$N93,0,AV$110+1)-INDEX($F93:$N93,0,AV$110))/(INDEX($F$4:$N$4,0,AV$110+1)-INDEX($F$4:$N$4,0,AV$110))+AU112)))</f>
        <v>6.1891593773547795</v>
      </c>
      <c r="AW112" s="3" cm="1">
        <f t="array" ref="AW112">IF(AW$110=-1,AX112,IF(AW$110=99,AV112,IF(AW$110=0,INDEX($F93:$N93,0,AW$108),(INDEX($F93:$N93,0,AW$110+1)-INDEX($F93:$N93,0,AW$110))/(INDEX($F$4:$N$4,0,AW$110+1)-INDEX($F$4:$N$4,0,AW$110))+AV112)))</f>
        <v>6.2844773017175255</v>
      </c>
      <c r="AX112" s="3" cm="1">
        <f t="array" ref="AX112">IF(AX$110=-1,AY112,IF(AX$110=99,AW112,IF(AX$110=0,INDEX($F93:$N93,0,AX$108),(INDEX($F93:$N93,0,AX$110+1)-INDEX($F93:$N93,0,AX$110))/(INDEX($F$4:$N$4,0,AX$110+1)-INDEX($F$4:$N$4,0,AX$110))+AW112)))</f>
        <v>6.3797952260802715</v>
      </c>
      <c r="AY112" s="3" cm="1">
        <f t="array" ref="AY112">IF(AY$110=-1,AZ112,IF(AY$110=99,AX112,IF(AY$110=0,INDEX($F93:$N93,0,AY$108),(INDEX($F93:$N93,0,AY$110+1)-INDEX($F93:$N93,0,AY$110))/(INDEX($F$4:$N$4,0,AY$110+1)-INDEX($F$4:$N$4,0,AY$110))+AX112)))</f>
        <v>6.4751131504430157</v>
      </c>
      <c r="AZ112" s="3" cm="1">
        <f t="array" ref="AZ112">IF(AZ$110=-1,BA112,IF(AZ$110=99,AY112,IF(AZ$110=0,INDEX($F93:$N93,0,AZ$108),(INDEX($F93:$N93,0,AZ$110+1)-INDEX($F93:$N93,0,AZ$110))/(INDEX($F$4:$N$4,0,AZ$110+1)-INDEX($F$4:$N$4,0,AZ$110))+AY112)))</f>
        <v>6.4751131504430157</v>
      </c>
      <c r="BA112" s="3" cm="1">
        <f t="array" ref="BA112">IF(BA$110=-1,BB112,IF(BA$110=99,AZ112,IF(BA$110=0,INDEX($F93:$N93,0,BA$108),(INDEX($F93:$N93,0,BA$110+1)-INDEX($F93:$N93,0,BA$110))/(INDEX($F$4:$N$4,0,BA$110+1)-INDEX($F$4:$N$4,0,BA$110))+AZ112)))</f>
        <v>6.4751131504430157</v>
      </c>
    </row>
    <row r="113" spans="1:53">
      <c r="A113" s="104" t="s">
        <v>16</v>
      </c>
      <c r="B113" s="16" t="str">
        <f t="shared" si="219"/>
        <v/>
      </c>
      <c r="C113" s="17" t="str">
        <f t="shared" si="220"/>
        <v/>
      </c>
      <c r="D113" s="48" t="str">
        <f>ITEMS_TRA!C17</f>
        <v>TFHCV2</v>
      </c>
      <c r="E113" s="17" t="str">
        <f t="shared" si="221"/>
        <v/>
      </c>
      <c r="H113" s="17" t="str">
        <f t="shared" si="221"/>
        <v/>
      </c>
      <c r="J113" s="17" t="str">
        <f t="shared" si="221"/>
        <v/>
      </c>
      <c r="K113" s="17" t="str">
        <f t="shared" si="221"/>
        <v/>
      </c>
      <c r="L113" s="111" t="str">
        <f t="shared" si="222"/>
        <v/>
      </c>
      <c r="M113" s="3">
        <f>INDEX('[2]TS BYDem'!J$10:J$59,MATCH($D113,'[2]TS BYDem'!D$10:D$59,0))</f>
        <v>0.91016288033514725</v>
      </c>
      <c r="N113" s="3" cm="1">
        <f t="array" ref="N113">IF(N$110=-1,O113,IF(N$110=99,M113,IF(N$110=0,INDEX($F94:$N94,0,N$108),(INDEX($F94:$N94,0,N$110+1)-INDEX($F94:$N94,0,N$110))/(INDEX($F$4:$N$4,0,N$110+1)-INDEX($F$4:$N$4,0,N$110))+M113)))</f>
        <v>0.92563893602886782</v>
      </c>
      <c r="O113" s="3" cm="1">
        <f t="array" ref="O113">IF(O$110=-1,P113,IF(O$110=99,N113,IF(O$110=0,INDEX($F94:$N94,0,O$108),(INDEX($F94:$N94,0,O$110+1)-INDEX($F94:$N94,0,O$110))/(INDEX($F$4:$N$4,0,O$110+1)-INDEX($F$4:$N$4,0,O$110))+N113)))</f>
        <v>0.94111499172258839</v>
      </c>
      <c r="P113" s="3" cm="1">
        <f t="array" ref="P113">IF(P$110=-1,Q113,IF(P$110=99,O113,IF(P$110=0,INDEX($F94:$N94,0,P$108),(INDEX($F94:$N94,0,P$110+1)-INDEX($F94:$N94,0,P$110))/(INDEX($F$4:$N$4,0,P$110+1)-INDEX($F$4:$N$4,0,P$110))+O113)))</f>
        <v>0.95659104741630863</v>
      </c>
      <c r="Q113" s="3" cm="1">
        <f t="array" ref="Q113">IF(Q$110=-1,R113,IF(Q$110=99,P113,IF(Q$110=0,INDEX($F94:$N94,0,Q$108),(INDEX($F94:$N94,0,Q$110+1)-INDEX($F94:$N94,0,Q$110))/(INDEX($F$4:$N$4,0,Q$110+1)-INDEX($F$4:$N$4,0,Q$110))+P113)))</f>
        <v>0.97980513095688937</v>
      </c>
      <c r="R113" s="3" cm="1">
        <f t="array" ref="R113">IF(R$110=-1,S113,IF(R$110=99,Q113,IF(R$110=0,INDEX($F94:$N94,0,R$108),(INDEX($F94:$N94,0,R$110+1)-INDEX($F94:$N94,0,R$110))/(INDEX($F$4:$N$4,0,R$110+1)-INDEX($F$4:$N$4,0,R$110))+Q113)))</f>
        <v>1.0030192144974701</v>
      </c>
      <c r="S113" s="3" cm="1">
        <f t="array" ref="S113">IF(S$110=-1,T113,IF(S$110=99,R113,IF(S$110=0,INDEX($F94:$N94,0,S$108),(INDEX($F94:$N94,0,S$110+1)-INDEX($F94:$N94,0,S$110))/(INDEX($F$4:$N$4,0,S$110+1)-INDEX($F$4:$N$4,0,S$110))+R113)))</f>
        <v>1.009261767493451</v>
      </c>
      <c r="T113" s="3" cm="1">
        <f t="array" ref="T113">IF(T$110=-1,U113,IF(T$110=99,S113,IF(T$110=0,INDEX($F94:$N94,0,T$108),(INDEX($F94:$N94,0,T$110+1)-INDEX($F94:$N94,0,T$110))/(INDEX($F$4:$N$4,0,T$110+1)-INDEX($F$4:$N$4,0,T$110))+S113)))</f>
        <v>1.0155043204894318</v>
      </c>
      <c r="U113" s="3" cm="1">
        <f t="array" ref="U113">IF(U$110=-1,V113,IF(U$110=99,T113,IF(U$110=0,INDEX($F94:$N94,0,U$108),(INDEX($F94:$N94,0,U$110+1)-INDEX($F94:$N94,0,U$110))/(INDEX($F$4:$N$4,0,U$110+1)-INDEX($F$4:$N$4,0,U$110))+T113)))</f>
        <v>0.97755703599805133</v>
      </c>
      <c r="V113" s="3" cm="1">
        <f t="array" ref="V113">IF(V$110=-1,W113,IF(V$110=99,U113,IF(V$110=0,INDEX($F94:$N94,0,V$108),(INDEX($F94:$N94,0,V$110+1)-INDEX($F94:$N94,0,V$110))/(INDEX($F$4:$N$4,0,V$110+1)-INDEX($F$4:$N$4,0,V$110))+U113)))</f>
        <v>0.99922679648521096</v>
      </c>
      <c r="W113" s="3" cm="1">
        <f t="array" ref="W113">IF(W$110=-1,X113,IF(W$110=99,V113,IF(W$110=0,INDEX($F94:$N94,0,W$108),(INDEX($F94:$N94,0,W$110+1)-INDEX($F94:$N94,0,W$110))/(INDEX($F$4:$N$4,0,W$110+1)-INDEX($F$4:$N$4,0,W$110))+V113)))</f>
        <v>1.0198559743111413</v>
      </c>
      <c r="X113" s="3" cm="1">
        <f t="array" ref="X113">IF(X$110=-1,Y113,IF(X$110=99,W113,IF(X$110=0,INDEX($F94:$N94,0,X$108),(INDEX($F94:$N94,0,X$110+1)-INDEX($F94:$N94,0,X$110))/(INDEX($F$4:$N$4,0,X$110+1)-INDEX($F$4:$N$4,0,X$110))+W113)))</f>
        <v>1.0404851521370715</v>
      </c>
      <c r="Y113" s="3" cm="1">
        <f t="array" ref="Y113">IF(Y$110=-1,Z113,IF(Y$110=99,X113,IF(Y$110=0,INDEX($F94:$N94,0,Y$108),(INDEX($F94:$N94,0,Y$110+1)-INDEX($F94:$N94,0,Y$110))/(INDEX($F$4:$N$4,0,Y$110+1)-INDEX($F$4:$N$4,0,Y$110))+X113)))</f>
        <v>1.0611143299630017</v>
      </c>
      <c r="Z113" s="3" cm="1">
        <f t="array" ref="Z113">IF(Z$110=-1,AA113,IF(Z$110=99,Y113,IF(Z$110=0,INDEX($F94:$N94,0,Z$108),(INDEX($F94:$N94,0,Z$110+1)-INDEX($F94:$N94,0,Z$110))/(INDEX($F$4:$N$4,0,Z$110+1)-INDEX($F$4:$N$4,0,Z$110))+Y113)))</f>
        <v>1.0817435077889319</v>
      </c>
      <c r="AA113" s="3" cm="1">
        <f t="array" ref="AA113">IF(AA$110=-1,AB113,IF(AA$110=99,Z113,IF(AA$110=0,INDEX($F94:$N94,0,AA$108),(INDEX($F94:$N94,0,AA$110+1)-INDEX($F94:$N94,0,AA$110))/(INDEX($F$4:$N$4,0,AA$110+1)-INDEX($F$4:$N$4,0,AA$110))+Z113)))</f>
        <v>1.1023726856148621</v>
      </c>
      <c r="AB113" s="3" cm="1">
        <f t="array" ref="AB113">IF(AB$110=-1,AC113,IF(AB$110=99,AA113,IF(AB$110=0,INDEX($F94:$N94,0,AB$108),(INDEX($F94:$N94,0,AB$110+1)-INDEX($F94:$N94,0,AB$110))/(INDEX($F$4:$N$4,0,AB$110+1)-INDEX($F$4:$N$4,0,AB$110))+AA113)))</f>
        <v>1.1230018634407923</v>
      </c>
      <c r="AC113" s="3" cm="1">
        <f t="array" ref="AC113">IF(AC$110=-1,AD113,IF(AC$110=99,AB113,IF(AC$110=0,INDEX($F94:$N94,0,AC$108),(INDEX($F94:$N94,0,AC$110+1)-INDEX($F94:$N94,0,AC$110))/(INDEX($F$4:$N$4,0,AC$110+1)-INDEX($F$4:$N$4,0,AC$110))+AB113)))</f>
        <v>1.1436310412667225</v>
      </c>
      <c r="AD113" s="3" cm="1">
        <f t="array" ref="AD113">IF(AD$110=-1,AE113,IF(AD$110=99,AC113,IF(AD$110=0,INDEX($F94:$N94,0,AD$108),(INDEX($F94:$N94,0,AD$110+1)-INDEX($F94:$N94,0,AD$110))/(INDEX($F$4:$N$4,0,AD$110+1)-INDEX($F$4:$N$4,0,AD$110))+AC113)))</f>
        <v>1.1642602190926528</v>
      </c>
      <c r="AE113" s="3" cm="1">
        <f t="array" ref="AE113">IF(AE$110=-1,AF113,IF(AE$110=99,AD113,IF(AE$110=0,INDEX($F94:$N94,0,AE$108),(INDEX($F94:$N94,0,AE$110+1)-INDEX($F94:$N94,0,AE$110))/(INDEX($F$4:$N$4,0,AE$110+1)-INDEX($F$4:$N$4,0,AE$110))+AD113)))</f>
        <v>1.1848893969185836</v>
      </c>
      <c r="AF113" s="3" cm="1">
        <f t="array" ref="AF113">IF(AF$110=-1,AG113,IF(AF$110=99,AE113,IF(AF$110=0,INDEX($F94:$N94,0,AF$108),(INDEX($F94:$N94,0,AF$110+1)-INDEX($F94:$N94,0,AF$110))/(INDEX($F$4:$N$4,0,AF$110+1)-INDEX($F$4:$N$4,0,AF$110))+AE113)))</f>
        <v>1.2180816462512853</v>
      </c>
      <c r="AG113" s="3" cm="1">
        <f t="array" ref="AG113">IF(AG$110=-1,AH113,IF(AG$110=99,AF113,IF(AG$110=0,INDEX($F94:$N94,0,AG$108),(INDEX($F94:$N94,0,AG$110+1)-INDEX($F94:$N94,0,AG$110))/(INDEX($F$4:$N$4,0,AG$110+1)-INDEX($F$4:$N$4,0,AG$110))+AF113)))</f>
        <v>1.2512738955839871</v>
      </c>
      <c r="AH113" s="3" cm="1">
        <f t="array" ref="AH113">IF(AH$110=-1,AI113,IF(AH$110=99,AG113,IF(AH$110=0,INDEX($F94:$N94,0,AH$108),(INDEX($F94:$N94,0,AH$110+1)-INDEX($F94:$N94,0,AH$110))/(INDEX($F$4:$N$4,0,AH$110+1)-INDEX($F$4:$N$4,0,AH$110))+AG113)))</f>
        <v>1.2844661449166888</v>
      </c>
      <c r="AI113" s="3" cm="1">
        <f t="array" ref="AI113">IF(AI$110=-1,AJ113,IF(AI$110=99,AH113,IF(AI$110=0,INDEX($F94:$N94,0,AI$108),(INDEX($F94:$N94,0,AI$110+1)-INDEX($F94:$N94,0,AI$110))/(INDEX($F$4:$N$4,0,AI$110+1)-INDEX($F$4:$N$4,0,AI$110))+AH113)))</f>
        <v>1.3176583942493905</v>
      </c>
      <c r="AJ113" s="3" cm="1">
        <f t="array" ref="AJ113">IF(AJ$110=-1,AK113,IF(AJ$110=99,AI113,IF(AJ$110=0,INDEX($F94:$N94,0,AJ$108),(INDEX($F94:$N94,0,AJ$110+1)-INDEX($F94:$N94,0,AJ$110))/(INDEX($F$4:$N$4,0,AJ$110+1)-INDEX($F$4:$N$4,0,AJ$110))+AI113)))</f>
        <v>1.3508506435820922</v>
      </c>
      <c r="AK113" s="3" cm="1">
        <f t="array" ref="AK113">IF(AK$110=-1,AL113,IF(AK$110=99,AJ113,IF(AK$110=0,INDEX($F94:$N94,0,AK$108),(INDEX($F94:$N94,0,AK$110+1)-INDEX($F94:$N94,0,AK$110))/(INDEX($F$4:$N$4,0,AK$110+1)-INDEX($F$4:$N$4,0,AK$110))+AJ113)))</f>
        <v>1.3840428929147939</v>
      </c>
      <c r="AL113" s="3" cm="1">
        <f t="array" ref="AL113">IF(AL$110=-1,AM113,IF(AL$110=99,AK113,IF(AL$110=0,INDEX($F94:$N94,0,AL$108),(INDEX($F94:$N94,0,AL$110+1)-INDEX($F94:$N94,0,AL$110))/(INDEX($F$4:$N$4,0,AL$110+1)-INDEX($F$4:$N$4,0,AL$110))+AK113)))</f>
        <v>1.4172351422474956</v>
      </c>
      <c r="AM113" s="3" cm="1">
        <f t="array" ref="AM113">IF(AM$110=-1,AN113,IF(AM$110=99,AL113,IF(AM$110=0,INDEX($F94:$N94,0,AM$108),(INDEX($F94:$N94,0,AM$110+1)-INDEX($F94:$N94,0,AM$110))/(INDEX($F$4:$N$4,0,AM$110+1)-INDEX($F$4:$N$4,0,AM$110))+AL113)))</f>
        <v>1.4504273915801973</v>
      </c>
      <c r="AN113" s="3" cm="1">
        <f t="array" ref="AN113">IF(AN$110=-1,AO113,IF(AN$110=99,AM113,IF(AN$110=0,INDEX($F94:$N94,0,AN$108),(INDEX($F94:$N94,0,AN$110+1)-INDEX($F94:$N94,0,AN$110))/(INDEX($F$4:$N$4,0,AN$110+1)-INDEX($F$4:$N$4,0,AN$110))+AM113)))</f>
        <v>1.483619640912899</v>
      </c>
      <c r="AO113" s="3" cm="1">
        <f t="array" ref="AO113">IF(AO$110=-1,AP113,IF(AO$110=99,AN113,IF(AO$110=0,INDEX($F94:$N94,0,AO$108),(INDEX($F94:$N94,0,AO$110+1)-INDEX($F94:$N94,0,AO$110))/(INDEX($F$4:$N$4,0,AO$110+1)-INDEX($F$4:$N$4,0,AO$110))+AN113)))</f>
        <v>1.5168118902456016</v>
      </c>
      <c r="AP113" s="3" cm="1">
        <f t="array" ref="AP113">IF(AP$110=-1,AQ113,IF(AP$110=99,AO113,IF(AP$110=0,INDEX($F94:$N94,0,AP$108),(INDEX($F94:$N94,0,AP$110+1)-INDEX($F94:$N94,0,AP$110))/(INDEX($F$4:$N$4,0,AP$110+1)-INDEX($F$4:$N$4,0,AP$110))+AO113)))</f>
        <v>1.5429946304715383</v>
      </c>
      <c r="AQ113" s="3" cm="1">
        <f t="array" ref="AQ113">IF(AQ$110=-1,AR113,IF(AQ$110=99,AP113,IF(AQ$110=0,INDEX($F94:$N94,0,AQ$108),(INDEX($F94:$N94,0,AQ$110+1)-INDEX($F94:$N94,0,AQ$110))/(INDEX($F$4:$N$4,0,AQ$110+1)-INDEX($F$4:$N$4,0,AQ$110))+AP113)))</f>
        <v>1.569177370697475</v>
      </c>
      <c r="AR113" s="3" cm="1">
        <f t="array" ref="AR113">IF(AR$110=-1,AS113,IF(AR$110=99,AQ113,IF(AR$110=0,INDEX($F94:$N94,0,AR$108),(INDEX($F94:$N94,0,AR$110+1)-INDEX($F94:$N94,0,AR$110))/(INDEX($F$4:$N$4,0,AR$110+1)-INDEX($F$4:$N$4,0,AR$110))+AQ113)))</f>
        <v>1.5953601109234117</v>
      </c>
      <c r="AS113" s="3" cm="1">
        <f t="array" ref="AS113">IF(AS$110=-1,AT113,IF(AS$110=99,AR113,IF(AS$110=0,INDEX($F94:$N94,0,AS$108),(INDEX($F94:$N94,0,AS$110+1)-INDEX($F94:$N94,0,AS$110))/(INDEX($F$4:$N$4,0,AS$110+1)-INDEX($F$4:$N$4,0,AS$110))+AR113)))</f>
        <v>1.6215428511493484</v>
      </c>
      <c r="AT113" s="3" cm="1">
        <f t="array" ref="AT113">IF(AT$110=-1,AU113,IF(AT$110=99,AS113,IF(AT$110=0,INDEX($F94:$N94,0,AT$108),(INDEX($F94:$N94,0,AT$110+1)-INDEX($F94:$N94,0,AT$110))/(INDEX($F$4:$N$4,0,AT$110+1)-INDEX($F$4:$N$4,0,AT$110))+AS113)))</f>
        <v>1.6477255913752851</v>
      </c>
      <c r="AU113" s="3" cm="1">
        <f t="array" ref="AU113">IF(AU$110=-1,AV113,IF(AU$110=99,AT113,IF(AU$110=0,INDEX($F94:$N94,0,AU$108),(INDEX($F94:$N94,0,AU$110+1)-INDEX($F94:$N94,0,AU$110))/(INDEX($F$4:$N$4,0,AU$110+1)-INDEX($F$4:$N$4,0,AU$110))+AT113)))</f>
        <v>1.6739083316012218</v>
      </c>
      <c r="AV113" s="3" cm="1">
        <f t="array" ref="AV113">IF(AV$110=-1,AW113,IF(AV$110=99,AU113,IF(AV$110=0,INDEX($F94:$N94,0,AV$108),(INDEX($F94:$N94,0,AV$110+1)-INDEX($F94:$N94,0,AV$110))/(INDEX($F$4:$N$4,0,AV$110+1)-INDEX($F$4:$N$4,0,AV$110))+AU113)))</f>
        <v>1.7000910718271585</v>
      </c>
      <c r="AW113" s="3" cm="1">
        <f t="array" ref="AW113">IF(AW$110=-1,AX113,IF(AW$110=99,AV113,IF(AW$110=0,INDEX($F94:$N94,0,AW$108),(INDEX($F94:$N94,0,AW$110+1)-INDEX($F94:$N94,0,AW$110))/(INDEX($F$4:$N$4,0,AW$110+1)-INDEX($F$4:$N$4,0,AW$110))+AV113)))</f>
        <v>1.7262738120530952</v>
      </c>
      <c r="AX113" s="3" cm="1">
        <f t="array" ref="AX113">IF(AX$110=-1,AY113,IF(AX$110=99,AW113,IF(AX$110=0,INDEX($F94:$N94,0,AX$108),(INDEX($F94:$N94,0,AX$110+1)-INDEX($F94:$N94,0,AX$110))/(INDEX($F$4:$N$4,0,AX$110+1)-INDEX($F$4:$N$4,0,AX$110))+AW113)))</f>
        <v>1.7524565522790319</v>
      </c>
      <c r="AY113" s="3" cm="1">
        <f t="array" ref="AY113">IF(AY$110=-1,AZ113,IF(AY$110=99,AX113,IF(AY$110=0,INDEX($F94:$N94,0,AY$108),(INDEX($F94:$N94,0,AY$110+1)-INDEX($F94:$N94,0,AY$110))/(INDEX($F$4:$N$4,0,AY$110+1)-INDEX($F$4:$N$4,0,AY$110))+AX113)))</f>
        <v>1.7786392925049694</v>
      </c>
      <c r="AZ113" s="3" cm="1">
        <f t="array" ref="AZ113">IF(AZ$110=-1,BA113,IF(AZ$110=99,AY113,IF(AZ$110=0,INDEX($F94:$N94,0,AZ$108),(INDEX($F94:$N94,0,AZ$110+1)-INDEX($F94:$N94,0,AZ$110))/(INDEX($F$4:$N$4,0,AZ$110+1)-INDEX($F$4:$N$4,0,AZ$110))+AY113)))</f>
        <v>1.7786392925049694</v>
      </c>
      <c r="BA113" s="3" cm="1">
        <f t="array" ref="BA113">IF(BA$110=-1,BB113,IF(BA$110=99,AZ113,IF(BA$110=0,INDEX($F94:$N94,0,BA$108),(INDEX($F94:$N94,0,BA$110+1)-INDEX($F94:$N94,0,BA$110))/(INDEX($F$4:$N$4,0,BA$110+1)-INDEX($F$4:$N$4,0,BA$110))+AZ113)))</f>
        <v>1.7786392925049694</v>
      </c>
    </row>
    <row r="114" spans="1:53">
      <c r="A114" s="104" t="s">
        <v>16</v>
      </c>
      <c r="B114" s="16" t="str">
        <f t="shared" si="219"/>
        <v/>
      </c>
      <c r="C114" s="17" t="str">
        <f t="shared" si="220"/>
        <v/>
      </c>
      <c r="D114" s="48" t="str">
        <f>ITEMS_TRA!C18</f>
        <v>TFHCV3</v>
      </c>
      <c r="E114" s="17" t="str">
        <f t="shared" si="221"/>
        <v/>
      </c>
      <c r="H114" s="17" t="str">
        <f t="shared" si="221"/>
        <v/>
      </c>
      <c r="J114" s="17" t="str">
        <f t="shared" si="221"/>
        <v/>
      </c>
      <c r="K114" s="17" t="str">
        <f t="shared" si="221"/>
        <v/>
      </c>
      <c r="L114" s="111" t="str">
        <f t="shared" si="222"/>
        <v/>
      </c>
      <c r="M114" s="3">
        <f>INDEX('[2]TS BYDem'!J$10:J$59,MATCH($D114,'[2]TS BYDem'!D$10:D$59,0))</f>
        <v>3.0423873008641582</v>
      </c>
      <c r="N114" s="3" cm="1">
        <f t="array" ref="N114">IF(N$110=-1,O114,IF(N$110=99,M114,IF(N$110=0,INDEX($F95:$N95,0,N$108),(INDEX($F95:$N95,0,N$110+1)-INDEX($F95:$N95,0,N$110))/(INDEX($F$4:$N$4,0,N$110+1)-INDEX($F$4:$N$4,0,N$110))+M114)))</f>
        <v>3.0852151471238134</v>
      </c>
      <c r="O114" s="3" cm="1">
        <f t="array" ref="O114">IF(O$110=-1,P114,IF(O$110=99,N114,IF(O$110=0,INDEX($F95:$N95,0,O$108),(INDEX($F95:$N95,0,O$110+1)-INDEX($F95:$N95,0,O$110))/(INDEX($F$4:$N$4,0,O$110+1)-INDEX($F$4:$N$4,0,O$110))+N114)))</f>
        <v>3.1280429933834686</v>
      </c>
      <c r="P114" s="3" cm="1">
        <f t="array" ref="P114">IF(P$110=-1,Q114,IF(P$110=99,O114,IF(P$110=0,INDEX($F95:$N95,0,P$108),(INDEX($F95:$N95,0,P$110+1)-INDEX($F95:$N95,0,P$110))/(INDEX($F$4:$N$4,0,P$110+1)-INDEX($F$4:$N$4,0,P$110))+O114)))</f>
        <v>3.1708708396431251</v>
      </c>
      <c r="Q114" s="3" cm="1">
        <f t="array" ref="Q114">IF(Q$110=-1,R114,IF(Q$110=99,P114,IF(Q$110=0,INDEX($F95:$N95,0,Q$108),(INDEX($F95:$N95,0,Q$110+1)-INDEX($F95:$N95,0,Q$110))/(INDEX($F$4:$N$4,0,Q$110+1)-INDEX($F$4:$N$4,0,Q$110))+P114)))</f>
        <v>3.2351126090326074</v>
      </c>
      <c r="R114" s="3" cm="1">
        <f t="array" ref="R114">IF(R$110=-1,S114,IF(R$110=99,Q114,IF(R$110=0,INDEX($F95:$N95,0,R$108),(INDEX($F95:$N95,0,R$110+1)-INDEX($F95:$N95,0,R$110))/(INDEX($F$4:$N$4,0,R$110+1)-INDEX($F$4:$N$4,0,R$110))+Q114)))</f>
        <v>3.2993543784220902</v>
      </c>
      <c r="S114" s="3" cm="1">
        <f t="array" ref="S114">IF(S$110=-1,T114,IF(S$110=99,R114,IF(S$110=0,INDEX($F95:$N95,0,S$108),(INDEX($F95:$N95,0,S$110+1)-INDEX($F95:$N95,0,S$110))/(INDEX($F$4:$N$4,0,S$110+1)-INDEX($F$4:$N$4,0,S$110))+R114)))</f>
        <v>3.3198887752333626</v>
      </c>
      <c r="T114" s="3" cm="1">
        <f t="array" ref="T114">IF(T$110=-1,U114,IF(T$110=99,S114,IF(T$110=0,INDEX($F95:$N95,0,T$108),(INDEX($F95:$N95,0,T$110+1)-INDEX($F95:$N95,0,T$110))/(INDEX($F$4:$N$4,0,T$110+1)-INDEX($F$4:$N$4,0,T$110))+S114)))</f>
        <v>3.3404231720446353</v>
      </c>
      <c r="U114" s="3" cm="1">
        <f t="array" ref="U114">IF(U$110=-1,V114,IF(U$110=99,T114,IF(U$110=0,INDEX($F95:$N95,0,U$108),(INDEX($F95:$N95,0,U$110+1)-INDEX($F95:$N95,0,U$110))/(INDEX($F$4:$N$4,0,U$110+1)-INDEX($F$4:$N$4,0,U$110))+T114)))</f>
        <v>3.2155985052523919</v>
      </c>
      <c r="V114" s="3" cm="1">
        <f t="array" ref="V114">IF(V$110=-1,W114,IF(V$110=99,U114,IF(V$110=0,INDEX($F95:$N95,0,V$108),(INDEX($F95:$N95,0,V$110+1)-INDEX($F95:$N95,0,V$110))/(INDEX($F$4:$N$4,0,V$110+1)-INDEX($F$4:$N$4,0,V$110))+U114)))</f>
        <v>3.2868795117468586</v>
      </c>
      <c r="W114" s="3" cm="1">
        <f t="array" ref="W114">IF(W$110=-1,X114,IF(W$110=99,V114,IF(W$110=0,INDEX($F95:$N95,0,W$108),(INDEX($F95:$N95,0,W$110+1)-INDEX($F95:$N95,0,W$110))/(INDEX($F$4:$N$4,0,W$110+1)-INDEX($F$4:$N$4,0,W$110))+V114)))</f>
        <v>3.3547376018008279</v>
      </c>
      <c r="X114" s="3" cm="1">
        <f t="array" ref="X114">IF(X$110=-1,Y114,IF(X$110=99,W114,IF(X$110=0,INDEX($F95:$N95,0,X$108),(INDEX($F95:$N95,0,X$110+1)-INDEX($F95:$N95,0,X$110))/(INDEX($F$4:$N$4,0,X$110+1)-INDEX($F$4:$N$4,0,X$110))+W114)))</f>
        <v>3.4225956918547973</v>
      </c>
      <c r="Y114" s="3" cm="1">
        <f t="array" ref="Y114">IF(Y$110=-1,Z114,IF(Y$110=99,X114,IF(Y$110=0,INDEX($F95:$N95,0,Y$108),(INDEX($F95:$N95,0,Y$110+1)-INDEX($F95:$N95,0,Y$110))/(INDEX($F$4:$N$4,0,Y$110+1)-INDEX($F$4:$N$4,0,Y$110))+X114)))</f>
        <v>3.4904537819087667</v>
      </c>
      <c r="Z114" s="3" cm="1">
        <f t="array" ref="Z114">IF(Z$110=-1,AA114,IF(Z$110=99,Y114,IF(Z$110=0,INDEX($F95:$N95,0,Z$108),(INDEX($F95:$N95,0,Z$110+1)-INDEX($F95:$N95,0,Z$110))/(INDEX($F$4:$N$4,0,Z$110+1)-INDEX($F$4:$N$4,0,Z$110))+Y114)))</f>
        <v>3.558311871962736</v>
      </c>
      <c r="AA114" s="3" cm="1">
        <f t="array" ref="AA114">IF(AA$110=-1,AB114,IF(AA$110=99,Z114,IF(AA$110=0,INDEX($F95:$N95,0,AA$108),(INDEX($F95:$N95,0,AA$110+1)-INDEX($F95:$N95,0,AA$110))/(INDEX($F$4:$N$4,0,AA$110+1)-INDEX($F$4:$N$4,0,AA$110))+Z114)))</f>
        <v>3.6261699620167054</v>
      </c>
      <c r="AB114" s="3" cm="1">
        <f t="array" ref="AB114">IF(AB$110=-1,AC114,IF(AB$110=99,AA114,IF(AB$110=0,INDEX($F95:$N95,0,AB$108),(INDEX($F95:$N95,0,AB$110+1)-INDEX($F95:$N95,0,AB$110))/(INDEX($F$4:$N$4,0,AB$110+1)-INDEX($F$4:$N$4,0,AB$110))+AA114)))</f>
        <v>3.6940280520706748</v>
      </c>
      <c r="AC114" s="3" cm="1">
        <f t="array" ref="AC114">IF(AC$110=-1,AD114,IF(AC$110=99,AB114,IF(AC$110=0,INDEX($F95:$N95,0,AC$108),(INDEX($F95:$N95,0,AC$110+1)-INDEX($F95:$N95,0,AC$110))/(INDEX($F$4:$N$4,0,AC$110+1)-INDEX($F$4:$N$4,0,AC$110))+AB114)))</f>
        <v>3.7618861421246441</v>
      </c>
      <c r="AD114" s="3" cm="1">
        <f t="array" ref="AD114">IF(AD$110=-1,AE114,IF(AD$110=99,AC114,IF(AD$110=0,INDEX($F95:$N95,0,AD$108),(INDEX($F95:$N95,0,AD$110+1)-INDEX($F95:$N95,0,AD$110))/(INDEX($F$4:$N$4,0,AD$110+1)-INDEX($F$4:$N$4,0,AD$110))+AC114)))</f>
        <v>3.8297442321786135</v>
      </c>
      <c r="AE114" s="3" cm="1">
        <f t="array" ref="AE114">IF(AE$110=-1,AF114,IF(AE$110=99,AD114,IF(AE$110=0,INDEX($F95:$N95,0,AE$108),(INDEX($F95:$N95,0,AE$110+1)-INDEX($F95:$N95,0,AE$110))/(INDEX($F$4:$N$4,0,AE$110+1)-INDEX($F$4:$N$4,0,AE$110))+AD114)))</f>
        <v>3.8976023222325837</v>
      </c>
      <c r="AF114" s="3" cm="1">
        <f t="array" ref="AF114">IF(AF$110=-1,AG114,IF(AF$110=99,AE114,IF(AF$110=0,INDEX($F95:$N95,0,AF$108),(INDEX($F95:$N95,0,AF$110+1)-INDEX($F95:$N95,0,AF$110))/(INDEX($F$4:$N$4,0,AF$110+1)-INDEX($F$4:$N$4,0,AF$110))+AE114)))</f>
        <v>4.0067856674593205</v>
      </c>
      <c r="AG114" s="3" cm="1">
        <f t="array" ref="AG114">IF(AG$110=-1,AH114,IF(AG$110=99,AF114,IF(AG$110=0,INDEX($F95:$N95,0,AG$108),(INDEX($F95:$N95,0,AG$110+1)-INDEX($F95:$N95,0,AG$110))/(INDEX($F$4:$N$4,0,AG$110+1)-INDEX($F$4:$N$4,0,AG$110))+AF114)))</f>
        <v>4.1159690126860573</v>
      </c>
      <c r="AH114" s="3" cm="1">
        <f t="array" ref="AH114">IF(AH$110=-1,AI114,IF(AH$110=99,AG114,IF(AH$110=0,INDEX($F95:$N95,0,AH$108),(INDEX($F95:$N95,0,AH$110+1)-INDEX($F95:$N95,0,AH$110))/(INDEX($F$4:$N$4,0,AH$110+1)-INDEX($F$4:$N$4,0,AH$110))+AG114)))</f>
        <v>4.2251523579127941</v>
      </c>
      <c r="AI114" s="3" cm="1">
        <f t="array" ref="AI114">IF(AI$110=-1,AJ114,IF(AI$110=99,AH114,IF(AI$110=0,INDEX($F95:$N95,0,AI$108),(INDEX($F95:$N95,0,AI$110+1)-INDEX($F95:$N95,0,AI$110))/(INDEX($F$4:$N$4,0,AI$110+1)-INDEX($F$4:$N$4,0,AI$110))+AH114)))</f>
        <v>4.3343357031395309</v>
      </c>
      <c r="AJ114" s="3" cm="1">
        <f t="array" ref="AJ114">IF(AJ$110=-1,AK114,IF(AJ$110=99,AI114,IF(AJ$110=0,INDEX($F95:$N95,0,AJ$108),(INDEX($F95:$N95,0,AJ$110+1)-INDEX($F95:$N95,0,AJ$110))/(INDEX($F$4:$N$4,0,AJ$110+1)-INDEX($F$4:$N$4,0,AJ$110))+AI114)))</f>
        <v>4.4435190483662677</v>
      </c>
      <c r="AK114" s="3" cm="1">
        <f t="array" ref="AK114">IF(AK$110=-1,AL114,IF(AK$110=99,AJ114,IF(AK$110=0,INDEX($F95:$N95,0,AK$108),(INDEX($F95:$N95,0,AK$110+1)-INDEX($F95:$N95,0,AK$110))/(INDEX($F$4:$N$4,0,AK$110+1)-INDEX($F$4:$N$4,0,AK$110))+AJ114)))</f>
        <v>4.5527023935930044</v>
      </c>
      <c r="AL114" s="3" cm="1">
        <f t="array" ref="AL114">IF(AL$110=-1,AM114,IF(AL$110=99,AK114,IF(AL$110=0,INDEX($F95:$N95,0,AL$108),(INDEX($F95:$N95,0,AL$110+1)-INDEX($F95:$N95,0,AL$110))/(INDEX($F$4:$N$4,0,AL$110+1)-INDEX($F$4:$N$4,0,AL$110))+AK114)))</f>
        <v>4.6618857388197412</v>
      </c>
      <c r="AM114" s="3" cm="1">
        <f t="array" ref="AM114">IF(AM$110=-1,AN114,IF(AM$110=99,AL114,IF(AM$110=0,INDEX($F95:$N95,0,AM$108),(INDEX($F95:$N95,0,AM$110+1)-INDEX($F95:$N95,0,AM$110))/(INDEX($F$4:$N$4,0,AM$110+1)-INDEX($F$4:$N$4,0,AM$110))+AL114)))</f>
        <v>4.771069084046478</v>
      </c>
      <c r="AN114" s="3" cm="1">
        <f t="array" ref="AN114">IF(AN$110=-1,AO114,IF(AN$110=99,AM114,IF(AN$110=0,INDEX($F95:$N95,0,AN$108),(INDEX($F95:$N95,0,AN$110+1)-INDEX($F95:$N95,0,AN$110))/(INDEX($F$4:$N$4,0,AN$110+1)-INDEX($F$4:$N$4,0,AN$110))+AM114)))</f>
        <v>4.8802524292732148</v>
      </c>
      <c r="AO114" s="3" cm="1">
        <f t="array" ref="AO114">IF(AO$110=-1,AP114,IF(AO$110=99,AN114,IF(AO$110=0,INDEX($F95:$N95,0,AO$108),(INDEX($F95:$N95,0,AO$110+1)-INDEX($F95:$N95,0,AO$110))/(INDEX($F$4:$N$4,0,AO$110+1)-INDEX($F$4:$N$4,0,AO$110))+AN114)))</f>
        <v>4.9894357744999507</v>
      </c>
      <c r="AP114" s="3" cm="1">
        <f t="array" ref="AP114">IF(AP$110=-1,AQ114,IF(AP$110=99,AO114,IF(AP$110=0,INDEX($F95:$N95,0,AP$108),(INDEX($F95:$N95,0,AP$110+1)-INDEX($F95:$N95,0,AP$110))/(INDEX($F$4:$N$4,0,AP$110+1)-INDEX($F$4:$N$4,0,AP$110))+AO114)))</f>
        <v>5.0755618799173963</v>
      </c>
      <c r="AQ114" s="3" cm="1">
        <f t="array" ref="AQ114">IF(AQ$110=-1,AR114,IF(AQ$110=99,AP114,IF(AQ$110=0,INDEX($F95:$N95,0,AQ$108),(INDEX($F95:$N95,0,AQ$110+1)-INDEX($F95:$N95,0,AQ$110))/(INDEX($F$4:$N$4,0,AQ$110+1)-INDEX($F$4:$N$4,0,AQ$110))+AP114)))</f>
        <v>5.1616879853348419</v>
      </c>
      <c r="AR114" s="3" cm="1">
        <f t="array" ref="AR114">IF(AR$110=-1,AS114,IF(AR$110=99,AQ114,IF(AR$110=0,INDEX($F95:$N95,0,AR$108),(INDEX($F95:$N95,0,AR$110+1)-INDEX($F95:$N95,0,AR$110))/(INDEX($F$4:$N$4,0,AR$110+1)-INDEX($F$4:$N$4,0,AR$110))+AQ114)))</f>
        <v>5.2478140907522874</v>
      </c>
      <c r="AS114" s="3" cm="1">
        <f t="array" ref="AS114">IF(AS$110=-1,AT114,IF(AS$110=99,AR114,IF(AS$110=0,INDEX($F95:$N95,0,AS$108),(INDEX($F95:$N95,0,AS$110+1)-INDEX($F95:$N95,0,AS$110))/(INDEX($F$4:$N$4,0,AS$110+1)-INDEX($F$4:$N$4,0,AS$110))+AR114)))</f>
        <v>5.333940196169733</v>
      </c>
      <c r="AT114" s="3" cm="1">
        <f t="array" ref="AT114">IF(AT$110=-1,AU114,IF(AT$110=99,AS114,IF(AT$110=0,INDEX($F95:$N95,0,AT$108),(INDEX($F95:$N95,0,AT$110+1)-INDEX($F95:$N95,0,AT$110))/(INDEX($F$4:$N$4,0,AT$110+1)-INDEX($F$4:$N$4,0,AT$110))+AS114)))</f>
        <v>5.4200663015871786</v>
      </c>
      <c r="AU114" s="3" cm="1">
        <f t="array" ref="AU114">IF(AU$110=-1,AV114,IF(AU$110=99,AT114,IF(AU$110=0,INDEX($F95:$N95,0,AU$108),(INDEX($F95:$N95,0,AU$110+1)-INDEX($F95:$N95,0,AU$110))/(INDEX($F$4:$N$4,0,AU$110+1)-INDEX($F$4:$N$4,0,AU$110))+AT114)))</f>
        <v>5.5061924070046242</v>
      </c>
      <c r="AV114" s="3" cm="1">
        <f t="array" ref="AV114">IF(AV$110=-1,AW114,IF(AV$110=99,AU114,IF(AV$110=0,INDEX($F95:$N95,0,AV$108),(INDEX($F95:$N95,0,AV$110+1)-INDEX($F95:$N95,0,AV$110))/(INDEX($F$4:$N$4,0,AV$110+1)-INDEX($F$4:$N$4,0,AV$110))+AU114)))</f>
        <v>5.5923185124220698</v>
      </c>
      <c r="AW114" s="3" cm="1">
        <f t="array" ref="AW114">IF(AW$110=-1,AX114,IF(AW$110=99,AV114,IF(AW$110=0,INDEX($F95:$N95,0,AW$108),(INDEX($F95:$N95,0,AW$110+1)-INDEX($F95:$N95,0,AW$110))/(INDEX($F$4:$N$4,0,AW$110+1)-INDEX($F$4:$N$4,0,AW$110))+AV114)))</f>
        <v>5.6784446178395154</v>
      </c>
      <c r="AX114" s="3" cm="1">
        <f t="array" ref="AX114">IF(AX$110=-1,AY114,IF(AX$110=99,AW114,IF(AX$110=0,INDEX($F95:$N95,0,AX$108),(INDEX($F95:$N95,0,AX$110+1)-INDEX($F95:$N95,0,AX$110))/(INDEX($F$4:$N$4,0,AX$110+1)-INDEX($F$4:$N$4,0,AX$110))+AW114)))</f>
        <v>5.764570723256961</v>
      </c>
      <c r="AY114" s="3" cm="1">
        <f t="array" ref="AY114">IF(AY$110=-1,AZ114,IF(AY$110=99,AX114,IF(AY$110=0,INDEX($F95:$N95,0,AY$108),(INDEX($F95:$N95,0,AY$110+1)-INDEX($F95:$N95,0,AY$110))/(INDEX($F$4:$N$4,0,AY$110+1)-INDEX($F$4:$N$4,0,AY$110))+AX114)))</f>
        <v>5.8506968286744083</v>
      </c>
      <c r="AZ114" s="3" cm="1">
        <f t="array" ref="AZ114">IF(AZ$110=-1,BA114,IF(AZ$110=99,AY114,IF(AZ$110=0,INDEX($F95:$N95,0,AZ$108),(INDEX($F95:$N95,0,AZ$110+1)-INDEX($F95:$N95,0,AZ$110))/(INDEX($F$4:$N$4,0,AZ$110+1)-INDEX($F$4:$N$4,0,AZ$110))+AY114)))</f>
        <v>5.8506968286744083</v>
      </c>
      <c r="BA114" s="3" cm="1">
        <f t="array" ref="BA114">IF(BA$110=-1,BB114,IF(BA$110=99,AZ114,IF(BA$110=0,INDEX($F95:$N95,0,BA$108),(INDEX($F95:$N95,0,BA$110+1)-INDEX($F95:$N95,0,BA$110))/(INDEX($F$4:$N$4,0,BA$110+1)-INDEX($F$4:$N$4,0,BA$110))+AZ114)))</f>
        <v>5.8506968286744083</v>
      </c>
    </row>
    <row r="115" spans="1:53">
      <c r="A115" s="104" t="s">
        <v>16</v>
      </c>
      <c r="B115" s="16" t="str">
        <f t="shared" si="219"/>
        <v/>
      </c>
      <c r="C115" s="17" t="str">
        <f t="shared" si="220"/>
        <v/>
      </c>
      <c r="D115" s="48" t="str">
        <f>ITEMS_TRA!C19</f>
        <v>TFHCV4</v>
      </c>
      <c r="E115" s="17" t="str">
        <f t="shared" si="221"/>
        <v/>
      </c>
      <c r="H115" s="17" t="str">
        <f t="shared" si="221"/>
        <v/>
      </c>
      <c r="J115" s="17" t="str">
        <f t="shared" si="221"/>
        <v/>
      </c>
      <c r="K115" s="17" t="str">
        <f t="shared" si="221"/>
        <v/>
      </c>
      <c r="L115" s="111" t="str">
        <f t="shared" si="222"/>
        <v/>
      </c>
      <c r="M115" s="3">
        <f>INDEX('[2]TS BYDem'!J$10:J$59,MATCH($D115,'[2]TS BYDem'!D$10:D$59,0))</f>
        <v>0.64156299948434192</v>
      </c>
      <c r="N115" s="3" cm="1">
        <f t="array" ref="N115">IF(N$110=-1,O115,IF(N$110=99,M115,IF(N$110=0,INDEX($F96:$N96,0,N$108),(INDEX($F96:$N96,0,N$110+1)-INDEX($F96:$N96,0,N$110))/(INDEX($F$4:$N$4,0,N$110+1)-INDEX($F$4:$N$4,0,N$110))+M115)))</f>
        <v>0.62717766269161657</v>
      </c>
      <c r="O115" s="3" cm="1">
        <f t="array" ref="O115">IF(O$110=-1,P115,IF(O$110=99,N115,IF(O$110=0,INDEX($F96:$N96,0,O$108),(INDEX($F96:$N96,0,O$110+1)-INDEX($F96:$N96,0,O$110))/(INDEX($F$4:$N$4,0,O$110+1)-INDEX($F$4:$N$4,0,O$110))+N115)))</f>
        <v>0.61279232589889121</v>
      </c>
      <c r="P115" s="3" cm="1">
        <f t="array" ref="P115">IF(P$110=-1,Q115,IF(P$110=99,O115,IF(P$110=0,INDEX($F96:$N96,0,P$108),(INDEX($F96:$N96,0,P$110+1)-INDEX($F96:$N96,0,P$110))/(INDEX($F$4:$N$4,0,P$110+1)-INDEX($F$4:$N$4,0,P$110))+O115)))</f>
        <v>0.59840698910616308</v>
      </c>
      <c r="Q115" s="3" cm="1">
        <f t="array" ref="Q115">IF(Q$110=-1,R115,IF(Q$110=99,P115,IF(Q$110=0,INDEX($F96:$N96,0,Q$108),(INDEX($F96:$N96,0,Q$110+1)-INDEX($F96:$N96,0,Q$110))/(INDEX($F$4:$N$4,0,Q$110+1)-INDEX($F$4:$N$4,0,Q$110))+P115)))</f>
        <v>0.59840698910616308</v>
      </c>
      <c r="R115" s="3" cm="1">
        <f t="array" ref="R115">IF(R$110=-1,S115,IF(R$110=99,Q115,IF(R$110=0,INDEX($F96:$N96,0,R$108),(INDEX($F96:$N96,0,R$110+1)-INDEX($F96:$N96,0,R$110))/(INDEX($F$4:$N$4,0,R$110+1)-INDEX($F$4:$N$4,0,R$110))+Q115)))</f>
        <v>0.59840698910616308</v>
      </c>
      <c r="S115" s="3" cm="1">
        <f t="array" ref="S115">IF(S$110=-1,T115,IF(S$110=99,R115,IF(S$110=0,INDEX($F96:$N96,0,S$108),(INDEX($F96:$N96,0,S$110+1)-INDEX($F96:$N96,0,S$110))/(INDEX($F$4:$N$4,0,S$110+1)-INDEX($F$4:$N$4,0,S$110))+R115)))</f>
        <v>0.60213133185919032</v>
      </c>
      <c r="T115" s="3" cm="1">
        <f t="array" ref="T115">IF(T$110=-1,U115,IF(T$110=99,S115,IF(T$110=0,INDEX($F96:$N96,0,T$108),(INDEX($F96:$N96,0,T$110+1)-INDEX($F96:$N96,0,T$110))/(INDEX($F$4:$N$4,0,T$110+1)-INDEX($F$4:$N$4,0,T$110))+S115)))</f>
        <v>0.60585567461221745</v>
      </c>
      <c r="U115" s="3" cm="1">
        <f t="array" ref="U115">IF(U$110=-1,V115,IF(U$110=99,T115,IF(U$110=0,INDEX($F96:$N96,0,U$108),(INDEX($F96:$N96,0,U$110+1)-INDEX($F96:$N96,0,U$110))/(INDEX($F$4:$N$4,0,U$110+1)-INDEX($F$4:$N$4,0,U$110))+T115)))</f>
        <v>0.58321610806251878</v>
      </c>
      <c r="V115" s="3" cm="1">
        <f t="array" ref="V115">IF(V$110=-1,W115,IF(V$110=99,U115,IF(V$110=0,INDEX($F96:$N96,0,V$108),(INDEX($F96:$N96,0,V$110+1)-INDEX($F96:$N96,0,V$110))/(INDEX($F$4:$N$4,0,V$110+1)-INDEX($F$4:$N$4,0,V$110))+U115)))</f>
        <v>0.59614441087102454</v>
      </c>
      <c r="W115" s="3" cm="1">
        <f t="array" ref="W115">IF(W$110=-1,X115,IF(W$110=99,V115,IF(W$110=0,INDEX($F96:$N96,0,W$108),(INDEX($F96:$N96,0,W$110+1)-INDEX($F96:$N96,0,W$110))/(INDEX($F$4:$N$4,0,W$110+1)-INDEX($F$4:$N$4,0,W$110))+V115)))</f>
        <v>0.6084518961236729</v>
      </c>
      <c r="X115" s="3" cm="1">
        <f t="array" ref="X115">IF(X$110=-1,Y115,IF(X$110=99,W115,IF(X$110=0,INDEX($F96:$N96,0,X$108),(INDEX($F96:$N96,0,X$110+1)-INDEX($F96:$N96,0,X$110))/(INDEX($F$4:$N$4,0,X$110+1)-INDEX($F$4:$N$4,0,X$110))+W115)))</f>
        <v>0.62075938137632125</v>
      </c>
      <c r="Y115" s="3" cm="1">
        <f t="array" ref="Y115">IF(Y$110=-1,Z115,IF(Y$110=99,X115,IF(Y$110=0,INDEX($F96:$N96,0,Y$108),(INDEX($F96:$N96,0,Y$110+1)-INDEX($F96:$N96,0,Y$110))/(INDEX($F$4:$N$4,0,Y$110+1)-INDEX($F$4:$N$4,0,Y$110))+X115)))</f>
        <v>0.6330668666289696</v>
      </c>
      <c r="Z115" s="3" cm="1">
        <f t="array" ref="Z115">IF(Z$110=-1,AA115,IF(Z$110=99,Y115,IF(Z$110=0,INDEX($F96:$N96,0,Z$108),(INDEX($F96:$N96,0,Z$110+1)-INDEX($F96:$N96,0,Z$110))/(INDEX($F$4:$N$4,0,Z$110+1)-INDEX($F$4:$N$4,0,Z$110))+Y115)))</f>
        <v>0.64537435188161796</v>
      </c>
      <c r="AA115" s="3" cm="1">
        <f t="array" ref="AA115">IF(AA$110=-1,AB115,IF(AA$110=99,Z115,IF(AA$110=0,INDEX($F96:$N96,0,AA$108),(INDEX($F96:$N96,0,AA$110+1)-INDEX($F96:$N96,0,AA$110))/(INDEX($F$4:$N$4,0,AA$110+1)-INDEX($F$4:$N$4,0,AA$110))+Z115)))</f>
        <v>0.65768183713426631</v>
      </c>
      <c r="AB115" s="3" cm="1">
        <f t="array" ref="AB115">IF(AB$110=-1,AC115,IF(AB$110=99,AA115,IF(AB$110=0,INDEX($F96:$N96,0,AB$108),(INDEX($F96:$N96,0,AB$110+1)-INDEX($F96:$N96,0,AB$110))/(INDEX($F$4:$N$4,0,AB$110+1)-INDEX($F$4:$N$4,0,AB$110))+AA115)))</f>
        <v>0.66998932238691467</v>
      </c>
      <c r="AC115" s="3" cm="1">
        <f t="array" ref="AC115">IF(AC$110=-1,AD115,IF(AC$110=99,AB115,IF(AC$110=0,INDEX($F96:$N96,0,AC$108),(INDEX($F96:$N96,0,AC$110+1)-INDEX($F96:$N96,0,AC$110))/(INDEX($F$4:$N$4,0,AC$110+1)-INDEX($F$4:$N$4,0,AC$110))+AB115)))</f>
        <v>0.68229680763956302</v>
      </c>
      <c r="AD115" s="3" cm="1">
        <f t="array" ref="AD115">IF(AD$110=-1,AE115,IF(AD$110=99,AC115,IF(AD$110=0,INDEX($F96:$N96,0,AD$108),(INDEX($F96:$N96,0,AD$110+1)-INDEX($F96:$N96,0,AD$110))/(INDEX($F$4:$N$4,0,AD$110+1)-INDEX($F$4:$N$4,0,AD$110))+AC115)))</f>
        <v>0.69460429289221137</v>
      </c>
      <c r="AE115" s="3" cm="1">
        <f t="array" ref="AE115">IF(AE$110=-1,AF115,IF(AE$110=99,AD115,IF(AE$110=0,INDEX($F96:$N96,0,AE$108),(INDEX($F96:$N96,0,AE$110+1)-INDEX($F96:$N96,0,AE$110))/(INDEX($F$4:$N$4,0,AE$110+1)-INDEX($F$4:$N$4,0,AE$110))+AD115)))</f>
        <v>0.70691177814486006</v>
      </c>
      <c r="AF115" s="3" cm="1">
        <f t="array" ref="AF115">IF(AF$110=-1,AG115,IF(AF$110=99,AE115,IF(AF$110=0,INDEX($F96:$N96,0,AF$108),(INDEX($F96:$N96,0,AF$110+1)-INDEX($F96:$N96,0,AF$110))/(INDEX($F$4:$N$4,0,AF$110+1)-INDEX($F$4:$N$4,0,AF$110))+AE115)))</f>
        <v>0.72671446357476444</v>
      </c>
      <c r="AG115" s="3" cm="1">
        <f t="array" ref="AG115">IF(AG$110=-1,AH115,IF(AG$110=99,AF115,IF(AG$110=0,INDEX($F96:$N96,0,AG$108),(INDEX($F96:$N96,0,AG$110+1)-INDEX($F96:$N96,0,AG$110))/(INDEX($F$4:$N$4,0,AG$110+1)-INDEX($F$4:$N$4,0,AG$110))+AF115)))</f>
        <v>0.74651714900466881</v>
      </c>
      <c r="AH115" s="3" cm="1">
        <f t="array" ref="AH115">IF(AH$110=-1,AI115,IF(AH$110=99,AG115,IF(AH$110=0,INDEX($F96:$N96,0,AH$108),(INDEX($F96:$N96,0,AH$110+1)-INDEX($F96:$N96,0,AH$110))/(INDEX($F$4:$N$4,0,AH$110+1)-INDEX($F$4:$N$4,0,AH$110))+AG115)))</f>
        <v>0.76631983443457319</v>
      </c>
      <c r="AI115" s="3" cm="1">
        <f t="array" ref="AI115">IF(AI$110=-1,AJ115,IF(AI$110=99,AH115,IF(AI$110=0,INDEX($F96:$N96,0,AI$108),(INDEX($F96:$N96,0,AI$110+1)-INDEX($F96:$N96,0,AI$110))/(INDEX($F$4:$N$4,0,AI$110+1)-INDEX($F$4:$N$4,0,AI$110))+AH115)))</f>
        <v>0.78612251986447756</v>
      </c>
      <c r="AJ115" s="3" cm="1">
        <f t="array" ref="AJ115">IF(AJ$110=-1,AK115,IF(AJ$110=99,AI115,IF(AJ$110=0,INDEX($F96:$N96,0,AJ$108),(INDEX($F96:$N96,0,AJ$110+1)-INDEX($F96:$N96,0,AJ$110))/(INDEX($F$4:$N$4,0,AJ$110+1)-INDEX($F$4:$N$4,0,AJ$110))+AI115)))</f>
        <v>0.80592520529438194</v>
      </c>
      <c r="AK115" s="3" cm="1">
        <f t="array" ref="AK115">IF(AK$110=-1,AL115,IF(AK$110=99,AJ115,IF(AK$110=0,INDEX($F96:$N96,0,AK$108),(INDEX($F96:$N96,0,AK$110+1)-INDEX($F96:$N96,0,AK$110))/(INDEX($F$4:$N$4,0,AK$110+1)-INDEX($F$4:$N$4,0,AK$110))+AJ115)))</f>
        <v>0.82572789072428632</v>
      </c>
      <c r="AL115" s="3" cm="1">
        <f t="array" ref="AL115">IF(AL$110=-1,AM115,IF(AL$110=99,AK115,IF(AL$110=0,INDEX($F96:$N96,0,AL$108),(INDEX($F96:$N96,0,AL$110+1)-INDEX($F96:$N96,0,AL$110))/(INDEX($F$4:$N$4,0,AL$110+1)-INDEX($F$4:$N$4,0,AL$110))+AK115)))</f>
        <v>0.84553057615419069</v>
      </c>
      <c r="AM115" s="3" cm="1">
        <f t="array" ref="AM115">IF(AM$110=-1,AN115,IF(AM$110=99,AL115,IF(AM$110=0,INDEX($F96:$N96,0,AM$108),(INDEX($F96:$N96,0,AM$110+1)-INDEX($F96:$N96,0,AM$110))/(INDEX($F$4:$N$4,0,AM$110+1)-INDEX($F$4:$N$4,0,AM$110))+AL115)))</f>
        <v>0.86533326158409507</v>
      </c>
      <c r="AN115" s="3" cm="1">
        <f t="array" ref="AN115">IF(AN$110=-1,AO115,IF(AN$110=99,AM115,IF(AN$110=0,INDEX($F96:$N96,0,AN$108),(INDEX($F96:$N96,0,AN$110+1)-INDEX($F96:$N96,0,AN$110))/(INDEX($F$4:$N$4,0,AN$110+1)-INDEX($F$4:$N$4,0,AN$110))+AM115)))</f>
        <v>0.88513594701399945</v>
      </c>
      <c r="AO115" s="3" cm="1">
        <f t="array" ref="AO115">IF(AO$110=-1,AP115,IF(AO$110=99,AN115,IF(AO$110=0,INDEX($F96:$N96,0,AO$108),(INDEX($F96:$N96,0,AO$110+1)-INDEX($F96:$N96,0,AO$110))/(INDEX($F$4:$N$4,0,AO$110+1)-INDEX($F$4:$N$4,0,AO$110))+AN115)))</f>
        <v>0.9049386324439036</v>
      </c>
      <c r="AP115" s="3" cm="1">
        <f t="array" ref="AP115">IF(AP$110=-1,AQ115,IF(AP$110=99,AO115,IF(AP$110=0,INDEX($F96:$N96,0,AP$108),(INDEX($F96:$N96,0,AP$110+1)-INDEX($F96:$N96,0,AP$110))/(INDEX($F$4:$N$4,0,AP$110+1)-INDEX($F$4:$N$4,0,AP$110))+AO115)))</f>
        <v>0.92055940472691666</v>
      </c>
      <c r="AQ115" s="3" cm="1">
        <f t="array" ref="AQ115">IF(AQ$110=-1,AR115,IF(AQ$110=99,AP115,IF(AQ$110=0,INDEX($F96:$N96,0,AQ$108),(INDEX($F96:$N96,0,AQ$110+1)-INDEX($F96:$N96,0,AQ$110))/(INDEX($F$4:$N$4,0,AQ$110+1)-INDEX($F$4:$N$4,0,AQ$110))+AP115)))</f>
        <v>0.93618017700992973</v>
      </c>
      <c r="AR115" s="3" cm="1">
        <f t="array" ref="AR115">IF(AR$110=-1,AS115,IF(AR$110=99,AQ115,IF(AR$110=0,INDEX($F96:$N96,0,AR$108),(INDEX($F96:$N96,0,AR$110+1)-INDEX($F96:$N96,0,AR$110))/(INDEX($F$4:$N$4,0,AR$110+1)-INDEX($F$4:$N$4,0,AR$110))+AQ115)))</f>
        <v>0.95180094929294279</v>
      </c>
      <c r="AS115" s="3" cm="1">
        <f t="array" ref="AS115">IF(AS$110=-1,AT115,IF(AS$110=99,AR115,IF(AS$110=0,INDEX($F96:$N96,0,AS$108),(INDEX($F96:$N96,0,AS$110+1)-INDEX($F96:$N96,0,AS$110))/(INDEX($F$4:$N$4,0,AS$110+1)-INDEX($F$4:$N$4,0,AS$110))+AR115)))</f>
        <v>0.96742172157595585</v>
      </c>
      <c r="AT115" s="3" cm="1">
        <f t="array" ref="AT115">IF(AT$110=-1,AU115,IF(AT$110=99,AS115,IF(AT$110=0,INDEX($F96:$N96,0,AT$108),(INDEX($F96:$N96,0,AT$110+1)-INDEX($F96:$N96,0,AT$110))/(INDEX($F$4:$N$4,0,AT$110+1)-INDEX($F$4:$N$4,0,AT$110))+AS115)))</f>
        <v>0.98304249385896891</v>
      </c>
      <c r="AU115" s="3" cm="1">
        <f t="array" ref="AU115">IF(AU$110=-1,AV115,IF(AU$110=99,AT115,IF(AU$110=0,INDEX($F96:$N96,0,AU$108),(INDEX($F96:$N96,0,AU$110+1)-INDEX($F96:$N96,0,AU$110))/(INDEX($F$4:$N$4,0,AU$110+1)-INDEX($F$4:$N$4,0,AU$110))+AT115)))</f>
        <v>0.99866326614198198</v>
      </c>
      <c r="AV115" s="3" cm="1">
        <f t="array" ref="AV115">IF(AV$110=-1,AW115,IF(AV$110=99,AU115,IF(AV$110=0,INDEX($F96:$N96,0,AV$108),(INDEX($F96:$N96,0,AV$110+1)-INDEX($F96:$N96,0,AV$110))/(INDEX($F$4:$N$4,0,AV$110+1)-INDEX($F$4:$N$4,0,AV$110))+AU115)))</f>
        <v>1.0142840384249951</v>
      </c>
      <c r="AW115" s="3" cm="1">
        <f t="array" ref="AW115">IF(AW$110=-1,AX115,IF(AW$110=99,AV115,IF(AW$110=0,INDEX($F96:$N96,0,AW$108),(INDEX($F96:$N96,0,AW$110+1)-INDEX($F96:$N96,0,AW$110))/(INDEX($F$4:$N$4,0,AW$110+1)-INDEX($F$4:$N$4,0,AW$110))+AV115)))</f>
        <v>1.0299048107080082</v>
      </c>
      <c r="AX115" s="3" cm="1">
        <f t="array" ref="AX115">IF(AX$110=-1,AY115,IF(AX$110=99,AW115,IF(AX$110=0,INDEX($F96:$N96,0,AX$108),(INDEX($F96:$N96,0,AX$110+1)-INDEX($F96:$N96,0,AX$110))/(INDEX($F$4:$N$4,0,AX$110+1)-INDEX($F$4:$N$4,0,AX$110))+AW115)))</f>
        <v>1.0455255829910213</v>
      </c>
      <c r="AY115" s="3" cm="1">
        <f t="array" ref="AY115">IF(AY$110=-1,AZ115,IF(AY$110=99,AX115,IF(AY$110=0,INDEX($F96:$N96,0,AY$108),(INDEX($F96:$N96,0,AY$110+1)-INDEX($F96:$N96,0,AY$110))/(INDEX($F$4:$N$4,0,AY$110+1)-INDEX($F$4:$N$4,0,AY$110))+AX115)))</f>
        <v>1.0611463552740346</v>
      </c>
      <c r="AZ115" s="3" cm="1">
        <f t="array" ref="AZ115">IF(AZ$110=-1,BA115,IF(AZ$110=99,AY115,IF(AZ$110=0,INDEX($F96:$N96,0,AZ$108),(INDEX($F96:$N96,0,AZ$110+1)-INDEX($F96:$N96,0,AZ$110))/(INDEX($F$4:$N$4,0,AZ$110+1)-INDEX($F$4:$N$4,0,AZ$110))+AY115)))</f>
        <v>1.0611463552740346</v>
      </c>
      <c r="BA115" s="3" cm="1">
        <f t="array" ref="BA115">IF(BA$110=-1,BB115,IF(BA$110=99,AZ115,IF(BA$110=0,INDEX($F96:$N96,0,BA$108),(INDEX($F96:$N96,0,BA$110+1)-INDEX($F96:$N96,0,BA$110))/(INDEX($F$4:$N$4,0,BA$110+1)-INDEX($F$4:$N$4,0,BA$110))+AZ115)))</f>
        <v>1.0611463552740346</v>
      </c>
    </row>
    <row r="116" spans="1:53">
      <c r="A116" s="104" t="s">
        <v>16</v>
      </c>
      <c r="B116" s="16" t="str">
        <f t="shared" si="219"/>
        <v/>
      </c>
      <c r="C116" s="17" t="str">
        <f t="shared" si="220"/>
        <v/>
      </c>
      <c r="D116" s="48" t="str">
        <f>ITEMS_TRA!C20</f>
        <v>TFHCV5</v>
      </c>
      <c r="E116" s="17" t="str">
        <f t="shared" si="221"/>
        <v/>
      </c>
      <c r="H116" s="17" t="str">
        <f t="shared" si="221"/>
        <v/>
      </c>
      <c r="J116" s="17" t="str">
        <f t="shared" si="221"/>
        <v/>
      </c>
      <c r="K116" s="17" t="str">
        <f t="shared" si="221"/>
        <v/>
      </c>
      <c r="L116" s="111" t="str">
        <f t="shared" si="222"/>
        <v/>
      </c>
      <c r="M116" s="3">
        <f>INDEX('[2]TS BYDem'!J$10:J$59,MATCH($D116,'[2]TS BYDem'!D$10:D$59,0))</f>
        <v>0.28132785630344881</v>
      </c>
      <c r="N116" s="3" cm="1">
        <f t="array" ref="N116">IF(N$110=-1,O116,IF(N$110=99,M116,IF(N$110=0,INDEX($F97:$N97,0,N$108),(INDEX($F97:$N97,0,N$110+1)-INDEX($F97:$N97,0,N$110))/(INDEX($F$4:$N$4,0,N$110+1)-INDEX($F$4:$N$4,0,N$110))+M116)))</f>
        <v>0.28410456292842851</v>
      </c>
      <c r="O116" s="3" cm="1">
        <f t="array" ref="O116">IF(O$110=-1,P116,IF(O$110=99,N116,IF(O$110=0,INDEX($F97:$N97,0,O$108),(INDEX($F97:$N97,0,O$110+1)-INDEX($F97:$N97,0,O$110))/(INDEX($F$4:$N$4,0,O$110+1)-INDEX($F$4:$N$4,0,O$110))+N116)))</f>
        <v>0.2868812695534082</v>
      </c>
      <c r="P116" s="3" cm="1">
        <f t="array" ref="P116">IF(P$110=-1,Q116,IF(P$110=99,O116,IF(P$110=0,INDEX($F97:$N97,0,P$108),(INDEX($F97:$N97,0,P$110+1)-INDEX($F97:$N97,0,P$110))/(INDEX($F$4:$N$4,0,P$110+1)-INDEX($F$4:$N$4,0,P$110))+O116)))</f>
        <v>0.28965797617838801</v>
      </c>
      <c r="Q116" s="3" cm="1">
        <f t="array" ref="Q116">IF(Q$110=-1,R116,IF(Q$110=99,P116,IF(Q$110=0,INDEX($F97:$N97,0,Q$108),(INDEX($F97:$N97,0,Q$110+1)-INDEX($F97:$N97,0,Q$110))/(INDEX($F$4:$N$4,0,Q$110+1)-INDEX($F$4:$N$4,0,Q$110))+P116)))</f>
        <v>0.29382303611585753</v>
      </c>
      <c r="R116" s="3" cm="1">
        <f t="array" ref="R116">IF(R$110=-1,S116,IF(R$110=99,Q116,IF(R$110=0,INDEX($F97:$N97,0,R$108),(INDEX($F97:$N97,0,R$110+1)-INDEX($F97:$N97,0,R$110))/(INDEX($F$4:$N$4,0,R$110+1)-INDEX($F$4:$N$4,0,R$110))+Q116)))</f>
        <v>0.29798809605332705</v>
      </c>
      <c r="S116" s="3" cm="1">
        <f t="array" ref="S116">IF(S$110=-1,T116,IF(S$110=99,R116,IF(S$110=0,INDEX($F97:$N97,0,S$108),(INDEX($F97:$N97,0,S$110+1)-INDEX($F97:$N97,0,S$110))/(INDEX($F$4:$N$4,0,S$110+1)-INDEX($F$4:$N$4,0,S$110))+R116)))</f>
        <v>0.29984270307869332</v>
      </c>
      <c r="T116" s="3" cm="1">
        <f t="array" ref="T116">IF(T$110=-1,U116,IF(T$110=99,S116,IF(T$110=0,INDEX($F97:$N97,0,T$108),(INDEX($F97:$N97,0,T$110+1)-INDEX($F97:$N97,0,T$110))/(INDEX($F$4:$N$4,0,T$110+1)-INDEX($F$4:$N$4,0,T$110))+S116)))</f>
        <v>0.30169731010405959</v>
      </c>
      <c r="U116" s="3" cm="1">
        <f t="array" ref="U116">IF(U$110=-1,V116,IF(U$110=99,T116,IF(U$110=0,INDEX($F97:$N97,0,U$108),(INDEX($F97:$N97,0,U$110+1)-INDEX($F97:$N97,0,U$110))/(INDEX($F$4:$N$4,0,U$110+1)-INDEX($F$4:$N$4,0,U$110))+T116)))</f>
        <v>0.29042350907159797</v>
      </c>
      <c r="V116" s="3" cm="1">
        <f t="array" ref="V116">IF(V$110=-1,W116,IF(V$110=99,U116,IF(V$110=0,INDEX($F97:$N97,0,V$108),(INDEX($F97:$N97,0,V$110+1)-INDEX($F97:$N97,0,V$110))/(INDEX($F$4:$N$4,0,V$110+1)-INDEX($F$4:$N$4,0,V$110))+U116)))</f>
        <v>0.29686140236034775</v>
      </c>
      <c r="W116" s="3" cm="1">
        <f t="array" ref="W116">IF(W$110=-1,X116,IF(W$110=99,V116,IF(W$110=0,INDEX($F97:$N97,0,W$108),(INDEX($F97:$N97,0,W$110+1)-INDEX($F97:$N97,0,W$110))/(INDEX($F$4:$N$4,0,W$110+1)-INDEX($F$4:$N$4,0,W$110))+V116)))</f>
        <v>0.30299014778679939</v>
      </c>
      <c r="X116" s="3" cm="1">
        <f t="array" ref="X116">IF(X$110=-1,Y116,IF(X$110=99,W116,IF(X$110=0,INDEX($F97:$N97,0,X$108),(INDEX($F97:$N97,0,X$110+1)-INDEX($F97:$N97,0,X$110))/(INDEX($F$4:$N$4,0,X$110+1)-INDEX($F$4:$N$4,0,X$110))+W116)))</f>
        <v>0.30911889321325103</v>
      </c>
      <c r="Y116" s="3" cm="1">
        <f t="array" ref="Y116">IF(Y$110=-1,Z116,IF(Y$110=99,X116,IF(Y$110=0,INDEX($F97:$N97,0,Y$108),(INDEX($F97:$N97,0,Y$110+1)-INDEX($F97:$N97,0,Y$110))/(INDEX($F$4:$N$4,0,Y$110+1)-INDEX($F$4:$N$4,0,Y$110))+X116)))</f>
        <v>0.31524763863970268</v>
      </c>
      <c r="Z116" s="3" cm="1">
        <f t="array" ref="Z116">IF(Z$110=-1,AA116,IF(Z$110=99,Y116,IF(Z$110=0,INDEX($F97:$N97,0,Z$108),(INDEX($F97:$N97,0,Z$110+1)-INDEX($F97:$N97,0,Z$110))/(INDEX($F$4:$N$4,0,Z$110+1)-INDEX($F$4:$N$4,0,Z$110))+Y116)))</f>
        <v>0.32137638406615432</v>
      </c>
      <c r="AA116" s="3" cm="1">
        <f t="array" ref="AA116">IF(AA$110=-1,AB116,IF(AA$110=99,Z116,IF(AA$110=0,INDEX($F97:$N97,0,AA$108),(INDEX($F97:$N97,0,AA$110+1)-INDEX($F97:$N97,0,AA$110))/(INDEX($F$4:$N$4,0,AA$110+1)-INDEX($F$4:$N$4,0,AA$110))+Z116)))</f>
        <v>0.32750512949260596</v>
      </c>
      <c r="AB116" s="3" cm="1">
        <f t="array" ref="AB116">IF(AB$110=-1,AC116,IF(AB$110=99,AA116,IF(AB$110=0,INDEX($F97:$N97,0,AB$108),(INDEX($F97:$N97,0,AB$110+1)-INDEX($F97:$N97,0,AB$110))/(INDEX($F$4:$N$4,0,AB$110+1)-INDEX($F$4:$N$4,0,AB$110))+AA116)))</f>
        <v>0.3336338749190576</v>
      </c>
      <c r="AC116" s="3" cm="1">
        <f t="array" ref="AC116">IF(AC$110=-1,AD116,IF(AC$110=99,AB116,IF(AC$110=0,INDEX($F97:$N97,0,AC$108),(INDEX($F97:$N97,0,AC$110+1)-INDEX($F97:$N97,0,AC$110))/(INDEX($F$4:$N$4,0,AC$110+1)-INDEX($F$4:$N$4,0,AC$110))+AB116)))</f>
        <v>0.33976262034550925</v>
      </c>
      <c r="AD116" s="3" cm="1">
        <f t="array" ref="AD116">IF(AD$110=-1,AE116,IF(AD$110=99,AC116,IF(AD$110=0,INDEX($F97:$N97,0,AD$108),(INDEX($F97:$N97,0,AD$110+1)-INDEX($F97:$N97,0,AD$110))/(INDEX($F$4:$N$4,0,AD$110+1)-INDEX($F$4:$N$4,0,AD$110))+AC116)))</f>
        <v>0.34589136577196089</v>
      </c>
      <c r="AE116" s="3" cm="1">
        <f t="array" ref="AE116">IF(AE$110=-1,AF116,IF(AE$110=99,AD116,IF(AE$110=0,INDEX($F97:$N97,0,AE$108),(INDEX($F97:$N97,0,AE$110+1)-INDEX($F97:$N97,0,AE$110))/(INDEX($F$4:$N$4,0,AE$110+1)-INDEX($F$4:$N$4,0,AE$110))+AD116)))</f>
        <v>0.35202011119841253</v>
      </c>
      <c r="AF116" s="3" cm="1">
        <f t="array" ref="AF116">IF(AF$110=-1,AG116,IF(AF$110=99,AE116,IF(AF$110=0,INDEX($F97:$N97,0,AF$108),(INDEX($F97:$N97,0,AF$110+1)-INDEX($F97:$N97,0,AF$110))/(INDEX($F$4:$N$4,0,AF$110+1)-INDEX($F$4:$N$4,0,AF$110))+AE116)))</f>
        <v>0.36188123353726487</v>
      </c>
      <c r="AG116" s="3" cm="1">
        <f t="array" ref="AG116">IF(AG$110=-1,AH116,IF(AG$110=99,AF116,IF(AG$110=0,INDEX($F97:$N97,0,AG$108),(INDEX($F97:$N97,0,AG$110+1)-INDEX($F97:$N97,0,AG$110))/(INDEX($F$4:$N$4,0,AG$110+1)-INDEX($F$4:$N$4,0,AG$110))+AF116)))</f>
        <v>0.3717423558761172</v>
      </c>
      <c r="AH116" s="3" cm="1">
        <f t="array" ref="AH116">IF(AH$110=-1,AI116,IF(AH$110=99,AG116,IF(AH$110=0,INDEX($F97:$N97,0,AH$108),(INDEX($F97:$N97,0,AH$110+1)-INDEX($F97:$N97,0,AH$110))/(INDEX($F$4:$N$4,0,AH$110+1)-INDEX($F$4:$N$4,0,AH$110))+AG116)))</f>
        <v>0.38160347821496954</v>
      </c>
      <c r="AI116" s="3" cm="1">
        <f t="array" ref="AI116">IF(AI$110=-1,AJ116,IF(AI$110=99,AH116,IF(AI$110=0,INDEX($F97:$N97,0,AI$108),(INDEX($F97:$N97,0,AI$110+1)-INDEX($F97:$N97,0,AI$110))/(INDEX($F$4:$N$4,0,AI$110+1)-INDEX($F$4:$N$4,0,AI$110))+AH116)))</f>
        <v>0.39146460055382187</v>
      </c>
      <c r="AJ116" s="3" cm="1">
        <f t="array" ref="AJ116">IF(AJ$110=-1,AK116,IF(AJ$110=99,AI116,IF(AJ$110=0,INDEX($F97:$N97,0,AJ$108),(INDEX($F97:$N97,0,AJ$110+1)-INDEX($F97:$N97,0,AJ$110))/(INDEX($F$4:$N$4,0,AJ$110+1)-INDEX($F$4:$N$4,0,AJ$110))+AI116)))</f>
        <v>0.40132572289267421</v>
      </c>
      <c r="AK116" s="3" cm="1">
        <f t="array" ref="AK116">IF(AK$110=-1,AL116,IF(AK$110=99,AJ116,IF(AK$110=0,INDEX($F97:$N97,0,AK$108),(INDEX($F97:$N97,0,AK$110+1)-INDEX($F97:$N97,0,AK$110))/(INDEX($F$4:$N$4,0,AK$110+1)-INDEX($F$4:$N$4,0,AK$110))+AJ116)))</f>
        <v>0.41118684523152654</v>
      </c>
      <c r="AL116" s="3" cm="1">
        <f t="array" ref="AL116">IF(AL$110=-1,AM116,IF(AL$110=99,AK116,IF(AL$110=0,INDEX($F97:$N97,0,AL$108),(INDEX($F97:$N97,0,AL$110+1)-INDEX($F97:$N97,0,AL$110))/(INDEX($F$4:$N$4,0,AL$110+1)-INDEX($F$4:$N$4,0,AL$110))+AK116)))</f>
        <v>0.42104796757037888</v>
      </c>
      <c r="AM116" s="3" cm="1">
        <f t="array" ref="AM116">IF(AM$110=-1,AN116,IF(AM$110=99,AL116,IF(AM$110=0,INDEX($F97:$N97,0,AM$108),(INDEX($F97:$N97,0,AM$110+1)-INDEX($F97:$N97,0,AM$110))/(INDEX($F$4:$N$4,0,AM$110+1)-INDEX($F$4:$N$4,0,AM$110))+AL116)))</f>
        <v>0.43090908990923121</v>
      </c>
      <c r="AN116" s="3" cm="1">
        <f t="array" ref="AN116">IF(AN$110=-1,AO116,IF(AN$110=99,AM116,IF(AN$110=0,INDEX($F97:$N97,0,AN$108),(INDEX($F97:$N97,0,AN$110+1)-INDEX($F97:$N97,0,AN$110))/(INDEX($F$4:$N$4,0,AN$110+1)-INDEX($F$4:$N$4,0,AN$110))+AM116)))</f>
        <v>0.44077021224808355</v>
      </c>
      <c r="AO116" s="3" cm="1">
        <f t="array" ref="AO116">IF(AO$110=-1,AP116,IF(AO$110=99,AN116,IF(AO$110=0,INDEX($F97:$N97,0,AO$108),(INDEX($F97:$N97,0,AO$110+1)-INDEX($F97:$N97,0,AO$110))/(INDEX($F$4:$N$4,0,AO$110+1)-INDEX($F$4:$N$4,0,AO$110))+AN116)))</f>
        <v>0.45063133458693594</v>
      </c>
      <c r="AP116" s="3" cm="1">
        <f t="array" ref="AP116">IF(AP$110=-1,AQ116,IF(AP$110=99,AO116,IF(AP$110=0,INDEX($F97:$N97,0,AP$108),(INDEX($F97:$N97,0,AP$110+1)-INDEX($F97:$N97,0,AP$110))/(INDEX($F$4:$N$4,0,AP$110+1)-INDEX($F$4:$N$4,0,AP$110))+AO116)))</f>
        <v>0.45840999405488519</v>
      </c>
      <c r="AQ116" s="3" cm="1">
        <f t="array" ref="AQ116">IF(AQ$110=-1,AR116,IF(AQ$110=99,AP116,IF(AQ$110=0,INDEX($F97:$N97,0,AQ$108),(INDEX($F97:$N97,0,AQ$110+1)-INDEX($F97:$N97,0,AQ$110))/(INDEX($F$4:$N$4,0,AQ$110+1)-INDEX($F$4:$N$4,0,AQ$110))+AP116)))</f>
        <v>0.46618865352283445</v>
      </c>
      <c r="AR116" s="3" cm="1">
        <f t="array" ref="AR116">IF(AR$110=-1,AS116,IF(AR$110=99,AQ116,IF(AR$110=0,INDEX($F97:$N97,0,AR$108),(INDEX($F97:$N97,0,AR$110+1)-INDEX($F97:$N97,0,AR$110))/(INDEX($F$4:$N$4,0,AR$110+1)-INDEX($F$4:$N$4,0,AR$110))+AQ116)))</f>
        <v>0.47396731299078371</v>
      </c>
      <c r="AS116" s="3" cm="1">
        <f t="array" ref="AS116">IF(AS$110=-1,AT116,IF(AS$110=99,AR116,IF(AS$110=0,INDEX($F97:$N97,0,AS$108),(INDEX($F97:$N97,0,AS$110+1)-INDEX($F97:$N97,0,AS$110))/(INDEX($F$4:$N$4,0,AS$110+1)-INDEX($F$4:$N$4,0,AS$110))+AR116)))</f>
        <v>0.48174597245873296</v>
      </c>
      <c r="AT116" s="3" cm="1">
        <f t="array" ref="AT116">IF(AT$110=-1,AU116,IF(AT$110=99,AS116,IF(AT$110=0,INDEX($F97:$N97,0,AT$108),(INDEX($F97:$N97,0,AT$110+1)-INDEX($F97:$N97,0,AT$110))/(INDEX($F$4:$N$4,0,AT$110+1)-INDEX($F$4:$N$4,0,AT$110))+AS116)))</f>
        <v>0.48952463192668222</v>
      </c>
      <c r="AU116" s="3" cm="1">
        <f t="array" ref="AU116">IF(AU$110=-1,AV116,IF(AU$110=99,AT116,IF(AU$110=0,INDEX($F97:$N97,0,AU$108),(INDEX($F97:$N97,0,AU$110+1)-INDEX($F97:$N97,0,AU$110))/(INDEX($F$4:$N$4,0,AU$110+1)-INDEX($F$4:$N$4,0,AU$110))+AT116)))</f>
        <v>0.49730329139463147</v>
      </c>
      <c r="AV116" s="3" cm="1">
        <f t="array" ref="AV116">IF(AV$110=-1,AW116,IF(AV$110=99,AU116,IF(AV$110=0,INDEX($F97:$N97,0,AV$108),(INDEX($F97:$N97,0,AV$110+1)-INDEX($F97:$N97,0,AV$110))/(INDEX($F$4:$N$4,0,AV$110+1)-INDEX($F$4:$N$4,0,AV$110))+AU116)))</f>
        <v>0.50508195086258068</v>
      </c>
      <c r="AW116" s="3" cm="1">
        <f t="array" ref="AW116">IF(AW$110=-1,AX116,IF(AW$110=99,AV116,IF(AW$110=0,INDEX($F97:$N97,0,AW$108),(INDEX($F97:$N97,0,AW$110+1)-INDEX($F97:$N97,0,AW$110))/(INDEX($F$4:$N$4,0,AW$110+1)-INDEX($F$4:$N$4,0,AW$110))+AV116)))</f>
        <v>0.51286061033052988</v>
      </c>
      <c r="AX116" s="3" cm="1">
        <f t="array" ref="AX116">IF(AX$110=-1,AY116,IF(AX$110=99,AW116,IF(AX$110=0,INDEX($F97:$N97,0,AX$108),(INDEX($F97:$N97,0,AX$110+1)-INDEX($F97:$N97,0,AX$110))/(INDEX($F$4:$N$4,0,AX$110+1)-INDEX($F$4:$N$4,0,AX$110))+AW116)))</f>
        <v>0.52063926979847908</v>
      </c>
      <c r="AY116" s="3" cm="1">
        <f t="array" ref="AY116">IF(AY$110=-1,AZ116,IF(AY$110=99,AX116,IF(AY$110=0,INDEX($F97:$N97,0,AY$108),(INDEX($F97:$N97,0,AY$110+1)-INDEX($F97:$N97,0,AY$110))/(INDEX($F$4:$N$4,0,AY$110+1)-INDEX($F$4:$N$4,0,AY$110))+AX116)))</f>
        <v>0.52841792926642828</v>
      </c>
      <c r="AZ116" s="3" cm="1">
        <f t="array" ref="AZ116">IF(AZ$110=-1,BA116,IF(AZ$110=99,AY116,IF(AZ$110=0,INDEX($F97:$N97,0,AZ$108),(INDEX($F97:$N97,0,AZ$110+1)-INDEX($F97:$N97,0,AZ$110))/(INDEX($F$4:$N$4,0,AZ$110+1)-INDEX($F$4:$N$4,0,AZ$110))+AY116)))</f>
        <v>0.52841792926642828</v>
      </c>
      <c r="BA116" s="3" cm="1">
        <f t="array" ref="BA116">IF(BA$110=-1,BB116,IF(BA$110=99,AZ116,IF(BA$110=0,INDEX($F97:$N97,0,BA$108),(INDEX($F97:$N97,0,BA$110+1)-INDEX($F97:$N97,0,BA$110))/(INDEX($F$4:$N$4,0,BA$110+1)-INDEX($F$4:$N$4,0,BA$110))+AZ116)))</f>
        <v>0.52841792926642828</v>
      </c>
    </row>
    <row r="117" spans="1:53">
      <c r="A117" s="104" t="s">
        <v>16</v>
      </c>
      <c r="B117" s="16" t="str">
        <f t="shared" si="219"/>
        <v/>
      </c>
      <c r="C117" s="17" t="str">
        <f t="shared" si="220"/>
        <v/>
      </c>
      <c r="D117" s="48" t="str">
        <f>ITEMS_TRA!C21</f>
        <v>TFHCV6</v>
      </c>
      <c r="E117" s="17" t="str">
        <f t="shared" si="221"/>
        <v/>
      </c>
      <c r="H117" s="17" t="str">
        <f t="shared" si="221"/>
        <v/>
      </c>
      <c r="J117" s="17" t="str">
        <f t="shared" si="221"/>
        <v/>
      </c>
      <c r="K117" s="17" t="str">
        <f t="shared" si="221"/>
        <v/>
      </c>
      <c r="L117" s="111" t="str">
        <f t="shared" si="222"/>
        <v/>
      </c>
      <c r="M117" s="3">
        <f>INDEX('[2]TS BYDem'!J$10:J$59,MATCH($D117,'[2]TS BYDem'!D$10:D$59,0))</f>
        <v>5.1541817584817791</v>
      </c>
      <c r="N117" s="3" cm="1">
        <f t="array" ref="N117">IF(N$110=-1,O117,IF(N$110=99,M117,IF(N$110=0,INDEX($F98:$N98,0,N$108),(INDEX($F98:$N98,0,N$110+1)-INDEX($F98:$N98,0,N$110))/(INDEX($F$4:$N$4,0,N$110+1)-INDEX($F$4:$N$4,0,N$110))+M117)))</f>
        <v>5.4055160928410038</v>
      </c>
      <c r="O117" s="3" cm="1">
        <f t="array" ref="O117">IF(O$110=-1,P117,IF(O$110=99,N117,IF(O$110=0,INDEX($F98:$N98,0,O$108),(INDEX($F98:$N98,0,O$110+1)-INDEX($F98:$N98,0,O$110))/(INDEX($F$4:$N$4,0,O$110+1)-INDEX($F$4:$N$4,0,O$110))+N117)))</f>
        <v>5.6568504272002285</v>
      </c>
      <c r="P117" s="3" cm="1">
        <f t="array" ref="P117">IF(P$110=-1,Q117,IF(P$110=99,O117,IF(P$110=0,INDEX($F98:$N98,0,P$108),(INDEX($F98:$N98,0,P$110+1)-INDEX($F98:$N98,0,P$110))/(INDEX($F$4:$N$4,0,P$110+1)-INDEX($F$4:$N$4,0,P$110))+O117)))</f>
        <v>5.9081847615594549</v>
      </c>
      <c r="Q117" s="3" cm="1">
        <f t="array" ref="Q117">IF(Q$110=-1,R117,IF(Q$110=99,P117,IF(Q$110=0,INDEX($F98:$N98,0,Q$108),(INDEX($F98:$N98,0,Q$110+1)-INDEX($F98:$N98,0,Q$110))/(INDEX($F$4:$N$4,0,Q$110+1)-INDEX($F$4:$N$4,0,Q$110))+P117)))</f>
        <v>6.2851862630982929</v>
      </c>
      <c r="R117" s="3" cm="1">
        <f t="array" ref="R117">IF(R$110=-1,S117,IF(R$110=99,Q117,IF(R$110=0,INDEX($F98:$N98,0,R$108),(INDEX($F98:$N98,0,R$110+1)-INDEX($F98:$N98,0,R$110))/(INDEX($F$4:$N$4,0,R$110+1)-INDEX($F$4:$N$4,0,R$110))+Q117)))</f>
        <v>6.6621877646371299</v>
      </c>
      <c r="S117" s="3" cm="1">
        <f t="array" ref="S117">IF(S$110=-1,T117,IF(S$110=99,R117,IF(S$110=0,INDEX($F98:$N98,0,S$108),(INDEX($F98:$N98,0,S$110+1)-INDEX($F98:$N98,0,S$110))/(INDEX($F$4:$N$4,0,S$110+1)-INDEX($F$4:$N$4,0,S$110))+R117)))</f>
        <v>6.7036516365039915</v>
      </c>
      <c r="T117" s="3" cm="1">
        <f t="array" ref="T117">IF(T$110=-1,U117,IF(T$110=99,S117,IF(T$110=0,INDEX($F98:$N98,0,T$108),(INDEX($F98:$N98,0,T$110+1)-INDEX($F98:$N98,0,T$110))/(INDEX($F$4:$N$4,0,T$110+1)-INDEX($F$4:$N$4,0,T$110))+S117)))</f>
        <v>6.7451155083708541</v>
      </c>
      <c r="U117" s="3" cm="1">
        <f t="array" ref="U117">IF(U$110=-1,V117,IF(U$110=99,T117,IF(U$110=0,INDEX($F98:$N98,0,U$108),(INDEX($F98:$N98,0,U$110+1)-INDEX($F98:$N98,0,U$110))/(INDEX($F$4:$N$4,0,U$110+1)-INDEX($F$4:$N$4,0,U$110))+T117)))</f>
        <v>6.4930645697790714</v>
      </c>
      <c r="V117" s="3" cm="1">
        <f t="array" ref="V117">IF(V$110=-1,W117,IF(V$110=99,U117,IF(V$110=0,INDEX($F98:$N98,0,V$108),(INDEX($F98:$N98,0,V$110+1)-INDEX($F98:$N98,0,V$110))/(INDEX($F$4:$N$4,0,V$110+1)-INDEX($F$4:$N$4,0,V$110))+U117)))</f>
        <v>6.6369980170086968</v>
      </c>
      <c r="W117" s="3" cm="1">
        <f t="array" ref="W117">IF(W$110=-1,X117,IF(W$110=99,V117,IF(W$110=0,INDEX($F98:$N98,0,W$108),(INDEX($F98:$N98,0,W$110+1)-INDEX($F98:$N98,0,W$110))/(INDEX($F$4:$N$4,0,W$110+1)-INDEX($F$4:$N$4,0,W$110))+V117)))</f>
        <v>6.7740197750368258</v>
      </c>
      <c r="X117" s="3" cm="1">
        <f t="array" ref="X117">IF(X$110=-1,Y117,IF(X$110=99,W117,IF(X$110=0,INDEX($F98:$N98,0,X$108),(INDEX($F98:$N98,0,X$110+1)-INDEX($F98:$N98,0,X$110))/(INDEX($F$4:$N$4,0,X$110+1)-INDEX($F$4:$N$4,0,X$110))+W117)))</f>
        <v>6.9110415330649548</v>
      </c>
      <c r="Y117" s="3" cm="1">
        <f t="array" ref="Y117">IF(Y$110=-1,Z117,IF(Y$110=99,X117,IF(Y$110=0,INDEX($F98:$N98,0,Y$108),(INDEX($F98:$N98,0,Y$110+1)-INDEX($F98:$N98,0,Y$110))/(INDEX($F$4:$N$4,0,Y$110+1)-INDEX($F$4:$N$4,0,Y$110))+X117)))</f>
        <v>7.0480632910930838</v>
      </c>
      <c r="Z117" s="3" cm="1">
        <f t="array" ref="Z117">IF(Z$110=-1,AA117,IF(Z$110=99,Y117,IF(Z$110=0,INDEX($F98:$N98,0,Z$108),(INDEX($F98:$N98,0,Z$110+1)-INDEX($F98:$N98,0,Z$110))/(INDEX($F$4:$N$4,0,Z$110+1)-INDEX($F$4:$N$4,0,Z$110))+Y117)))</f>
        <v>7.1850850491212128</v>
      </c>
      <c r="AA117" s="3" cm="1">
        <f t="array" ref="AA117">IF(AA$110=-1,AB117,IF(AA$110=99,Z117,IF(AA$110=0,INDEX($F98:$N98,0,AA$108),(INDEX($F98:$N98,0,AA$110+1)-INDEX($F98:$N98,0,AA$110))/(INDEX($F$4:$N$4,0,AA$110+1)-INDEX($F$4:$N$4,0,AA$110))+Z117)))</f>
        <v>7.3221068071493418</v>
      </c>
      <c r="AB117" s="3" cm="1">
        <f t="array" ref="AB117">IF(AB$110=-1,AC117,IF(AB$110=99,AA117,IF(AB$110=0,INDEX($F98:$N98,0,AB$108),(INDEX($F98:$N98,0,AB$110+1)-INDEX($F98:$N98,0,AB$110))/(INDEX($F$4:$N$4,0,AB$110+1)-INDEX($F$4:$N$4,0,AB$110))+AA117)))</f>
        <v>7.4591285651774708</v>
      </c>
      <c r="AC117" s="3" cm="1">
        <f t="array" ref="AC117">IF(AC$110=-1,AD117,IF(AC$110=99,AB117,IF(AC$110=0,INDEX($F98:$N98,0,AC$108),(INDEX($F98:$N98,0,AC$110+1)-INDEX($F98:$N98,0,AC$110))/(INDEX($F$4:$N$4,0,AC$110+1)-INDEX($F$4:$N$4,0,AC$110))+AB117)))</f>
        <v>7.5961503232055998</v>
      </c>
      <c r="AD117" s="3" cm="1">
        <f t="array" ref="AD117">IF(AD$110=-1,AE117,IF(AD$110=99,AC117,IF(AD$110=0,INDEX($F98:$N98,0,AD$108),(INDEX($F98:$N98,0,AD$110+1)-INDEX($F98:$N98,0,AD$110))/(INDEX($F$4:$N$4,0,AD$110+1)-INDEX($F$4:$N$4,0,AD$110))+AC117)))</f>
        <v>7.7331720812337288</v>
      </c>
      <c r="AE117" s="3" cm="1">
        <f t="array" ref="AE117">IF(AE$110=-1,AF117,IF(AE$110=99,AD117,IF(AE$110=0,INDEX($F98:$N98,0,AE$108),(INDEX($F98:$N98,0,AE$110+1)-INDEX($F98:$N98,0,AE$110))/(INDEX($F$4:$N$4,0,AE$110+1)-INDEX($F$4:$N$4,0,AE$110))+AD117)))</f>
        <v>7.8701938392618604</v>
      </c>
      <c r="AF117" s="3" cm="1">
        <f t="array" ref="AF117">IF(AF$110=-1,AG117,IF(AF$110=99,AE117,IF(AF$110=0,INDEX($F98:$N98,0,AF$108),(INDEX($F98:$N98,0,AF$110+1)-INDEX($F98:$N98,0,AF$110))/(INDEX($F$4:$N$4,0,AF$110+1)-INDEX($F$4:$N$4,0,AF$110))+AE117)))</f>
        <v>8.0906611984000421</v>
      </c>
      <c r="AG117" s="3" cm="1">
        <f t="array" ref="AG117">IF(AG$110=-1,AH117,IF(AG$110=99,AF117,IF(AG$110=0,INDEX($F98:$N98,0,AG$108),(INDEX($F98:$N98,0,AG$110+1)-INDEX($F98:$N98,0,AG$110))/(INDEX($F$4:$N$4,0,AG$110+1)-INDEX($F$4:$N$4,0,AG$110))+AF117)))</f>
        <v>8.3111285575382237</v>
      </c>
      <c r="AH117" s="3" cm="1">
        <f t="array" ref="AH117">IF(AH$110=-1,AI117,IF(AH$110=99,AG117,IF(AH$110=0,INDEX($F98:$N98,0,AH$108),(INDEX($F98:$N98,0,AH$110+1)-INDEX($F98:$N98,0,AH$110))/(INDEX($F$4:$N$4,0,AH$110+1)-INDEX($F$4:$N$4,0,AH$110))+AG117)))</f>
        <v>8.5315959166764053</v>
      </c>
      <c r="AI117" s="3" cm="1">
        <f t="array" ref="AI117">IF(AI$110=-1,AJ117,IF(AI$110=99,AH117,IF(AI$110=0,INDEX($F98:$N98,0,AI$108),(INDEX($F98:$N98,0,AI$110+1)-INDEX($F98:$N98,0,AI$110))/(INDEX($F$4:$N$4,0,AI$110+1)-INDEX($F$4:$N$4,0,AI$110))+AH117)))</f>
        <v>8.7520632758145869</v>
      </c>
      <c r="AJ117" s="3" cm="1">
        <f t="array" ref="AJ117">IF(AJ$110=-1,AK117,IF(AJ$110=99,AI117,IF(AJ$110=0,INDEX($F98:$N98,0,AJ$108),(INDEX($F98:$N98,0,AJ$110+1)-INDEX($F98:$N98,0,AJ$110))/(INDEX($F$4:$N$4,0,AJ$110+1)-INDEX($F$4:$N$4,0,AJ$110))+AI117)))</f>
        <v>8.9725306349527685</v>
      </c>
      <c r="AK117" s="3" cm="1">
        <f t="array" ref="AK117">IF(AK$110=-1,AL117,IF(AK$110=99,AJ117,IF(AK$110=0,INDEX($F98:$N98,0,AK$108),(INDEX($F98:$N98,0,AK$110+1)-INDEX($F98:$N98,0,AK$110))/(INDEX($F$4:$N$4,0,AK$110+1)-INDEX($F$4:$N$4,0,AK$110))+AJ117)))</f>
        <v>9.1929979940909501</v>
      </c>
      <c r="AL117" s="3" cm="1">
        <f t="array" ref="AL117">IF(AL$110=-1,AM117,IF(AL$110=99,AK117,IF(AL$110=0,INDEX($F98:$N98,0,AL$108),(INDEX($F98:$N98,0,AL$110+1)-INDEX($F98:$N98,0,AL$110))/(INDEX($F$4:$N$4,0,AL$110+1)-INDEX($F$4:$N$4,0,AL$110))+AK117)))</f>
        <v>9.4134653532291317</v>
      </c>
      <c r="AM117" s="3" cm="1">
        <f t="array" ref="AM117">IF(AM$110=-1,AN117,IF(AM$110=99,AL117,IF(AM$110=0,INDEX($F98:$N98,0,AM$108),(INDEX($F98:$N98,0,AM$110+1)-INDEX($F98:$N98,0,AM$110))/(INDEX($F$4:$N$4,0,AM$110+1)-INDEX($F$4:$N$4,0,AM$110))+AL117)))</f>
        <v>9.6339327123673133</v>
      </c>
      <c r="AN117" s="3" cm="1">
        <f t="array" ref="AN117">IF(AN$110=-1,AO117,IF(AN$110=99,AM117,IF(AN$110=0,INDEX($F98:$N98,0,AN$108),(INDEX($F98:$N98,0,AN$110+1)-INDEX($F98:$N98,0,AN$110))/(INDEX($F$4:$N$4,0,AN$110+1)-INDEX($F$4:$N$4,0,AN$110))+AM117)))</f>
        <v>9.8544000715054949</v>
      </c>
      <c r="AO117" s="3" cm="1">
        <f t="array" ref="AO117">IF(AO$110=-1,AP117,IF(AO$110=99,AN117,IF(AO$110=0,INDEX($F98:$N98,0,AO$108),(INDEX($F98:$N98,0,AO$110+1)-INDEX($F98:$N98,0,AO$110))/(INDEX($F$4:$N$4,0,AO$110+1)-INDEX($F$4:$N$4,0,AO$110))+AN117)))</f>
        <v>10.074867430643682</v>
      </c>
      <c r="AP117" s="3" cm="1">
        <f t="array" ref="AP117">IF(AP$110=-1,AQ117,IF(AP$110=99,AO117,IF(AP$110=0,INDEX($F98:$N98,0,AP$108),(INDEX($F98:$N98,0,AP$110+1)-INDEX($F98:$N98,0,AP$110))/(INDEX($F$4:$N$4,0,AP$110+1)-INDEX($F$4:$N$4,0,AP$110))+AO117)))</f>
        <v>10.248776692855875</v>
      </c>
      <c r="AQ117" s="3" cm="1">
        <f t="array" ref="AQ117">IF(AQ$110=-1,AR117,IF(AQ$110=99,AP117,IF(AQ$110=0,INDEX($F98:$N98,0,AQ$108),(INDEX($F98:$N98,0,AQ$110+1)-INDEX($F98:$N98,0,AQ$110))/(INDEX($F$4:$N$4,0,AQ$110+1)-INDEX($F$4:$N$4,0,AQ$110))+AP117)))</f>
        <v>10.422685955068069</v>
      </c>
      <c r="AR117" s="3" cm="1">
        <f t="array" ref="AR117">IF(AR$110=-1,AS117,IF(AR$110=99,AQ117,IF(AR$110=0,INDEX($F98:$N98,0,AR$108),(INDEX($F98:$N98,0,AR$110+1)-INDEX($F98:$N98,0,AR$110))/(INDEX($F$4:$N$4,0,AR$110+1)-INDEX($F$4:$N$4,0,AR$110))+AQ117)))</f>
        <v>10.596595217280262</v>
      </c>
      <c r="AS117" s="3" cm="1">
        <f t="array" ref="AS117">IF(AS$110=-1,AT117,IF(AS$110=99,AR117,IF(AS$110=0,INDEX($F98:$N98,0,AS$108),(INDEX($F98:$N98,0,AS$110+1)-INDEX($F98:$N98,0,AS$110))/(INDEX($F$4:$N$4,0,AS$110+1)-INDEX($F$4:$N$4,0,AS$110))+AR117)))</f>
        <v>10.770504479492455</v>
      </c>
      <c r="AT117" s="3" cm="1">
        <f t="array" ref="AT117">IF(AT$110=-1,AU117,IF(AT$110=99,AS117,IF(AT$110=0,INDEX($F98:$N98,0,AT$108),(INDEX($F98:$N98,0,AT$110+1)-INDEX($F98:$N98,0,AT$110))/(INDEX($F$4:$N$4,0,AT$110+1)-INDEX($F$4:$N$4,0,AT$110))+AS117)))</f>
        <v>10.944413741704649</v>
      </c>
      <c r="AU117" s="3" cm="1">
        <f t="array" ref="AU117">IF(AU$110=-1,AV117,IF(AU$110=99,AT117,IF(AU$110=0,INDEX($F98:$N98,0,AU$108),(INDEX($F98:$N98,0,AU$110+1)-INDEX($F98:$N98,0,AU$110))/(INDEX($F$4:$N$4,0,AU$110+1)-INDEX($F$4:$N$4,0,AU$110))+AT117)))</f>
        <v>11.118323003916842</v>
      </c>
      <c r="AV117" s="3" cm="1">
        <f t="array" ref="AV117">IF(AV$110=-1,AW117,IF(AV$110=99,AU117,IF(AV$110=0,INDEX($F98:$N98,0,AV$108),(INDEX($F98:$N98,0,AV$110+1)-INDEX($F98:$N98,0,AV$110))/(INDEX($F$4:$N$4,0,AV$110+1)-INDEX($F$4:$N$4,0,AV$110))+AU117)))</f>
        <v>11.292232266129036</v>
      </c>
      <c r="AW117" s="3" cm="1">
        <f t="array" ref="AW117">IF(AW$110=-1,AX117,IF(AW$110=99,AV117,IF(AW$110=0,INDEX($F98:$N98,0,AW$108),(INDEX($F98:$N98,0,AW$110+1)-INDEX($F98:$N98,0,AW$110))/(INDEX($F$4:$N$4,0,AW$110+1)-INDEX($F$4:$N$4,0,AW$110))+AV117)))</f>
        <v>11.466141528341229</v>
      </c>
      <c r="AX117" s="3" cm="1">
        <f t="array" ref="AX117">IF(AX$110=-1,AY117,IF(AX$110=99,AW117,IF(AX$110=0,INDEX($F98:$N98,0,AX$108),(INDEX($F98:$N98,0,AX$110+1)-INDEX($F98:$N98,0,AX$110))/(INDEX($F$4:$N$4,0,AX$110+1)-INDEX($F$4:$N$4,0,AX$110))+AW117)))</f>
        <v>11.640050790553422</v>
      </c>
      <c r="AY117" s="3" cm="1">
        <f t="array" ref="AY117">IF(AY$110=-1,AZ117,IF(AY$110=99,AX117,IF(AY$110=0,INDEX($F98:$N98,0,AY$108),(INDEX($F98:$N98,0,AY$110+1)-INDEX($F98:$N98,0,AY$110))/(INDEX($F$4:$N$4,0,AY$110+1)-INDEX($F$4:$N$4,0,AY$110))+AX117)))</f>
        <v>11.81396005276561</v>
      </c>
      <c r="AZ117" s="3" cm="1">
        <f t="array" ref="AZ117">IF(AZ$110=-1,BA117,IF(AZ$110=99,AY117,IF(AZ$110=0,INDEX($F98:$N98,0,AZ$108),(INDEX($F98:$N98,0,AZ$110+1)-INDEX($F98:$N98,0,AZ$110))/(INDEX($F$4:$N$4,0,AZ$110+1)-INDEX($F$4:$N$4,0,AZ$110))+AY117)))</f>
        <v>11.81396005276561</v>
      </c>
      <c r="BA117" s="3" cm="1">
        <f t="array" ref="BA117">IF(BA$110=-1,BB117,IF(BA$110=99,AZ117,IF(BA$110=0,INDEX($F98:$N98,0,BA$108),(INDEX($F98:$N98,0,BA$110+1)-INDEX($F98:$N98,0,BA$110))/(INDEX($F$4:$N$4,0,BA$110+1)-INDEX($F$4:$N$4,0,BA$110))+AZ117)))</f>
        <v>11.81396005276561</v>
      </c>
    </row>
    <row r="118" spans="1:53">
      <c r="A118" s="104" t="s">
        <v>16</v>
      </c>
      <c r="B118" s="16" t="str">
        <f t="shared" si="219"/>
        <v/>
      </c>
      <c r="C118" s="17" t="str">
        <f t="shared" si="220"/>
        <v/>
      </c>
      <c r="D118" s="48" t="str">
        <f>ITEMS_TRA!C22</f>
        <v>TFHCV7</v>
      </c>
      <c r="E118" s="17" t="str">
        <f t="shared" si="221"/>
        <v/>
      </c>
      <c r="H118" s="17" t="str">
        <f t="shared" si="221"/>
        <v/>
      </c>
      <c r="J118" s="17" t="str">
        <f t="shared" si="221"/>
        <v/>
      </c>
      <c r="K118" s="17" t="str">
        <f t="shared" si="221"/>
        <v/>
      </c>
      <c r="L118" s="111" t="str">
        <f t="shared" si="222"/>
        <v/>
      </c>
      <c r="M118" s="3">
        <f>INDEX('[2]TS BYDem'!J$10:J$59,MATCH($D118,'[2]TS BYDem'!D$10:D$59,0))</f>
        <v>1.9761616214119715</v>
      </c>
      <c r="N118" s="3" cm="1">
        <f t="array" ref="N118">IF(N$110=-1,O118,IF(N$110=99,M118,IF(N$110=0,INDEX($F99:$N99,0,N$108),(INDEX($F99:$N99,0,N$110+1)-INDEX($F99:$N99,0,N$110))/(INDEX($F$4:$N$4,0,N$110+1)-INDEX($F$4:$N$4,0,N$110))+M118)))</f>
        <v>2.0178274562873066</v>
      </c>
      <c r="O118" s="3" cm="1">
        <f t="array" ref="O118">IF(O$110=-1,P118,IF(O$110=99,N118,IF(O$110=0,INDEX($F99:$N99,0,O$108),(INDEX($F99:$N99,0,O$110+1)-INDEX($F99:$N99,0,O$110))/(INDEX($F$4:$N$4,0,O$110+1)-INDEX($F$4:$N$4,0,O$110))+N118)))</f>
        <v>2.0594932911626418</v>
      </c>
      <c r="P118" s="3" cm="1">
        <f t="array" ref="P118">IF(P$110=-1,Q118,IF(P$110=99,O118,IF(P$110=0,INDEX($F99:$N99,0,P$108),(INDEX($F99:$N99,0,P$110+1)-INDEX($F99:$N99,0,P$110))/(INDEX($F$4:$N$4,0,P$110+1)-INDEX($F$4:$N$4,0,P$110))+O118)))</f>
        <v>2.1011591260379752</v>
      </c>
      <c r="Q118" s="3" cm="1">
        <f t="array" ref="Q118">IF(Q$110=-1,R118,IF(Q$110=99,P118,IF(Q$110=0,INDEX($F99:$N99,0,Q$108),(INDEX($F99:$N99,0,Q$110+1)-INDEX($F99:$N99,0,Q$110))/(INDEX($F$4:$N$4,0,Q$110+1)-INDEX($F$4:$N$4,0,Q$110))+P118)))</f>
        <v>2.1636578783509774</v>
      </c>
      <c r="R118" s="3" cm="1">
        <f t="array" ref="R118">IF(R$110=-1,S118,IF(R$110=99,Q118,IF(R$110=0,INDEX($F99:$N99,0,R$108),(INDEX($F99:$N99,0,R$110+1)-INDEX($F99:$N99,0,R$110))/(INDEX($F$4:$N$4,0,R$110+1)-INDEX($F$4:$N$4,0,R$110))+Q118)))</f>
        <v>2.2261566306639802</v>
      </c>
      <c r="S118" s="3" cm="1">
        <f t="array" ref="S118">IF(S$110=-1,T118,IF(S$110=99,R118,IF(S$110=0,INDEX($F99:$N99,0,S$108),(INDEX($F99:$N99,0,S$110+1)-INDEX($F99:$N99,0,S$110))/(INDEX($F$4:$N$4,0,S$110+1)-INDEX($F$4:$N$4,0,S$110))+R118)))</f>
        <v>2.240011699982106</v>
      </c>
      <c r="T118" s="3" cm="1">
        <f t="array" ref="T118">IF(T$110=-1,U118,IF(T$110=99,S118,IF(T$110=0,INDEX($F99:$N99,0,T$108),(INDEX($F99:$N99,0,T$110+1)-INDEX($F99:$N99,0,T$110))/(INDEX($F$4:$N$4,0,T$110+1)-INDEX($F$4:$N$4,0,T$110))+S118)))</f>
        <v>2.2538667693002314</v>
      </c>
      <c r="U118" s="3" cm="1">
        <f t="array" ref="U118">IF(U$110=-1,V118,IF(U$110=99,T118,IF(U$110=0,INDEX($F99:$N99,0,U$108),(INDEX($F99:$N99,0,U$110+1)-INDEX($F99:$N99,0,U$110))/(INDEX($F$4:$N$4,0,U$110+1)-INDEX($F$4:$N$4,0,U$110))+T118)))</f>
        <v>2.1696444555447534</v>
      </c>
      <c r="V118" s="3" cm="1">
        <f t="array" ref="V118">IF(V$110=-1,W118,IF(V$110=99,U118,IF(V$110=0,INDEX($F99:$N99,0,V$108),(INDEX($F99:$N99,0,V$110+1)-INDEX($F99:$N99,0,V$110))/(INDEX($F$4:$N$4,0,V$110+1)-INDEX($F$4:$N$4,0,V$110))+U118)))</f>
        <v>2.2177395272005445</v>
      </c>
      <c r="W118" s="3" cm="1">
        <f t="array" ref="W118">IF(W$110=-1,X118,IF(W$110=99,V118,IF(W$110=0,INDEX($F99:$N99,0,W$108),(INDEX($F99:$N99,0,W$110+1)-INDEX($F99:$N99,0,W$110))/(INDEX($F$4:$N$4,0,W$110+1)-INDEX($F$4:$N$4,0,W$110))+V118)))</f>
        <v>2.2635250718227877</v>
      </c>
      <c r="X118" s="3" cm="1">
        <f t="array" ref="X118">IF(X$110=-1,Y118,IF(X$110=99,W118,IF(X$110=0,INDEX($F99:$N99,0,X$108),(INDEX($F99:$N99,0,X$110+1)-INDEX($F99:$N99,0,X$110))/(INDEX($F$4:$N$4,0,X$110+1)-INDEX($F$4:$N$4,0,X$110))+W118)))</f>
        <v>2.309310616445031</v>
      </c>
      <c r="Y118" s="3" cm="1">
        <f t="array" ref="Y118">IF(Y$110=-1,Z118,IF(Y$110=99,X118,IF(Y$110=0,INDEX($F99:$N99,0,Y$108),(INDEX($F99:$N99,0,Y$110+1)-INDEX($F99:$N99,0,Y$110))/(INDEX($F$4:$N$4,0,Y$110+1)-INDEX($F$4:$N$4,0,Y$110))+X118)))</f>
        <v>2.3550961610672743</v>
      </c>
      <c r="Z118" s="3" cm="1">
        <f t="array" ref="Z118">IF(Z$110=-1,AA118,IF(Z$110=99,Y118,IF(Z$110=0,INDEX($F99:$N99,0,Z$108),(INDEX($F99:$N99,0,Z$110+1)-INDEX($F99:$N99,0,Z$110))/(INDEX($F$4:$N$4,0,Z$110+1)-INDEX($F$4:$N$4,0,Z$110))+Y118)))</f>
        <v>2.4008817056895175</v>
      </c>
      <c r="AA118" s="3" cm="1">
        <f t="array" ref="AA118">IF(AA$110=-1,AB118,IF(AA$110=99,Z118,IF(AA$110=0,INDEX($F99:$N99,0,AA$108),(INDEX($F99:$N99,0,AA$110+1)-INDEX($F99:$N99,0,AA$110))/(INDEX($F$4:$N$4,0,AA$110+1)-INDEX($F$4:$N$4,0,AA$110))+Z118)))</f>
        <v>2.4466672503117608</v>
      </c>
      <c r="AB118" s="3" cm="1">
        <f t="array" ref="AB118">IF(AB$110=-1,AC118,IF(AB$110=99,AA118,IF(AB$110=0,INDEX($F99:$N99,0,AB$108),(INDEX($F99:$N99,0,AB$110+1)-INDEX($F99:$N99,0,AB$110))/(INDEX($F$4:$N$4,0,AB$110+1)-INDEX($F$4:$N$4,0,AB$110))+AA118)))</f>
        <v>2.4924527949340041</v>
      </c>
      <c r="AC118" s="3" cm="1">
        <f t="array" ref="AC118">IF(AC$110=-1,AD118,IF(AC$110=99,AB118,IF(AC$110=0,INDEX($F99:$N99,0,AC$108),(INDEX($F99:$N99,0,AC$110+1)-INDEX($F99:$N99,0,AC$110))/(INDEX($F$4:$N$4,0,AC$110+1)-INDEX($F$4:$N$4,0,AC$110))+AB118)))</f>
        <v>2.5382383395562473</v>
      </c>
      <c r="AD118" s="3" cm="1">
        <f t="array" ref="AD118">IF(AD$110=-1,AE118,IF(AD$110=99,AC118,IF(AD$110=0,INDEX($F99:$N99,0,AD$108),(INDEX($F99:$N99,0,AD$110+1)-INDEX($F99:$N99,0,AD$110))/(INDEX($F$4:$N$4,0,AD$110+1)-INDEX($F$4:$N$4,0,AD$110))+AC118)))</f>
        <v>2.5840238841784906</v>
      </c>
      <c r="AE118" s="3" cm="1">
        <f t="array" ref="AE118">IF(AE$110=-1,AF118,IF(AE$110=99,AD118,IF(AE$110=0,INDEX($F99:$N99,0,AE$108),(INDEX($F99:$N99,0,AE$110+1)-INDEX($F99:$N99,0,AE$110))/(INDEX($F$4:$N$4,0,AE$110+1)-INDEX($F$4:$N$4,0,AE$110))+AD118)))</f>
        <v>2.6298094288007321</v>
      </c>
      <c r="AF118" s="3" cm="1">
        <f t="array" ref="AF118">IF(AF$110=-1,AG118,IF(AF$110=99,AE118,IF(AF$110=0,INDEX($F99:$N99,0,AF$108),(INDEX($F99:$N99,0,AF$110+1)-INDEX($F99:$N99,0,AF$110))/(INDEX($F$4:$N$4,0,AF$110+1)-INDEX($F$4:$N$4,0,AF$110))+AE118)))</f>
        <v>2.7034781530590872</v>
      </c>
      <c r="AG118" s="3" cm="1">
        <f t="array" ref="AG118">IF(AG$110=-1,AH118,IF(AG$110=99,AF118,IF(AG$110=0,INDEX($F99:$N99,0,AG$108),(INDEX($F99:$N99,0,AG$110+1)-INDEX($F99:$N99,0,AG$110))/(INDEX($F$4:$N$4,0,AG$110+1)-INDEX($F$4:$N$4,0,AG$110))+AF118)))</f>
        <v>2.7771468773174424</v>
      </c>
      <c r="AH118" s="3" cm="1">
        <f t="array" ref="AH118">IF(AH$110=-1,AI118,IF(AH$110=99,AG118,IF(AH$110=0,INDEX($F99:$N99,0,AH$108),(INDEX($F99:$N99,0,AH$110+1)-INDEX($F99:$N99,0,AH$110))/(INDEX($F$4:$N$4,0,AH$110+1)-INDEX($F$4:$N$4,0,AH$110))+AG118)))</f>
        <v>2.8508156015757975</v>
      </c>
      <c r="AI118" s="3" cm="1">
        <f t="array" ref="AI118">IF(AI$110=-1,AJ118,IF(AI$110=99,AH118,IF(AI$110=0,INDEX($F99:$N99,0,AI$108),(INDEX($F99:$N99,0,AI$110+1)-INDEX($F99:$N99,0,AI$110))/(INDEX($F$4:$N$4,0,AI$110+1)-INDEX($F$4:$N$4,0,AI$110))+AH118)))</f>
        <v>2.9244843258341526</v>
      </c>
      <c r="AJ118" s="3" cm="1">
        <f t="array" ref="AJ118">IF(AJ$110=-1,AK118,IF(AJ$110=99,AI118,IF(AJ$110=0,INDEX($F99:$N99,0,AJ$108),(INDEX($F99:$N99,0,AJ$110+1)-INDEX($F99:$N99,0,AJ$110))/(INDEX($F$4:$N$4,0,AJ$110+1)-INDEX($F$4:$N$4,0,AJ$110))+AI118)))</f>
        <v>2.9981530500925078</v>
      </c>
      <c r="AK118" s="3" cm="1">
        <f t="array" ref="AK118">IF(AK$110=-1,AL118,IF(AK$110=99,AJ118,IF(AK$110=0,INDEX($F99:$N99,0,AK$108),(INDEX($F99:$N99,0,AK$110+1)-INDEX($F99:$N99,0,AK$110))/(INDEX($F$4:$N$4,0,AK$110+1)-INDEX($F$4:$N$4,0,AK$110))+AJ118)))</f>
        <v>3.0718217743508629</v>
      </c>
      <c r="AL118" s="3" cm="1">
        <f t="array" ref="AL118">IF(AL$110=-1,AM118,IF(AL$110=99,AK118,IF(AL$110=0,INDEX($F99:$N99,0,AL$108),(INDEX($F99:$N99,0,AL$110+1)-INDEX($F99:$N99,0,AL$110))/(INDEX($F$4:$N$4,0,AL$110+1)-INDEX($F$4:$N$4,0,AL$110))+AK118)))</f>
        <v>3.145490498609218</v>
      </c>
      <c r="AM118" s="3" cm="1">
        <f t="array" ref="AM118">IF(AM$110=-1,AN118,IF(AM$110=99,AL118,IF(AM$110=0,INDEX($F99:$N99,0,AM$108),(INDEX($F99:$N99,0,AM$110+1)-INDEX($F99:$N99,0,AM$110))/(INDEX($F$4:$N$4,0,AM$110+1)-INDEX($F$4:$N$4,0,AM$110))+AL118)))</f>
        <v>3.2191592228675732</v>
      </c>
      <c r="AN118" s="3" cm="1">
        <f t="array" ref="AN118">IF(AN$110=-1,AO118,IF(AN$110=99,AM118,IF(AN$110=0,INDEX($F99:$N99,0,AN$108),(INDEX($F99:$N99,0,AN$110+1)-INDEX($F99:$N99,0,AN$110))/(INDEX($F$4:$N$4,0,AN$110+1)-INDEX($F$4:$N$4,0,AN$110))+AM118)))</f>
        <v>3.2928279471259283</v>
      </c>
      <c r="AO118" s="3" cm="1">
        <f t="array" ref="AO118">IF(AO$110=-1,AP118,IF(AO$110=99,AN118,IF(AO$110=0,INDEX($F99:$N99,0,AO$108),(INDEX($F99:$N99,0,AO$110+1)-INDEX($F99:$N99,0,AO$110))/(INDEX($F$4:$N$4,0,AO$110+1)-INDEX($F$4:$N$4,0,AO$110))+AN118)))</f>
        <v>3.3664966713842848</v>
      </c>
      <c r="AP118" s="3" cm="1">
        <f t="array" ref="AP118">IF(AP$110=-1,AQ118,IF(AP$110=99,AO118,IF(AP$110=0,INDEX($F99:$N99,0,AP$108),(INDEX($F99:$N99,0,AP$110+1)-INDEX($F99:$N99,0,AP$110))/(INDEX($F$4:$N$4,0,AP$110+1)-INDEX($F$4:$N$4,0,AP$110))+AO118)))</f>
        <v>3.4246081012756098</v>
      </c>
      <c r="AQ118" s="3" cm="1">
        <f t="array" ref="AQ118">IF(AQ$110=-1,AR118,IF(AQ$110=99,AP118,IF(AQ$110=0,INDEX($F99:$N99,0,AQ$108),(INDEX($F99:$N99,0,AQ$110+1)-INDEX($F99:$N99,0,AQ$110))/(INDEX($F$4:$N$4,0,AQ$110+1)-INDEX($F$4:$N$4,0,AQ$110))+AP118)))</f>
        <v>3.4827195311669348</v>
      </c>
      <c r="AR118" s="3" cm="1">
        <f t="array" ref="AR118">IF(AR$110=-1,AS118,IF(AR$110=99,AQ118,IF(AR$110=0,INDEX($F99:$N99,0,AR$108),(INDEX($F99:$N99,0,AR$110+1)-INDEX($F99:$N99,0,AR$110))/(INDEX($F$4:$N$4,0,AR$110+1)-INDEX($F$4:$N$4,0,AR$110))+AQ118)))</f>
        <v>3.5408309610582598</v>
      </c>
      <c r="AS118" s="3" cm="1">
        <f t="array" ref="AS118">IF(AS$110=-1,AT118,IF(AS$110=99,AR118,IF(AS$110=0,INDEX($F99:$N99,0,AS$108),(INDEX($F99:$N99,0,AS$110+1)-INDEX($F99:$N99,0,AS$110))/(INDEX($F$4:$N$4,0,AS$110+1)-INDEX($F$4:$N$4,0,AS$110))+AR118)))</f>
        <v>3.5989423909495848</v>
      </c>
      <c r="AT118" s="3" cm="1">
        <f t="array" ref="AT118">IF(AT$110=-1,AU118,IF(AT$110=99,AS118,IF(AT$110=0,INDEX($F99:$N99,0,AT$108),(INDEX($F99:$N99,0,AT$110+1)-INDEX($F99:$N99,0,AT$110))/(INDEX($F$4:$N$4,0,AT$110+1)-INDEX($F$4:$N$4,0,AT$110))+AS118)))</f>
        <v>3.6570538208409098</v>
      </c>
      <c r="AU118" s="3" cm="1">
        <f t="array" ref="AU118">IF(AU$110=-1,AV118,IF(AU$110=99,AT118,IF(AU$110=0,INDEX($F99:$N99,0,AU$108),(INDEX($F99:$N99,0,AU$110+1)-INDEX($F99:$N99,0,AU$110))/(INDEX($F$4:$N$4,0,AU$110+1)-INDEX($F$4:$N$4,0,AU$110))+AT118)))</f>
        <v>3.7151652507322348</v>
      </c>
      <c r="AV118" s="3" cm="1">
        <f t="array" ref="AV118">IF(AV$110=-1,AW118,IF(AV$110=99,AU118,IF(AV$110=0,INDEX($F99:$N99,0,AV$108),(INDEX($F99:$N99,0,AV$110+1)-INDEX($F99:$N99,0,AV$110))/(INDEX($F$4:$N$4,0,AV$110+1)-INDEX($F$4:$N$4,0,AV$110))+AU118)))</f>
        <v>3.7732766806235598</v>
      </c>
      <c r="AW118" s="3" cm="1">
        <f t="array" ref="AW118">IF(AW$110=-1,AX118,IF(AW$110=99,AV118,IF(AW$110=0,INDEX($F99:$N99,0,AW$108),(INDEX($F99:$N99,0,AW$110+1)-INDEX($F99:$N99,0,AW$110))/(INDEX($F$4:$N$4,0,AW$110+1)-INDEX($F$4:$N$4,0,AW$110))+AV118)))</f>
        <v>3.8313881105148848</v>
      </c>
      <c r="AX118" s="3" cm="1">
        <f t="array" ref="AX118">IF(AX$110=-1,AY118,IF(AX$110=99,AW118,IF(AX$110=0,INDEX($F99:$N99,0,AX$108),(INDEX($F99:$N99,0,AX$110+1)-INDEX($F99:$N99,0,AX$110))/(INDEX($F$4:$N$4,0,AX$110+1)-INDEX($F$4:$N$4,0,AX$110))+AW118)))</f>
        <v>3.8894995404062098</v>
      </c>
      <c r="AY118" s="3" cm="1">
        <f t="array" ref="AY118">IF(AY$110=-1,AZ118,IF(AY$110=99,AX118,IF(AY$110=0,INDEX($F99:$N99,0,AY$108),(INDEX($F99:$N99,0,AY$110+1)-INDEX($F99:$N99,0,AY$110))/(INDEX($F$4:$N$4,0,AY$110+1)-INDEX($F$4:$N$4,0,AY$110))+AX118)))</f>
        <v>3.9476109702975353</v>
      </c>
      <c r="AZ118" s="3" cm="1">
        <f t="array" ref="AZ118">IF(AZ$110=-1,BA118,IF(AZ$110=99,AY118,IF(AZ$110=0,INDEX($F99:$N99,0,AZ$108),(INDEX($F99:$N99,0,AZ$110+1)-INDEX($F99:$N99,0,AZ$110))/(INDEX($F$4:$N$4,0,AZ$110+1)-INDEX($F$4:$N$4,0,AZ$110))+AY118)))</f>
        <v>3.9476109702975353</v>
      </c>
      <c r="BA118" s="3" cm="1">
        <f t="array" ref="BA118">IF(BA$110=-1,BB118,IF(BA$110=99,AZ118,IF(BA$110=0,INDEX($F99:$N99,0,BA$108),(INDEX($F99:$N99,0,BA$110+1)-INDEX($F99:$N99,0,BA$110))/(INDEX($F$4:$N$4,0,BA$110+1)-INDEX($F$4:$N$4,0,BA$110))+AZ118)))</f>
        <v>3.9476109702975353</v>
      </c>
    </row>
    <row r="119" spans="1:53">
      <c r="A119" s="104" t="s">
        <v>16</v>
      </c>
      <c r="B119" s="16" t="str">
        <f t="shared" si="219"/>
        <v/>
      </c>
      <c r="C119" s="17" t="str">
        <f t="shared" si="220"/>
        <v/>
      </c>
      <c r="D119" s="48" t="str">
        <f>ITEMS_TRA!C23</f>
        <v>TFHCV8</v>
      </c>
      <c r="E119" s="17" t="str">
        <f t="shared" si="221"/>
        <v/>
      </c>
      <c r="H119" s="17" t="str">
        <f t="shared" si="221"/>
        <v/>
      </c>
      <c r="J119" s="17" t="str">
        <f t="shared" si="221"/>
        <v/>
      </c>
      <c r="K119" s="17" t="str">
        <f t="shared" si="221"/>
        <v/>
      </c>
      <c r="L119" s="111" t="str">
        <f t="shared" si="222"/>
        <v/>
      </c>
      <c r="M119" s="3">
        <f>INDEX('[2]TS BYDem'!J$10:J$59,MATCH($D119,'[2]TS BYDem'!D$10:D$59,0))</f>
        <v>7.0701624395945725E-2</v>
      </c>
      <c r="N119" s="3" cm="1">
        <f t="array" ref="N119">IF(N$110=-1,O119,IF(N$110=99,M119,IF(N$110=0,INDEX($F100:$N100,0,N$108),(INDEX($F100:$N100,0,N$110+1)-INDEX($F100:$N100,0,N$110))/(INDEX($F$4:$N$4,0,N$110+1)-INDEX($F$4:$N$4,0,N$110))+M119)))</f>
        <v>7.9286966804927639E-2</v>
      </c>
      <c r="O119" s="3" cm="1">
        <f t="array" ref="O119">IF(O$110=-1,P119,IF(O$110=99,N119,IF(O$110=0,INDEX($F100:$N100,0,O$108),(INDEX($F100:$N100,0,O$110+1)-INDEX($F100:$N100,0,O$110))/(INDEX($F$4:$N$4,0,O$110+1)-INDEX($F$4:$N$4,0,O$110))+N119)))</f>
        <v>8.7872309213909552E-2</v>
      </c>
      <c r="P119" s="3" cm="1">
        <f t="array" ref="P119">IF(P$110=-1,Q119,IF(P$110=99,O119,IF(P$110=0,INDEX($F100:$N100,0,P$108),(INDEX($F100:$N100,0,P$110+1)-INDEX($F100:$N100,0,P$110))/(INDEX($F$4:$N$4,0,P$110+1)-INDEX($F$4:$N$4,0,P$110))+O119)))</f>
        <v>9.6457651622891244E-2</v>
      </c>
      <c r="Q119" s="3" cm="1">
        <f t="array" ref="Q119">IF(Q$110=-1,R119,IF(Q$110=99,P119,IF(Q$110=0,INDEX($F100:$N100,0,Q$108),(INDEX($F100:$N100,0,Q$110+1)-INDEX($F100:$N100,0,Q$110))/(INDEX($F$4:$N$4,0,Q$110+1)-INDEX($F$4:$N$4,0,Q$110))+P119)))</f>
        <v>0.10933566523636412</v>
      </c>
      <c r="R119" s="3" cm="1">
        <f t="array" ref="R119">IF(R$110=-1,S119,IF(R$110=99,Q119,IF(R$110=0,INDEX($F100:$N100,0,R$108),(INDEX($F100:$N100,0,R$110+1)-INDEX($F100:$N100,0,R$110))/(INDEX($F$4:$N$4,0,R$110+1)-INDEX($F$4:$N$4,0,R$110))+Q119)))</f>
        <v>0.122213678849837</v>
      </c>
      <c r="S119" s="3" cm="1">
        <f t="array" ref="S119">IF(S$110=-1,T119,IF(S$110=99,R119,IF(S$110=0,INDEX($F100:$N100,0,S$108),(INDEX($F100:$N100,0,S$110+1)-INDEX($F100:$N100,0,S$110))/(INDEX($F$4:$N$4,0,S$110+1)-INDEX($F$4:$N$4,0,S$110))+R119)))</f>
        <v>0.12297430771519344</v>
      </c>
      <c r="T119" s="3" cm="1">
        <f t="array" ref="T119">IF(T$110=-1,U119,IF(T$110=99,S119,IF(T$110=0,INDEX($F100:$N100,0,T$108),(INDEX($F100:$N100,0,T$110+1)-INDEX($F100:$N100,0,T$110))/(INDEX($F$4:$N$4,0,T$110+1)-INDEX($F$4:$N$4,0,T$110))+S119)))</f>
        <v>0.12373493658054988</v>
      </c>
      <c r="U119" s="3" cm="1">
        <f t="array" ref="U119">IF(U$110=-1,V119,IF(U$110=99,T119,IF(U$110=0,INDEX($F100:$N100,0,U$108),(INDEX($F100:$N100,0,U$110+1)-INDEX($F100:$N100,0,U$110))/(INDEX($F$4:$N$4,0,U$110+1)-INDEX($F$4:$N$4,0,U$110))+T119)))</f>
        <v>0.11911121933463797</v>
      </c>
      <c r="V119" s="3" cm="1">
        <f t="array" ref="V119">IF(V$110=-1,W119,IF(V$110=99,U119,IF(V$110=0,INDEX($F100:$N100,0,V$108),(INDEX($F100:$N100,0,V$110+1)-INDEX($F100:$N100,0,V$110))/(INDEX($F$4:$N$4,0,V$110+1)-INDEX($F$4:$N$4,0,V$110))+U119)))</f>
        <v>0.1217515886422763</v>
      </c>
      <c r="W119" s="3" cm="1">
        <f t="array" ref="W119">IF(W$110=-1,X119,IF(W$110=99,V119,IF(W$110=0,INDEX($F100:$N100,0,W$108),(INDEX($F100:$N100,0,W$110+1)-INDEX($F100:$N100,0,W$110))/(INDEX($F$4:$N$4,0,W$110+1)-INDEX($F$4:$N$4,0,W$110))+V119)))</f>
        <v>0.12426516732283784</v>
      </c>
      <c r="X119" s="3" cm="1">
        <f t="array" ref="X119">IF(X$110=-1,Y119,IF(X$110=99,W119,IF(X$110=0,INDEX($F100:$N100,0,X$108),(INDEX($F100:$N100,0,X$110+1)-INDEX($F100:$N100,0,X$110))/(INDEX($F$4:$N$4,0,X$110+1)-INDEX($F$4:$N$4,0,X$110))+W119)))</f>
        <v>0.12677874600339939</v>
      </c>
      <c r="Y119" s="3" cm="1">
        <f t="array" ref="Y119">IF(Y$110=-1,Z119,IF(Y$110=99,X119,IF(Y$110=0,INDEX($F100:$N100,0,Y$108),(INDEX($F100:$N100,0,Y$110+1)-INDEX($F100:$N100,0,Y$110))/(INDEX($F$4:$N$4,0,Y$110+1)-INDEX($F$4:$N$4,0,Y$110))+X119)))</f>
        <v>0.12929232468396093</v>
      </c>
      <c r="Z119" s="3" cm="1">
        <f t="array" ref="Z119">IF(Z$110=-1,AA119,IF(Z$110=99,Y119,IF(Z$110=0,INDEX($F100:$N100,0,Z$108),(INDEX($F100:$N100,0,Z$110+1)-INDEX($F100:$N100,0,Z$110))/(INDEX($F$4:$N$4,0,Z$110+1)-INDEX($F$4:$N$4,0,Z$110))+Y119)))</f>
        <v>0.13180590336452247</v>
      </c>
      <c r="AA119" s="3" cm="1">
        <f t="array" ref="AA119">IF(AA$110=-1,AB119,IF(AA$110=99,Z119,IF(AA$110=0,INDEX($F100:$N100,0,AA$108),(INDEX($F100:$N100,0,AA$110+1)-INDEX($F100:$N100,0,AA$110))/(INDEX($F$4:$N$4,0,AA$110+1)-INDEX($F$4:$N$4,0,AA$110))+Z119)))</f>
        <v>0.13431948204508401</v>
      </c>
      <c r="AB119" s="3" cm="1">
        <f t="array" ref="AB119">IF(AB$110=-1,AC119,IF(AB$110=99,AA119,IF(AB$110=0,INDEX($F100:$N100,0,AB$108),(INDEX($F100:$N100,0,AB$110+1)-INDEX($F100:$N100,0,AB$110))/(INDEX($F$4:$N$4,0,AB$110+1)-INDEX($F$4:$N$4,0,AB$110))+AA119)))</f>
        <v>0.13683306072564555</v>
      </c>
      <c r="AC119" s="3" cm="1">
        <f t="array" ref="AC119">IF(AC$110=-1,AD119,IF(AC$110=99,AB119,IF(AC$110=0,INDEX($F100:$N100,0,AC$108),(INDEX($F100:$N100,0,AC$110+1)-INDEX($F100:$N100,0,AC$110))/(INDEX($F$4:$N$4,0,AC$110+1)-INDEX($F$4:$N$4,0,AC$110))+AB119)))</f>
        <v>0.13934663940620709</v>
      </c>
      <c r="AD119" s="3" cm="1">
        <f t="array" ref="AD119">IF(AD$110=-1,AE119,IF(AD$110=99,AC119,IF(AD$110=0,INDEX($F100:$N100,0,AD$108),(INDEX($F100:$N100,0,AD$110+1)-INDEX($F100:$N100,0,AD$110))/(INDEX($F$4:$N$4,0,AD$110+1)-INDEX($F$4:$N$4,0,AD$110))+AC119)))</f>
        <v>0.14186021808676863</v>
      </c>
      <c r="AE119" s="3" cm="1">
        <f t="array" ref="AE119">IF(AE$110=-1,AF119,IF(AE$110=99,AD119,IF(AE$110=0,INDEX($F100:$N100,0,AE$108),(INDEX($F100:$N100,0,AE$110+1)-INDEX($F100:$N100,0,AE$110))/(INDEX($F$4:$N$4,0,AE$110+1)-INDEX($F$4:$N$4,0,AE$110))+AD119)))</f>
        <v>0.1443737967673302</v>
      </c>
      <c r="AF119" s="3" cm="1">
        <f t="array" ref="AF119">IF(AF$110=-1,AG119,IF(AF$110=99,AE119,IF(AF$110=0,INDEX($F100:$N100,0,AF$108),(INDEX($F100:$N100,0,AF$110+1)-INDEX($F100:$N100,0,AF$110))/(INDEX($F$4:$N$4,0,AF$110+1)-INDEX($F$4:$N$4,0,AF$110))+AE119)))</f>
        <v>0.14841813294914796</v>
      </c>
      <c r="AG119" s="3" cm="1">
        <f t="array" ref="AG119">IF(AG$110=-1,AH119,IF(AG$110=99,AF119,IF(AG$110=0,INDEX($F100:$N100,0,AG$108),(INDEX($F100:$N100,0,AG$110+1)-INDEX($F100:$N100,0,AG$110))/(INDEX($F$4:$N$4,0,AG$110+1)-INDEX($F$4:$N$4,0,AG$110))+AF119)))</f>
        <v>0.15246246913096573</v>
      </c>
      <c r="AH119" s="3" cm="1">
        <f t="array" ref="AH119">IF(AH$110=-1,AI119,IF(AH$110=99,AG119,IF(AH$110=0,INDEX($F100:$N100,0,AH$108),(INDEX($F100:$N100,0,AH$110+1)-INDEX($F100:$N100,0,AH$110))/(INDEX($F$4:$N$4,0,AH$110+1)-INDEX($F$4:$N$4,0,AH$110))+AG119)))</f>
        <v>0.15650680531278349</v>
      </c>
      <c r="AI119" s="3" cm="1">
        <f t="array" ref="AI119">IF(AI$110=-1,AJ119,IF(AI$110=99,AH119,IF(AI$110=0,INDEX($F100:$N100,0,AI$108),(INDEX($F100:$N100,0,AI$110+1)-INDEX($F100:$N100,0,AI$110))/(INDEX($F$4:$N$4,0,AI$110+1)-INDEX($F$4:$N$4,0,AI$110))+AH119)))</f>
        <v>0.16055114149460126</v>
      </c>
      <c r="AJ119" s="3" cm="1">
        <f t="array" ref="AJ119">IF(AJ$110=-1,AK119,IF(AJ$110=99,AI119,IF(AJ$110=0,INDEX($F100:$N100,0,AJ$108),(INDEX($F100:$N100,0,AJ$110+1)-INDEX($F100:$N100,0,AJ$110))/(INDEX($F$4:$N$4,0,AJ$110+1)-INDEX($F$4:$N$4,0,AJ$110))+AI119)))</f>
        <v>0.16459547767641902</v>
      </c>
      <c r="AK119" s="3" cm="1">
        <f t="array" ref="AK119">IF(AK$110=-1,AL119,IF(AK$110=99,AJ119,IF(AK$110=0,INDEX($F100:$N100,0,AK$108),(INDEX($F100:$N100,0,AK$110+1)-INDEX($F100:$N100,0,AK$110))/(INDEX($F$4:$N$4,0,AK$110+1)-INDEX($F$4:$N$4,0,AK$110))+AJ119)))</f>
        <v>0.16863981385823679</v>
      </c>
      <c r="AL119" s="3" cm="1">
        <f t="array" ref="AL119">IF(AL$110=-1,AM119,IF(AL$110=99,AK119,IF(AL$110=0,INDEX($F100:$N100,0,AL$108),(INDEX($F100:$N100,0,AL$110+1)-INDEX($F100:$N100,0,AL$110))/(INDEX($F$4:$N$4,0,AL$110+1)-INDEX($F$4:$N$4,0,AL$110))+AK119)))</f>
        <v>0.17268415004005455</v>
      </c>
      <c r="AM119" s="3" cm="1">
        <f t="array" ref="AM119">IF(AM$110=-1,AN119,IF(AM$110=99,AL119,IF(AM$110=0,INDEX($F100:$N100,0,AM$108),(INDEX($F100:$N100,0,AM$110+1)-INDEX($F100:$N100,0,AM$110))/(INDEX($F$4:$N$4,0,AM$110+1)-INDEX($F$4:$N$4,0,AM$110))+AL119)))</f>
        <v>0.17672848622187232</v>
      </c>
      <c r="AN119" s="3" cm="1">
        <f t="array" ref="AN119">IF(AN$110=-1,AO119,IF(AN$110=99,AM119,IF(AN$110=0,INDEX($F100:$N100,0,AN$108),(INDEX($F100:$N100,0,AN$110+1)-INDEX($F100:$N100,0,AN$110))/(INDEX($F$4:$N$4,0,AN$110+1)-INDEX($F$4:$N$4,0,AN$110))+AM119)))</f>
        <v>0.18077282240369008</v>
      </c>
      <c r="AO119" s="3" cm="1">
        <f t="array" ref="AO119">IF(AO$110=-1,AP119,IF(AO$110=99,AN119,IF(AO$110=0,INDEX($F100:$N100,0,AO$108),(INDEX($F100:$N100,0,AO$110+1)-INDEX($F100:$N100,0,AO$110))/(INDEX($F$4:$N$4,0,AO$110+1)-INDEX($F$4:$N$4,0,AO$110))+AN119)))</f>
        <v>0.18481715858550771</v>
      </c>
      <c r="AP119" s="3" cm="1">
        <f t="array" ref="AP119">IF(AP$110=-1,AQ119,IF(AP$110=99,AO119,IF(AP$110=0,INDEX($F100:$N100,0,AP$108),(INDEX($F100:$N100,0,AP$110+1)-INDEX($F100:$N100,0,AP$110))/(INDEX($F$4:$N$4,0,AP$110+1)-INDEX($F$4:$N$4,0,AP$110))+AO119)))</f>
        <v>0.18800741552089906</v>
      </c>
      <c r="AQ119" s="3" cm="1">
        <f t="array" ref="AQ119">IF(AQ$110=-1,AR119,IF(AQ$110=99,AP119,IF(AQ$110=0,INDEX($F100:$N100,0,AQ$108),(INDEX($F100:$N100,0,AQ$110+1)-INDEX($F100:$N100,0,AQ$110))/(INDEX($F$4:$N$4,0,AQ$110+1)-INDEX($F$4:$N$4,0,AQ$110))+AP119)))</f>
        <v>0.19119767245629041</v>
      </c>
      <c r="AR119" s="3" cm="1">
        <f t="array" ref="AR119">IF(AR$110=-1,AS119,IF(AR$110=99,AQ119,IF(AR$110=0,INDEX($F100:$N100,0,AR$108),(INDEX($F100:$N100,0,AR$110+1)-INDEX($F100:$N100,0,AR$110))/(INDEX($F$4:$N$4,0,AR$110+1)-INDEX($F$4:$N$4,0,AR$110))+AQ119)))</f>
        <v>0.19438792939168176</v>
      </c>
      <c r="AS119" s="3" cm="1">
        <f t="array" ref="AS119">IF(AS$110=-1,AT119,IF(AS$110=99,AR119,IF(AS$110=0,INDEX($F100:$N100,0,AS$108),(INDEX($F100:$N100,0,AS$110+1)-INDEX($F100:$N100,0,AS$110))/(INDEX($F$4:$N$4,0,AS$110+1)-INDEX($F$4:$N$4,0,AS$110))+AR119)))</f>
        <v>0.19757818632707311</v>
      </c>
      <c r="AT119" s="3" cm="1">
        <f t="array" ref="AT119">IF(AT$110=-1,AU119,IF(AT$110=99,AS119,IF(AT$110=0,INDEX($F100:$N100,0,AT$108),(INDEX($F100:$N100,0,AT$110+1)-INDEX($F100:$N100,0,AT$110))/(INDEX($F$4:$N$4,0,AT$110+1)-INDEX($F$4:$N$4,0,AT$110))+AS119)))</f>
        <v>0.20076844326246446</v>
      </c>
      <c r="AU119" s="3" cm="1">
        <f t="array" ref="AU119">IF(AU$110=-1,AV119,IF(AU$110=99,AT119,IF(AU$110=0,INDEX($F100:$N100,0,AU$108),(INDEX($F100:$N100,0,AU$110+1)-INDEX($F100:$N100,0,AU$110))/(INDEX($F$4:$N$4,0,AU$110+1)-INDEX($F$4:$N$4,0,AU$110))+AT119)))</f>
        <v>0.20395870019785581</v>
      </c>
      <c r="AV119" s="3" cm="1">
        <f t="array" ref="AV119">IF(AV$110=-1,AW119,IF(AV$110=99,AU119,IF(AV$110=0,INDEX($F100:$N100,0,AV$108),(INDEX($F100:$N100,0,AV$110+1)-INDEX($F100:$N100,0,AV$110))/(INDEX($F$4:$N$4,0,AV$110+1)-INDEX($F$4:$N$4,0,AV$110))+AU119)))</f>
        <v>0.20714895713324716</v>
      </c>
      <c r="AW119" s="3" cm="1">
        <f t="array" ref="AW119">IF(AW$110=-1,AX119,IF(AW$110=99,AV119,IF(AW$110=0,INDEX($F100:$N100,0,AW$108),(INDEX($F100:$N100,0,AW$110+1)-INDEX($F100:$N100,0,AW$110))/(INDEX($F$4:$N$4,0,AW$110+1)-INDEX($F$4:$N$4,0,AW$110))+AV119)))</f>
        <v>0.21033921406863851</v>
      </c>
      <c r="AX119" s="3" cm="1">
        <f t="array" ref="AX119">IF(AX$110=-1,AY119,IF(AX$110=99,AW119,IF(AX$110=0,INDEX($F100:$N100,0,AX$108),(INDEX($F100:$N100,0,AX$110+1)-INDEX($F100:$N100,0,AX$110))/(INDEX($F$4:$N$4,0,AX$110+1)-INDEX($F$4:$N$4,0,AX$110))+AW119)))</f>
        <v>0.21352947100402986</v>
      </c>
      <c r="AY119" s="3" cm="1">
        <f t="array" ref="AY119">IF(AY$110=-1,AZ119,IF(AY$110=99,AX119,IF(AY$110=0,INDEX($F100:$N100,0,AY$108),(INDEX($F100:$N100,0,AY$110+1)-INDEX($F100:$N100,0,AY$110))/(INDEX($F$4:$N$4,0,AY$110+1)-INDEX($F$4:$N$4,0,AY$110))+AX119)))</f>
        <v>0.21671972793942126</v>
      </c>
      <c r="AZ119" s="3" cm="1">
        <f t="array" ref="AZ119">IF(AZ$110=-1,BA119,IF(AZ$110=99,AY119,IF(AZ$110=0,INDEX($F100:$N100,0,AZ$108),(INDEX($F100:$N100,0,AZ$110+1)-INDEX($F100:$N100,0,AZ$110))/(INDEX($F$4:$N$4,0,AZ$110+1)-INDEX($F$4:$N$4,0,AZ$110))+AY119)))</f>
        <v>0.21671972793942126</v>
      </c>
      <c r="BA119" s="3" cm="1">
        <f t="array" ref="BA119">IF(BA$110=-1,BB119,IF(BA$110=99,AZ119,IF(BA$110=0,INDEX($F100:$N100,0,BA$108),(INDEX($F100:$N100,0,BA$110+1)-INDEX($F100:$N100,0,BA$110))/(INDEX($F$4:$N$4,0,BA$110+1)-INDEX($F$4:$N$4,0,BA$110))+AZ119)))</f>
        <v>0.21671972793942126</v>
      </c>
    </row>
    <row r="120" spans="1:53">
      <c r="A120" s="104" t="s">
        <v>16</v>
      </c>
      <c r="B120" s="16" t="str">
        <f t="shared" si="219"/>
        <v/>
      </c>
      <c r="C120" s="17" t="str">
        <f t="shared" si="220"/>
        <v/>
      </c>
      <c r="D120" s="48" t="str">
        <f>ITEMS_TRA!C24</f>
        <v>TFHCV9</v>
      </c>
      <c r="E120" s="17" t="str">
        <f t="shared" si="221"/>
        <v/>
      </c>
      <c r="H120" s="17" t="str">
        <f t="shared" si="221"/>
        <v/>
      </c>
      <c r="J120" s="17" t="str">
        <f t="shared" si="221"/>
        <v/>
      </c>
      <c r="K120" s="17" t="str">
        <f t="shared" si="221"/>
        <v/>
      </c>
      <c r="L120" s="111" t="str">
        <f t="shared" si="222"/>
        <v/>
      </c>
      <c r="M120" s="3">
        <f>INDEX('[2]TS BYDem'!J$10:J$59,MATCH($D120,'[2]TS BYDem'!D$10:D$59,0))</f>
        <v>5.2818957554105039E-2</v>
      </c>
      <c r="N120" s="3" cm="1">
        <f t="array" ref="N120">IF(N$110=-1,O120,IF(N$110=99,M120,IF(N$110=0,INDEX($F101:$N101,0,N$108),(INDEX($F101:$N101,0,N$110+1)-INDEX($F101:$N101,0,N$110))/(INDEX($F$4:$N$4,0,N$110+1)-INDEX($F$4:$N$4,0,N$110))+M120)))</f>
        <v>4.5016661085483405E-2</v>
      </c>
      <c r="O120" s="3" cm="1">
        <f t="array" ref="O120">IF(O$110=-1,P120,IF(O$110=99,N120,IF(O$110=0,INDEX($F101:$N101,0,O$108),(INDEX($F101:$N101,0,O$110+1)-INDEX($F101:$N101,0,O$110))/(INDEX($F$4:$N$4,0,O$110+1)-INDEX($F$4:$N$4,0,O$110))+N120)))</f>
        <v>3.721436461686177E-2</v>
      </c>
      <c r="P120" s="3" cm="1">
        <f t="array" ref="P120">IF(P$110=-1,Q120,IF(P$110=99,O120,IF(P$110=0,INDEX($F101:$N101,0,P$108),(INDEX($F101:$N101,0,P$110+1)-INDEX($F101:$N101,0,P$110))/(INDEX($F$4:$N$4,0,P$110+1)-INDEX($F$4:$N$4,0,P$110))+O120)))</f>
        <v>2.9412068148240201E-2</v>
      </c>
      <c r="Q120" s="3" cm="1">
        <f t="array" ref="Q120">IF(Q$110=-1,R120,IF(Q$110=99,P120,IF(Q$110=0,INDEX($F101:$N101,0,Q$108),(INDEX($F101:$N101,0,Q$110+1)-INDEX($F101:$N101,0,Q$110))/(INDEX($F$4:$N$4,0,Q$110+1)-INDEX($F$4:$N$4,0,Q$110))+P120)))</f>
        <v>2.9412068148240201E-2</v>
      </c>
      <c r="R120" s="3" cm="1">
        <f t="array" ref="R120">IF(R$110=-1,S120,IF(R$110=99,Q120,IF(R$110=0,INDEX($F101:$N101,0,R$108),(INDEX($F101:$N101,0,R$110+1)-INDEX($F101:$N101,0,R$110))/(INDEX($F$4:$N$4,0,R$110+1)-INDEX($F$4:$N$4,0,R$110))+Q120)))</f>
        <v>2.9412068148240201E-2</v>
      </c>
      <c r="S120" s="3" cm="1">
        <f t="array" ref="S120">IF(S$110=-1,T120,IF(S$110=99,R120,IF(S$110=0,INDEX($F101:$N101,0,S$108),(INDEX($F101:$N101,0,S$110+1)-INDEX($F101:$N101,0,S$110))/(INDEX($F$4:$N$4,0,S$110+1)-INDEX($F$4:$N$4,0,S$110))+R120)))</f>
        <v>2.9595121863944723E-2</v>
      </c>
      <c r="T120" s="3" cm="1">
        <f t="array" ref="T120">IF(T$110=-1,U120,IF(T$110=99,S120,IF(T$110=0,INDEX($F101:$N101,0,T$108),(INDEX($F101:$N101,0,T$110+1)-INDEX($F101:$N101,0,T$110))/(INDEX($F$4:$N$4,0,T$110+1)-INDEX($F$4:$N$4,0,T$110))+S120)))</f>
        <v>2.9778175579649249E-2</v>
      </c>
      <c r="U120" s="3" cm="1">
        <f t="array" ref="U120">IF(U$110=-1,V120,IF(U$110=99,T120,IF(U$110=0,INDEX($F101:$N101,0,U$108),(INDEX($F101:$N101,0,U$110+1)-INDEX($F101:$N101,0,U$110))/(INDEX($F$4:$N$4,0,U$110+1)-INDEX($F$4:$N$4,0,U$110))+T120)))</f>
        <v>2.8665427088524546E-2</v>
      </c>
      <c r="V120" s="3" cm="1">
        <f t="array" ref="V120">IF(V$110=-1,W120,IF(V$110=99,U120,IF(V$110=0,INDEX($F101:$N101,0,V$108),(INDEX($F101:$N101,0,V$110+1)-INDEX($F101:$N101,0,V$110))/(INDEX($F$4:$N$4,0,V$110+1)-INDEX($F$4:$N$4,0,V$110))+U120)))</f>
        <v>2.9300861049302369E-2</v>
      </c>
      <c r="W120" s="3" cm="1">
        <f t="array" ref="W120">IF(W$110=-1,X120,IF(W$110=99,V120,IF(W$110=0,INDEX($F101:$N101,0,W$108),(INDEX($F101:$N101,0,W$110+1)-INDEX($F101:$N101,0,W$110))/(INDEX($F$4:$N$4,0,W$110+1)-INDEX($F$4:$N$4,0,W$110))+V120)))</f>
        <v>2.9905781448920456E-2</v>
      </c>
      <c r="X120" s="3" cm="1">
        <f t="array" ref="X120">IF(X$110=-1,Y120,IF(X$110=99,W120,IF(X$110=0,INDEX($F101:$N101,0,X$108),(INDEX($F101:$N101,0,X$110+1)-INDEX($F101:$N101,0,X$110))/(INDEX($F$4:$N$4,0,X$110+1)-INDEX($F$4:$N$4,0,X$110))+W120)))</f>
        <v>3.0510701848538543E-2</v>
      </c>
      <c r="Y120" s="3" cm="1">
        <f t="array" ref="Y120">IF(Y$110=-1,Z120,IF(Y$110=99,X120,IF(Y$110=0,INDEX($F101:$N101,0,Y$108),(INDEX($F101:$N101,0,Y$110+1)-INDEX($F101:$N101,0,Y$110))/(INDEX($F$4:$N$4,0,Y$110+1)-INDEX($F$4:$N$4,0,Y$110))+X120)))</f>
        <v>3.111562224815663E-2</v>
      </c>
      <c r="Z120" s="3" cm="1">
        <f t="array" ref="Z120">IF(Z$110=-1,AA120,IF(Z$110=99,Y120,IF(Z$110=0,INDEX($F101:$N101,0,Z$108),(INDEX($F101:$N101,0,Z$110+1)-INDEX($F101:$N101,0,Z$110))/(INDEX($F$4:$N$4,0,Z$110+1)-INDEX($F$4:$N$4,0,Z$110))+Y120)))</f>
        <v>3.1720542647774713E-2</v>
      </c>
      <c r="AA120" s="3" cm="1">
        <f t="array" ref="AA120">IF(AA$110=-1,AB120,IF(AA$110=99,Z120,IF(AA$110=0,INDEX($F101:$N101,0,AA$108),(INDEX($F101:$N101,0,AA$110+1)-INDEX($F101:$N101,0,AA$110))/(INDEX($F$4:$N$4,0,AA$110+1)-INDEX($F$4:$N$4,0,AA$110))+Z120)))</f>
        <v>3.2325463047392797E-2</v>
      </c>
      <c r="AB120" s="3" cm="1">
        <f t="array" ref="AB120">IF(AB$110=-1,AC120,IF(AB$110=99,AA120,IF(AB$110=0,INDEX($F101:$N101,0,AB$108),(INDEX($F101:$N101,0,AB$110+1)-INDEX($F101:$N101,0,AB$110))/(INDEX($F$4:$N$4,0,AB$110+1)-INDEX($F$4:$N$4,0,AB$110))+AA120)))</f>
        <v>3.293038344701088E-2</v>
      </c>
      <c r="AC120" s="3" cm="1">
        <f t="array" ref="AC120">IF(AC$110=-1,AD120,IF(AC$110=99,AB120,IF(AC$110=0,INDEX($F101:$N101,0,AC$108),(INDEX($F101:$N101,0,AC$110+1)-INDEX($F101:$N101,0,AC$110))/(INDEX($F$4:$N$4,0,AC$110+1)-INDEX($F$4:$N$4,0,AC$110))+AB120)))</f>
        <v>3.3535303846628964E-2</v>
      </c>
      <c r="AD120" s="3" cm="1">
        <f t="array" ref="AD120">IF(AD$110=-1,AE120,IF(AD$110=99,AC120,IF(AD$110=0,INDEX($F101:$N101,0,AD$108),(INDEX($F101:$N101,0,AD$110+1)-INDEX($F101:$N101,0,AD$110))/(INDEX($F$4:$N$4,0,AD$110+1)-INDEX($F$4:$N$4,0,AD$110))+AC120)))</f>
        <v>3.4140224246247047E-2</v>
      </c>
      <c r="AE120" s="3" cm="1">
        <f t="array" ref="AE120">IF(AE$110=-1,AF120,IF(AE$110=99,AD120,IF(AE$110=0,INDEX($F101:$N101,0,AE$108),(INDEX($F101:$N101,0,AE$110+1)-INDEX($F101:$N101,0,AE$110))/(INDEX($F$4:$N$4,0,AE$110+1)-INDEX($F$4:$N$4,0,AE$110))+AD120)))</f>
        <v>3.4745144645865138E-2</v>
      </c>
      <c r="AF120" s="3" cm="1">
        <f t="array" ref="AF120">IF(AF$110=-1,AG120,IF(AF$110=99,AE120,IF(AF$110=0,INDEX($F101:$N101,0,AF$108),(INDEX($F101:$N101,0,AF$110+1)-INDEX($F101:$N101,0,AF$110))/(INDEX($F$4:$N$4,0,AF$110+1)-INDEX($F$4:$N$4,0,AF$110))+AE120)))</f>
        <v>3.5718458701325111E-2</v>
      </c>
      <c r="AG120" s="3" cm="1">
        <f t="array" ref="AG120">IF(AG$110=-1,AH120,IF(AG$110=99,AF120,IF(AG$110=0,INDEX($F101:$N101,0,AG$108),(INDEX($F101:$N101,0,AG$110+1)-INDEX($F101:$N101,0,AG$110))/(INDEX($F$4:$N$4,0,AG$110+1)-INDEX($F$4:$N$4,0,AG$110))+AF120)))</f>
        <v>3.6691772756785083E-2</v>
      </c>
      <c r="AH120" s="3" cm="1">
        <f t="array" ref="AH120">IF(AH$110=-1,AI120,IF(AH$110=99,AG120,IF(AH$110=0,INDEX($F101:$N101,0,AH$108),(INDEX($F101:$N101,0,AH$110+1)-INDEX($F101:$N101,0,AH$110))/(INDEX($F$4:$N$4,0,AH$110+1)-INDEX($F$4:$N$4,0,AH$110))+AG120)))</f>
        <v>3.7665086812245056E-2</v>
      </c>
      <c r="AI120" s="3" cm="1">
        <f t="array" ref="AI120">IF(AI$110=-1,AJ120,IF(AI$110=99,AH120,IF(AI$110=0,INDEX($F101:$N101,0,AI$108),(INDEX($F101:$N101,0,AI$110+1)-INDEX($F101:$N101,0,AI$110))/(INDEX($F$4:$N$4,0,AI$110+1)-INDEX($F$4:$N$4,0,AI$110))+AH120)))</f>
        <v>3.8638400867705029E-2</v>
      </c>
      <c r="AJ120" s="3" cm="1">
        <f t="array" ref="AJ120">IF(AJ$110=-1,AK120,IF(AJ$110=99,AI120,IF(AJ$110=0,INDEX($F101:$N101,0,AJ$108),(INDEX($F101:$N101,0,AJ$110+1)-INDEX($F101:$N101,0,AJ$110))/(INDEX($F$4:$N$4,0,AJ$110+1)-INDEX($F$4:$N$4,0,AJ$110))+AI120)))</f>
        <v>3.9611714923165002E-2</v>
      </c>
      <c r="AK120" s="3" cm="1">
        <f t="array" ref="AK120">IF(AK$110=-1,AL120,IF(AK$110=99,AJ120,IF(AK$110=0,INDEX($F101:$N101,0,AK$108),(INDEX($F101:$N101,0,AK$110+1)-INDEX($F101:$N101,0,AK$110))/(INDEX($F$4:$N$4,0,AK$110+1)-INDEX($F$4:$N$4,0,AK$110))+AJ120)))</f>
        <v>4.0585028978624975E-2</v>
      </c>
      <c r="AL120" s="3" cm="1">
        <f t="array" ref="AL120">IF(AL$110=-1,AM120,IF(AL$110=99,AK120,IF(AL$110=0,INDEX($F101:$N101,0,AL$108),(INDEX($F101:$N101,0,AL$110+1)-INDEX($F101:$N101,0,AL$110))/(INDEX($F$4:$N$4,0,AL$110+1)-INDEX($F$4:$N$4,0,AL$110))+AK120)))</f>
        <v>4.1558343034084948E-2</v>
      </c>
      <c r="AM120" s="3" cm="1">
        <f t="array" ref="AM120">IF(AM$110=-1,AN120,IF(AM$110=99,AL120,IF(AM$110=0,INDEX($F101:$N101,0,AM$108),(INDEX($F101:$N101,0,AM$110+1)-INDEX($F101:$N101,0,AM$110))/(INDEX($F$4:$N$4,0,AM$110+1)-INDEX($F$4:$N$4,0,AM$110))+AL120)))</f>
        <v>4.2531657089544921E-2</v>
      </c>
      <c r="AN120" s="3" cm="1">
        <f t="array" ref="AN120">IF(AN$110=-1,AO120,IF(AN$110=99,AM120,IF(AN$110=0,INDEX($F101:$N101,0,AN$108),(INDEX($F101:$N101,0,AN$110+1)-INDEX($F101:$N101,0,AN$110))/(INDEX($F$4:$N$4,0,AN$110+1)-INDEX($F$4:$N$4,0,AN$110))+AM120)))</f>
        <v>4.3504971145004893E-2</v>
      </c>
      <c r="AO120" s="3" cm="1">
        <f t="array" ref="AO120">IF(AO$110=-1,AP120,IF(AO$110=99,AN120,IF(AO$110=0,INDEX($F101:$N101,0,AO$108),(INDEX($F101:$N101,0,AO$110+1)-INDEX($F101:$N101,0,AO$110))/(INDEX($F$4:$N$4,0,AO$110+1)-INDEX($F$4:$N$4,0,AO$110))+AN120)))</f>
        <v>4.4478285200464845E-2</v>
      </c>
      <c r="AP120" s="3" cm="1">
        <f t="array" ref="AP120">IF(AP$110=-1,AQ120,IF(AP$110=99,AO120,IF(AP$110=0,INDEX($F101:$N101,0,AP$108),(INDEX($F101:$N101,0,AP$110+1)-INDEX($F101:$N101,0,AP$110))/(INDEX($F$4:$N$4,0,AP$110+1)-INDEX($F$4:$N$4,0,AP$110))+AO120)))</f>
        <v>4.5246055676545653E-2</v>
      </c>
      <c r="AQ120" s="3" cm="1">
        <f t="array" ref="AQ120">IF(AQ$110=-1,AR120,IF(AQ$110=99,AP120,IF(AQ$110=0,INDEX($F101:$N101,0,AQ$108),(INDEX($F101:$N101,0,AQ$110+1)-INDEX($F101:$N101,0,AQ$110))/(INDEX($F$4:$N$4,0,AQ$110+1)-INDEX($F$4:$N$4,0,AQ$110))+AP120)))</f>
        <v>4.6013826152626461E-2</v>
      </c>
      <c r="AR120" s="3" cm="1">
        <f t="array" ref="AR120">IF(AR$110=-1,AS120,IF(AR$110=99,AQ120,IF(AR$110=0,INDEX($F101:$N101,0,AR$108),(INDEX($F101:$N101,0,AR$110+1)-INDEX($F101:$N101,0,AR$110))/(INDEX($F$4:$N$4,0,AR$110+1)-INDEX($F$4:$N$4,0,AR$110))+AQ120)))</f>
        <v>4.6781596628707268E-2</v>
      </c>
      <c r="AS120" s="3" cm="1">
        <f t="array" ref="AS120">IF(AS$110=-1,AT120,IF(AS$110=99,AR120,IF(AS$110=0,INDEX($F101:$N101,0,AS$108),(INDEX($F101:$N101,0,AS$110+1)-INDEX($F101:$N101,0,AS$110))/(INDEX($F$4:$N$4,0,AS$110+1)-INDEX($F$4:$N$4,0,AS$110))+AR120)))</f>
        <v>4.7549367104788076E-2</v>
      </c>
      <c r="AT120" s="3" cm="1">
        <f t="array" ref="AT120">IF(AT$110=-1,AU120,IF(AT$110=99,AS120,IF(AT$110=0,INDEX($F101:$N101,0,AT$108),(INDEX($F101:$N101,0,AT$110+1)-INDEX($F101:$N101,0,AT$110))/(INDEX($F$4:$N$4,0,AT$110+1)-INDEX($F$4:$N$4,0,AT$110))+AS120)))</f>
        <v>4.8317137580868884E-2</v>
      </c>
      <c r="AU120" s="3" cm="1">
        <f t="array" ref="AU120">IF(AU$110=-1,AV120,IF(AU$110=99,AT120,IF(AU$110=0,INDEX($F101:$N101,0,AU$108),(INDEX($F101:$N101,0,AU$110+1)-INDEX($F101:$N101,0,AU$110))/(INDEX($F$4:$N$4,0,AU$110+1)-INDEX($F$4:$N$4,0,AU$110))+AT120)))</f>
        <v>4.9084908056949692E-2</v>
      </c>
      <c r="AV120" s="3" cm="1">
        <f t="array" ref="AV120">IF(AV$110=-1,AW120,IF(AV$110=99,AU120,IF(AV$110=0,INDEX($F101:$N101,0,AV$108),(INDEX($F101:$N101,0,AV$110+1)-INDEX($F101:$N101,0,AV$110))/(INDEX($F$4:$N$4,0,AV$110+1)-INDEX($F$4:$N$4,0,AV$110))+AU120)))</f>
        <v>4.9852678533030499E-2</v>
      </c>
      <c r="AW120" s="3" cm="1">
        <f t="array" ref="AW120">IF(AW$110=-1,AX120,IF(AW$110=99,AV120,IF(AW$110=0,INDEX($F101:$N101,0,AW$108),(INDEX($F101:$N101,0,AW$110+1)-INDEX($F101:$N101,0,AW$110))/(INDEX($F$4:$N$4,0,AW$110+1)-INDEX($F$4:$N$4,0,AW$110))+AV120)))</f>
        <v>5.0620449009111307E-2</v>
      </c>
      <c r="AX120" s="3" cm="1">
        <f t="array" ref="AX120">IF(AX$110=-1,AY120,IF(AX$110=99,AW120,IF(AX$110=0,INDEX($F101:$N101,0,AX$108),(INDEX($F101:$N101,0,AX$110+1)-INDEX($F101:$N101,0,AX$110))/(INDEX($F$4:$N$4,0,AX$110+1)-INDEX($F$4:$N$4,0,AX$110))+AW120)))</f>
        <v>5.1388219485192115E-2</v>
      </c>
      <c r="AY120" s="3" cm="1">
        <f t="array" ref="AY120">IF(AY$110=-1,AZ120,IF(AY$110=99,AX120,IF(AY$110=0,INDEX($F101:$N101,0,AY$108),(INDEX($F101:$N101,0,AY$110+1)-INDEX($F101:$N101,0,AY$110))/(INDEX($F$4:$N$4,0,AY$110+1)-INDEX($F$4:$N$4,0,AY$110))+AX120)))</f>
        <v>5.2155989961272943E-2</v>
      </c>
      <c r="AZ120" s="3" cm="1">
        <f t="array" ref="AZ120">IF(AZ$110=-1,BA120,IF(AZ$110=99,AY120,IF(AZ$110=0,INDEX($F101:$N101,0,AZ$108),(INDEX($F101:$N101,0,AZ$110+1)-INDEX($F101:$N101,0,AZ$110))/(INDEX($F$4:$N$4,0,AZ$110+1)-INDEX($F$4:$N$4,0,AZ$110))+AY120)))</f>
        <v>5.2155989961272943E-2</v>
      </c>
      <c r="BA120" s="3" cm="1">
        <f t="array" ref="BA120">IF(BA$110=-1,BB120,IF(BA$110=99,AZ120,IF(BA$110=0,INDEX($F101:$N101,0,BA$108),(INDEX($F101:$N101,0,BA$110+1)-INDEX($F101:$N101,0,BA$110))/(INDEX($F$4:$N$4,0,BA$110+1)-INDEX($F$4:$N$4,0,BA$110))+AZ120)))</f>
        <v>5.2155989961272943E-2</v>
      </c>
    </row>
    <row r="121" spans="1:53">
      <c r="A121" s="104" t="s">
        <v>16</v>
      </c>
      <c r="B121" s="16" t="str">
        <f t="shared" si="219"/>
        <v/>
      </c>
      <c r="C121" s="17" t="str">
        <f t="shared" si="220"/>
        <v/>
      </c>
      <c r="D121" s="48" t="str">
        <f>ITEMS_TRA!C25</f>
        <v>TFRCO</v>
      </c>
      <c r="E121" s="17" t="str">
        <f t="shared" si="221"/>
        <v/>
      </c>
      <c r="H121" s="17" t="str">
        <f t="shared" si="221"/>
        <v/>
      </c>
      <c r="J121" s="17" t="str">
        <f t="shared" si="221"/>
        <v/>
      </c>
      <c r="K121" s="17" t="str">
        <f t="shared" si="221"/>
        <v/>
      </c>
      <c r="L121" s="111" t="str">
        <f t="shared" si="222"/>
        <v/>
      </c>
      <c r="M121" s="3">
        <f>INDEX('[2]TS BYDem'!J$10:J$59,MATCH($D121,'[2]TS BYDem'!D$10:D$59,0))</f>
        <v>22</v>
      </c>
      <c r="N121" s="3" cm="1">
        <f t="array" ref="N121">IF(N$110=-1,O121,IF(N$110=99,M121,IF(N$110=0,INDEX($F102:$N102,0,N$108),(INDEX($F102:$N102,0,N$110+1)-INDEX($F102:$N102,0,N$110))/(INDEX($F$4:$N$4,0,N$110+1)-INDEX($F$4:$N$4,0,N$110))+M121)))</f>
        <v>22.394471154794282</v>
      </c>
      <c r="O121" s="3" cm="1">
        <f t="array" ref="O121">IF(O$110=-1,P121,IF(O$110=99,N121,IF(O$110=0,INDEX($F102:$N102,0,O$108),(INDEX($F102:$N102,0,O$110+1)-INDEX($F102:$N102,0,O$110))/(INDEX($F$4:$N$4,0,O$110+1)-INDEX($F$4:$N$4,0,O$110))+N121)))</f>
        <v>22.788942309588563</v>
      </c>
      <c r="P121" s="3" cm="1">
        <f t="array" ref="P121">IF(P$110=-1,Q121,IF(P$110=99,O121,IF(P$110=0,INDEX($F102:$N102,0,P$108),(INDEX($F102:$N102,0,P$110+1)-INDEX($F102:$N102,0,P$110))/(INDEX($F$4:$N$4,0,P$110+1)-INDEX($F$4:$N$4,0,P$110))+O121)))</f>
        <v>23.183413464382845</v>
      </c>
      <c r="Q121" s="3" cm="1">
        <f t="array" ref="Q121">IF(Q$110=-1,R121,IF(Q$110=99,P121,IF(Q$110=0,INDEX($F102:$N102,0,Q$108),(INDEX($F102:$N102,0,Q$110+1)-INDEX($F102:$N102,0,Q$110))/(INDEX($F$4:$N$4,0,Q$110+1)-INDEX($F$4:$N$4,0,Q$110))+P121)))</f>
        <v>23.396576241140881</v>
      </c>
      <c r="R121" s="3" cm="1">
        <f t="array" ref="R121">IF(R$110=-1,S121,IF(R$110=99,Q121,IF(R$110=0,INDEX($F102:$N102,0,R$108),(INDEX($F102:$N102,0,R$110+1)-INDEX($F102:$N102,0,R$110))/(INDEX($F$4:$N$4,0,R$110+1)-INDEX($F$4:$N$4,0,R$110))+Q121)))</f>
        <v>23.609739017898917</v>
      </c>
      <c r="S121" s="3" cm="1">
        <f t="array" ref="S121">IF(S$110=-1,T121,IF(S$110=99,R121,IF(S$110=0,INDEX($F102:$N102,0,S$108),(INDEX($F102:$N102,0,S$110+1)-INDEX($F102:$N102,0,S$110))/(INDEX($F$4:$N$4,0,S$110+1)-INDEX($F$4:$N$4,0,S$110))+R121)))</f>
        <v>23.756680417335971</v>
      </c>
      <c r="T121" s="3" cm="1">
        <f t="array" ref="T121">IF(T$110=-1,U121,IF(T$110=99,S121,IF(T$110=0,INDEX($F102:$N102,0,T$108),(INDEX($F102:$N102,0,T$110+1)-INDEX($F102:$N102,0,T$110))/(INDEX($F$4:$N$4,0,T$110+1)-INDEX($F$4:$N$4,0,T$110))+S121)))</f>
        <v>23.903621816773025</v>
      </c>
      <c r="U121" s="3" cm="1">
        <f t="array" ref="U121">IF(U$110=-1,V121,IF(U$110=99,T121,IF(U$110=0,INDEX($F102:$N102,0,U$108),(INDEX($F102:$N102,0,U$110+1)-INDEX($F102:$N102,0,U$110))/(INDEX($F$4:$N$4,0,U$110+1)-INDEX($F$4:$N$4,0,U$110))+T121)))</f>
        <v>23.010393182336216</v>
      </c>
      <c r="V121" s="3" cm="1">
        <f t="array" ref="V121">IF(V$110=-1,W121,IF(V$110=99,U121,IF(V$110=0,INDEX($F102:$N102,0,V$108),(INDEX($F102:$N102,0,V$110+1)-INDEX($F102:$N102,0,V$110))/(INDEX($F$4:$N$4,0,V$110+1)-INDEX($F$4:$N$4,0,V$110))+U121)))</f>
        <v>23.52047053906816</v>
      </c>
      <c r="W121" s="3" cm="1">
        <f t="array" ref="W121">IF(W$110=-1,X121,IF(W$110=99,V121,IF(W$110=0,INDEX($F102:$N102,0,W$108),(INDEX($F102:$N102,0,W$110+1)-INDEX($F102:$N102,0,W$110))/(INDEX($F$4:$N$4,0,W$110+1)-INDEX($F$4:$N$4,0,W$110))+V121)))</f>
        <v>24.006053963178399</v>
      </c>
      <c r="X121" s="3" cm="1">
        <f t="array" ref="X121">IF(X$110=-1,Y121,IF(X$110=99,W121,IF(X$110=0,INDEX($F102:$N102,0,X$108),(INDEX($F102:$N102,0,X$110+1)-INDEX($F102:$N102,0,X$110))/(INDEX($F$4:$N$4,0,X$110+1)-INDEX($F$4:$N$4,0,X$110))+W121)))</f>
        <v>24.491637387288637</v>
      </c>
      <c r="Y121" s="3" cm="1">
        <f t="array" ref="Y121">IF(Y$110=-1,Z121,IF(Y$110=99,X121,IF(Y$110=0,INDEX($F102:$N102,0,Y$108),(INDEX($F102:$N102,0,Y$110+1)-INDEX($F102:$N102,0,Y$110))/(INDEX($F$4:$N$4,0,Y$110+1)-INDEX($F$4:$N$4,0,Y$110))+X121)))</f>
        <v>24.977220811398876</v>
      </c>
      <c r="Z121" s="3" cm="1">
        <f t="array" ref="Z121">IF(Z$110=-1,AA121,IF(Z$110=99,Y121,IF(Z$110=0,INDEX($F102:$N102,0,Z$108),(INDEX($F102:$N102,0,Z$110+1)-INDEX($F102:$N102,0,Z$110))/(INDEX($F$4:$N$4,0,Z$110+1)-INDEX($F$4:$N$4,0,Z$110))+Y121)))</f>
        <v>25.462804235509115</v>
      </c>
      <c r="AA121" s="3" cm="1">
        <f t="array" ref="AA121">IF(AA$110=-1,AB121,IF(AA$110=99,Z121,IF(AA$110=0,INDEX($F102:$N102,0,AA$108),(INDEX($F102:$N102,0,AA$110+1)-INDEX($F102:$N102,0,AA$110))/(INDEX($F$4:$N$4,0,AA$110+1)-INDEX($F$4:$N$4,0,AA$110))+Z121)))</f>
        <v>25.948387659619353</v>
      </c>
      <c r="AB121" s="3" cm="1">
        <f t="array" ref="AB121">IF(AB$110=-1,AC121,IF(AB$110=99,AA121,IF(AB$110=0,INDEX($F102:$N102,0,AB$108),(INDEX($F102:$N102,0,AB$110+1)-INDEX($F102:$N102,0,AB$110))/(INDEX($F$4:$N$4,0,AB$110+1)-INDEX($F$4:$N$4,0,AB$110))+AA121)))</f>
        <v>26.433971083729592</v>
      </c>
      <c r="AC121" s="3" cm="1">
        <f t="array" ref="AC121">IF(AC$110=-1,AD121,IF(AC$110=99,AB121,IF(AC$110=0,INDEX($F102:$N102,0,AC$108),(INDEX($F102:$N102,0,AC$110+1)-INDEX($F102:$N102,0,AC$110))/(INDEX($F$4:$N$4,0,AC$110+1)-INDEX($F$4:$N$4,0,AC$110))+AB121)))</f>
        <v>26.91955450783983</v>
      </c>
      <c r="AD121" s="3" cm="1">
        <f t="array" ref="AD121">IF(AD$110=-1,AE121,IF(AD$110=99,AC121,IF(AD$110=0,INDEX($F102:$N102,0,AD$108),(INDEX($F102:$N102,0,AD$110+1)-INDEX($F102:$N102,0,AD$110))/(INDEX($F$4:$N$4,0,AD$110+1)-INDEX($F$4:$N$4,0,AD$110))+AC121)))</f>
        <v>27.405137931950069</v>
      </c>
      <c r="AE121" s="3" cm="1">
        <f t="array" ref="AE121">IF(AE$110=-1,AF121,IF(AE$110=99,AD121,IF(AE$110=0,INDEX($F102:$N102,0,AE$108),(INDEX($F102:$N102,0,AE$110+1)-INDEX($F102:$N102,0,AE$110))/(INDEX($F$4:$N$4,0,AE$110+1)-INDEX($F$4:$N$4,0,AE$110))+AD121)))</f>
        <v>27.890721356060297</v>
      </c>
      <c r="AF121" s="3" cm="1">
        <f t="array" ref="AF121">IF(AF$110=-1,AG121,IF(AF$110=99,AE121,IF(AF$110=0,INDEX($F102:$N102,0,AF$108),(INDEX($F102:$N102,0,AF$110+1)-INDEX($F102:$N102,0,AF$110))/(INDEX($F$4:$N$4,0,AF$110+1)-INDEX($F$4:$N$4,0,AF$110))+AE121)))</f>
        <v>28.672022783625419</v>
      </c>
      <c r="AG121" s="3" cm="1">
        <f t="array" ref="AG121">IF(AG$110=-1,AH121,IF(AG$110=99,AF121,IF(AG$110=0,INDEX($F102:$N102,0,AG$108),(INDEX($F102:$N102,0,AG$110+1)-INDEX($F102:$N102,0,AG$110))/(INDEX($F$4:$N$4,0,AG$110+1)-INDEX($F$4:$N$4,0,AG$110))+AF121)))</f>
        <v>29.453324211190541</v>
      </c>
      <c r="AH121" s="3" cm="1">
        <f t="array" ref="AH121">IF(AH$110=-1,AI121,IF(AH$110=99,AG121,IF(AH$110=0,INDEX($F102:$N102,0,AH$108),(INDEX($F102:$N102,0,AH$110+1)-INDEX($F102:$N102,0,AH$110))/(INDEX($F$4:$N$4,0,AH$110+1)-INDEX($F$4:$N$4,0,AH$110))+AG121)))</f>
        <v>30.234625638755663</v>
      </c>
      <c r="AI121" s="3" cm="1">
        <f t="array" ref="AI121">IF(AI$110=-1,AJ121,IF(AI$110=99,AH121,IF(AI$110=0,INDEX($F102:$N102,0,AI$108),(INDEX($F102:$N102,0,AI$110+1)-INDEX($F102:$N102,0,AI$110))/(INDEX($F$4:$N$4,0,AI$110+1)-INDEX($F$4:$N$4,0,AI$110))+AH121)))</f>
        <v>31.015927066320785</v>
      </c>
      <c r="AJ121" s="3" cm="1">
        <f t="array" ref="AJ121">IF(AJ$110=-1,AK121,IF(AJ$110=99,AI121,IF(AJ$110=0,INDEX($F102:$N102,0,AJ$108),(INDEX($F102:$N102,0,AJ$110+1)-INDEX($F102:$N102,0,AJ$110))/(INDEX($F$4:$N$4,0,AJ$110+1)-INDEX($F$4:$N$4,0,AJ$110))+AI121)))</f>
        <v>31.797228493885907</v>
      </c>
      <c r="AK121" s="3" cm="1">
        <f t="array" ref="AK121">IF(AK$110=-1,AL121,IF(AK$110=99,AJ121,IF(AK$110=0,INDEX($F102:$N102,0,AK$108),(INDEX($F102:$N102,0,AK$110+1)-INDEX($F102:$N102,0,AK$110))/(INDEX($F$4:$N$4,0,AK$110+1)-INDEX($F$4:$N$4,0,AK$110))+AJ121)))</f>
        <v>32.578529921451029</v>
      </c>
      <c r="AL121" s="3" cm="1">
        <f t="array" ref="AL121">IF(AL$110=-1,AM121,IF(AL$110=99,AK121,IF(AL$110=0,INDEX($F102:$N102,0,AL$108),(INDEX($F102:$N102,0,AL$110+1)-INDEX($F102:$N102,0,AL$110))/(INDEX($F$4:$N$4,0,AL$110+1)-INDEX($F$4:$N$4,0,AL$110))+AK121)))</f>
        <v>33.359831349016147</v>
      </c>
      <c r="AM121" s="3" cm="1">
        <f t="array" ref="AM121">IF(AM$110=-1,AN121,IF(AM$110=99,AL121,IF(AM$110=0,INDEX($F102:$N102,0,AM$108),(INDEX($F102:$N102,0,AM$110+1)-INDEX($F102:$N102,0,AM$110))/(INDEX($F$4:$N$4,0,AM$110+1)-INDEX($F$4:$N$4,0,AM$110))+AL121)))</f>
        <v>34.141132776581266</v>
      </c>
      <c r="AN121" s="3" cm="1">
        <f t="array" ref="AN121">IF(AN$110=-1,AO121,IF(AN$110=99,AM121,IF(AN$110=0,INDEX($F102:$N102,0,AN$108),(INDEX($F102:$N102,0,AN$110+1)-INDEX($F102:$N102,0,AN$110))/(INDEX($F$4:$N$4,0,AN$110+1)-INDEX($F$4:$N$4,0,AN$110))+AM121)))</f>
        <v>34.922434204146384</v>
      </c>
      <c r="AO121" s="3" cm="1">
        <f t="array" ref="AO121">IF(AO$110=-1,AP121,IF(AO$110=99,AN121,IF(AO$110=0,INDEX($F102:$N102,0,AO$108),(INDEX($F102:$N102,0,AO$110+1)-INDEX($F102:$N102,0,AO$110))/(INDEX($F$4:$N$4,0,AO$110+1)-INDEX($F$4:$N$4,0,AO$110))+AN121)))</f>
        <v>35.703735631711503</v>
      </c>
      <c r="AP121" s="3" cm="1">
        <f t="array" ref="AP121">IF(AP$110=-1,AQ121,IF(AP$110=99,AO121,IF(AP$110=0,INDEX($F102:$N102,0,AP$108),(INDEX($F102:$N102,0,AP$110+1)-INDEX($F102:$N102,0,AP$110))/(INDEX($F$4:$N$4,0,AP$110+1)-INDEX($F$4:$N$4,0,AP$110))+AO121)))</f>
        <v>36.320042532489595</v>
      </c>
      <c r="AQ121" s="3" cm="1">
        <f t="array" ref="AQ121">IF(AQ$110=-1,AR121,IF(AQ$110=99,AP121,IF(AQ$110=0,INDEX($F102:$N102,0,AQ$108),(INDEX($F102:$N102,0,AQ$110+1)-INDEX($F102:$N102,0,AQ$110))/(INDEX($F$4:$N$4,0,AQ$110+1)-INDEX($F$4:$N$4,0,AQ$110))+AP121)))</f>
        <v>36.936349433267686</v>
      </c>
      <c r="AR121" s="3" cm="1">
        <f t="array" ref="AR121">IF(AR$110=-1,AS121,IF(AR$110=99,AQ121,IF(AR$110=0,INDEX($F102:$N102,0,AR$108),(INDEX($F102:$N102,0,AR$110+1)-INDEX($F102:$N102,0,AR$110))/(INDEX($F$4:$N$4,0,AR$110+1)-INDEX($F$4:$N$4,0,AR$110))+AQ121)))</f>
        <v>37.552656334045778</v>
      </c>
      <c r="AS121" s="3" cm="1">
        <f t="array" ref="AS121">IF(AS$110=-1,AT121,IF(AS$110=99,AR121,IF(AS$110=0,INDEX($F102:$N102,0,AS$108),(INDEX($F102:$N102,0,AS$110+1)-INDEX($F102:$N102,0,AS$110))/(INDEX($F$4:$N$4,0,AS$110+1)-INDEX($F$4:$N$4,0,AS$110))+AR121)))</f>
        <v>38.16896323482387</v>
      </c>
      <c r="AT121" s="3" cm="1">
        <f t="array" ref="AT121">IF(AT$110=-1,AU121,IF(AT$110=99,AS121,IF(AT$110=0,INDEX($F102:$N102,0,AT$108),(INDEX($F102:$N102,0,AT$110+1)-INDEX($F102:$N102,0,AT$110))/(INDEX($F$4:$N$4,0,AT$110+1)-INDEX($F$4:$N$4,0,AT$110))+AS121)))</f>
        <v>38.785270135601962</v>
      </c>
      <c r="AU121" s="3" cm="1">
        <f t="array" ref="AU121">IF(AU$110=-1,AV121,IF(AU$110=99,AT121,IF(AU$110=0,INDEX($F102:$N102,0,AU$108),(INDEX($F102:$N102,0,AU$110+1)-INDEX($F102:$N102,0,AU$110))/(INDEX($F$4:$N$4,0,AU$110+1)-INDEX($F$4:$N$4,0,AU$110))+AT121)))</f>
        <v>39.401577036380054</v>
      </c>
      <c r="AV121" s="3" cm="1">
        <f t="array" ref="AV121">IF(AV$110=-1,AW121,IF(AV$110=99,AU121,IF(AV$110=0,INDEX($F102:$N102,0,AV$108),(INDEX($F102:$N102,0,AV$110+1)-INDEX($F102:$N102,0,AV$110))/(INDEX($F$4:$N$4,0,AV$110+1)-INDEX($F$4:$N$4,0,AV$110))+AU121)))</f>
        <v>40.017883937158146</v>
      </c>
      <c r="AW121" s="3" cm="1">
        <f t="array" ref="AW121">IF(AW$110=-1,AX121,IF(AW$110=99,AV121,IF(AW$110=0,INDEX($F102:$N102,0,AW$108),(INDEX($F102:$N102,0,AW$110+1)-INDEX($F102:$N102,0,AW$110))/(INDEX($F$4:$N$4,0,AW$110+1)-INDEX($F$4:$N$4,0,AW$110))+AV121)))</f>
        <v>40.634190837936238</v>
      </c>
      <c r="AX121" s="3" cm="1">
        <f t="array" ref="AX121">IF(AX$110=-1,AY121,IF(AX$110=99,AW121,IF(AX$110=0,INDEX($F102:$N102,0,AX$108),(INDEX($F102:$N102,0,AX$110+1)-INDEX($F102:$N102,0,AX$110))/(INDEX($F$4:$N$4,0,AX$110+1)-INDEX($F$4:$N$4,0,AX$110))+AW121)))</f>
        <v>41.25049773871433</v>
      </c>
      <c r="AY121" s="3" cm="1">
        <f t="array" ref="AY121">IF(AY$110=-1,AZ121,IF(AY$110=99,AX121,IF(AY$110=0,INDEX($F102:$N102,0,AY$108),(INDEX($F102:$N102,0,AY$110+1)-INDEX($F102:$N102,0,AY$110))/(INDEX($F$4:$N$4,0,AY$110+1)-INDEX($F$4:$N$4,0,AY$110))+AX121)))</f>
        <v>41.866804639492415</v>
      </c>
      <c r="AZ121" s="3" cm="1">
        <f t="array" ref="AZ121">IF(AZ$110=-1,BA121,IF(AZ$110=99,AY121,IF(AZ$110=0,INDEX($F102:$N102,0,AZ$108),(INDEX($F102:$N102,0,AZ$110+1)-INDEX($F102:$N102,0,AZ$110))/(INDEX($F$4:$N$4,0,AZ$110+1)-INDEX($F$4:$N$4,0,AZ$110))+AY121)))</f>
        <v>41.866804639492415</v>
      </c>
      <c r="BA121" s="3" cm="1">
        <f t="array" ref="BA121">IF(BA$110=-1,BB121,IF(BA$110=99,AZ121,IF(BA$110=0,INDEX($F102:$N102,0,BA$108),(INDEX($F102:$N102,0,BA$110+1)-INDEX($F102:$N102,0,BA$110))/(INDEX($F$4:$N$4,0,BA$110+1)-INDEX($F$4:$N$4,0,BA$110))+AZ121)))</f>
        <v>41.866804639492415</v>
      </c>
    </row>
    <row r="122" spans="1:53">
      <c r="A122" s="104" t="s">
        <v>16</v>
      </c>
      <c r="B122" s="16" t="str">
        <f t="shared" si="219"/>
        <v/>
      </c>
      <c r="C122" s="17" t="str">
        <f t="shared" si="220"/>
        <v/>
      </c>
      <c r="D122" s="48" t="str">
        <f>ITEMS_TRA!C26</f>
        <v>TFROT</v>
      </c>
      <c r="E122" s="17" t="str">
        <f t="shared" si="221"/>
        <v/>
      </c>
      <c r="H122" s="17" t="str">
        <f t="shared" si="221"/>
        <v/>
      </c>
      <c r="J122" s="17" t="str">
        <f t="shared" si="221"/>
        <v/>
      </c>
      <c r="K122" s="17" t="str">
        <f t="shared" si="221"/>
        <v/>
      </c>
      <c r="L122" s="111" t="str">
        <f t="shared" si="222"/>
        <v/>
      </c>
      <c r="M122" s="3">
        <f>INDEX('[2]TS BYDem'!J$10:J$59,MATCH($D122,'[2]TS BYDem'!D$10:D$59,0))</f>
        <v>25.1</v>
      </c>
      <c r="N122" s="3" cm="1">
        <f t="array" ref="N122">IF(N$110=-1,O122,IF(N$110=99,M122,IF(N$110=0,INDEX($F103:$N103,0,N$108),(INDEX($F103:$N103,0,N$110+1)-INDEX($F103:$N103,0,N$110))/(INDEX($F$4:$N$4,0,N$110+1)-INDEX($F$4:$N$4,0,N$110))+M122)))</f>
        <v>25.550055726606203</v>
      </c>
      <c r="O122" s="3" cm="1">
        <f t="array" ref="O122">IF(O$110=-1,P122,IF(O$110=99,N122,IF(O$110=0,INDEX($F103:$N103,0,O$108),(INDEX($F103:$N103,0,O$110+1)-INDEX($F103:$N103,0,O$110))/(INDEX($F$4:$N$4,0,O$110+1)-INDEX($F$4:$N$4,0,O$110))+N122)))</f>
        <v>26.000111453212405</v>
      </c>
      <c r="P122" s="3" cm="1">
        <f t="array" ref="P122">IF(P$110=-1,Q122,IF(P$110=99,O122,IF(P$110=0,INDEX($F103:$N103,0,P$108),(INDEX($F103:$N103,0,P$110+1)-INDEX($F103:$N103,0,P$110))/(INDEX($F$4:$N$4,0,P$110+1)-INDEX($F$4:$N$4,0,P$110))+O122)))</f>
        <v>26.450167179818607</v>
      </c>
      <c r="Q122" s="3" cm="1">
        <f t="array" ref="Q122">IF(Q$110=-1,R122,IF(Q$110=99,P122,IF(Q$110=0,INDEX($F103:$N103,0,Q$108),(INDEX($F103:$N103,0,Q$110+1)-INDEX($F103:$N103,0,Q$110))/(INDEX($F$4:$N$4,0,Q$110+1)-INDEX($F$4:$N$4,0,Q$110))+P122)))</f>
        <v>26.693366529665273</v>
      </c>
      <c r="R122" s="3" cm="1">
        <f t="array" ref="R122">IF(R$110=-1,S122,IF(R$110=99,Q122,IF(R$110=0,INDEX($F103:$N103,0,R$108),(INDEX($F103:$N103,0,R$110+1)-INDEX($F103:$N103,0,R$110))/(INDEX($F$4:$N$4,0,R$110+1)-INDEX($F$4:$N$4,0,R$110))+Q122)))</f>
        <v>26.936565879511939</v>
      </c>
      <c r="S122" s="3" cm="1">
        <f t="array" ref="S122">IF(S$110=-1,T122,IF(S$110=99,R122,IF(S$110=0,INDEX($F103:$N103,0,S$108),(INDEX($F103:$N103,0,S$110+1)-INDEX($F103:$N103,0,S$110))/(INDEX($F$4:$N$4,0,S$110+1)-INDEX($F$4:$N$4,0,S$110))+R122)))</f>
        <v>27.104212657960581</v>
      </c>
      <c r="T122" s="3" cm="1">
        <f t="array" ref="T122">IF(T$110=-1,U122,IF(T$110=99,S122,IF(T$110=0,INDEX($F103:$N103,0,T$108),(INDEX($F103:$N103,0,T$110+1)-INDEX($F103:$N103,0,T$110))/(INDEX($F$4:$N$4,0,T$110+1)-INDEX($F$4:$N$4,0,T$110))+S122)))</f>
        <v>27.271859436409219</v>
      </c>
      <c r="U122" s="3" cm="1">
        <f t="array" ref="U122">IF(U$110=-1,V122,IF(U$110=99,T122,IF(U$110=0,INDEX($F103:$N103,0,U$108),(INDEX($F103:$N103,0,U$110+1)-INDEX($F103:$N103,0,U$110))/(INDEX($F$4:$N$4,0,U$110+1)-INDEX($F$4:$N$4,0,U$110))+T122)))</f>
        <v>26.252766767119954</v>
      </c>
      <c r="V122" s="3" cm="1">
        <f t="array" ref="V122">IF(V$110=-1,W122,IF(V$110=99,U122,IF(V$110=0,INDEX($F103:$N103,0,V$108),(INDEX($F103:$N103,0,V$110+1)-INDEX($F103:$N103,0,V$110))/(INDEX($F$4:$N$4,0,V$110+1)-INDEX($F$4:$N$4,0,V$110))+U122)))</f>
        <v>26.834718660482309</v>
      </c>
      <c r="W122" s="3" cm="1">
        <f t="array" ref="W122">IF(W$110=-1,X122,IF(W$110=99,V122,IF(W$110=0,INDEX($F103:$N103,0,W$108),(INDEX($F103:$N103,0,W$110+1)-INDEX($F103:$N103,0,W$110))/(INDEX($F$4:$N$4,0,W$110+1)-INDEX($F$4:$N$4,0,W$110))+V122)))</f>
        <v>27.388725203444444</v>
      </c>
      <c r="X122" s="3" cm="1">
        <f t="array" ref="X122">IF(X$110=-1,Y122,IF(X$110=99,W122,IF(X$110=0,INDEX($F103:$N103,0,X$108),(INDEX($F103:$N103,0,X$110+1)-INDEX($F103:$N103,0,X$110))/(INDEX($F$4:$N$4,0,X$110+1)-INDEX($F$4:$N$4,0,X$110))+W122)))</f>
        <v>27.942731746406579</v>
      </c>
      <c r="Y122" s="3" cm="1">
        <f t="array" ref="Y122">IF(Y$110=-1,Z122,IF(Y$110=99,X122,IF(Y$110=0,INDEX($F103:$N103,0,Y$108),(INDEX($F103:$N103,0,Y$110+1)-INDEX($F103:$N103,0,Y$110))/(INDEX($F$4:$N$4,0,Y$110+1)-INDEX($F$4:$N$4,0,Y$110))+X122)))</f>
        <v>28.496738289368714</v>
      </c>
      <c r="Z122" s="3" cm="1">
        <f t="array" ref="Z122">IF(Z$110=-1,AA122,IF(Z$110=99,Y122,IF(Z$110=0,INDEX($F103:$N103,0,Z$108),(INDEX($F103:$N103,0,Z$110+1)-INDEX($F103:$N103,0,Z$110))/(INDEX($F$4:$N$4,0,Z$110+1)-INDEX($F$4:$N$4,0,Z$110))+Y122)))</f>
        <v>29.050744832330849</v>
      </c>
      <c r="AA122" s="3" cm="1">
        <f t="array" ref="AA122">IF(AA$110=-1,AB122,IF(AA$110=99,Z122,IF(AA$110=0,INDEX($F103:$N103,0,AA$108),(INDEX($F103:$N103,0,AA$110+1)-INDEX($F103:$N103,0,AA$110))/(INDEX($F$4:$N$4,0,AA$110+1)-INDEX($F$4:$N$4,0,AA$110))+Z122)))</f>
        <v>29.604751375292985</v>
      </c>
      <c r="AB122" s="3" cm="1">
        <f t="array" ref="AB122">IF(AB$110=-1,AC122,IF(AB$110=99,AA122,IF(AB$110=0,INDEX($F103:$N103,0,AB$108),(INDEX($F103:$N103,0,AB$110+1)-INDEX($F103:$N103,0,AB$110))/(INDEX($F$4:$N$4,0,AB$110+1)-INDEX($F$4:$N$4,0,AB$110))+AA122)))</f>
        <v>30.15875791825512</v>
      </c>
      <c r="AC122" s="3" cm="1">
        <f t="array" ref="AC122">IF(AC$110=-1,AD122,IF(AC$110=99,AB122,IF(AC$110=0,INDEX($F103:$N103,0,AC$108),(INDEX($F103:$N103,0,AC$110+1)-INDEX($F103:$N103,0,AC$110))/(INDEX($F$4:$N$4,0,AC$110+1)-INDEX($F$4:$N$4,0,AC$110))+AB122)))</f>
        <v>30.712764461217255</v>
      </c>
      <c r="AD122" s="3" cm="1">
        <f t="array" ref="AD122">IF(AD$110=-1,AE122,IF(AD$110=99,AC122,IF(AD$110=0,INDEX($F103:$N103,0,AD$108),(INDEX($F103:$N103,0,AD$110+1)-INDEX($F103:$N103,0,AD$110))/(INDEX($F$4:$N$4,0,AD$110+1)-INDEX($F$4:$N$4,0,AD$110))+AC122)))</f>
        <v>31.26677100417939</v>
      </c>
      <c r="AE122" s="3" cm="1">
        <f t="array" ref="AE122">IF(AE$110=-1,AF122,IF(AE$110=99,AD122,IF(AE$110=0,INDEX($F103:$N103,0,AE$108),(INDEX($F103:$N103,0,AE$110+1)-INDEX($F103:$N103,0,AE$110))/(INDEX($F$4:$N$4,0,AE$110+1)-INDEX($F$4:$N$4,0,AE$110))+AD122)))</f>
        <v>31.820777547141518</v>
      </c>
      <c r="AF122" s="3" cm="1">
        <f t="array" ref="AF122">IF(AF$110=-1,AG122,IF(AF$110=99,AE122,IF(AF$110=0,INDEX($F103:$N103,0,AF$108),(INDEX($F103:$N103,0,AF$110+1)-INDEX($F103:$N103,0,AF$110))/(INDEX($F$4:$N$4,0,AF$110+1)-INDEX($F$4:$N$4,0,AF$110))+AE122)))</f>
        <v>32.712171448590816</v>
      </c>
      <c r="AG122" s="3" cm="1">
        <f t="array" ref="AG122">IF(AG$110=-1,AH122,IF(AG$110=99,AF122,IF(AG$110=0,INDEX($F103:$N103,0,AG$108),(INDEX($F103:$N103,0,AG$110+1)-INDEX($F103:$N103,0,AG$110))/(INDEX($F$4:$N$4,0,AG$110+1)-INDEX($F$4:$N$4,0,AG$110))+AF122)))</f>
        <v>33.603565350040114</v>
      </c>
      <c r="AH122" s="3" cm="1">
        <f t="array" ref="AH122">IF(AH$110=-1,AI122,IF(AH$110=99,AG122,IF(AH$110=0,INDEX($F103:$N103,0,AH$108),(INDEX($F103:$N103,0,AH$110+1)-INDEX($F103:$N103,0,AH$110))/(INDEX($F$4:$N$4,0,AH$110+1)-INDEX($F$4:$N$4,0,AH$110))+AG122)))</f>
        <v>34.494959251489412</v>
      </c>
      <c r="AI122" s="3" cm="1">
        <f t="array" ref="AI122">IF(AI$110=-1,AJ122,IF(AI$110=99,AH122,IF(AI$110=0,INDEX($F103:$N103,0,AI$108),(INDEX($F103:$N103,0,AI$110+1)-INDEX($F103:$N103,0,AI$110))/(INDEX($F$4:$N$4,0,AI$110+1)-INDEX($F$4:$N$4,0,AI$110))+AH122)))</f>
        <v>35.38635315293871</v>
      </c>
      <c r="AJ122" s="3" cm="1">
        <f t="array" ref="AJ122">IF(AJ$110=-1,AK122,IF(AJ$110=99,AI122,IF(AJ$110=0,INDEX($F103:$N103,0,AJ$108),(INDEX($F103:$N103,0,AJ$110+1)-INDEX($F103:$N103,0,AJ$110))/(INDEX($F$4:$N$4,0,AJ$110+1)-INDEX($F$4:$N$4,0,AJ$110))+AI122)))</f>
        <v>36.277747054388009</v>
      </c>
      <c r="AK122" s="3" cm="1">
        <f t="array" ref="AK122">IF(AK$110=-1,AL122,IF(AK$110=99,AJ122,IF(AK$110=0,INDEX($F103:$N103,0,AK$108),(INDEX($F103:$N103,0,AK$110+1)-INDEX($F103:$N103,0,AK$110))/(INDEX($F$4:$N$4,0,AK$110+1)-INDEX($F$4:$N$4,0,AK$110))+AJ122)))</f>
        <v>37.169140955837307</v>
      </c>
      <c r="AL122" s="3" cm="1">
        <f t="array" ref="AL122">IF(AL$110=-1,AM122,IF(AL$110=99,AK122,IF(AL$110=0,INDEX($F103:$N103,0,AL$108),(INDEX($F103:$N103,0,AL$110+1)-INDEX($F103:$N103,0,AL$110))/(INDEX($F$4:$N$4,0,AL$110+1)-INDEX($F$4:$N$4,0,AL$110))+AK122)))</f>
        <v>38.060534857286605</v>
      </c>
      <c r="AM122" s="3" cm="1">
        <f t="array" ref="AM122">IF(AM$110=-1,AN122,IF(AM$110=99,AL122,IF(AM$110=0,INDEX($F103:$N103,0,AM$108),(INDEX($F103:$N103,0,AM$110+1)-INDEX($F103:$N103,0,AM$110))/(INDEX($F$4:$N$4,0,AM$110+1)-INDEX($F$4:$N$4,0,AM$110))+AL122)))</f>
        <v>38.951928758735903</v>
      </c>
      <c r="AN122" s="3" cm="1">
        <f t="array" ref="AN122">IF(AN$110=-1,AO122,IF(AN$110=99,AM122,IF(AN$110=0,INDEX($F103:$N103,0,AN$108),(INDEX($F103:$N103,0,AN$110+1)-INDEX($F103:$N103,0,AN$110))/(INDEX($F$4:$N$4,0,AN$110+1)-INDEX($F$4:$N$4,0,AN$110))+AM122)))</f>
        <v>39.843322660185201</v>
      </c>
      <c r="AO122" s="3" cm="1">
        <f t="array" ref="AO122">IF(AO$110=-1,AP122,IF(AO$110=99,AN122,IF(AO$110=0,INDEX($F103:$N103,0,AO$108),(INDEX($F103:$N103,0,AO$110+1)-INDEX($F103:$N103,0,AO$110))/(INDEX($F$4:$N$4,0,AO$110+1)-INDEX($F$4:$N$4,0,AO$110))+AN122)))</f>
        <v>40.734716561634485</v>
      </c>
      <c r="AP122" s="3" cm="1">
        <f t="array" ref="AP122">IF(AP$110=-1,AQ122,IF(AP$110=99,AO122,IF(AP$110=0,INDEX($F103:$N103,0,AP$108),(INDEX($F103:$N103,0,AP$110+1)-INDEX($F103:$N103,0,AP$110))/(INDEX($F$4:$N$4,0,AP$110+1)-INDEX($F$4:$N$4,0,AP$110))+AO122)))</f>
        <v>41.437866707522218</v>
      </c>
      <c r="AQ122" s="3" cm="1">
        <f t="array" ref="AQ122">IF(AQ$110=-1,AR122,IF(AQ$110=99,AP122,IF(AQ$110=0,INDEX($F103:$N103,0,AQ$108),(INDEX($F103:$N103,0,AQ$110+1)-INDEX($F103:$N103,0,AQ$110))/(INDEX($F$4:$N$4,0,AQ$110+1)-INDEX($F$4:$N$4,0,AQ$110))+AP122)))</f>
        <v>42.141016853409951</v>
      </c>
      <c r="AR122" s="3" cm="1">
        <f t="array" ref="AR122">IF(AR$110=-1,AS122,IF(AR$110=99,AQ122,IF(AR$110=0,INDEX($F103:$N103,0,AR$108),(INDEX($F103:$N103,0,AR$110+1)-INDEX($F103:$N103,0,AR$110))/(INDEX($F$4:$N$4,0,AR$110+1)-INDEX($F$4:$N$4,0,AR$110))+AQ122)))</f>
        <v>42.844166999297684</v>
      </c>
      <c r="AS122" s="3" cm="1">
        <f t="array" ref="AS122">IF(AS$110=-1,AT122,IF(AS$110=99,AR122,IF(AS$110=0,INDEX($F103:$N103,0,AS$108),(INDEX($F103:$N103,0,AS$110+1)-INDEX($F103:$N103,0,AS$110))/(INDEX($F$4:$N$4,0,AS$110+1)-INDEX($F$4:$N$4,0,AS$110))+AR122)))</f>
        <v>43.547317145185417</v>
      </c>
      <c r="AT122" s="3" cm="1">
        <f t="array" ref="AT122">IF(AT$110=-1,AU122,IF(AT$110=99,AS122,IF(AT$110=0,INDEX($F103:$N103,0,AT$108),(INDEX($F103:$N103,0,AT$110+1)-INDEX($F103:$N103,0,AT$110))/(INDEX($F$4:$N$4,0,AT$110+1)-INDEX($F$4:$N$4,0,AT$110))+AS122)))</f>
        <v>44.25046729107315</v>
      </c>
      <c r="AU122" s="3" cm="1">
        <f t="array" ref="AU122">IF(AU$110=-1,AV122,IF(AU$110=99,AT122,IF(AU$110=0,INDEX($F103:$N103,0,AU$108),(INDEX($F103:$N103,0,AU$110+1)-INDEX($F103:$N103,0,AU$110))/(INDEX($F$4:$N$4,0,AU$110+1)-INDEX($F$4:$N$4,0,AU$110))+AT122)))</f>
        <v>44.953617436960883</v>
      </c>
      <c r="AV122" s="3" cm="1">
        <f t="array" ref="AV122">IF(AV$110=-1,AW122,IF(AV$110=99,AU122,IF(AV$110=0,INDEX($F103:$N103,0,AV$108),(INDEX($F103:$N103,0,AV$110+1)-INDEX($F103:$N103,0,AV$110))/(INDEX($F$4:$N$4,0,AV$110+1)-INDEX($F$4:$N$4,0,AV$110))+AU122)))</f>
        <v>45.656767582848616</v>
      </c>
      <c r="AW122" s="3" cm="1">
        <f t="array" ref="AW122">IF(AW$110=-1,AX122,IF(AW$110=99,AV122,IF(AW$110=0,INDEX($F103:$N103,0,AW$108),(INDEX($F103:$N103,0,AW$110+1)-INDEX($F103:$N103,0,AW$110))/(INDEX($F$4:$N$4,0,AW$110+1)-INDEX($F$4:$N$4,0,AW$110))+AV122)))</f>
        <v>46.359917728736349</v>
      </c>
      <c r="AX122" s="3" cm="1">
        <f t="array" ref="AX122">IF(AX$110=-1,AY122,IF(AX$110=99,AW122,IF(AX$110=0,INDEX($F103:$N103,0,AX$108),(INDEX($F103:$N103,0,AX$110+1)-INDEX($F103:$N103,0,AX$110))/(INDEX($F$4:$N$4,0,AX$110+1)-INDEX($F$4:$N$4,0,AX$110))+AW122)))</f>
        <v>47.063067874624082</v>
      </c>
      <c r="AY122" s="3" cm="1">
        <f t="array" ref="AY122">IF(AY$110=-1,AZ122,IF(AY$110=99,AX122,IF(AY$110=0,INDEX($F103:$N103,0,AY$108),(INDEX($F103:$N103,0,AY$110+1)-INDEX($F103:$N103,0,AY$110))/(INDEX($F$4:$N$4,0,AY$110+1)-INDEX($F$4:$N$4,0,AY$110))+AX122)))</f>
        <v>47.766218020511793</v>
      </c>
      <c r="AZ122" s="3" cm="1">
        <f t="array" ref="AZ122">IF(AZ$110=-1,BA122,IF(AZ$110=99,AY122,IF(AZ$110=0,INDEX($F103:$N103,0,AZ$108),(INDEX($F103:$N103,0,AZ$110+1)-INDEX($F103:$N103,0,AZ$110))/(INDEX($F$4:$N$4,0,AZ$110+1)-INDEX($F$4:$N$4,0,AZ$110))+AY122)))</f>
        <v>47.766218020511793</v>
      </c>
      <c r="BA122" s="3" cm="1">
        <f t="array" ref="BA122">IF(BA$110=-1,BB122,IF(BA$110=99,AZ122,IF(BA$110=0,INDEX($F103:$N103,0,BA$108),(INDEX($F103:$N103,0,BA$110+1)-INDEX($F103:$N103,0,BA$110))/(INDEX($F$4:$N$4,0,BA$110+1)-INDEX($F$4:$N$4,0,BA$110))+AZ122)))</f>
        <v>47.766218020511793</v>
      </c>
    </row>
    <row r="123" spans="1:53">
      <c r="A123" s="34" t="s">
        <v>16</v>
      </c>
      <c r="B123" s="16" t="str">
        <f t="shared" si="219"/>
        <v/>
      </c>
      <c r="C123" s="17" t="str">
        <f t="shared" si="220"/>
        <v/>
      </c>
      <c r="D123" s="48" t="str">
        <f>ITEMS_TRA!C27</f>
        <v>TFREX</v>
      </c>
      <c r="E123" s="17" t="str">
        <f t="shared" si="221"/>
        <v/>
      </c>
      <c r="H123" s="17" t="str">
        <f t="shared" si="221"/>
        <v/>
      </c>
      <c r="J123" s="17" t="str">
        <f t="shared" si="221"/>
        <v/>
      </c>
      <c r="K123" s="17" t="str">
        <f t="shared" si="221"/>
        <v/>
      </c>
      <c r="L123" s="111" t="str">
        <f t="shared" si="222"/>
        <v/>
      </c>
      <c r="M123" s="3">
        <f>INDEX('[2]TS BYDem'!J$10:J$59,MATCH($D123,'[2]TS BYDem'!D$10:D$59,0))</f>
        <v>82</v>
      </c>
      <c r="N123" s="3" cm="1">
        <f t="array" ref="N123">IF(N$110=-1,O123,IF(N$110=99,M123,IF(N$110=0,INDEX($F104:$N104,0,N$108),(INDEX($F104:$N104,0,N$110+1)-INDEX($F104:$N104,0,N$110))/(INDEX($F$4:$N$4,0,N$110+1)-INDEX($F$4:$N$4,0,N$110))+M123)))</f>
        <v>82</v>
      </c>
      <c r="O123" s="3" cm="1">
        <f t="array" ref="O123">IF(O$110=-1,P123,IF(O$110=99,N123,IF(O$110=0,INDEX($F104:$N104,0,O$108),(INDEX($F104:$N104,0,O$110+1)-INDEX($F104:$N104,0,O$110))/(INDEX($F$4:$N$4,0,O$110+1)-INDEX($F$4:$N$4,0,O$110))+N123)))</f>
        <v>82</v>
      </c>
      <c r="P123" s="3" cm="1">
        <f t="array" ref="P123">IF(P$110=-1,Q123,IF(P$110=99,O123,IF(P$110=0,INDEX($F104:$N104,0,P$108),(INDEX($F104:$N104,0,P$110+1)-INDEX($F104:$N104,0,P$110))/(INDEX($F$4:$N$4,0,P$110+1)-INDEX($F$4:$N$4,0,P$110))+O123)))</f>
        <v>82</v>
      </c>
      <c r="Q123" s="3" cm="1">
        <f t="array" ref="Q123">IF(Q$110=-1,R123,IF(Q$110=99,P123,IF(Q$110=0,INDEX($F104:$N104,0,Q$108),(INDEX($F104:$N104,0,Q$110+1)-INDEX($F104:$N104,0,Q$110))/(INDEX($F$4:$N$4,0,Q$110+1)-INDEX($F$4:$N$4,0,Q$110))+P123)))</f>
        <v>82</v>
      </c>
      <c r="R123" s="3" cm="1">
        <f t="array" ref="R123">IF(R$110=-1,S123,IF(R$110=99,Q123,IF(R$110=0,INDEX($F104:$N104,0,R$108),(INDEX($F104:$N104,0,R$110+1)-INDEX($F104:$N104,0,R$110))/(INDEX($F$4:$N$4,0,R$110+1)-INDEX($F$4:$N$4,0,R$110))+Q123)))</f>
        <v>82</v>
      </c>
      <c r="S123" s="3" cm="1">
        <f t="array" ref="S123">IF(S$110=-1,T123,IF(S$110=99,R123,IF(S$110=0,INDEX($F104:$N104,0,S$108),(INDEX($F104:$N104,0,S$110+1)-INDEX($F104:$N104,0,S$110))/(INDEX($F$4:$N$4,0,S$110+1)-INDEX($F$4:$N$4,0,S$110))+R123)))</f>
        <v>84.018400836522261</v>
      </c>
      <c r="T123" s="3" cm="1">
        <f t="array" ref="T123">IF(T$110=-1,U123,IF(T$110=99,S123,IF(T$110=0,INDEX($F104:$N104,0,T$108),(INDEX($F104:$N104,0,T$110+1)-INDEX($F104:$N104,0,T$110))/(INDEX($F$4:$N$4,0,T$110+1)-INDEX($F$4:$N$4,0,T$110))+S123)))</f>
        <v>86.036801673044508</v>
      </c>
      <c r="U123" s="3" cm="1">
        <f t="array" ref="U123">IF(U$110=-1,V123,IF(U$110=99,T123,IF(U$110=0,INDEX($F104:$N104,0,U$108),(INDEX($F104:$N104,0,U$110+1)-INDEX($F104:$N104,0,U$110))/(INDEX($F$4:$N$4,0,U$110+1)-INDEX($F$4:$N$4,0,U$110))+T123)))</f>
        <v>79.266714881385326</v>
      </c>
      <c r="V123" s="3" cm="1">
        <f t="array" ref="V123">IF(V$110=-1,W123,IF(V$110=99,U123,IF(V$110=0,INDEX($F104:$N104,0,V$108),(INDEX($F104:$N104,0,V$110+1)-INDEX($F104:$N104,0,V$110))/(INDEX($F$4:$N$4,0,V$110+1)-INDEX($F$4:$N$4,0,V$110))+U123)))</f>
        <v>84.862097424278346</v>
      </c>
      <c r="W123" s="3" cm="1">
        <f t="array" ref="W123">IF(W$110=-1,X123,IF(W$110=99,V123,IF(W$110=0,INDEX($F104:$N104,0,W$108),(INDEX($F104:$N104,0,W$110+1)-INDEX($F104:$N104,0,W$110))/(INDEX($F$4:$N$4,0,W$110+1)-INDEX($F$4:$N$4,0,W$110))+V123)))</f>
        <v>85.569361981081954</v>
      </c>
      <c r="X123" s="3" cm="1">
        <f t="array" ref="X123">IF(X$110=-1,Y123,IF(X$110=99,W123,IF(X$110=0,INDEX($F104:$N104,0,X$108),(INDEX($F104:$N104,0,X$110+1)-INDEX($F104:$N104,0,X$110))/(INDEX($F$4:$N$4,0,X$110+1)-INDEX($F$4:$N$4,0,X$110))+W123)))</f>
        <v>86.276626537885562</v>
      </c>
      <c r="Y123" s="3" cm="1">
        <f t="array" ref="Y123">IF(Y$110=-1,Z123,IF(Y$110=99,X123,IF(Y$110=0,INDEX($F104:$N104,0,Y$108),(INDEX($F104:$N104,0,Y$110+1)-INDEX($F104:$N104,0,Y$110))/(INDEX($F$4:$N$4,0,Y$110+1)-INDEX($F$4:$N$4,0,Y$110))+X123)))</f>
        <v>86.98389109468917</v>
      </c>
      <c r="Z123" s="3" cm="1">
        <f t="array" ref="Z123">IF(Z$110=-1,AA123,IF(Z$110=99,Y123,IF(Z$110=0,INDEX($F104:$N104,0,Z$108),(INDEX($F104:$N104,0,Z$110+1)-INDEX($F104:$N104,0,Z$110))/(INDEX($F$4:$N$4,0,Z$110+1)-INDEX($F$4:$N$4,0,Z$110))+Y123)))</f>
        <v>87.691155651492778</v>
      </c>
      <c r="AA123" s="3" cm="1">
        <f t="array" ref="AA123">IF(AA$110=-1,AB123,IF(AA$110=99,Z123,IF(AA$110=0,INDEX($F104:$N104,0,AA$108),(INDEX($F104:$N104,0,AA$110+1)-INDEX($F104:$N104,0,AA$110))/(INDEX($F$4:$N$4,0,AA$110+1)-INDEX($F$4:$N$4,0,AA$110))+Z123)))</f>
        <v>88.398420208296386</v>
      </c>
      <c r="AB123" s="3" cm="1">
        <f t="array" ref="AB123">IF(AB$110=-1,AC123,IF(AB$110=99,AA123,IF(AB$110=0,INDEX($F104:$N104,0,AB$108),(INDEX($F104:$N104,0,AB$110+1)-INDEX($F104:$N104,0,AB$110))/(INDEX($F$4:$N$4,0,AB$110+1)-INDEX($F$4:$N$4,0,AB$110))+AA123)))</f>
        <v>89.105684765099994</v>
      </c>
      <c r="AC123" s="3" cm="1">
        <f t="array" ref="AC123">IF(AC$110=-1,AD123,IF(AC$110=99,AB123,IF(AC$110=0,INDEX($F104:$N104,0,AC$108),(INDEX($F104:$N104,0,AC$110+1)-INDEX($F104:$N104,0,AC$110))/(INDEX($F$4:$N$4,0,AC$110+1)-INDEX($F$4:$N$4,0,AC$110))+AB123)))</f>
        <v>89.812949321903602</v>
      </c>
      <c r="AD123" s="3" cm="1">
        <f t="array" ref="AD123">IF(AD$110=-1,AE123,IF(AD$110=99,AC123,IF(AD$110=0,INDEX($F104:$N104,0,AD$108),(INDEX($F104:$N104,0,AD$110+1)-INDEX($F104:$N104,0,AD$110))/(INDEX($F$4:$N$4,0,AD$110+1)-INDEX($F$4:$N$4,0,AD$110))+AC123)))</f>
        <v>90.52021387870721</v>
      </c>
      <c r="AE123" s="3" cm="1">
        <f t="array" ref="AE123">IF(AE$110=-1,AF123,IF(AE$110=99,AD123,IF(AE$110=0,INDEX($F104:$N104,0,AE$108),(INDEX($F104:$N104,0,AE$110+1)-INDEX($F104:$N104,0,AE$110))/(INDEX($F$4:$N$4,0,AE$110+1)-INDEX($F$4:$N$4,0,AE$110))+AD123)))</f>
        <v>91.22747843551079</v>
      </c>
      <c r="AF123" s="3" cm="1">
        <f t="array" ref="AF123">IF(AF$110=-1,AG123,IF(AF$110=99,AE123,IF(AF$110=0,INDEX($F104:$N104,0,AF$108),(INDEX($F104:$N104,0,AF$110+1)-INDEX($F104:$N104,0,AF$110))/(INDEX($F$4:$N$4,0,AF$110+1)-INDEX($F$4:$N$4,0,AF$110))+AE123)))</f>
        <v>92.287730218036216</v>
      </c>
      <c r="AG123" s="3" cm="1">
        <f t="array" ref="AG123">IF(AG$110=-1,AH123,IF(AG$110=99,AF123,IF(AG$110=0,INDEX($F104:$N104,0,AG$108),(INDEX($F104:$N104,0,AG$110+1)-INDEX($F104:$N104,0,AG$110))/(INDEX($F$4:$N$4,0,AG$110+1)-INDEX($F$4:$N$4,0,AG$110))+AF123)))</f>
        <v>93.347982000561643</v>
      </c>
      <c r="AH123" s="3" cm="1">
        <f t="array" ref="AH123">IF(AH$110=-1,AI123,IF(AH$110=99,AG123,IF(AH$110=0,INDEX($F104:$N104,0,AH$108),(INDEX($F104:$N104,0,AH$110+1)-INDEX($F104:$N104,0,AH$110))/(INDEX($F$4:$N$4,0,AH$110+1)-INDEX($F$4:$N$4,0,AH$110))+AG123)))</f>
        <v>94.40823378308707</v>
      </c>
      <c r="AI123" s="3" cm="1">
        <f t="array" ref="AI123">IF(AI$110=-1,AJ123,IF(AI$110=99,AH123,IF(AI$110=0,INDEX($F104:$N104,0,AI$108),(INDEX($F104:$N104,0,AI$110+1)-INDEX($F104:$N104,0,AI$110))/(INDEX($F$4:$N$4,0,AI$110+1)-INDEX($F$4:$N$4,0,AI$110))+AH123)))</f>
        <v>95.468485565612497</v>
      </c>
      <c r="AJ123" s="3" cm="1">
        <f t="array" ref="AJ123">IF(AJ$110=-1,AK123,IF(AJ$110=99,AI123,IF(AJ$110=0,INDEX($F104:$N104,0,AJ$108),(INDEX($F104:$N104,0,AJ$110+1)-INDEX($F104:$N104,0,AJ$110))/(INDEX($F$4:$N$4,0,AJ$110+1)-INDEX($F$4:$N$4,0,AJ$110))+AI123)))</f>
        <v>96.528737348137923</v>
      </c>
      <c r="AK123" s="3" cm="1">
        <f t="array" ref="AK123">IF(AK$110=-1,AL123,IF(AK$110=99,AJ123,IF(AK$110=0,INDEX($F104:$N104,0,AK$108),(INDEX($F104:$N104,0,AK$110+1)-INDEX($F104:$N104,0,AK$110))/(INDEX($F$4:$N$4,0,AK$110+1)-INDEX($F$4:$N$4,0,AK$110))+AJ123)))</f>
        <v>97.58898913066335</v>
      </c>
      <c r="AL123" s="3" cm="1">
        <f t="array" ref="AL123">IF(AL$110=-1,AM123,IF(AL$110=99,AK123,IF(AL$110=0,INDEX($F104:$N104,0,AL$108),(INDEX($F104:$N104,0,AL$110+1)-INDEX($F104:$N104,0,AL$110))/(INDEX($F$4:$N$4,0,AL$110+1)-INDEX($F$4:$N$4,0,AL$110))+AK123)))</f>
        <v>98.649240913188777</v>
      </c>
      <c r="AM123" s="3" cm="1">
        <f t="array" ref="AM123">IF(AM$110=-1,AN123,IF(AM$110=99,AL123,IF(AM$110=0,INDEX($F104:$N104,0,AM$108),(INDEX($F104:$N104,0,AM$110+1)-INDEX($F104:$N104,0,AM$110))/(INDEX($F$4:$N$4,0,AM$110+1)-INDEX($F$4:$N$4,0,AM$110))+AL123)))</f>
        <v>99.709492695714204</v>
      </c>
      <c r="AN123" s="3" cm="1">
        <f t="array" ref="AN123">IF(AN$110=-1,AO123,IF(AN$110=99,AM123,IF(AN$110=0,INDEX($F104:$N104,0,AN$108),(INDEX($F104:$N104,0,AN$110+1)-INDEX($F104:$N104,0,AN$110))/(INDEX($F$4:$N$4,0,AN$110+1)-INDEX($F$4:$N$4,0,AN$110))+AM123)))</f>
        <v>100.76974447823963</v>
      </c>
      <c r="AO123" s="3" cm="1">
        <f t="array" ref="AO123">IF(AO$110=-1,AP123,IF(AO$110=99,AN123,IF(AO$110=0,INDEX($F104:$N104,0,AO$108),(INDEX($F104:$N104,0,AO$110+1)-INDEX($F104:$N104,0,AO$110))/(INDEX($F$4:$N$4,0,AO$110+1)-INDEX($F$4:$N$4,0,AO$110))+AN123)))</f>
        <v>101.82999626076513</v>
      </c>
      <c r="AP123" s="3" cm="1">
        <f t="array" ref="AP123">IF(AP$110=-1,AQ123,IF(AP$110=99,AO123,IF(AP$110=0,INDEX($F104:$N104,0,AP$108),(INDEX($F104:$N104,0,AP$110+1)-INDEX($F104:$N104,0,AP$110))/(INDEX($F$4:$N$4,0,AP$110+1)-INDEX($F$4:$N$4,0,AP$110))+AO123)))</f>
        <v>101.94540585553635</v>
      </c>
      <c r="AQ123" s="3" cm="1">
        <f t="array" ref="AQ123">IF(AQ$110=-1,AR123,IF(AQ$110=99,AP123,IF(AQ$110=0,INDEX($F104:$N104,0,AQ$108),(INDEX($F104:$N104,0,AQ$110+1)-INDEX($F104:$N104,0,AQ$110))/(INDEX($F$4:$N$4,0,AQ$110+1)-INDEX($F$4:$N$4,0,AQ$110))+AP123)))</f>
        <v>102.06081545030757</v>
      </c>
      <c r="AR123" s="3" cm="1">
        <f t="array" ref="AR123">IF(AR$110=-1,AS123,IF(AR$110=99,AQ123,IF(AR$110=0,INDEX($F104:$N104,0,AR$108),(INDEX($F104:$N104,0,AR$110+1)-INDEX($F104:$N104,0,AR$110))/(INDEX($F$4:$N$4,0,AR$110+1)-INDEX($F$4:$N$4,0,AR$110))+AQ123)))</f>
        <v>102.17622504507879</v>
      </c>
      <c r="AS123" s="3" cm="1">
        <f t="array" ref="AS123">IF(AS$110=-1,AT123,IF(AS$110=99,AR123,IF(AS$110=0,INDEX($F104:$N104,0,AS$108),(INDEX($F104:$N104,0,AS$110+1)-INDEX($F104:$N104,0,AS$110))/(INDEX($F$4:$N$4,0,AS$110+1)-INDEX($F$4:$N$4,0,AS$110))+AR123)))</f>
        <v>102.29163463985002</v>
      </c>
      <c r="AT123" s="3" cm="1">
        <f t="array" ref="AT123">IF(AT$110=-1,AU123,IF(AT$110=99,AS123,IF(AT$110=0,INDEX($F104:$N104,0,AT$108),(INDEX($F104:$N104,0,AT$110+1)-INDEX($F104:$N104,0,AT$110))/(INDEX($F$4:$N$4,0,AT$110+1)-INDEX($F$4:$N$4,0,AT$110))+AS123)))</f>
        <v>102.40704423462124</v>
      </c>
      <c r="AU123" s="3" cm="1">
        <f t="array" ref="AU123">IF(AU$110=-1,AV123,IF(AU$110=99,AT123,IF(AU$110=0,INDEX($F104:$N104,0,AU$108),(INDEX($F104:$N104,0,AU$110+1)-INDEX($F104:$N104,0,AU$110))/(INDEX($F$4:$N$4,0,AU$110+1)-INDEX($F$4:$N$4,0,AU$110))+AT123)))</f>
        <v>102.52245382939246</v>
      </c>
      <c r="AV123" s="3" cm="1">
        <f t="array" ref="AV123">IF(AV$110=-1,AW123,IF(AV$110=99,AU123,IF(AV$110=0,INDEX($F104:$N104,0,AV$108),(INDEX($F104:$N104,0,AV$110+1)-INDEX($F104:$N104,0,AV$110))/(INDEX($F$4:$N$4,0,AV$110+1)-INDEX($F$4:$N$4,0,AV$110))+AU123)))</f>
        <v>102.63786342416368</v>
      </c>
      <c r="AW123" s="3" cm="1">
        <f t="array" ref="AW123">IF(AW$110=-1,AX123,IF(AW$110=99,AV123,IF(AW$110=0,INDEX($F104:$N104,0,AW$108),(INDEX($F104:$N104,0,AW$110+1)-INDEX($F104:$N104,0,AW$110))/(INDEX($F$4:$N$4,0,AW$110+1)-INDEX($F$4:$N$4,0,AW$110))+AV123)))</f>
        <v>102.75327301893491</v>
      </c>
      <c r="AX123" s="3" cm="1">
        <f t="array" ref="AX123">IF(AX$110=-1,AY123,IF(AX$110=99,AW123,IF(AX$110=0,INDEX($F104:$N104,0,AX$108),(INDEX($F104:$N104,0,AX$110+1)-INDEX($F104:$N104,0,AX$110))/(INDEX($F$4:$N$4,0,AX$110+1)-INDEX($F$4:$N$4,0,AX$110))+AW123)))</f>
        <v>102.86868261370613</v>
      </c>
      <c r="AY123" s="3" cm="1">
        <f t="array" ref="AY123">IF(AY$110=-1,AZ123,IF(AY$110=99,AX123,IF(AY$110=0,INDEX($F104:$N104,0,AY$108),(INDEX($F104:$N104,0,AY$110+1)-INDEX($F104:$N104,0,AY$110))/(INDEX($F$4:$N$4,0,AY$110+1)-INDEX($F$4:$N$4,0,AY$110))+AX123)))</f>
        <v>102.98409220847734</v>
      </c>
      <c r="AZ123" s="3" cm="1">
        <f t="array" ref="AZ123">IF(AZ$110=-1,BA123,IF(AZ$110=99,AY123,IF(AZ$110=0,INDEX($F104:$N104,0,AZ$108),(INDEX($F104:$N104,0,AZ$110+1)-INDEX($F104:$N104,0,AZ$110))/(INDEX($F$4:$N$4,0,AZ$110+1)-INDEX($F$4:$N$4,0,AZ$110))+AY123)))</f>
        <v>102.98409220847734</v>
      </c>
      <c r="BA123" s="3" cm="1">
        <f t="array" ref="BA123">IF(BA$110=-1,BB123,IF(BA$110=99,AZ123,IF(BA$110=0,INDEX($F104:$N104,0,BA$108),(INDEX($F104:$N104,0,BA$110+1)-INDEX($F104:$N104,0,BA$110))/(INDEX($F$4:$N$4,0,BA$110+1)-INDEX($F$4:$N$4,0,BA$110))+AZ123)))</f>
        <v>102.98409220847734</v>
      </c>
    </row>
    <row r="124" spans="1:53">
      <c r="A124" t="s">
        <v>16</v>
      </c>
      <c r="B124" s="3"/>
      <c r="C124" s="3"/>
      <c r="J124" s="6"/>
      <c r="K124" s="6"/>
      <c r="L124" s="6"/>
      <c r="M124" s="6"/>
      <c r="N124" s="6"/>
      <c r="P124" s="6"/>
    </row>
    <row r="125" spans="1:53">
      <c r="A125" t="s">
        <v>16</v>
      </c>
      <c r="B125" s="3"/>
      <c r="C125" s="3"/>
      <c r="H125" s="6"/>
      <c r="I125" s="6"/>
      <c r="J125" s="6"/>
      <c r="K125" s="6"/>
      <c r="L125" s="6"/>
      <c r="N125" s="6"/>
    </row>
    <row r="126" spans="1:53">
      <c r="A126" t="s">
        <v>16</v>
      </c>
      <c r="B126" s="3"/>
      <c r="C126" s="3"/>
      <c r="H126" s="6"/>
      <c r="I126" s="6"/>
      <c r="J126" s="6"/>
      <c r="K126" s="6"/>
      <c r="L126" s="6"/>
      <c r="N126" s="6"/>
    </row>
    <row r="127" spans="1:53" ht="23.25">
      <c r="A127" s="102" t="s">
        <v>16</v>
      </c>
      <c r="B127" s="106" t="s">
        <v>19</v>
      </c>
      <c r="C127" s="106" t="s">
        <v>20</v>
      </c>
      <c r="D127" s="106" t="s">
        <v>21</v>
      </c>
      <c r="E127" s="106" t="s">
        <v>22</v>
      </c>
      <c r="F127" s="106" t="s">
        <v>23</v>
      </c>
      <c r="G127" s="106" t="s">
        <v>24</v>
      </c>
      <c r="H127" s="106" t="s">
        <v>612</v>
      </c>
      <c r="I127" s="106" t="s">
        <v>612</v>
      </c>
      <c r="J127" s="106" t="s">
        <v>642</v>
      </c>
      <c r="K127" s="107" t="s">
        <v>25</v>
      </c>
      <c r="L127" s="6"/>
      <c r="N127" s="6"/>
    </row>
    <row r="128" spans="1:53">
      <c r="A128" s="102" t="s">
        <v>16</v>
      </c>
      <c r="B128" s="103">
        <v>1</v>
      </c>
      <c r="C128" s="103">
        <v>2012</v>
      </c>
      <c r="D128" s="103">
        <v>2015</v>
      </c>
      <c r="E128" s="103">
        <v>2017</v>
      </c>
      <c r="F128" s="103">
        <v>2019</v>
      </c>
      <c r="G128" s="103">
        <v>2020</v>
      </c>
      <c r="H128" s="103">
        <v>2021</v>
      </c>
      <c r="I128" s="103">
        <v>2030</v>
      </c>
      <c r="J128" s="103">
        <v>2040</v>
      </c>
      <c r="K128" s="108">
        <v>2050</v>
      </c>
      <c r="L128" s="6"/>
      <c r="N128" s="6"/>
    </row>
    <row r="129" spans="1:76">
      <c r="A129" s="34" t="s">
        <v>16</v>
      </c>
      <c r="B129">
        <v>0</v>
      </c>
      <c r="C129" cm="1">
        <f t="array" ref="C129">INDEX($C128:$K128,0,COUNT($C128:$K128)-C130)</f>
        <v>2050</v>
      </c>
      <c r="D129" cm="1">
        <f t="array" ref="D129">INDEX($C128:$K128,0,COUNT($C128:$K128)-D130)</f>
        <v>2040</v>
      </c>
      <c r="E129" cm="1">
        <f t="array" ref="E129">INDEX($C128:$K128,0,COUNT($C128:$K128)-E130)</f>
        <v>2030</v>
      </c>
      <c r="F129" cm="1">
        <f t="array" ref="F129">INDEX($C128:$K128,0,COUNT($C128:$K128)-F130)</f>
        <v>2021</v>
      </c>
      <c r="G129" cm="1">
        <f t="array" ref="G129">INDEX($C128:$K128,0,COUNT($C128:$K128)-G130)</f>
        <v>2020</v>
      </c>
      <c r="H129" cm="1">
        <f t="array" ref="H129">INDEX($C128:$K128,0,COUNT($C128:$K128)-H130)</f>
        <v>2019</v>
      </c>
      <c r="I129" cm="1">
        <f t="array" ref="I129">INDEX($C128:$K128,0,COUNT($C128:$K128)-I130)</f>
        <v>2017</v>
      </c>
      <c r="J129" cm="1">
        <f t="array" ref="J129">INDEX($C128:$K128,0,COUNT($C128:$K128)-J130)</f>
        <v>2015</v>
      </c>
      <c r="K129" cm="1">
        <f t="array" ref="K129">INDEX($C128:$K128,0,COUNT($C128:$K128)-K130)</f>
        <v>2012</v>
      </c>
      <c r="L129" s="6"/>
      <c r="N129" s="6"/>
    </row>
    <row r="130" spans="1:76">
      <c r="A130" s="34" t="s">
        <v>16</v>
      </c>
      <c r="B130">
        <v>-1</v>
      </c>
      <c r="C130">
        <v>0</v>
      </c>
      <c r="D130">
        <v>1</v>
      </c>
      <c r="E130">
        <v>2</v>
      </c>
      <c r="F130">
        <v>3</v>
      </c>
      <c r="G130">
        <v>4</v>
      </c>
      <c r="H130">
        <v>5</v>
      </c>
      <c r="I130">
        <v>6</v>
      </c>
      <c r="J130">
        <v>7</v>
      </c>
      <c r="K130">
        <v>8</v>
      </c>
      <c r="L130" s="6"/>
      <c r="N130" s="6"/>
    </row>
    <row r="131" spans="1:76">
      <c r="A131" s="104" t="s">
        <v>16</v>
      </c>
      <c r="B131" s="105"/>
      <c r="C131" s="105"/>
      <c r="D131" s="105"/>
      <c r="E131" s="105"/>
      <c r="F131" s="105"/>
      <c r="G131" s="105"/>
      <c r="H131" s="105"/>
      <c r="I131" s="105"/>
      <c r="J131" s="105"/>
      <c r="K131" s="110"/>
      <c r="L131" s="6"/>
      <c r="N131" s="6"/>
    </row>
    <row r="132" spans="1:76">
      <c r="A132" s="34" t="s">
        <v>16</v>
      </c>
      <c r="J132">
        <v>2012</v>
      </c>
      <c r="K132">
        <v>2013</v>
      </c>
      <c r="L132">
        <v>2014</v>
      </c>
      <c r="M132">
        <v>2015</v>
      </c>
      <c r="N132">
        <v>2016</v>
      </c>
      <c r="O132">
        <v>2017</v>
      </c>
      <c r="P132">
        <v>2018</v>
      </c>
      <c r="Q132">
        <v>2019</v>
      </c>
      <c r="R132">
        <v>2020</v>
      </c>
      <c r="S132">
        <v>2021</v>
      </c>
      <c r="T132">
        <v>2022</v>
      </c>
      <c r="U132">
        <v>2023</v>
      </c>
      <c r="V132">
        <v>2024</v>
      </c>
      <c r="W132">
        <v>2025</v>
      </c>
      <c r="X132">
        <v>2026</v>
      </c>
      <c r="Y132">
        <v>2027</v>
      </c>
      <c r="Z132">
        <v>2028</v>
      </c>
      <c r="AA132">
        <v>2029</v>
      </c>
      <c r="AB132">
        <v>2030</v>
      </c>
      <c r="AC132">
        <v>2031</v>
      </c>
      <c r="AD132">
        <v>2032</v>
      </c>
      <c r="AE132">
        <v>2033</v>
      </c>
      <c r="AF132">
        <v>2034</v>
      </c>
      <c r="AG132">
        <v>2035</v>
      </c>
      <c r="AH132">
        <v>2036</v>
      </c>
      <c r="AI132">
        <v>2037</v>
      </c>
      <c r="AJ132">
        <v>2038</v>
      </c>
      <c r="AK132">
        <v>2039</v>
      </c>
      <c r="AL132">
        <v>2040</v>
      </c>
      <c r="AM132">
        <v>2045</v>
      </c>
      <c r="AN132">
        <v>2050</v>
      </c>
      <c r="AO132">
        <v>2060</v>
      </c>
      <c r="AP132">
        <v>2070</v>
      </c>
    </row>
    <row r="133" spans="1:76" s="103" customFormat="1">
      <c r="A133" s="103" t="s">
        <v>16</v>
      </c>
      <c r="J133" s="103">
        <f t="shared" ref="J133:AP133" si="223">MATCH(J$132,$C$128:$K$128,$B128)</f>
        <v>1</v>
      </c>
      <c r="K133" s="103">
        <f t="shared" si="223"/>
        <v>1</v>
      </c>
      <c r="L133" s="103">
        <f t="shared" si="223"/>
        <v>1</v>
      </c>
      <c r="M133" s="103">
        <f t="shared" si="223"/>
        <v>2</v>
      </c>
      <c r="N133" s="103">
        <f t="shared" si="223"/>
        <v>2</v>
      </c>
      <c r="O133" s="103">
        <f t="shared" si="223"/>
        <v>3</v>
      </c>
      <c r="P133" s="103">
        <f t="shared" si="223"/>
        <v>3</v>
      </c>
      <c r="Q133" s="103">
        <f t="shared" si="223"/>
        <v>4</v>
      </c>
      <c r="R133" s="103">
        <f t="shared" si="223"/>
        <v>5</v>
      </c>
      <c r="S133" s="103">
        <f t="shared" si="223"/>
        <v>6</v>
      </c>
      <c r="T133" s="103">
        <f t="shared" si="223"/>
        <v>6</v>
      </c>
      <c r="U133" s="103">
        <f t="shared" si="223"/>
        <v>6</v>
      </c>
      <c r="V133" s="103">
        <f t="shared" si="223"/>
        <v>6</v>
      </c>
      <c r="W133" s="103">
        <f t="shared" si="223"/>
        <v>6</v>
      </c>
      <c r="X133" s="103">
        <f t="shared" si="223"/>
        <v>6</v>
      </c>
      <c r="Y133" s="103">
        <f t="shared" si="223"/>
        <v>6</v>
      </c>
      <c r="Z133" s="103">
        <f t="shared" si="223"/>
        <v>6</v>
      </c>
      <c r="AA133" s="103">
        <f t="shared" si="223"/>
        <v>6</v>
      </c>
      <c r="AB133" s="103">
        <f t="shared" si="223"/>
        <v>7</v>
      </c>
      <c r="AC133" s="103">
        <f t="shared" si="223"/>
        <v>7</v>
      </c>
      <c r="AD133" s="103">
        <f t="shared" si="223"/>
        <v>7</v>
      </c>
      <c r="AE133" s="103">
        <f t="shared" si="223"/>
        <v>7</v>
      </c>
      <c r="AF133" s="103">
        <f t="shared" si="223"/>
        <v>7</v>
      </c>
      <c r="AG133" s="103">
        <f t="shared" si="223"/>
        <v>7</v>
      </c>
      <c r="AH133" s="103">
        <f t="shared" si="223"/>
        <v>7</v>
      </c>
      <c r="AI133" s="103">
        <f t="shared" si="223"/>
        <v>7</v>
      </c>
      <c r="AJ133" s="103">
        <f t="shared" si="223"/>
        <v>7</v>
      </c>
      <c r="AK133" s="103">
        <f t="shared" si="223"/>
        <v>7</v>
      </c>
      <c r="AL133" s="103">
        <f t="shared" si="223"/>
        <v>8</v>
      </c>
      <c r="AM133" s="103">
        <f t="shared" si="223"/>
        <v>8</v>
      </c>
      <c r="AN133" s="103">
        <f t="shared" si="223"/>
        <v>9</v>
      </c>
      <c r="AO133" s="103">
        <f t="shared" si="223"/>
        <v>9</v>
      </c>
      <c r="AP133" s="103">
        <f t="shared" si="223"/>
        <v>9</v>
      </c>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row>
    <row r="134" spans="1:76">
      <c r="A134" t="s">
        <v>16</v>
      </c>
      <c r="J134" s="34">
        <f t="shared" ref="J134:AP134" si="224">MATCH(J$132,$C$128:$K$128,$B129)</f>
        <v>1</v>
      </c>
      <c r="K134" t="e">
        <f t="shared" si="224"/>
        <v>#N/A</v>
      </c>
      <c r="L134" t="e">
        <f t="shared" si="224"/>
        <v>#N/A</v>
      </c>
      <c r="M134">
        <f t="shared" si="224"/>
        <v>2</v>
      </c>
      <c r="N134" t="e">
        <f t="shared" si="224"/>
        <v>#N/A</v>
      </c>
      <c r="O134">
        <f t="shared" si="224"/>
        <v>3</v>
      </c>
      <c r="P134" t="e">
        <f t="shared" si="224"/>
        <v>#N/A</v>
      </c>
      <c r="Q134">
        <f t="shared" si="224"/>
        <v>4</v>
      </c>
      <c r="R134">
        <f t="shared" si="224"/>
        <v>5</v>
      </c>
      <c r="S134">
        <f t="shared" si="224"/>
        <v>6</v>
      </c>
      <c r="T134" t="e">
        <f t="shared" si="224"/>
        <v>#N/A</v>
      </c>
      <c r="U134" t="e">
        <f t="shared" si="224"/>
        <v>#N/A</v>
      </c>
      <c r="V134" t="e">
        <f t="shared" si="224"/>
        <v>#N/A</v>
      </c>
      <c r="W134" t="e">
        <f t="shared" si="224"/>
        <v>#N/A</v>
      </c>
      <c r="X134" t="e">
        <f t="shared" si="224"/>
        <v>#N/A</v>
      </c>
      <c r="Y134" t="e">
        <f t="shared" si="224"/>
        <v>#N/A</v>
      </c>
      <c r="Z134" t="e">
        <f t="shared" si="224"/>
        <v>#N/A</v>
      </c>
      <c r="AA134" t="e">
        <f t="shared" si="224"/>
        <v>#N/A</v>
      </c>
      <c r="AB134">
        <f t="shared" si="224"/>
        <v>7</v>
      </c>
      <c r="AC134" t="e">
        <f t="shared" si="224"/>
        <v>#N/A</v>
      </c>
      <c r="AD134" t="e">
        <f t="shared" si="224"/>
        <v>#N/A</v>
      </c>
      <c r="AE134" t="e">
        <f t="shared" si="224"/>
        <v>#N/A</v>
      </c>
      <c r="AF134" t="e">
        <f t="shared" si="224"/>
        <v>#N/A</v>
      </c>
      <c r="AG134" t="e">
        <f t="shared" si="224"/>
        <v>#N/A</v>
      </c>
      <c r="AH134" t="e">
        <f t="shared" si="224"/>
        <v>#N/A</v>
      </c>
      <c r="AI134" t="e">
        <f t="shared" si="224"/>
        <v>#N/A</v>
      </c>
      <c r="AJ134" t="e">
        <f t="shared" si="224"/>
        <v>#N/A</v>
      </c>
      <c r="AK134" t="e">
        <f t="shared" si="224"/>
        <v>#N/A</v>
      </c>
      <c r="AL134">
        <f t="shared" si="224"/>
        <v>8</v>
      </c>
      <c r="AM134" t="e">
        <f t="shared" si="224"/>
        <v>#N/A</v>
      </c>
      <c r="AN134">
        <f t="shared" si="224"/>
        <v>9</v>
      </c>
      <c r="AO134" t="e">
        <f t="shared" si="224"/>
        <v>#N/A</v>
      </c>
      <c r="AP134" t="e">
        <f t="shared" si="224"/>
        <v>#N/A</v>
      </c>
    </row>
    <row r="135" spans="1:76">
      <c r="A135" t="s">
        <v>16</v>
      </c>
      <c r="J135" s="34">
        <f t="shared" ref="J135:AP135" si="225">MATCH(J$132,$C$129:$K$129,$B130)</f>
        <v>9</v>
      </c>
      <c r="K135">
        <f t="shared" si="225"/>
        <v>8</v>
      </c>
      <c r="L135">
        <f t="shared" si="225"/>
        <v>8</v>
      </c>
      <c r="M135">
        <f t="shared" si="225"/>
        <v>8</v>
      </c>
      <c r="N135">
        <f t="shared" si="225"/>
        <v>7</v>
      </c>
      <c r="O135">
        <f t="shared" si="225"/>
        <v>7</v>
      </c>
      <c r="P135">
        <f t="shared" si="225"/>
        <v>6</v>
      </c>
      <c r="Q135">
        <f t="shared" si="225"/>
        <v>6</v>
      </c>
      <c r="R135">
        <f t="shared" si="225"/>
        <v>5</v>
      </c>
      <c r="S135">
        <f t="shared" si="225"/>
        <v>4</v>
      </c>
      <c r="T135">
        <f t="shared" si="225"/>
        <v>3</v>
      </c>
      <c r="U135">
        <f t="shared" si="225"/>
        <v>3</v>
      </c>
      <c r="V135">
        <f t="shared" si="225"/>
        <v>3</v>
      </c>
      <c r="W135">
        <f t="shared" si="225"/>
        <v>3</v>
      </c>
      <c r="X135">
        <f t="shared" si="225"/>
        <v>3</v>
      </c>
      <c r="Y135">
        <f t="shared" si="225"/>
        <v>3</v>
      </c>
      <c r="Z135">
        <f t="shared" si="225"/>
        <v>3</v>
      </c>
      <c r="AA135">
        <f t="shared" si="225"/>
        <v>3</v>
      </c>
      <c r="AB135">
        <f t="shared" si="225"/>
        <v>3</v>
      </c>
      <c r="AC135">
        <f t="shared" si="225"/>
        <v>2</v>
      </c>
      <c r="AD135">
        <f t="shared" si="225"/>
        <v>2</v>
      </c>
      <c r="AE135">
        <f t="shared" si="225"/>
        <v>2</v>
      </c>
      <c r="AF135">
        <f t="shared" si="225"/>
        <v>2</v>
      </c>
      <c r="AG135">
        <f t="shared" si="225"/>
        <v>2</v>
      </c>
      <c r="AH135">
        <f t="shared" si="225"/>
        <v>2</v>
      </c>
      <c r="AI135">
        <f t="shared" si="225"/>
        <v>2</v>
      </c>
      <c r="AJ135">
        <f t="shared" si="225"/>
        <v>2</v>
      </c>
      <c r="AK135">
        <f t="shared" si="225"/>
        <v>2</v>
      </c>
      <c r="AL135">
        <f t="shared" si="225"/>
        <v>2</v>
      </c>
      <c r="AM135">
        <f t="shared" si="225"/>
        <v>1</v>
      </c>
      <c r="AN135">
        <f t="shared" si="225"/>
        <v>1</v>
      </c>
      <c r="AO135" t="e">
        <f t="shared" si="225"/>
        <v>#N/A</v>
      </c>
      <c r="AP135" t="e">
        <f t="shared" si="225"/>
        <v>#N/A</v>
      </c>
    </row>
    <row r="136" spans="1:76" s="105" customFormat="1">
      <c r="A136" s="105" t="s">
        <v>16</v>
      </c>
      <c r="J136" s="71">
        <f t="shared" ref="J136:AP136" si="226">IF(ISNA(J133),-1,IF(ISNA(J135),99,IF(ISNA(J134),J133,0)))</f>
        <v>0</v>
      </c>
      <c r="K136" s="71">
        <f t="shared" si="226"/>
        <v>1</v>
      </c>
      <c r="L136" s="71">
        <f t="shared" si="226"/>
        <v>1</v>
      </c>
      <c r="M136" s="71">
        <f t="shared" si="226"/>
        <v>0</v>
      </c>
      <c r="N136" s="71">
        <f t="shared" si="226"/>
        <v>2</v>
      </c>
      <c r="O136" s="71">
        <f t="shared" si="226"/>
        <v>0</v>
      </c>
      <c r="P136" s="71">
        <f t="shared" si="226"/>
        <v>3</v>
      </c>
      <c r="Q136" s="71">
        <f t="shared" si="226"/>
        <v>0</v>
      </c>
      <c r="R136" s="71">
        <f t="shared" si="226"/>
        <v>0</v>
      </c>
      <c r="S136" s="71">
        <f t="shared" si="226"/>
        <v>0</v>
      </c>
      <c r="T136" s="71">
        <f t="shared" si="226"/>
        <v>6</v>
      </c>
      <c r="U136" s="71">
        <f t="shared" si="226"/>
        <v>6</v>
      </c>
      <c r="V136" s="71">
        <f t="shared" si="226"/>
        <v>6</v>
      </c>
      <c r="W136" s="71">
        <f t="shared" si="226"/>
        <v>6</v>
      </c>
      <c r="X136" s="71">
        <f t="shared" si="226"/>
        <v>6</v>
      </c>
      <c r="Y136" s="71">
        <f t="shared" si="226"/>
        <v>6</v>
      </c>
      <c r="Z136" s="71">
        <f t="shared" si="226"/>
        <v>6</v>
      </c>
      <c r="AA136" s="71">
        <f t="shared" si="226"/>
        <v>6</v>
      </c>
      <c r="AB136" s="71">
        <f t="shared" si="226"/>
        <v>0</v>
      </c>
      <c r="AC136" s="71">
        <f t="shared" si="226"/>
        <v>7</v>
      </c>
      <c r="AD136" s="71">
        <f t="shared" si="226"/>
        <v>7</v>
      </c>
      <c r="AE136" s="71">
        <f t="shared" si="226"/>
        <v>7</v>
      </c>
      <c r="AF136" s="71">
        <f t="shared" si="226"/>
        <v>7</v>
      </c>
      <c r="AG136" s="71">
        <f t="shared" si="226"/>
        <v>7</v>
      </c>
      <c r="AH136" s="71">
        <f t="shared" si="226"/>
        <v>7</v>
      </c>
      <c r="AI136" s="71">
        <f t="shared" si="226"/>
        <v>7</v>
      </c>
      <c r="AJ136" s="71">
        <f t="shared" si="226"/>
        <v>7</v>
      </c>
      <c r="AK136" s="71">
        <f t="shared" si="226"/>
        <v>7</v>
      </c>
      <c r="AL136" s="71">
        <f t="shared" si="226"/>
        <v>0</v>
      </c>
      <c r="AM136" s="71">
        <f t="shared" si="226"/>
        <v>8</v>
      </c>
      <c r="AN136" s="71">
        <f t="shared" si="226"/>
        <v>0</v>
      </c>
      <c r="AO136" s="71">
        <f t="shared" si="226"/>
        <v>99</v>
      </c>
      <c r="AP136" s="71">
        <f t="shared" si="226"/>
        <v>99</v>
      </c>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row>
    <row r="137" spans="1:76">
      <c r="A137" s="34" t="s">
        <v>125</v>
      </c>
      <c r="B137" s="16" t="str">
        <f t="shared" ref="B137:B149" si="227">IF(A137="*","","COM_PROJ")</f>
        <v>COM_PROJ</v>
      </c>
      <c r="C137" s="17" t="str">
        <f t="shared" ref="C137:C149" si="228">IF($A137="*","","-")</f>
        <v>-</v>
      </c>
      <c r="D137" s="48" t="str">
        <f>ITEMS_TRA!C15</f>
        <v>TFLCV</v>
      </c>
      <c r="E137" s="17" t="str">
        <f t="shared" ref="E137:H149" si="229">IF($A137="*","","-")</f>
        <v>-</v>
      </c>
      <c r="F137" s="17" t="str">
        <f t="shared" si="229"/>
        <v>-</v>
      </c>
      <c r="G137" s="17" t="str">
        <f t="shared" si="229"/>
        <v>-</v>
      </c>
      <c r="H137" s="17" t="str">
        <f t="shared" si="229"/>
        <v>-</v>
      </c>
      <c r="I137" s="111">
        <f t="shared" ref="I137:I149" si="230">IF(A137="*","",0)</f>
        <v>0</v>
      </c>
      <c r="J137" s="3">
        <f t="shared" ref="J137:AP137" si="231">INDEX($M111:$BA111,MATCH(J$132,$M$106:$BA$106,0))</f>
        <v>43.510890756102256</v>
      </c>
      <c r="K137" s="3">
        <f t="shared" si="231"/>
        <v>44.189879061043555</v>
      </c>
      <c r="L137" s="3">
        <f t="shared" si="231"/>
        <v>44.868867365984855</v>
      </c>
      <c r="M137" s="3">
        <f t="shared" si="231"/>
        <v>45.547855670926104</v>
      </c>
      <c r="N137" s="3">
        <f t="shared" si="231"/>
        <v>46.566338128338053</v>
      </c>
      <c r="O137" s="3">
        <f t="shared" si="231"/>
        <v>47.584820585750002</v>
      </c>
      <c r="P137" s="3">
        <f t="shared" si="231"/>
        <v>47.880977189748478</v>
      </c>
      <c r="Q137" s="3">
        <f t="shared" si="231"/>
        <v>48.177133793746961</v>
      </c>
      <c r="R137" s="3">
        <f t="shared" si="231"/>
        <v>45.207927176491495</v>
      </c>
      <c r="S137" s="3">
        <f t="shared" si="231"/>
        <v>47.404902267046701</v>
      </c>
      <c r="T137" s="3">
        <f t="shared" si="231"/>
        <v>48.226155605734554</v>
      </c>
      <c r="U137" s="3">
        <f t="shared" si="231"/>
        <v>49.047408944422408</v>
      </c>
      <c r="V137" s="3">
        <f t="shared" si="231"/>
        <v>49.868662283110261</v>
      </c>
      <c r="W137" s="3">
        <f t="shared" si="231"/>
        <v>50.689915621798114</v>
      </c>
      <c r="X137" s="3">
        <f t="shared" si="231"/>
        <v>51.511168960485968</v>
      </c>
      <c r="Y137" s="3">
        <f t="shared" si="231"/>
        <v>52.332422299173821</v>
      </c>
      <c r="Z137" s="3">
        <f t="shared" si="231"/>
        <v>53.153675637861674</v>
      </c>
      <c r="AA137" s="3">
        <f t="shared" si="231"/>
        <v>53.974928976549528</v>
      </c>
      <c r="AB137" s="3">
        <f t="shared" si="231"/>
        <v>54.796182315237353</v>
      </c>
      <c r="AC137" s="3">
        <f t="shared" si="231"/>
        <v>56.331185118551758</v>
      </c>
      <c r="AD137" s="3">
        <f t="shared" si="231"/>
        <v>57.866187921866164</v>
      </c>
      <c r="AE137" s="3">
        <f t="shared" si="231"/>
        <v>59.40119072518057</v>
      </c>
      <c r="AF137" s="3">
        <f t="shared" si="231"/>
        <v>60.936193528494975</v>
      </c>
      <c r="AG137" s="3">
        <f t="shared" si="231"/>
        <v>62.471196331809381</v>
      </c>
      <c r="AH137" s="3">
        <f t="shared" si="231"/>
        <v>64.006199135123794</v>
      </c>
      <c r="AI137" s="3">
        <f t="shared" si="231"/>
        <v>65.541201938438206</v>
      </c>
      <c r="AJ137" s="3">
        <f t="shared" si="231"/>
        <v>67.076204741752619</v>
      </c>
      <c r="AK137" s="3">
        <f t="shared" si="231"/>
        <v>68.611207545067032</v>
      </c>
      <c r="AL137" s="3">
        <f t="shared" si="231"/>
        <v>70.14621034838143</v>
      </c>
      <c r="AM137" s="3">
        <f t="shared" si="231"/>
        <v>76.200421866621184</v>
      </c>
      <c r="AN137" s="3">
        <f t="shared" si="231"/>
        <v>82.254633384860938</v>
      </c>
      <c r="AO137" s="3">
        <f t="shared" si="231"/>
        <v>82.254633384860938</v>
      </c>
      <c r="AP137" s="3">
        <f t="shared" si="231"/>
        <v>82.254633384860938</v>
      </c>
    </row>
    <row r="138" spans="1:76">
      <c r="A138" s="34"/>
      <c r="B138" s="16" t="str">
        <f t="shared" si="227"/>
        <v>COM_PROJ</v>
      </c>
      <c r="C138" s="17" t="str">
        <f t="shared" si="228"/>
        <v>-</v>
      </c>
      <c r="D138" s="48" t="str">
        <f>ITEMS_TRA!C16</f>
        <v>TFHCV1</v>
      </c>
      <c r="E138" s="17" t="str">
        <f t="shared" si="229"/>
        <v>-</v>
      </c>
      <c r="F138" s="17" t="str">
        <f t="shared" si="229"/>
        <v>-</v>
      </c>
      <c r="G138" s="17" t="str">
        <f t="shared" si="229"/>
        <v>-</v>
      </c>
      <c r="H138" s="17" t="str">
        <f t="shared" si="229"/>
        <v>-</v>
      </c>
      <c r="I138" s="111">
        <f t="shared" si="230"/>
        <v>0</v>
      </c>
      <c r="J138" s="3">
        <f t="shared" ref="J138:AP138" si="232">INDEX($M112:$BA112,MATCH(J$132,$M$106:$BA$106,0))</f>
        <v>3.6611476956493059</v>
      </c>
      <c r="K138" s="3">
        <f t="shared" si="232"/>
        <v>3.6595361414986383</v>
      </c>
      <c r="L138" s="3">
        <f t="shared" si="232"/>
        <v>3.6579245873479707</v>
      </c>
      <c r="M138" s="3">
        <f t="shared" si="232"/>
        <v>3.6563130331972848</v>
      </c>
      <c r="N138" s="3">
        <f t="shared" si="232"/>
        <v>3.6538957019712837</v>
      </c>
      <c r="O138" s="3">
        <f t="shared" si="232"/>
        <v>3.6514783707452825</v>
      </c>
      <c r="P138" s="3">
        <f t="shared" si="232"/>
        <v>3.6742043035226284</v>
      </c>
      <c r="Q138" s="3">
        <f t="shared" si="232"/>
        <v>3.6969302362999743</v>
      </c>
      <c r="R138" s="3">
        <f t="shared" si="232"/>
        <v>3.5587836419516132</v>
      </c>
      <c r="S138" s="3">
        <f t="shared" si="232"/>
        <v>3.6376721224257773</v>
      </c>
      <c r="T138" s="3">
        <f t="shared" si="232"/>
        <v>3.7127723752912054</v>
      </c>
      <c r="U138" s="3">
        <f t="shared" si="232"/>
        <v>3.7878726281566335</v>
      </c>
      <c r="V138" s="3">
        <f t="shared" si="232"/>
        <v>3.8629728810220616</v>
      </c>
      <c r="W138" s="3">
        <f t="shared" si="232"/>
        <v>3.9380731338874897</v>
      </c>
      <c r="X138" s="3">
        <f t="shared" si="232"/>
        <v>4.0131733867529178</v>
      </c>
      <c r="Y138" s="3">
        <f t="shared" si="232"/>
        <v>4.0882736396183459</v>
      </c>
      <c r="Z138" s="3">
        <f t="shared" si="232"/>
        <v>4.163373892483774</v>
      </c>
      <c r="AA138" s="3">
        <f t="shared" si="232"/>
        <v>4.2384741453492021</v>
      </c>
      <c r="AB138" s="3">
        <f t="shared" si="232"/>
        <v>4.3135743982146284</v>
      </c>
      <c r="AC138" s="3">
        <f t="shared" si="232"/>
        <v>4.4344103490747209</v>
      </c>
      <c r="AD138" s="3">
        <f t="shared" si="232"/>
        <v>4.5552462999348133</v>
      </c>
      <c r="AE138" s="3">
        <f t="shared" si="232"/>
        <v>4.6760822507949058</v>
      </c>
      <c r="AF138" s="3">
        <f t="shared" si="232"/>
        <v>4.7969182016549983</v>
      </c>
      <c r="AG138" s="3">
        <f t="shared" si="232"/>
        <v>4.9177541525150907</v>
      </c>
      <c r="AH138" s="3">
        <f t="shared" si="232"/>
        <v>5.0385901033751832</v>
      </c>
      <c r="AI138" s="3">
        <f t="shared" si="232"/>
        <v>5.1594260542352757</v>
      </c>
      <c r="AJ138" s="3">
        <f t="shared" si="232"/>
        <v>5.2802620050953681</v>
      </c>
      <c r="AK138" s="3">
        <f t="shared" si="232"/>
        <v>5.4010979559554606</v>
      </c>
      <c r="AL138" s="3">
        <f t="shared" si="232"/>
        <v>5.5219339068155575</v>
      </c>
      <c r="AM138" s="3">
        <f t="shared" si="232"/>
        <v>5.9985235286292875</v>
      </c>
      <c r="AN138" s="3">
        <f t="shared" si="232"/>
        <v>6.4751131504430157</v>
      </c>
      <c r="AO138" s="3">
        <f t="shared" si="232"/>
        <v>6.4751131504430157</v>
      </c>
      <c r="AP138" s="3">
        <f t="shared" si="232"/>
        <v>6.4751131504430157</v>
      </c>
    </row>
    <row r="139" spans="1:76">
      <c r="A139" s="34"/>
      <c r="B139" s="16" t="str">
        <f t="shared" si="227"/>
        <v>COM_PROJ</v>
      </c>
      <c r="C139" s="17" t="str">
        <f t="shared" si="228"/>
        <v>-</v>
      </c>
      <c r="D139" s="48" t="str">
        <f>ITEMS_TRA!C17</f>
        <v>TFHCV2</v>
      </c>
      <c r="E139" s="17" t="str">
        <f t="shared" si="229"/>
        <v>-</v>
      </c>
      <c r="F139" s="17" t="str">
        <f t="shared" si="229"/>
        <v>-</v>
      </c>
      <c r="G139" s="17" t="str">
        <f t="shared" si="229"/>
        <v>-</v>
      </c>
      <c r="H139" s="17" t="str">
        <f t="shared" si="229"/>
        <v>-</v>
      </c>
      <c r="I139" s="111">
        <f t="shared" si="230"/>
        <v>0</v>
      </c>
      <c r="J139" s="3">
        <f t="shared" ref="J139:AP139" si="233">INDEX($M113:$BA113,MATCH(J$132,$M$106:$BA$106,0))</f>
        <v>0.91016288033514725</v>
      </c>
      <c r="K139" s="3">
        <f t="shared" si="233"/>
        <v>0.92563893602886782</v>
      </c>
      <c r="L139" s="3">
        <f t="shared" si="233"/>
        <v>0.94111499172258839</v>
      </c>
      <c r="M139" s="3">
        <f t="shared" si="233"/>
        <v>0.95659104741630863</v>
      </c>
      <c r="N139" s="3">
        <f t="shared" si="233"/>
        <v>0.97980513095688937</v>
      </c>
      <c r="O139" s="3">
        <f t="shared" si="233"/>
        <v>1.0030192144974701</v>
      </c>
      <c r="P139" s="3">
        <f t="shared" si="233"/>
        <v>1.009261767493451</v>
      </c>
      <c r="Q139" s="3">
        <f t="shared" si="233"/>
        <v>1.0155043204894318</v>
      </c>
      <c r="R139" s="3">
        <f t="shared" si="233"/>
        <v>0.97755703599805133</v>
      </c>
      <c r="S139" s="3">
        <f t="shared" si="233"/>
        <v>0.99922679648521096</v>
      </c>
      <c r="T139" s="3">
        <f t="shared" si="233"/>
        <v>1.0198559743111413</v>
      </c>
      <c r="U139" s="3">
        <f t="shared" si="233"/>
        <v>1.0404851521370715</v>
      </c>
      <c r="V139" s="3">
        <f t="shared" si="233"/>
        <v>1.0611143299630017</v>
      </c>
      <c r="W139" s="3">
        <f t="shared" si="233"/>
        <v>1.0817435077889319</v>
      </c>
      <c r="X139" s="3">
        <f t="shared" si="233"/>
        <v>1.1023726856148621</v>
      </c>
      <c r="Y139" s="3">
        <f t="shared" si="233"/>
        <v>1.1230018634407923</v>
      </c>
      <c r="Z139" s="3">
        <f t="shared" si="233"/>
        <v>1.1436310412667225</v>
      </c>
      <c r="AA139" s="3">
        <f t="shared" si="233"/>
        <v>1.1642602190926528</v>
      </c>
      <c r="AB139" s="3">
        <f t="shared" si="233"/>
        <v>1.1848893969185836</v>
      </c>
      <c r="AC139" s="3">
        <f t="shared" si="233"/>
        <v>1.2180816462512853</v>
      </c>
      <c r="AD139" s="3">
        <f t="shared" si="233"/>
        <v>1.2512738955839871</v>
      </c>
      <c r="AE139" s="3">
        <f t="shared" si="233"/>
        <v>1.2844661449166888</v>
      </c>
      <c r="AF139" s="3">
        <f t="shared" si="233"/>
        <v>1.3176583942493905</v>
      </c>
      <c r="AG139" s="3">
        <f t="shared" si="233"/>
        <v>1.3508506435820922</v>
      </c>
      <c r="AH139" s="3">
        <f t="shared" si="233"/>
        <v>1.3840428929147939</v>
      </c>
      <c r="AI139" s="3">
        <f t="shared" si="233"/>
        <v>1.4172351422474956</v>
      </c>
      <c r="AJ139" s="3">
        <f t="shared" si="233"/>
        <v>1.4504273915801973</v>
      </c>
      <c r="AK139" s="3">
        <f t="shared" si="233"/>
        <v>1.483619640912899</v>
      </c>
      <c r="AL139" s="3">
        <f t="shared" si="233"/>
        <v>1.5168118902456016</v>
      </c>
      <c r="AM139" s="3">
        <f t="shared" si="233"/>
        <v>1.6477255913752851</v>
      </c>
      <c r="AN139" s="3">
        <f t="shared" si="233"/>
        <v>1.7786392925049694</v>
      </c>
      <c r="AO139" s="3">
        <f t="shared" si="233"/>
        <v>1.7786392925049694</v>
      </c>
      <c r="AP139" s="3">
        <f t="shared" si="233"/>
        <v>1.7786392925049694</v>
      </c>
    </row>
    <row r="140" spans="1:76">
      <c r="A140" s="34"/>
      <c r="B140" s="16" t="str">
        <f t="shared" si="227"/>
        <v>COM_PROJ</v>
      </c>
      <c r="C140" s="17" t="str">
        <f t="shared" si="228"/>
        <v>-</v>
      </c>
      <c r="D140" s="48" t="str">
        <f>ITEMS_TRA!C18</f>
        <v>TFHCV3</v>
      </c>
      <c r="E140" s="17" t="str">
        <f t="shared" si="229"/>
        <v>-</v>
      </c>
      <c r="F140" s="17" t="str">
        <f t="shared" si="229"/>
        <v>-</v>
      </c>
      <c r="G140" s="17" t="str">
        <f t="shared" si="229"/>
        <v>-</v>
      </c>
      <c r="H140" s="17" t="str">
        <f t="shared" si="229"/>
        <v>-</v>
      </c>
      <c r="I140" s="111">
        <f t="shared" si="230"/>
        <v>0</v>
      </c>
      <c r="J140" s="3">
        <f t="shared" ref="J140:AP140" si="234">INDEX($M114:$BA114,MATCH(J$132,$M$106:$BA$106,0))</f>
        <v>3.0423873008641582</v>
      </c>
      <c r="K140" s="3">
        <f t="shared" si="234"/>
        <v>3.0852151471238134</v>
      </c>
      <c r="L140" s="3">
        <f t="shared" si="234"/>
        <v>3.1280429933834686</v>
      </c>
      <c r="M140" s="3">
        <f t="shared" si="234"/>
        <v>3.1708708396431251</v>
      </c>
      <c r="N140" s="3">
        <f t="shared" si="234"/>
        <v>3.2351126090326074</v>
      </c>
      <c r="O140" s="3">
        <f t="shared" si="234"/>
        <v>3.2993543784220902</v>
      </c>
      <c r="P140" s="3">
        <f t="shared" si="234"/>
        <v>3.3198887752333626</v>
      </c>
      <c r="Q140" s="3">
        <f t="shared" si="234"/>
        <v>3.3404231720446353</v>
      </c>
      <c r="R140" s="3">
        <f t="shared" si="234"/>
        <v>3.2155985052523919</v>
      </c>
      <c r="S140" s="3">
        <f t="shared" si="234"/>
        <v>3.2868795117468586</v>
      </c>
      <c r="T140" s="3">
        <f t="shared" si="234"/>
        <v>3.3547376018008279</v>
      </c>
      <c r="U140" s="3">
        <f t="shared" si="234"/>
        <v>3.4225956918547973</v>
      </c>
      <c r="V140" s="3">
        <f t="shared" si="234"/>
        <v>3.4904537819087667</v>
      </c>
      <c r="W140" s="3">
        <f t="shared" si="234"/>
        <v>3.558311871962736</v>
      </c>
      <c r="X140" s="3">
        <f t="shared" si="234"/>
        <v>3.6261699620167054</v>
      </c>
      <c r="Y140" s="3">
        <f t="shared" si="234"/>
        <v>3.6940280520706748</v>
      </c>
      <c r="Z140" s="3">
        <f t="shared" si="234"/>
        <v>3.7618861421246441</v>
      </c>
      <c r="AA140" s="3">
        <f t="shared" si="234"/>
        <v>3.8297442321786135</v>
      </c>
      <c r="AB140" s="3">
        <f t="shared" si="234"/>
        <v>3.8976023222325837</v>
      </c>
      <c r="AC140" s="3">
        <f t="shared" si="234"/>
        <v>4.0067856674593205</v>
      </c>
      <c r="AD140" s="3">
        <f t="shared" si="234"/>
        <v>4.1159690126860573</v>
      </c>
      <c r="AE140" s="3">
        <f t="shared" si="234"/>
        <v>4.2251523579127941</v>
      </c>
      <c r="AF140" s="3">
        <f t="shared" si="234"/>
        <v>4.3343357031395309</v>
      </c>
      <c r="AG140" s="3">
        <f t="shared" si="234"/>
        <v>4.4435190483662677</v>
      </c>
      <c r="AH140" s="3">
        <f t="shared" si="234"/>
        <v>4.5527023935930044</v>
      </c>
      <c r="AI140" s="3">
        <f t="shared" si="234"/>
        <v>4.6618857388197412</v>
      </c>
      <c r="AJ140" s="3">
        <f t="shared" si="234"/>
        <v>4.771069084046478</v>
      </c>
      <c r="AK140" s="3">
        <f t="shared" si="234"/>
        <v>4.8802524292732148</v>
      </c>
      <c r="AL140" s="3">
        <f t="shared" si="234"/>
        <v>4.9894357744999507</v>
      </c>
      <c r="AM140" s="3">
        <f t="shared" si="234"/>
        <v>5.4200663015871786</v>
      </c>
      <c r="AN140" s="3">
        <f t="shared" si="234"/>
        <v>5.8506968286744083</v>
      </c>
      <c r="AO140" s="3">
        <f t="shared" si="234"/>
        <v>5.8506968286744083</v>
      </c>
      <c r="AP140" s="3">
        <f t="shared" si="234"/>
        <v>5.8506968286744083</v>
      </c>
    </row>
    <row r="141" spans="1:76">
      <c r="A141" s="34"/>
      <c r="B141" s="16" t="str">
        <f t="shared" si="227"/>
        <v>COM_PROJ</v>
      </c>
      <c r="C141" s="17" t="str">
        <f t="shared" si="228"/>
        <v>-</v>
      </c>
      <c r="D141" s="48" t="str">
        <f>ITEMS_TRA!C19</f>
        <v>TFHCV4</v>
      </c>
      <c r="E141" s="17" t="str">
        <f t="shared" si="229"/>
        <v>-</v>
      </c>
      <c r="F141" s="17" t="str">
        <f t="shared" si="229"/>
        <v>-</v>
      </c>
      <c r="G141" s="17" t="str">
        <f t="shared" si="229"/>
        <v>-</v>
      </c>
      <c r="H141" s="17" t="str">
        <f t="shared" si="229"/>
        <v>-</v>
      </c>
      <c r="I141" s="111">
        <f t="shared" si="230"/>
        <v>0</v>
      </c>
      <c r="J141" s="3">
        <f t="shared" ref="J141:AP141" si="235">INDEX($M115:$BA115,MATCH(J$132,$M$106:$BA$106,0))</f>
        <v>0.64156299948434192</v>
      </c>
      <c r="K141" s="3">
        <f t="shared" si="235"/>
        <v>0.62717766269161657</v>
      </c>
      <c r="L141" s="3">
        <f t="shared" si="235"/>
        <v>0.61279232589889121</v>
      </c>
      <c r="M141" s="18">
        <f t="shared" si="235"/>
        <v>0.59840698910616308</v>
      </c>
      <c r="N141" s="3">
        <f t="shared" si="235"/>
        <v>0.59840698910616308</v>
      </c>
      <c r="O141" s="3">
        <f t="shared" si="235"/>
        <v>0.59840698910616308</v>
      </c>
      <c r="P141" s="3">
        <f t="shared" si="235"/>
        <v>0.60213133185919032</v>
      </c>
      <c r="Q141" s="3">
        <f t="shared" si="235"/>
        <v>0.60585567461221745</v>
      </c>
      <c r="R141" s="3">
        <f t="shared" si="235"/>
        <v>0.58321610806251878</v>
      </c>
      <c r="S141" s="3">
        <f t="shared" si="235"/>
        <v>0.59614441087102454</v>
      </c>
      <c r="T141" s="3">
        <f t="shared" si="235"/>
        <v>0.6084518961236729</v>
      </c>
      <c r="U141" s="3">
        <f t="shared" si="235"/>
        <v>0.62075938137632125</v>
      </c>
      <c r="V141" s="3">
        <f t="shared" si="235"/>
        <v>0.6330668666289696</v>
      </c>
      <c r="W141" s="3">
        <f t="shared" si="235"/>
        <v>0.64537435188161796</v>
      </c>
      <c r="X141" s="3">
        <f t="shared" si="235"/>
        <v>0.65768183713426631</v>
      </c>
      <c r="Y141" s="3">
        <f t="shared" si="235"/>
        <v>0.66998932238691467</v>
      </c>
      <c r="Z141" s="3">
        <f t="shared" si="235"/>
        <v>0.68229680763956302</v>
      </c>
      <c r="AA141" s="3">
        <f t="shared" si="235"/>
        <v>0.69460429289221137</v>
      </c>
      <c r="AB141" s="3">
        <f t="shared" si="235"/>
        <v>0.70691177814486006</v>
      </c>
      <c r="AC141" s="3">
        <f t="shared" si="235"/>
        <v>0.72671446357476444</v>
      </c>
      <c r="AD141" s="3">
        <f t="shared" si="235"/>
        <v>0.74651714900466881</v>
      </c>
      <c r="AE141" s="3">
        <f t="shared" si="235"/>
        <v>0.76631983443457319</v>
      </c>
      <c r="AF141" s="3">
        <f t="shared" si="235"/>
        <v>0.78612251986447756</v>
      </c>
      <c r="AG141" s="3">
        <f t="shared" si="235"/>
        <v>0.80592520529438194</v>
      </c>
      <c r="AH141" s="3">
        <f t="shared" si="235"/>
        <v>0.82572789072428632</v>
      </c>
      <c r="AI141" s="3">
        <f t="shared" si="235"/>
        <v>0.84553057615419069</v>
      </c>
      <c r="AJ141" s="3">
        <f t="shared" si="235"/>
        <v>0.86533326158409507</v>
      </c>
      <c r="AK141" s="3">
        <f t="shared" si="235"/>
        <v>0.88513594701399945</v>
      </c>
      <c r="AL141" s="3">
        <f t="shared" si="235"/>
        <v>0.9049386324439036</v>
      </c>
      <c r="AM141" s="3">
        <f t="shared" si="235"/>
        <v>0.98304249385896891</v>
      </c>
      <c r="AN141" s="3">
        <f t="shared" si="235"/>
        <v>1.0611463552740346</v>
      </c>
      <c r="AO141" s="3">
        <f t="shared" si="235"/>
        <v>1.0611463552740346</v>
      </c>
      <c r="AP141" s="3">
        <f t="shared" si="235"/>
        <v>1.0611463552740346</v>
      </c>
    </row>
    <row r="142" spans="1:76">
      <c r="A142" s="34"/>
      <c r="B142" s="16" t="str">
        <f t="shared" si="227"/>
        <v>COM_PROJ</v>
      </c>
      <c r="C142" s="17" t="str">
        <f t="shared" si="228"/>
        <v>-</v>
      </c>
      <c r="D142" s="48" t="str">
        <f>ITEMS_TRA!C20</f>
        <v>TFHCV5</v>
      </c>
      <c r="E142" s="17" t="str">
        <f t="shared" si="229"/>
        <v>-</v>
      </c>
      <c r="F142" s="17" t="str">
        <f t="shared" si="229"/>
        <v>-</v>
      </c>
      <c r="G142" s="17" t="str">
        <f t="shared" si="229"/>
        <v>-</v>
      </c>
      <c r="H142" s="17" t="str">
        <f t="shared" si="229"/>
        <v>-</v>
      </c>
      <c r="I142" s="111">
        <f t="shared" si="230"/>
        <v>0</v>
      </c>
      <c r="J142" s="3">
        <f t="shared" ref="J142:AP142" si="236">INDEX($M116:$BA116,MATCH(J$132,$M$106:$BA$106,0))</f>
        <v>0.28132785630344881</v>
      </c>
      <c r="K142" s="3">
        <f t="shared" si="236"/>
        <v>0.28410456292842851</v>
      </c>
      <c r="L142" s="3">
        <f t="shared" si="236"/>
        <v>0.2868812695534082</v>
      </c>
      <c r="M142" s="3">
        <f t="shared" si="236"/>
        <v>0.28965797617838801</v>
      </c>
      <c r="N142" s="3">
        <f t="shared" si="236"/>
        <v>0.29382303611585753</v>
      </c>
      <c r="O142" s="3">
        <f t="shared" si="236"/>
        <v>0.29798809605332705</v>
      </c>
      <c r="P142" s="3">
        <f t="shared" si="236"/>
        <v>0.29984270307869332</v>
      </c>
      <c r="Q142" s="3">
        <f t="shared" si="236"/>
        <v>0.30169731010405959</v>
      </c>
      <c r="R142" s="3">
        <f t="shared" si="236"/>
        <v>0.29042350907159797</v>
      </c>
      <c r="S142" s="3">
        <f t="shared" si="236"/>
        <v>0.29686140236034775</v>
      </c>
      <c r="T142" s="3">
        <f t="shared" si="236"/>
        <v>0.30299014778679939</v>
      </c>
      <c r="U142" s="3">
        <f t="shared" si="236"/>
        <v>0.30911889321325103</v>
      </c>
      <c r="V142" s="3">
        <f t="shared" si="236"/>
        <v>0.31524763863970268</v>
      </c>
      <c r="W142" s="3">
        <f t="shared" si="236"/>
        <v>0.32137638406615432</v>
      </c>
      <c r="X142" s="3">
        <f t="shared" si="236"/>
        <v>0.32750512949260596</v>
      </c>
      <c r="Y142" s="3">
        <f t="shared" si="236"/>
        <v>0.3336338749190576</v>
      </c>
      <c r="Z142" s="3">
        <f t="shared" si="236"/>
        <v>0.33976262034550925</v>
      </c>
      <c r="AA142" s="3">
        <f t="shared" si="236"/>
        <v>0.34589136577196089</v>
      </c>
      <c r="AB142" s="3">
        <f t="shared" si="236"/>
        <v>0.35202011119841253</v>
      </c>
      <c r="AC142" s="3">
        <f t="shared" si="236"/>
        <v>0.36188123353726487</v>
      </c>
      <c r="AD142" s="3">
        <f t="shared" si="236"/>
        <v>0.3717423558761172</v>
      </c>
      <c r="AE142" s="3">
        <f t="shared" si="236"/>
        <v>0.38160347821496954</v>
      </c>
      <c r="AF142" s="3">
        <f t="shared" si="236"/>
        <v>0.39146460055382187</v>
      </c>
      <c r="AG142" s="3">
        <f t="shared" si="236"/>
        <v>0.40132572289267421</v>
      </c>
      <c r="AH142" s="3">
        <f t="shared" si="236"/>
        <v>0.41118684523152654</v>
      </c>
      <c r="AI142" s="3">
        <f t="shared" si="236"/>
        <v>0.42104796757037888</v>
      </c>
      <c r="AJ142" s="3">
        <f t="shared" si="236"/>
        <v>0.43090908990923121</v>
      </c>
      <c r="AK142" s="3">
        <f t="shared" si="236"/>
        <v>0.44077021224808355</v>
      </c>
      <c r="AL142" s="3">
        <f t="shared" si="236"/>
        <v>0.45063133458693594</v>
      </c>
      <c r="AM142" s="3">
        <f t="shared" si="236"/>
        <v>0.48952463192668222</v>
      </c>
      <c r="AN142" s="3">
        <f t="shared" si="236"/>
        <v>0.52841792926642828</v>
      </c>
      <c r="AO142" s="3">
        <f t="shared" si="236"/>
        <v>0.52841792926642828</v>
      </c>
      <c r="AP142" s="3">
        <f t="shared" si="236"/>
        <v>0.52841792926642828</v>
      </c>
    </row>
    <row r="143" spans="1:76">
      <c r="A143" s="34"/>
      <c r="B143" s="16" t="str">
        <f t="shared" si="227"/>
        <v>COM_PROJ</v>
      </c>
      <c r="C143" s="17" t="str">
        <f t="shared" si="228"/>
        <v>-</v>
      </c>
      <c r="D143" s="48" t="str">
        <f>ITEMS_TRA!C21</f>
        <v>TFHCV6</v>
      </c>
      <c r="E143" s="17" t="str">
        <f t="shared" si="229"/>
        <v>-</v>
      </c>
      <c r="F143" s="17" t="str">
        <f t="shared" si="229"/>
        <v>-</v>
      </c>
      <c r="G143" s="17" t="str">
        <f t="shared" si="229"/>
        <v>-</v>
      </c>
      <c r="H143" s="17" t="str">
        <f t="shared" si="229"/>
        <v>-</v>
      </c>
      <c r="I143" s="111">
        <f t="shared" si="230"/>
        <v>0</v>
      </c>
      <c r="J143" s="3">
        <f t="shared" ref="J143:AP143" si="237">INDEX($M117:$BA117,MATCH(J$132,$M$106:$BA$106,0))</f>
        <v>5.1541817584817791</v>
      </c>
      <c r="K143" s="3">
        <f t="shared" si="237"/>
        <v>5.4055160928410038</v>
      </c>
      <c r="L143" s="3">
        <f t="shared" si="237"/>
        <v>5.6568504272002285</v>
      </c>
      <c r="M143" s="3">
        <f t="shared" si="237"/>
        <v>5.9081847615594549</v>
      </c>
      <c r="N143" s="3">
        <f t="shared" si="237"/>
        <v>6.2851862630982929</v>
      </c>
      <c r="O143" s="3">
        <f t="shared" si="237"/>
        <v>6.6621877646371299</v>
      </c>
      <c r="P143" s="3">
        <f t="shared" si="237"/>
        <v>6.7036516365039915</v>
      </c>
      <c r="Q143" s="3">
        <f t="shared" si="237"/>
        <v>6.7451155083708541</v>
      </c>
      <c r="R143" s="3">
        <f t="shared" si="237"/>
        <v>6.4930645697790714</v>
      </c>
      <c r="S143" s="3">
        <f t="shared" si="237"/>
        <v>6.6369980170086968</v>
      </c>
      <c r="T143" s="3">
        <f t="shared" si="237"/>
        <v>6.7740197750368258</v>
      </c>
      <c r="U143" s="3">
        <f t="shared" si="237"/>
        <v>6.9110415330649548</v>
      </c>
      <c r="V143" s="3">
        <f t="shared" si="237"/>
        <v>7.0480632910930838</v>
      </c>
      <c r="W143" s="3">
        <f t="shared" si="237"/>
        <v>7.1850850491212128</v>
      </c>
      <c r="X143" s="3">
        <f t="shared" si="237"/>
        <v>7.3221068071493418</v>
      </c>
      <c r="Y143" s="3">
        <f t="shared" si="237"/>
        <v>7.4591285651774708</v>
      </c>
      <c r="Z143" s="3">
        <f t="shared" si="237"/>
        <v>7.5961503232055998</v>
      </c>
      <c r="AA143" s="3">
        <f t="shared" si="237"/>
        <v>7.7331720812337288</v>
      </c>
      <c r="AB143" s="3">
        <f t="shared" si="237"/>
        <v>7.8701938392618604</v>
      </c>
      <c r="AC143" s="3">
        <f t="shared" si="237"/>
        <v>8.0906611984000421</v>
      </c>
      <c r="AD143" s="3">
        <f t="shared" si="237"/>
        <v>8.3111285575382237</v>
      </c>
      <c r="AE143" s="3">
        <f t="shared" si="237"/>
        <v>8.5315959166764053</v>
      </c>
      <c r="AF143" s="3">
        <f t="shared" si="237"/>
        <v>8.7520632758145869</v>
      </c>
      <c r="AG143" s="3">
        <f t="shared" si="237"/>
        <v>8.9725306349527685</v>
      </c>
      <c r="AH143" s="3">
        <f t="shared" si="237"/>
        <v>9.1929979940909501</v>
      </c>
      <c r="AI143" s="3">
        <f t="shared" si="237"/>
        <v>9.4134653532291317</v>
      </c>
      <c r="AJ143" s="3">
        <f t="shared" si="237"/>
        <v>9.6339327123673133</v>
      </c>
      <c r="AK143" s="3">
        <f t="shared" si="237"/>
        <v>9.8544000715054949</v>
      </c>
      <c r="AL143" s="3">
        <f t="shared" si="237"/>
        <v>10.074867430643682</v>
      </c>
      <c r="AM143" s="3">
        <f t="shared" si="237"/>
        <v>10.944413741704649</v>
      </c>
      <c r="AN143" s="3">
        <f t="shared" si="237"/>
        <v>11.81396005276561</v>
      </c>
      <c r="AO143" s="3">
        <f t="shared" si="237"/>
        <v>11.81396005276561</v>
      </c>
      <c r="AP143" s="3">
        <f t="shared" si="237"/>
        <v>11.81396005276561</v>
      </c>
    </row>
    <row r="144" spans="1:76">
      <c r="A144" s="34"/>
      <c r="B144" s="16" t="str">
        <f t="shared" si="227"/>
        <v>COM_PROJ</v>
      </c>
      <c r="C144" s="17" t="str">
        <f t="shared" si="228"/>
        <v>-</v>
      </c>
      <c r="D144" s="48" t="str">
        <f>ITEMS_TRA!C22</f>
        <v>TFHCV7</v>
      </c>
      <c r="E144" s="17" t="str">
        <f t="shared" si="229"/>
        <v>-</v>
      </c>
      <c r="F144" s="17" t="str">
        <f t="shared" si="229"/>
        <v>-</v>
      </c>
      <c r="G144" s="17" t="str">
        <f t="shared" si="229"/>
        <v>-</v>
      </c>
      <c r="H144" s="17" t="str">
        <f t="shared" si="229"/>
        <v>-</v>
      </c>
      <c r="I144" s="111">
        <f t="shared" si="230"/>
        <v>0</v>
      </c>
      <c r="J144" s="3">
        <f t="shared" ref="J144:AP144" si="238">INDEX($M118:$BA118,MATCH(J$132,$M$106:$BA$106,0))</f>
        <v>1.9761616214119715</v>
      </c>
      <c r="K144" s="3">
        <f t="shared" si="238"/>
        <v>2.0178274562873066</v>
      </c>
      <c r="L144" s="3">
        <f t="shared" si="238"/>
        <v>2.0594932911626418</v>
      </c>
      <c r="M144" s="3">
        <f t="shared" si="238"/>
        <v>2.1011591260379752</v>
      </c>
      <c r="N144" s="3">
        <f t="shared" si="238"/>
        <v>2.1636578783509774</v>
      </c>
      <c r="O144" s="3">
        <f t="shared" si="238"/>
        <v>2.2261566306639802</v>
      </c>
      <c r="P144" s="3">
        <f t="shared" si="238"/>
        <v>2.240011699982106</v>
      </c>
      <c r="Q144" s="3">
        <f t="shared" si="238"/>
        <v>2.2538667693002314</v>
      </c>
      <c r="R144" s="3">
        <f t="shared" si="238"/>
        <v>2.1696444555447534</v>
      </c>
      <c r="S144" s="3">
        <f t="shared" si="238"/>
        <v>2.2177395272005445</v>
      </c>
      <c r="T144" s="3">
        <f t="shared" si="238"/>
        <v>2.2635250718227877</v>
      </c>
      <c r="U144" s="3">
        <f t="shared" si="238"/>
        <v>2.309310616445031</v>
      </c>
      <c r="V144" s="3">
        <f t="shared" si="238"/>
        <v>2.3550961610672743</v>
      </c>
      <c r="W144" s="3">
        <f t="shared" si="238"/>
        <v>2.4008817056895175</v>
      </c>
      <c r="X144" s="3">
        <f t="shared" si="238"/>
        <v>2.4466672503117608</v>
      </c>
      <c r="Y144" s="3">
        <f t="shared" si="238"/>
        <v>2.4924527949340041</v>
      </c>
      <c r="Z144" s="3">
        <f t="shared" si="238"/>
        <v>2.5382383395562473</v>
      </c>
      <c r="AA144" s="3">
        <f t="shared" si="238"/>
        <v>2.5840238841784906</v>
      </c>
      <c r="AB144" s="3">
        <f t="shared" si="238"/>
        <v>2.6298094288007321</v>
      </c>
      <c r="AC144" s="3">
        <f t="shared" si="238"/>
        <v>2.7034781530590872</v>
      </c>
      <c r="AD144" s="3">
        <f t="shared" si="238"/>
        <v>2.7771468773174424</v>
      </c>
      <c r="AE144" s="3">
        <f t="shared" si="238"/>
        <v>2.8508156015757975</v>
      </c>
      <c r="AF144" s="3">
        <f t="shared" si="238"/>
        <v>2.9244843258341526</v>
      </c>
      <c r="AG144" s="3">
        <f t="shared" si="238"/>
        <v>2.9981530500925078</v>
      </c>
      <c r="AH144" s="3">
        <f t="shared" si="238"/>
        <v>3.0718217743508629</v>
      </c>
      <c r="AI144" s="3">
        <f t="shared" si="238"/>
        <v>3.145490498609218</v>
      </c>
      <c r="AJ144" s="3">
        <f t="shared" si="238"/>
        <v>3.2191592228675732</v>
      </c>
      <c r="AK144" s="3">
        <f t="shared" si="238"/>
        <v>3.2928279471259283</v>
      </c>
      <c r="AL144" s="3">
        <f t="shared" si="238"/>
        <v>3.3664966713842848</v>
      </c>
      <c r="AM144" s="3">
        <f t="shared" si="238"/>
        <v>3.6570538208409098</v>
      </c>
      <c r="AN144" s="3">
        <f t="shared" si="238"/>
        <v>3.9476109702975353</v>
      </c>
      <c r="AO144" s="3">
        <f t="shared" si="238"/>
        <v>3.9476109702975353</v>
      </c>
      <c r="AP144" s="3">
        <f t="shared" si="238"/>
        <v>3.9476109702975353</v>
      </c>
    </row>
    <row r="145" spans="1:51">
      <c r="A145" s="34" t="s">
        <v>125</v>
      </c>
      <c r="B145" s="16" t="str">
        <f t="shared" si="227"/>
        <v>COM_PROJ</v>
      </c>
      <c r="C145" s="17" t="str">
        <f t="shared" si="228"/>
        <v>-</v>
      </c>
      <c r="D145" s="48" t="str">
        <f>ITEMS_TRA!C23</f>
        <v>TFHCV8</v>
      </c>
      <c r="E145" s="17" t="str">
        <f t="shared" si="229"/>
        <v>-</v>
      </c>
      <c r="F145" s="17" t="str">
        <f t="shared" si="229"/>
        <v>-</v>
      </c>
      <c r="G145" s="17" t="str">
        <f t="shared" si="229"/>
        <v>-</v>
      </c>
      <c r="H145" s="17" t="str">
        <f t="shared" si="229"/>
        <v>-</v>
      </c>
      <c r="I145" s="111">
        <f t="shared" si="230"/>
        <v>0</v>
      </c>
      <c r="J145" s="3">
        <f t="shared" ref="J145:AP145" si="239">INDEX($M119:$BA119,MATCH(J$132,$M$106:$BA$106,0))</f>
        <v>7.0701624395945725E-2</v>
      </c>
      <c r="K145" s="3">
        <f t="shared" si="239"/>
        <v>7.9286966804927639E-2</v>
      </c>
      <c r="L145" s="3">
        <f t="shared" si="239"/>
        <v>8.7872309213909552E-2</v>
      </c>
      <c r="M145" s="3">
        <f t="shared" si="239"/>
        <v>9.6457651622891244E-2</v>
      </c>
      <c r="N145" s="3">
        <f t="shared" si="239"/>
        <v>0.10933566523636412</v>
      </c>
      <c r="O145" s="3">
        <f t="shared" si="239"/>
        <v>0.122213678849837</v>
      </c>
      <c r="P145" s="3">
        <f t="shared" si="239"/>
        <v>0.12297430771519344</v>
      </c>
      <c r="Q145" s="3">
        <f t="shared" si="239"/>
        <v>0.12373493658054988</v>
      </c>
      <c r="R145" s="3">
        <f t="shared" si="239"/>
        <v>0.11911121933463797</v>
      </c>
      <c r="S145" s="3">
        <f t="shared" si="239"/>
        <v>0.1217515886422763</v>
      </c>
      <c r="T145" s="3">
        <f t="shared" si="239"/>
        <v>0.12426516732283784</v>
      </c>
      <c r="U145" s="3">
        <f t="shared" si="239"/>
        <v>0.12677874600339939</v>
      </c>
      <c r="V145" s="3">
        <f t="shared" si="239"/>
        <v>0.12929232468396093</v>
      </c>
      <c r="W145" s="3">
        <f t="shared" si="239"/>
        <v>0.13180590336452247</v>
      </c>
      <c r="X145" s="3">
        <f t="shared" si="239"/>
        <v>0.13431948204508401</v>
      </c>
      <c r="Y145" s="3">
        <f t="shared" si="239"/>
        <v>0.13683306072564555</v>
      </c>
      <c r="Z145" s="3">
        <f t="shared" si="239"/>
        <v>0.13934663940620709</v>
      </c>
      <c r="AA145" s="3">
        <f t="shared" si="239"/>
        <v>0.14186021808676863</v>
      </c>
      <c r="AB145" s="3">
        <f t="shared" si="239"/>
        <v>0.1443737967673302</v>
      </c>
      <c r="AC145" s="3">
        <f t="shared" si="239"/>
        <v>0.14841813294914796</v>
      </c>
      <c r="AD145" s="3">
        <f t="shared" si="239"/>
        <v>0.15246246913096573</v>
      </c>
      <c r="AE145" s="3">
        <f t="shared" si="239"/>
        <v>0.15650680531278349</v>
      </c>
      <c r="AF145" s="3">
        <f t="shared" si="239"/>
        <v>0.16055114149460126</v>
      </c>
      <c r="AG145" s="3">
        <f t="shared" si="239"/>
        <v>0.16459547767641902</v>
      </c>
      <c r="AH145" s="3">
        <f t="shared" si="239"/>
        <v>0.16863981385823679</v>
      </c>
      <c r="AI145" s="3">
        <f t="shared" si="239"/>
        <v>0.17268415004005455</v>
      </c>
      <c r="AJ145" s="3">
        <f t="shared" si="239"/>
        <v>0.17672848622187232</v>
      </c>
      <c r="AK145" s="3">
        <f t="shared" si="239"/>
        <v>0.18077282240369008</v>
      </c>
      <c r="AL145" s="3">
        <f t="shared" si="239"/>
        <v>0.18481715858550771</v>
      </c>
      <c r="AM145" s="3">
        <f t="shared" si="239"/>
        <v>0.20076844326246446</v>
      </c>
      <c r="AN145" s="3">
        <f t="shared" si="239"/>
        <v>0.21671972793942126</v>
      </c>
      <c r="AO145" s="3">
        <f t="shared" si="239"/>
        <v>0.21671972793942126</v>
      </c>
      <c r="AP145" s="3">
        <f t="shared" si="239"/>
        <v>0.21671972793942126</v>
      </c>
    </row>
    <row r="146" spans="1:51">
      <c r="A146" s="34" t="s">
        <v>125</v>
      </c>
      <c r="B146" s="16" t="str">
        <f t="shared" si="227"/>
        <v>COM_PROJ</v>
      </c>
      <c r="C146" s="17" t="str">
        <f t="shared" si="228"/>
        <v>-</v>
      </c>
      <c r="D146" s="48" t="str">
        <f>ITEMS_TRA!C24</f>
        <v>TFHCV9</v>
      </c>
      <c r="E146" s="17" t="str">
        <f t="shared" si="229"/>
        <v>-</v>
      </c>
      <c r="F146" s="17" t="str">
        <f t="shared" si="229"/>
        <v>-</v>
      </c>
      <c r="G146" s="17" t="str">
        <f t="shared" si="229"/>
        <v>-</v>
      </c>
      <c r="H146" s="17" t="str">
        <f t="shared" si="229"/>
        <v>-</v>
      </c>
      <c r="I146" s="111">
        <f t="shared" si="230"/>
        <v>0</v>
      </c>
      <c r="J146" s="3">
        <f t="shared" ref="J146:AP146" si="240">INDEX($M120:$BA120,MATCH(J$132,$M$106:$BA$106,0))</f>
        <v>5.2818957554105039E-2</v>
      </c>
      <c r="K146" s="3">
        <f t="shared" si="240"/>
        <v>4.5016661085483405E-2</v>
      </c>
      <c r="L146" s="3">
        <f t="shared" si="240"/>
        <v>3.721436461686177E-2</v>
      </c>
      <c r="M146" s="3">
        <f t="shared" si="240"/>
        <v>2.9412068148240201E-2</v>
      </c>
      <c r="N146" s="3">
        <f t="shared" si="240"/>
        <v>2.9412068148240201E-2</v>
      </c>
      <c r="O146" s="3">
        <f t="shared" si="240"/>
        <v>2.9412068148240201E-2</v>
      </c>
      <c r="P146" s="3">
        <f t="shared" si="240"/>
        <v>2.9595121863944723E-2</v>
      </c>
      <c r="Q146" s="3">
        <f t="shared" si="240"/>
        <v>2.9778175579649249E-2</v>
      </c>
      <c r="R146" s="3">
        <f t="shared" si="240"/>
        <v>2.8665427088524546E-2</v>
      </c>
      <c r="S146" s="3">
        <f t="shared" si="240"/>
        <v>2.9300861049302369E-2</v>
      </c>
      <c r="T146" s="3">
        <f t="shared" si="240"/>
        <v>2.9905781448920456E-2</v>
      </c>
      <c r="U146" s="3">
        <f t="shared" si="240"/>
        <v>3.0510701848538543E-2</v>
      </c>
      <c r="V146" s="3">
        <f t="shared" si="240"/>
        <v>3.111562224815663E-2</v>
      </c>
      <c r="W146" s="3">
        <f t="shared" si="240"/>
        <v>3.1720542647774713E-2</v>
      </c>
      <c r="X146" s="3">
        <f t="shared" si="240"/>
        <v>3.2325463047392797E-2</v>
      </c>
      <c r="Y146" s="3">
        <f t="shared" si="240"/>
        <v>3.293038344701088E-2</v>
      </c>
      <c r="Z146" s="3">
        <f t="shared" si="240"/>
        <v>3.3535303846628964E-2</v>
      </c>
      <c r="AA146" s="3">
        <f t="shared" si="240"/>
        <v>3.4140224246247047E-2</v>
      </c>
      <c r="AB146" s="3">
        <f t="shared" si="240"/>
        <v>3.4745144645865138E-2</v>
      </c>
      <c r="AC146" s="3">
        <f t="shared" si="240"/>
        <v>3.5718458701325111E-2</v>
      </c>
      <c r="AD146" s="3">
        <f t="shared" si="240"/>
        <v>3.6691772756785083E-2</v>
      </c>
      <c r="AE146" s="3">
        <f t="shared" si="240"/>
        <v>3.7665086812245056E-2</v>
      </c>
      <c r="AF146" s="3">
        <f t="shared" si="240"/>
        <v>3.8638400867705029E-2</v>
      </c>
      <c r="AG146" s="3">
        <f t="shared" si="240"/>
        <v>3.9611714923165002E-2</v>
      </c>
      <c r="AH146" s="3">
        <f t="shared" si="240"/>
        <v>4.0585028978624975E-2</v>
      </c>
      <c r="AI146" s="3">
        <f t="shared" si="240"/>
        <v>4.1558343034084948E-2</v>
      </c>
      <c r="AJ146" s="3">
        <f t="shared" si="240"/>
        <v>4.2531657089544921E-2</v>
      </c>
      <c r="AK146" s="3">
        <f t="shared" si="240"/>
        <v>4.3504971145004893E-2</v>
      </c>
      <c r="AL146" s="3">
        <f t="shared" si="240"/>
        <v>4.4478285200464845E-2</v>
      </c>
      <c r="AM146" s="3">
        <f t="shared" si="240"/>
        <v>4.8317137580868884E-2</v>
      </c>
      <c r="AN146" s="3">
        <f t="shared" si="240"/>
        <v>5.2155989961272943E-2</v>
      </c>
      <c r="AO146" s="3">
        <f t="shared" si="240"/>
        <v>5.2155989961272943E-2</v>
      </c>
      <c r="AP146" s="3">
        <f t="shared" si="240"/>
        <v>5.2155989961272943E-2</v>
      </c>
    </row>
    <row r="147" spans="1:51">
      <c r="A147" s="34" t="s">
        <v>125</v>
      </c>
      <c r="B147" s="16" t="str">
        <f t="shared" si="227"/>
        <v>COM_PROJ</v>
      </c>
      <c r="C147" s="17" t="str">
        <f t="shared" si="228"/>
        <v>-</v>
      </c>
      <c r="D147" s="48" t="str">
        <f>ITEMS_TRA!C25</f>
        <v>TFRCO</v>
      </c>
      <c r="E147" s="17" t="str">
        <f t="shared" si="229"/>
        <v>-</v>
      </c>
      <c r="F147" s="17" t="str">
        <f t="shared" si="229"/>
        <v>-</v>
      </c>
      <c r="G147" s="17" t="str">
        <f t="shared" si="229"/>
        <v>-</v>
      </c>
      <c r="H147" s="17" t="str">
        <f t="shared" si="229"/>
        <v>-</v>
      </c>
      <c r="I147" s="111">
        <f t="shared" si="230"/>
        <v>0</v>
      </c>
      <c r="J147" s="3">
        <f t="shared" ref="J147:AP147" si="241">INDEX($M121:$BA121,MATCH(J$132,$M$106:$BA$106,0))</f>
        <v>22</v>
      </c>
      <c r="K147" s="3">
        <f t="shared" si="241"/>
        <v>22.394471154794282</v>
      </c>
      <c r="L147" s="3">
        <f t="shared" si="241"/>
        <v>22.788942309588563</v>
      </c>
      <c r="M147" s="3">
        <f t="shared" si="241"/>
        <v>23.183413464382845</v>
      </c>
      <c r="N147" s="3">
        <f t="shared" si="241"/>
        <v>23.396576241140881</v>
      </c>
      <c r="O147" s="3">
        <f t="shared" si="241"/>
        <v>23.609739017898917</v>
      </c>
      <c r="P147" s="3">
        <f t="shared" si="241"/>
        <v>23.756680417335971</v>
      </c>
      <c r="Q147" s="3">
        <f t="shared" si="241"/>
        <v>23.903621816773025</v>
      </c>
      <c r="R147" s="3">
        <f t="shared" si="241"/>
        <v>23.010393182336216</v>
      </c>
      <c r="S147" s="3">
        <f t="shared" si="241"/>
        <v>23.52047053906816</v>
      </c>
      <c r="T147" s="3">
        <f t="shared" si="241"/>
        <v>24.006053963178399</v>
      </c>
      <c r="U147" s="3">
        <f t="shared" si="241"/>
        <v>24.491637387288637</v>
      </c>
      <c r="V147" s="3">
        <f t="shared" si="241"/>
        <v>24.977220811398876</v>
      </c>
      <c r="W147" s="3">
        <f t="shared" si="241"/>
        <v>25.462804235509115</v>
      </c>
      <c r="X147" s="3">
        <f t="shared" si="241"/>
        <v>25.948387659619353</v>
      </c>
      <c r="Y147" s="3">
        <f t="shared" si="241"/>
        <v>26.433971083729592</v>
      </c>
      <c r="Z147" s="3">
        <f t="shared" si="241"/>
        <v>26.91955450783983</v>
      </c>
      <c r="AA147" s="3">
        <f t="shared" si="241"/>
        <v>27.405137931950069</v>
      </c>
      <c r="AB147" s="3">
        <f t="shared" si="241"/>
        <v>27.890721356060297</v>
      </c>
      <c r="AC147" s="3">
        <f t="shared" si="241"/>
        <v>28.672022783625419</v>
      </c>
      <c r="AD147" s="3">
        <f t="shared" si="241"/>
        <v>29.453324211190541</v>
      </c>
      <c r="AE147" s="3">
        <f t="shared" si="241"/>
        <v>30.234625638755663</v>
      </c>
      <c r="AF147" s="3">
        <f t="shared" si="241"/>
        <v>31.015927066320785</v>
      </c>
      <c r="AG147" s="3">
        <f t="shared" si="241"/>
        <v>31.797228493885907</v>
      </c>
      <c r="AH147" s="3">
        <f t="shared" si="241"/>
        <v>32.578529921451029</v>
      </c>
      <c r="AI147" s="3">
        <f t="shared" si="241"/>
        <v>33.359831349016147</v>
      </c>
      <c r="AJ147" s="3">
        <f t="shared" si="241"/>
        <v>34.141132776581266</v>
      </c>
      <c r="AK147" s="3">
        <f t="shared" si="241"/>
        <v>34.922434204146384</v>
      </c>
      <c r="AL147" s="3">
        <f t="shared" si="241"/>
        <v>35.703735631711503</v>
      </c>
      <c r="AM147" s="3">
        <f t="shared" si="241"/>
        <v>38.785270135601962</v>
      </c>
      <c r="AN147" s="3">
        <f t="shared" si="241"/>
        <v>41.866804639492415</v>
      </c>
      <c r="AO147" s="3">
        <f t="shared" si="241"/>
        <v>41.866804639492415</v>
      </c>
      <c r="AP147" s="3">
        <f t="shared" si="241"/>
        <v>41.866804639492415</v>
      </c>
    </row>
    <row r="148" spans="1:51">
      <c r="A148" s="34"/>
      <c r="B148" s="16" t="str">
        <f t="shared" si="227"/>
        <v>COM_PROJ</v>
      </c>
      <c r="C148" s="17" t="str">
        <f t="shared" si="228"/>
        <v>-</v>
      </c>
      <c r="D148" s="48" t="str">
        <f>ITEMS_TRA!C26</f>
        <v>TFROT</v>
      </c>
      <c r="E148" s="17" t="str">
        <f t="shared" si="229"/>
        <v>-</v>
      </c>
      <c r="F148" s="17" t="str">
        <f t="shared" si="229"/>
        <v>-</v>
      </c>
      <c r="G148" s="17" t="str">
        <f t="shared" si="229"/>
        <v>-</v>
      </c>
      <c r="H148" s="17" t="str">
        <f t="shared" si="229"/>
        <v>-</v>
      </c>
      <c r="I148" s="111">
        <f t="shared" si="230"/>
        <v>0</v>
      </c>
      <c r="J148" s="3">
        <f t="shared" ref="J148:AP148" si="242">INDEX($M122:$BA122,MATCH(J$132,$M$106:$BA$106,0))</f>
        <v>25.1</v>
      </c>
      <c r="K148" s="3">
        <f t="shared" si="242"/>
        <v>25.550055726606203</v>
      </c>
      <c r="L148" s="3">
        <f t="shared" si="242"/>
        <v>26.000111453212405</v>
      </c>
      <c r="M148" s="3">
        <f t="shared" si="242"/>
        <v>26.450167179818607</v>
      </c>
      <c r="N148" s="3">
        <f t="shared" si="242"/>
        <v>26.693366529665273</v>
      </c>
      <c r="O148" s="3">
        <f t="shared" si="242"/>
        <v>26.936565879511939</v>
      </c>
      <c r="P148" s="3">
        <f t="shared" si="242"/>
        <v>27.104212657960581</v>
      </c>
      <c r="Q148" s="3">
        <f t="shared" si="242"/>
        <v>27.271859436409219</v>
      </c>
      <c r="R148" s="3">
        <f t="shared" si="242"/>
        <v>26.252766767119954</v>
      </c>
      <c r="S148" s="3">
        <f t="shared" si="242"/>
        <v>26.834718660482309</v>
      </c>
      <c r="T148" s="3">
        <f t="shared" si="242"/>
        <v>27.388725203444444</v>
      </c>
      <c r="U148" s="3">
        <f t="shared" si="242"/>
        <v>27.942731746406579</v>
      </c>
      <c r="V148" s="3">
        <f t="shared" si="242"/>
        <v>28.496738289368714</v>
      </c>
      <c r="W148" s="3">
        <f t="shared" si="242"/>
        <v>29.050744832330849</v>
      </c>
      <c r="X148" s="3">
        <f t="shared" si="242"/>
        <v>29.604751375292985</v>
      </c>
      <c r="Y148" s="3">
        <f t="shared" si="242"/>
        <v>30.15875791825512</v>
      </c>
      <c r="Z148" s="3">
        <f t="shared" si="242"/>
        <v>30.712764461217255</v>
      </c>
      <c r="AA148" s="3">
        <f t="shared" si="242"/>
        <v>31.26677100417939</v>
      </c>
      <c r="AB148" s="3">
        <f t="shared" si="242"/>
        <v>31.820777547141518</v>
      </c>
      <c r="AC148" s="3">
        <f t="shared" si="242"/>
        <v>32.712171448590816</v>
      </c>
      <c r="AD148" s="3">
        <f t="shared" si="242"/>
        <v>33.603565350040114</v>
      </c>
      <c r="AE148" s="3">
        <f t="shared" si="242"/>
        <v>34.494959251489412</v>
      </c>
      <c r="AF148" s="3">
        <f t="shared" si="242"/>
        <v>35.38635315293871</v>
      </c>
      <c r="AG148" s="3">
        <f t="shared" si="242"/>
        <v>36.277747054388009</v>
      </c>
      <c r="AH148" s="3">
        <f t="shared" si="242"/>
        <v>37.169140955837307</v>
      </c>
      <c r="AI148" s="3">
        <f t="shared" si="242"/>
        <v>38.060534857286605</v>
      </c>
      <c r="AJ148" s="3">
        <f t="shared" si="242"/>
        <v>38.951928758735903</v>
      </c>
      <c r="AK148" s="3">
        <f t="shared" si="242"/>
        <v>39.843322660185201</v>
      </c>
      <c r="AL148" s="3">
        <f t="shared" si="242"/>
        <v>40.734716561634485</v>
      </c>
      <c r="AM148" s="3">
        <f t="shared" si="242"/>
        <v>44.25046729107315</v>
      </c>
      <c r="AN148" s="3">
        <f t="shared" si="242"/>
        <v>47.766218020511793</v>
      </c>
      <c r="AO148" s="3">
        <f t="shared" si="242"/>
        <v>47.766218020511793</v>
      </c>
      <c r="AP148" s="3">
        <f t="shared" si="242"/>
        <v>47.766218020511793</v>
      </c>
    </row>
    <row r="149" spans="1:51">
      <c r="A149" s="34"/>
      <c r="B149" s="16" t="str">
        <f t="shared" si="227"/>
        <v>COM_PROJ</v>
      </c>
      <c r="C149" s="17" t="str">
        <f t="shared" si="228"/>
        <v>-</v>
      </c>
      <c r="D149" s="48" t="str">
        <f>ITEMS_TRA!C27</f>
        <v>TFREX</v>
      </c>
      <c r="E149" s="17" t="str">
        <f t="shared" si="229"/>
        <v>-</v>
      </c>
      <c r="F149" s="17" t="str">
        <f t="shared" si="229"/>
        <v>-</v>
      </c>
      <c r="G149" s="17" t="str">
        <f t="shared" si="229"/>
        <v>-</v>
      </c>
      <c r="H149" s="17" t="str">
        <f t="shared" si="229"/>
        <v>-</v>
      </c>
      <c r="I149" s="111">
        <f t="shared" si="230"/>
        <v>0</v>
      </c>
      <c r="J149" s="3">
        <f t="shared" ref="J149:AP149" si="243">INDEX($M123:$BA123,MATCH(J$132,$M$106:$BA$106,0))</f>
        <v>82</v>
      </c>
      <c r="K149" s="3">
        <f t="shared" si="243"/>
        <v>82</v>
      </c>
      <c r="L149" s="3">
        <f t="shared" si="243"/>
        <v>82</v>
      </c>
      <c r="M149" s="3">
        <f t="shared" si="243"/>
        <v>82</v>
      </c>
      <c r="N149" s="3">
        <f t="shared" si="243"/>
        <v>82</v>
      </c>
      <c r="O149" s="3">
        <f t="shared" si="243"/>
        <v>82</v>
      </c>
      <c r="P149" s="3">
        <f t="shared" si="243"/>
        <v>84.018400836522261</v>
      </c>
      <c r="Q149" s="3">
        <f t="shared" si="243"/>
        <v>86.036801673044508</v>
      </c>
      <c r="R149" s="3">
        <f t="shared" si="243"/>
        <v>79.266714881385326</v>
      </c>
      <c r="S149" s="3">
        <f t="shared" si="243"/>
        <v>84.862097424278346</v>
      </c>
      <c r="T149" s="3">
        <f t="shared" si="243"/>
        <v>85.569361981081954</v>
      </c>
      <c r="U149" s="3">
        <f t="shared" si="243"/>
        <v>86.276626537885562</v>
      </c>
      <c r="V149" s="3">
        <f t="shared" si="243"/>
        <v>86.98389109468917</v>
      </c>
      <c r="W149" s="3">
        <f t="shared" si="243"/>
        <v>87.691155651492778</v>
      </c>
      <c r="X149" s="3">
        <f t="shared" si="243"/>
        <v>88.398420208296386</v>
      </c>
      <c r="Y149" s="3">
        <f t="shared" si="243"/>
        <v>89.105684765099994</v>
      </c>
      <c r="Z149" s="3">
        <f t="shared" si="243"/>
        <v>89.812949321903602</v>
      </c>
      <c r="AA149" s="3">
        <f t="shared" si="243"/>
        <v>90.52021387870721</v>
      </c>
      <c r="AB149" s="3">
        <f t="shared" si="243"/>
        <v>91.22747843551079</v>
      </c>
      <c r="AC149" s="3">
        <f t="shared" si="243"/>
        <v>92.287730218036216</v>
      </c>
      <c r="AD149" s="3">
        <f t="shared" si="243"/>
        <v>93.347982000561643</v>
      </c>
      <c r="AE149" s="3">
        <f t="shared" si="243"/>
        <v>94.40823378308707</v>
      </c>
      <c r="AF149" s="3">
        <f t="shared" si="243"/>
        <v>95.468485565612497</v>
      </c>
      <c r="AG149" s="3">
        <f t="shared" si="243"/>
        <v>96.528737348137923</v>
      </c>
      <c r="AH149" s="3">
        <f t="shared" si="243"/>
        <v>97.58898913066335</v>
      </c>
      <c r="AI149" s="3">
        <f t="shared" si="243"/>
        <v>98.649240913188777</v>
      </c>
      <c r="AJ149" s="3">
        <f t="shared" si="243"/>
        <v>99.709492695714204</v>
      </c>
      <c r="AK149" s="3">
        <f t="shared" si="243"/>
        <v>100.76974447823963</v>
      </c>
      <c r="AL149" s="3">
        <f t="shared" si="243"/>
        <v>101.82999626076513</v>
      </c>
      <c r="AM149" s="3">
        <f t="shared" si="243"/>
        <v>102.40704423462124</v>
      </c>
      <c r="AN149" s="3">
        <f t="shared" si="243"/>
        <v>102.98409220847734</v>
      </c>
      <c r="AO149" s="3">
        <f t="shared" si="243"/>
        <v>102.98409220847734</v>
      </c>
      <c r="AP149" s="3">
        <f t="shared" si="243"/>
        <v>102.98409220847734</v>
      </c>
    </row>
    <row r="150" spans="1:51">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row>
    <row r="151" spans="1:51">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row>
    <row r="152" spans="1:51">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row>
    <row r="153" spans="1:51">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row>
    <row r="154" spans="1:51">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row>
    <row r="155" spans="1:51">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row>
    <row r="156" spans="1:51">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row>
    <row r="157" spans="1:51">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row>
    <row r="158" spans="1:51">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row>
    <row r="159" spans="1:51">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row>
    <row r="160" spans="1:51">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row>
    <row r="161" spans="1:78">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row>
    <row r="162" spans="1:78">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row>
    <row r="163" spans="1:78">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row>
    <row r="164" spans="1:78">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row>
    <row r="165" spans="1:78">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row>
    <row r="166" spans="1:78">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row>
    <row r="167" spans="1:78">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row>
    <row r="168" spans="1:78">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row>
    <row r="169" spans="1:78">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row>
    <row r="170" spans="1:78" ht="23.25">
      <c r="A170" s="102" t="s">
        <v>16</v>
      </c>
      <c r="B170" s="106" t="s">
        <v>18</v>
      </c>
      <c r="C170" s="106" t="s">
        <v>19</v>
      </c>
      <c r="D170" s="106" t="s">
        <v>20</v>
      </c>
      <c r="E170" s="106" t="s">
        <v>21</v>
      </c>
      <c r="F170" s="106" t="s">
        <v>22</v>
      </c>
      <c r="G170" s="106" t="s">
        <v>23</v>
      </c>
      <c r="H170" s="106"/>
      <c r="I170" s="106" t="s">
        <v>24</v>
      </c>
      <c r="J170" s="107" t="s">
        <v>25</v>
      </c>
      <c r="K170">
        <v>2012</v>
      </c>
      <c r="L170">
        <v>2013</v>
      </c>
      <c r="M170">
        <v>2014</v>
      </c>
      <c r="N170">
        <v>2015</v>
      </c>
      <c r="O170">
        <v>2016</v>
      </c>
      <c r="P170">
        <v>2017</v>
      </c>
      <c r="Q170">
        <v>2018</v>
      </c>
      <c r="R170">
        <v>2019</v>
      </c>
      <c r="S170">
        <v>2020</v>
      </c>
      <c r="T170">
        <v>2021</v>
      </c>
      <c r="U170">
        <v>2022</v>
      </c>
      <c r="V170">
        <v>2023</v>
      </c>
      <c r="W170">
        <v>2024</v>
      </c>
      <c r="X170">
        <v>2025</v>
      </c>
      <c r="Y170">
        <v>2026</v>
      </c>
      <c r="Z170">
        <v>2027</v>
      </c>
      <c r="AA170">
        <v>2028</v>
      </c>
      <c r="AB170">
        <v>2029</v>
      </c>
      <c r="AC170">
        <v>2030</v>
      </c>
      <c r="AD170">
        <v>2031</v>
      </c>
      <c r="AE170">
        <v>2032</v>
      </c>
      <c r="AF170">
        <v>2033</v>
      </c>
      <c r="AG170">
        <v>2034</v>
      </c>
      <c r="AH170">
        <v>2035</v>
      </c>
      <c r="AI170">
        <v>2036</v>
      </c>
      <c r="AJ170">
        <v>2037</v>
      </c>
      <c r="AK170">
        <v>2038</v>
      </c>
      <c r="AL170">
        <v>2039</v>
      </c>
      <c r="AM170">
        <v>2040</v>
      </c>
      <c r="AN170">
        <v>2041</v>
      </c>
      <c r="AO170">
        <v>2042</v>
      </c>
      <c r="AP170">
        <v>2043</v>
      </c>
      <c r="AQ170">
        <v>2044</v>
      </c>
    </row>
    <row r="171" spans="1:78" s="103" customFormat="1">
      <c r="A171" s="102" t="s">
        <v>16</v>
      </c>
      <c r="B171" s="103" t="s">
        <v>392</v>
      </c>
      <c r="C171" s="103">
        <v>1</v>
      </c>
      <c r="D171" s="103">
        <v>2006</v>
      </c>
      <c r="E171" s="103">
        <v>2010</v>
      </c>
      <c r="F171" s="103">
        <v>2020</v>
      </c>
      <c r="G171" s="103">
        <v>2030</v>
      </c>
      <c r="I171" s="103">
        <v>2040</v>
      </c>
      <c r="J171" s="108">
        <v>2050</v>
      </c>
      <c r="K171" s="103">
        <f t="shared" ref="K171:AQ171" si="244">MATCH(J$132,$C$128:$K$128,$C171)</f>
        <v>1</v>
      </c>
      <c r="L171" s="103">
        <f t="shared" si="244"/>
        <v>1</v>
      </c>
      <c r="M171" s="103">
        <f t="shared" si="244"/>
        <v>1</v>
      </c>
      <c r="N171" s="103">
        <f t="shared" si="244"/>
        <v>2</v>
      </c>
      <c r="O171" s="103">
        <f t="shared" si="244"/>
        <v>2</v>
      </c>
      <c r="P171" s="103">
        <f t="shared" si="244"/>
        <v>3</v>
      </c>
      <c r="Q171" s="103">
        <f t="shared" si="244"/>
        <v>3</v>
      </c>
      <c r="R171" s="103">
        <f t="shared" si="244"/>
        <v>4</v>
      </c>
      <c r="S171" s="103">
        <f t="shared" si="244"/>
        <v>5</v>
      </c>
      <c r="T171" s="103">
        <f t="shared" si="244"/>
        <v>6</v>
      </c>
      <c r="U171" s="103">
        <f t="shared" si="244"/>
        <v>6</v>
      </c>
      <c r="V171" s="103">
        <f t="shared" si="244"/>
        <v>6</v>
      </c>
      <c r="W171" s="103">
        <f t="shared" si="244"/>
        <v>6</v>
      </c>
      <c r="X171" s="103">
        <f t="shared" si="244"/>
        <v>6</v>
      </c>
      <c r="Y171" s="103">
        <f t="shared" si="244"/>
        <v>6</v>
      </c>
      <c r="Z171" s="103">
        <f t="shared" si="244"/>
        <v>6</v>
      </c>
      <c r="AA171" s="103">
        <f t="shared" si="244"/>
        <v>6</v>
      </c>
      <c r="AB171" s="103">
        <f t="shared" si="244"/>
        <v>6</v>
      </c>
      <c r="AC171" s="103">
        <f t="shared" si="244"/>
        <v>7</v>
      </c>
      <c r="AD171" s="103">
        <f t="shared" si="244"/>
        <v>7</v>
      </c>
      <c r="AE171" s="103">
        <f t="shared" si="244"/>
        <v>7</v>
      </c>
      <c r="AF171" s="103">
        <f t="shared" si="244"/>
        <v>7</v>
      </c>
      <c r="AG171" s="103">
        <f t="shared" si="244"/>
        <v>7</v>
      </c>
      <c r="AH171" s="103">
        <f t="shared" si="244"/>
        <v>7</v>
      </c>
      <c r="AI171" s="103">
        <f t="shared" si="244"/>
        <v>7</v>
      </c>
      <c r="AJ171" s="103">
        <f t="shared" si="244"/>
        <v>7</v>
      </c>
      <c r="AK171" s="103">
        <f t="shared" si="244"/>
        <v>7</v>
      </c>
      <c r="AL171" s="103">
        <f t="shared" si="244"/>
        <v>7</v>
      </c>
      <c r="AM171" s="103">
        <f t="shared" si="244"/>
        <v>8</v>
      </c>
      <c r="AN171" s="103">
        <f t="shared" si="244"/>
        <v>8</v>
      </c>
      <c r="AO171" s="103">
        <f t="shared" si="244"/>
        <v>9</v>
      </c>
      <c r="AP171" s="103">
        <f t="shared" si="244"/>
        <v>9</v>
      </c>
      <c r="AQ171" s="103">
        <f t="shared" si="244"/>
        <v>9</v>
      </c>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row>
    <row r="172" spans="1:78">
      <c r="A172" s="34" t="s">
        <v>16</v>
      </c>
      <c r="B172" t="s">
        <v>393</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9" cm="1">
        <f t="array" ref="J172">INDEX($D171:$J171,0,COUNT($D171:$J171)-J173)</f>
        <v>2006</v>
      </c>
      <c r="K172" s="34">
        <f t="shared" ref="K172:AQ172" si="245">MATCH(J$132,$C$128:$K$128,$C172)</f>
        <v>1</v>
      </c>
      <c r="L172" t="e">
        <f t="shared" si="245"/>
        <v>#N/A</v>
      </c>
      <c r="M172" t="e">
        <f t="shared" si="245"/>
        <v>#N/A</v>
      </c>
      <c r="N172">
        <f t="shared" si="245"/>
        <v>2</v>
      </c>
      <c r="O172" t="e">
        <f t="shared" si="245"/>
        <v>#N/A</v>
      </c>
      <c r="P172">
        <f t="shared" si="245"/>
        <v>3</v>
      </c>
      <c r="Q172" t="e">
        <f t="shared" si="245"/>
        <v>#N/A</v>
      </c>
      <c r="R172">
        <f t="shared" si="245"/>
        <v>4</v>
      </c>
      <c r="S172">
        <f t="shared" si="245"/>
        <v>5</v>
      </c>
      <c r="T172">
        <f t="shared" si="245"/>
        <v>6</v>
      </c>
      <c r="U172" t="e">
        <f t="shared" si="245"/>
        <v>#N/A</v>
      </c>
      <c r="V172" t="e">
        <f t="shared" si="245"/>
        <v>#N/A</v>
      </c>
      <c r="W172" t="e">
        <f t="shared" si="245"/>
        <v>#N/A</v>
      </c>
      <c r="X172" t="e">
        <f t="shared" si="245"/>
        <v>#N/A</v>
      </c>
      <c r="Y172" t="e">
        <f t="shared" si="245"/>
        <v>#N/A</v>
      </c>
      <c r="Z172" t="e">
        <f t="shared" si="245"/>
        <v>#N/A</v>
      </c>
      <c r="AA172" t="e">
        <f t="shared" si="245"/>
        <v>#N/A</v>
      </c>
      <c r="AB172" t="e">
        <f t="shared" si="245"/>
        <v>#N/A</v>
      </c>
      <c r="AC172">
        <f t="shared" si="245"/>
        <v>7</v>
      </c>
      <c r="AD172" t="e">
        <f t="shared" si="245"/>
        <v>#N/A</v>
      </c>
      <c r="AE172" t="e">
        <f t="shared" si="245"/>
        <v>#N/A</v>
      </c>
      <c r="AF172" t="e">
        <f t="shared" si="245"/>
        <v>#N/A</v>
      </c>
      <c r="AG172" t="e">
        <f t="shared" si="245"/>
        <v>#N/A</v>
      </c>
      <c r="AH172" t="e">
        <f t="shared" si="245"/>
        <v>#N/A</v>
      </c>
      <c r="AI172" t="e">
        <f t="shared" si="245"/>
        <v>#N/A</v>
      </c>
      <c r="AJ172" t="e">
        <f t="shared" si="245"/>
        <v>#N/A</v>
      </c>
      <c r="AK172" t="e">
        <f t="shared" si="245"/>
        <v>#N/A</v>
      </c>
      <c r="AL172" t="e">
        <f t="shared" si="245"/>
        <v>#N/A</v>
      </c>
      <c r="AM172">
        <f t="shared" si="245"/>
        <v>8</v>
      </c>
      <c r="AN172" t="e">
        <f t="shared" si="245"/>
        <v>#N/A</v>
      </c>
      <c r="AO172">
        <f t="shared" si="245"/>
        <v>9</v>
      </c>
      <c r="AP172" t="e">
        <f t="shared" si="245"/>
        <v>#N/A</v>
      </c>
      <c r="AQ172" t="e">
        <f t="shared" si="245"/>
        <v>#N/A</v>
      </c>
    </row>
    <row r="173" spans="1:78">
      <c r="A173" s="34" t="s">
        <v>16</v>
      </c>
      <c r="B173" t="s">
        <v>391</v>
      </c>
      <c r="C173">
        <v>-1</v>
      </c>
      <c r="D173">
        <v>0</v>
      </c>
      <c r="E173">
        <v>1</v>
      </c>
      <c r="F173">
        <v>2</v>
      </c>
      <c r="G173">
        <v>3</v>
      </c>
      <c r="I173">
        <v>4</v>
      </c>
      <c r="J173">
        <v>5</v>
      </c>
      <c r="K173" s="34">
        <f t="shared" ref="K173:AQ173" si="246">MATCH(J$132,$C$129:$K$129,$C173)</f>
        <v>9</v>
      </c>
      <c r="L173">
        <f t="shared" si="246"/>
        <v>8</v>
      </c>
      <c r="M173">
        <f t="shared" si="246"/>
        <v>8</v>
      </c>
      <c r="N173">
        <f t="shared" si="246"/>
        <v>8</v>
      </c>
      <c r="O173">
        <f t="shared" si="246"/>
        <v>7</v>
      </c>
      <c r="P173">
        <f t="shared" si="246"/>
        <v>7</v>
      </c>
      <c r="Q173">
        <f t="shared" si="246"/>
        <v>6</v>
      </c>
      <c r="R173">
        <f t="shared" si="246"/>
        <v>6</v>
      </c>
      <c r="S173">
        <f t="shared" si="246"/>
        <v>5</v>
      </c>
      <c r="T173">
        <f t="shared" si="246"/>
        <v>4</v>
      </c>
      <c r="U173">
        <f t="shared" si="246"/>
        <v>3</v>
      </c>
      <c r="V173">
        <f t="shared" si="246"/>
        <v>3</v>
      </c>
      <c r="W173">
        <f t="shared" si="246"/>
        <v>3</v>
      </c>
      <c r="X173">
        <f t="shared" si="246"/>
        <v>3</v>
      </c>
      <c r="Y173">
        <f t="shared" si="246"/>
        <v>3</v>
      </c>
      <c r="Z173">
        <f t="shared" si="246"/>
        <v>3</v>
      </c>
      <c r="AA173">
        <f t="shared" si="246"/>
        <v>3</v>
      </c>
      <c r="AB173">
        <f t="shared" si="246"/>
        <v>3</v>
      </c>
      <c r="AC173">
        <f t="shared" si="246"/>
        <v>3</v>
      </c>
      <c r="AD173">
        <f t="shared" si="246"/>
        <v>2</v>
      </c>
      <c r="AE173">
        <f t="shared" si="246"/>
        <v>2</v>
      </c>
      <c r="AF173">
        <f t="shared" si="246"/>
        <v>2</v>
      </c>
      <c r="AG173">
        <f t="shared" si="246"/>
        <v>2</v>
      </c>
      <c r="AH173">
        <f t="shared" si="246"/>
        <v>2</v>
      </c>
      <c r="AI173">
        <f t="shared" si="246"/>
        <v>2</v>
      </c>
      <c r="AJ173">
        <f t="shared" si="246"/>
        <v>2</v>
      </c>
      <c r="AK173">
        <f t="shared" si="246"/>
        <v>2</v>
      </c>
      <c r="AL173">
        <f t="shared" si="246"/>
        <v>2</v>
      </c>
      <c r="AM173">
        <f t="shared" si="246"/>
        <v>2</v>
      </c>
      <c r="AN173">
        <f t="shared" si="246"/>
        <v>1</v>
      </c>
      <c r="AO173">
        <f t="shared" si="246"/>
        <v>1</v>
      </c>
      <c r="AP173" t="e">
        <f t="shared" si="246"/>
        <v>#N/A</v>
      </c>
      <c r="AQ173" t="e">
        <f t="shared" si="246"/>
        <v>#N/A</v>
      </c>
    </row>
    <row r="174" spans="1:78" s="105" customFormat="1">
      <c r="A174" s="34" t="s">
        <v>16</v>
      </c>
      <c r="B174" t="s">
        <v>394</v>
      </c>
      <c r="C174"/>
      <c r="D174"/>
      <c r="E174"/>
      <c r="F174"/>
      <c r="G174"/>
      <c r="H174"/>
      <c r="I174"/>
      <c r="J174" s="110"/>
      <c r="K174" s="71">
        <f>IF(ISNA(K171),-1,IF(ISNA(K173),99,IF(ISNA(K172),K171,0)))</f>
        <v>0</v>
      </c>
      <c r="L174" s="71">
        <f t="shared" ref="L174:AQ174" si="247">IF(ISNA(L171),-1,IF(ISNA(L173),99,IF(ISNA(L172),L171,0)))</f>
        <v>1</v>
      </c>
      <c r="M174" s="71">
        <f t="shared" si="247"/>
        <v>1</v>
      </c>
      <c r="N174" s="71">
        <f t="shared" si="247"/>
        <v>0</v>
      </c>
      <c r="O174" s="71">
        <f t="shared" si="247"/>
        <v>2</v>
      </c>
      <c r="P174" s="71">
        <f t="shared" si="247"/>
        <v>0</v>
      </c>
      <c r="Q174" s="71">
        <f t="shared" si="247"/>
        <v>3</v>
      </c>
      <c r="R174" s="71">
        <f t="shared" si="247"/>
        <v>0</v>
      </c>
      <c r="S174" s="71">
        <f t="shared" si="247"/>
        <v>0</v>
      </c>
      <c r="T174" s="71">
        <f t="shared" si="247"/>
        <v>0</v>
      </c>
      <c r="U174" s="71">
        <f t="shared" si="247"/>
        <v>6</v>
      </c>
      <c r="V174" s="71">
        <f t="shared" si="247"/>
        <v>6</v>
      </c>
      <c r="W174" s="71">
        <f t="shared" si="247"/>
        <v>6</v>
      </c>
      <c r="X174" s="71">
        <f t="shared" si="247"/>
        <v>6</v>
      </c>
      <c r="Y174" s="71">
        <f t="shared" si="247"/>
        <v>6</v>
      </c>
      <c r="Z174" s="71">
        <f t="shared" si="247"/>
        <v>6</v>
      </c>
      <c r="AA174" s="71">
        <f t="shared" si="247"/>
        <v>6</v>
      </c>
      <c r="AB174" s="71">
        <f t="shared" si="247"/>
        <v>6</v>
      </c>
      <c r="AC174" s="71">
        <f t="shared" si="247"/>
        <v>0</v>
      </c>
      <c r="AD174" s="71">
        <f t="shared" si="247"/>
        <v>7</v>
      </c>
      <c r="AE174" s="71">
        <f t="shared" si="247"/>
        <v>7</v>
      </c>
      <c r="AF174" s="71">
        <f t="shared" si="247"/>
        <v>7</v>
      </c>
      <c r="AG174" s="71">
        <f t="shared" si="247"/>
        <v>7</v>
      </c>
      <c r="AH174" s="71">
        <f t="shared" si="247"/>
        <v>7</v>
      </c>
      <c r="AI174" s="71">
        <f t="shared" si="247"/>
        <v>7</v>
      </c>
      <c r="AJ174" s="71">
        <f t="shared" si="247"/>
        <v>7</v>
      </c>
      <c r="AK174" s="71">
        <f t="shared" si="247"/>
        <v>7</v>
      </c>
      <c r="AL174" s="71">
        <f t="shared" si="247"/>
        <v>7</v>
      </c>
      <c r="AM174" s="71">
        <f t="shared" si="247"/>
        <v>0</v>
      </c>
      <c r="AN174" s="71">
        <f t="shared" si="247"/>
        <v>8</v>
      </c>
      <c r="AO174" s="71">
        <f t="shared" si="247"/>
        <v>0</v>
      </c>
      <c r="AP174" s="71">
        <f t="shared" si="247"/>
        <v>99</v>
      </c>
      <c r="AQ174" s="71">
        <f t="shared" si="247"/>
        <v>99</v>
      </c>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row>
    <row r="175" spans="1:78">
      <c r="A175" t="s">
        <v>16</v>
      </c>
      <c r="B175" s="16" t="str">
        <f t="shared" ref="B175:B184" si="248">IF(A175="*","","COM_PROJ")</f>
        <v/>
      </c>
      <c r="C175" s="17" t="str">
        <f t="shared" ref="C175:C184" si="249">IF($A175="*","","-")</f>
        <v/>
      </c>
      <c r="D175" s="48"/>
      <c r="E175" s="17" t="str">
        <f t="shared" ref="E175:I184" si="250">IF($A175="*","","-")</f>
        <v/>
      </c>
      <c r="F175" s="17" t="str">
        <f t="shared" si="250"/>
        <v/>
      </c>
      <c r="G175" s="17" t="str">
        <f t="shared" si="250"/>
        <v/>
      </c>
      <c r="H175" s="17"/>
      <c r="I175" s="17" t="str">
        <f t="shared" si="250"/>
        <v/>
      </c>
      <c r="K175" s="17">
        <f>K170</f>
        <v>2012</v>
      </c>
      <c r="L175" s="17">
        <f t="shared" ref="L175:AQ175" si="251">L170</f>
        <v>2013</v>
      </c>
      <c r="M175" s="17">
        <f t="shared" si="251"/>
        <v>2014</v>
      </c>
      <c r="N175" s="17">
        <f t="shared" si="251"/>
        <v>2015</v>
      </c>
      <c r="O175" s="17">
        <f t="shared" si="251"/>
        <v>2016</v>
      </c>
      <c r="P175" s="17">
        <f t="shared" si="251"/>
        <v>2017</v>
      </c>
      <c r="Q175" s="17">
        <f t="shared" si="251"/>
        <v>2018</v>
      </c>
      <c r="R175" s="17">
        <f t="shared" si="251"/>
        <v>2019</v>
      </c>
      <c r="S175" s="17">
        <f t="shared" si="251"/>
        <v>2020</v>
      </c>
      <c r="T175" s="17">
        <f t="shared" si="251"/>
        <v>2021</v>
      </c>
      <c r="U175" s="17">
        <f t="shared" si="251"/>
        <v>2022</v>
      </c>
      <c r="V175" s="17">
        <f t="shared" si="251"/>
        <v>2023</v>
      </c>
      <c r="W175" s="17">
        <f t="shared" si="251"/>
        <v>2024</v>
      </c>
      <c r="X175" s="17">
        <f t="shared" si="251"/>
        <v>2025</v>
      </c>
      <c r="Y175" s="17">
        <f t="shared" si="251"/>
        <v>2026</v>
      </c>
      <c r="Z175" s="17">
        <f t="shared" si="251"/>
        <v>2027</v>
      </c>
      <c r="AA175" s="17">
        <f t="shared" si="251"/>
        <v>2028</v>
      </c>
      <c r="AB175" s="17">
        <f t="shared" si="251"/>
        <v>2029</v>
      </c>
      <c r="AC175" s="17">
        <f t="shared" si="251"/>
        <v>2030</v>
      </c>
      <c r="AD175" s="17">
        <f t="shared" si="251"/>
        <v>2031</v>
      </c>
      <c r="AE175" s="17">
        <f t="shared" si="251"/>
        <v>2032</v>
      </c>
      <c r="AF175" s="17">
        <f t="shared" si="251"/>
        <v>2033</v>
      </c>
      <c r="AG175" s="17">
        <f t="shared" si="251"/>
        <v>2034</v>
      </c>
      <c r="AH175" s="17">
        <f t="shared" si="251"/>
        <v>2035</v>
      </c>
      <c r="AI175" s="17">
        <f t="shared" si="251"/>
        <v>2036</v>
      </c>
      <c r="AJ175" s="17">
        <f t="shared" si="251"/>
        <v>2037</v>
      </c>
      <c r="AK175" s="17">
        <f t="shared" si="251"/>
        <v>2038</v>
      </c>
      <c r="AL175" s="17">
        <f t="shared" si="251"/>
        <v>2039</v>
      </c>
      <c r="AM175" s="17">
        <f t="shared" si="251"/>
        <v>2040</v>
      </c>
      <c r="AN175" s="17">
        <f t="shared" si="251"/>
        <v>2041</v>
      </c>
      <c r="AO175" s="17">
        <f t="shared" si="251"/>
        <v>2042</v>
      </c>
      <c r="AP175" s="17">
        <f t="shared" si="251"/>
        <v>2043</v>
      </c>
      <c r="AQ175" s="17">
        <f t="shared" si="251"/>
        <v>2044</v>
      </c>
    </row>
    <row r="176" spans="1:78">
      <c r="A176" t="s">
        <v>16</v>
      </c>
      <c r="B176" s="16" t="str">
        <f t="shared" si="248"/>
        <v/>
      </c>
      <c r="C176" s="17" t="str">
        <f t="shared" si="249"/>
        <v/>
      </c>
      <c r="D176" s="48"/>
      <c r="E176" s="17" t="str">
        <f t="shared" si="250"/>
        <v/>
      </c>
      <c r="F176" s="17" t="str">
        <f t="shared" si="250"/>
        <v/>
      </c>
      <c r="G176" s="17" t="str">
        <f t="shared" si="250"/>
        <v/>
      </c>
      <c r="H176" s="17"/>
      <c r="I176" s="17" t="str">
        <f t="shared" si="250"/>
        <v/>
      </c>
      <c r="J176" s="119" t="str">
        <f t="shared" ref="J176:J188" si="252">B76</f>
        <v>TFLCV</v>
      </c>
      <c r="K176" s="3">
        <f>F43</f>
        <v>17.310372778407704</v>
      </c>
      <c r="L176" s="3" cm="1">
        <f t="array" ref="L176">IF(L$174=-1,M176,IF(L$174=99,K176,IF(L$174=0,INDEX($F43:$N43,0,L$172),(INDEX($F43:$N43,0,L$174+1)-INDEX($F43:$N43,0,L$174))/(INDEX($F$4:$N$4,0,L$174+1)-INDEX($F$4:$N$4,0,L$174))+K176)))</f>
        <v>17.580501485645549</v>
      </c>
      <c r="M176" s="3" cm="1">
        <f t="array" ref="M176">IF(M$174=-1,N176,IF(M$174=99,L176,IF(M$174=0,INDEX($F43:$N43,0,M$172),(INDEX($F43:$N43,0,M$174+1)-INDEX($F43:$N43,0,M$174))/(INDEX($F$4:$N$4,0,M$174+1)-INDEX($F$4:$N$4,0,M$174))+L176)))</f>
        <v>17.850630192883393</v>
      </c>
      <c r="N176" s="3" cm="1">
        <f t="array" ref="N176">IF(N$174=-1,O176,IF(N$174=99,M176,IF(N$174=0,INDEX($F43:$N43,0,N$172),(INDEX($F43:$N43,0,N$174+1)-INDEX($F43:$N43,0,N$174))/(INDEX($F$4:$N$4,0,N$174+1)-INDEX($F$4:$N$4,0,N$174))+M176)))</f>
        <v>18.120758900121242</v>
      </c>
      <c r="O176" s="3" cm="1">
        <f t="array" ref="O176">IF(O$174=-1,P176,IF(O$174=99,N176,IF(O$174=0,INDEX($F43:$N43,0,O$172),(INDEX($F43:$N43,0,O$174+1)-INDEX($F43:$N43,0,O$174))/(INDEX($F$4:$N$4,0,O$174+1)-INDEX($F$4:$N$4,0,O$174))+N176)))</f>
        <v>18.525951960978013</v>
      </c>
      <c r="P176" s="3" cm="1">
        <f t="array" ref="P176">IF(P$174=-1,Q176,IF(P$174=99,O176,IF(P$174=0,INDEX($F43:$N43,0,P$172),(INDEX($F43:$N43,0,P$174+1)-INDEX($F43:$N43,0,P$174))/(INDEX($F$4:$N$4,0,P$174+1)-INDEX($F$4:$N$4,0,P$174))+O176)))</f>
        <v>18.931145021834784</v>
      </c>
      <c r="Q176" s="3" cm="1">
        <f t="array" ref="Q176">IF(Q$174=-1,R176,IF(Q$174=99,P176,IF(Q$174=0,INDEX($F43:$N43,0,Q$172),(INDEX($F43:$N43,0,Q$174+1)-INDEX($F43:$N43,0,Q$174))/(INDEX($F$4:$N$4,0,Q$174+1)-INDEX($F$4:$N$4,0,Q$174))+P176)))</f>
        <v>19.048967965169538</v>
      </c>
      <c r="R176" s="3" cm="1">
        <f t="array" ref="R176">IF(R$174=-1,S176,IF(R$174=99,Q176,IF(R$174=0,INDEX($F43:$N43,0,R$172),(INDEX($F43:$N43,0,R$174+1)-INDEX($F43:$N43,0,R$174))/(INDEX($F$4:$N$4,0,R$174+1)-INDEX($F$4:$N$4,0,R$174))+Q176)))</f>
        <v>19.166790908504293</v>
      </c>
      <c r="S176" s="3" cm="1">
        <f t="array" ref="S176">IF(S$174=-1,T176,IF(S$174=99,R176,IF(S$174=0,INDEX($F43:$N43,0,S$172),(INDEX($F43:$N43,0,S$174+1)-INDEX($F43:$N43,0,S$174))/(INDEX($F$4:$N$4,0,S$174+1)-INDEX($F$4:$N$4,0,S$174))+R176)))</f>
        <v>17.985521747895376</v>
      </c>
      <c r="T176" s="3" cm="1">
        <f t="array" ref="T176">IF(T$174=-1,U176,IF(T$174=99,S176,IF(T$174=0,INDEX($F43:$N43,0,T$172),(INDEX($F43:$N43,0,T$174+1)-INDEX($F43:$N43,0,T$174))/(INDEX($F$4:$N$4,0,T$174+1)-INDEX($F$4:$N$4,0,T$174))+S176)))</f>
        <v>18.85956631792186</v>
      </c>
      <c r="U176" s="3" cm="1">
        <f t="array" ref="U176">IF(U$174=-1,V176,IF(U$174=99,T176,IF(U$174=0,INDEX($F43:$N43,0,U$172),(INDEX($F43:$N43,0,U$174+1)-INDEX($F43:$N43,0,U$174))/(INDEX($F$4:$N$4,0,U$174+1)-INDEX($F$4:$N$4,0,U$174))+T176)))</f>
        <v>19.186293746185434</v>
      </c>
      <c r="V176" s="3" cm="1">
        <f t="array" ref="V176">IF(V$174=-1,W176,IF(V$174=99,U176,IF(V$174=0,INDEX($F43:$N43,0,V$172),(INDEX($F43:$N43,0,V$174+1)-INDEX($F43:$N43,0,V$174))/(INDEX($F$4:$N$4,0,V$174+1)-INDEX($F$4:$N$4,0,V$174))+U176)))</f>
        <v>19.513021174449008</v>
      </c>
      <c r="W176" s="3" cm="1">
        <f t="array" ref="W176">IF(W$174=-1,X176,IF(W$174=99,V176,IF(W$174=0,INDEX($F43:$N43,0,W$172),(INDEX($F43:$N43,0,W$174+1)-INDEX($F43:$N43,0,W$174))/(INDEX($F$4:$N$4,0,W$174+1)-INDEX($F$4:$N$4,0,W$174))+V176)))</f>
        <v>19.839748602712582</v>
      </c>
      <c r="X176" s="3" cm="1">
        <f t="array" ref="X176">IF(X$174=-1,Y176,IF(X$174=99,W176,IF(X$174=0,INDEX($F43:$N43,0,X$172),(INDEX($F43:$N43,0,X$174+1)-INDEX($F43:$N43,0,X$174))/(INDEX($F$4:$N$4,0,X$174+1)-INDEX($F$4:$N$4,0,X$174))+W176)))</f>
        <v>20.166476030976156</v>
      </c>
      <c r="Y176" s="3" cm="1">
        <f t="array" ref="Y176">IF(Y$174=-1,Z176,IF(Y$174=99,X176,IF(Y$174=0,INDEX($F43:$N43,0,Y$172),(INDEX($F43:$N43,0,Y$174+1)-INDEX($F43:$N43,0,Y$174))/(INDEX($F$4:$N$4,0,Y$174+1)-INDEX($F$4:$N$4,0,Y$174))+X176)))</f>
        <v>20.49320345923973</v>
      </c>
      <c r="Z176" s="3" cm="1">
        <f t="array" ref="Z176">IF(Z$174=-1,AA176,IF(Z$174=99,Y176,IF(Z$174=0,INDEX($F43:$N43,0,Z$172),(INDEX($F43:$N43,0,Z$174+1)-INDEX($F43:$N43,0,Z$174))/(INDEX($F$4:$N$4,0,Z$174+1)-INDEX($F$4:$N$4,0,Z$174))+Y176)))</f>
        <v>20.819930887503304</v>
      </c>
      <c r="AA176" s="3" cm="1">
        <f t="array" ref="AA176">IF(AA$174=-1,AB176,IF(AA$174=99,Z176,IF(AA$174=0,INDEX($F43:$N43,0,AA$172),(INDEX($F43:$N43,0,AA$174+1)-INDEX($F43:$N43,0,AA$174))/(INDEX($F$4:$N$4,0,AA$174+1)-INDEX($F$4:$N$4,0,AA$174))+Z176)))</f>
        <v>21.146658315766878</v>
      </c>
      <c r="AB176" s="3" cm="1">
        <f t="array" ref="AB176">IF(AB$174=-1,AC176,IF(AB$174=99,AA176,IF(AB$174=0,INDEX($F43:$N43,0,AB$172),(INDEX($F43:$N43,0,AB$174+1)-INDEX($F43:$N43,0,AB$174))/(INDEX($F$4:$N$4,0,AB$174+1)-INDEX($F$4:$N$4,0,AB$174))+AA176)))</f>
        <v>21.473385744030452</v>
      </c>
      <c r="AC176" s="3" cm="1">
        <f t="array" ref="AC176">IF(AC$174=-1,AD176,IF(AC$174=99,AB176,IF(AC$174=0,INDEX($F43:$N43,0,AC$172),(INDEX($F43:$N43,0,AC$174+1)-INDEX($F43:$N43,0,AC$174))/(INDEX($F$4:$N$4,0,AC$174+1)-INDEX($F$4:$N$4,0,AC$174))+AB176)))</f>
        <v>21.800113172294029</v>
      </c>
      <c r="AD176" s="3" cm="1">
        <f t="array" ref="AD176">IF(AD$174=-1,AE176,IF(AD$174=99,AC176,IF(AD$174=0,INDEX($F43:$N43,0,AD$172),(INDEX($F43:$N43,0,AD$174+1)-INDEX($F43:$N43,0,AD$174))/(INDEX($F$4:$N$4,0,AD$174+1)-INDEX($F$4:$N$4,0,AD$174))+AC176)))</f>
        <v>22.410798687564633</v>
      </c>
      <c r="AE176" s="3" cm="1">
        <f t="array" ref="AE176">IF(AE$174=-1,AF176,IF(AE$174=99,AD176,IF(AE$174=0,INDEX($F43:$N43,0,AE$172),(INDEX($F43:$N43,0,AE$174+1)-INDEX($F43:$N43,0,AE$174))/(INDEX($F$4:$N$4,0,AE$174+1)-INDEX($F$4:$N$4,0,AE$174))+AD176)))</f>
        <v>23.021484202835236</v>
      </c>
      <c r="AF176" s="3" cm="1">
        <f t="array" ref="AF176">IF(AF$174=-1,AG176,IF(AF$174=99,AE176,IF(AF$174=0,INDEX($F43:$N43,0,AF$172),(INDEX($F43:$N43,0,AF$174+1)-INDEX($F43:$N43,0,AF$174))/(INDEX($F$4:$N$4,0,AF$174+1)-INDEX($F$4:$N$4,0,AF$174))+AE176)))</f>
        <v>23.632169718105839</v>
      </c>
      <c r="AG176" s="3" cm="1">
        <f t="array" ref="AG176">IF(AG$174=-1,AH176,IF(AG$174=99,AF176,IF(AG$174=0,INDEX($F43:$N43,0,AG$172),(INDEX($F43:$N43,0,AG$174+1)-INDEX($F43:$N43,0,AG$174))/(INDEX($F$4:$N$4,0,AG$174+1)-INDEX($F$4:$N$4,0,AG$174))+AF176)))</f>
        <v>24.242855233376442</v>
      </c>
      <c r="AH176" s="3" cm="1">
        <f t="array" ref="AH176">IF(AH$174=-1,AI176,IF(AH$174=99,AG176,IF(AH$174=0,INDEX($F43:$N43,0,AH$172),(INDEX($F43:$N43,0,AH$174+1)-INDEX($F43:$N43,0,AH$174))/(INDEX($F$4:$N$4,0,AH$174+1)-INDEX($F$4:$N$4,0,AH$174))+AG176)))</f>
        <v>24.853540748647045</v>
      </c>
      <c r="AI176" s="3" cm="1">
        <f t="array" ref="AI176">IF(AI$174=-1,AJ176,IF(AI$174=99,AH176,IF(AI$174=0,INDEX($F43:$N43,0,AI$172),(INDEX($F43:$N43,0,AI$174+1)-INDEX($F43:$N43,0,AI$174))/(INDEX($F$4:$N$4,0,AI$174+1)-INDEX($F$4:$N$4,0,AI$174))+AH176)))</f>
        <v>25.464226263917649</v>
      </c>
      <c r="AJ176" s="3" cm="1">
        <f t="array" ref="AJ176">IF(AJ$174=-1,AK176,IF(AJ$174=99,AI176,IF(AJ$174=0,INDEX($F43:$N43,0,AJ$172),(INDEX($F43:$N43,0,AJ$174+1)-INDEX($F43:$N43,0,AJ$174))/(INDEX($F$4:$N$4,0,AJ$174+1)-INDEX($F$4:$N$4,0,AJ$174))+AI176)))</f>
        <v>26.074911779188252</v>
      </c>
      <c r="AK176" s="3" cm="1">
        <f t="array" ref="AK176">IF(AK$174=-1,AL176,IF(AK$174=99,AJ176,IF(AK$174=0,INDEX($F43:$N43,0,AK$172),(INDEX($F43:$N43,0,AK$174+1)-INDEX($F43:$N43,0,AK$174))/(INDEX($F$4:$N$4,0,AK$174+1)-INDEX($F$4:$N$4,0,AK$174))+AJ176)))</f>
        <v>26.685597294458855</v>
      </c>
      <c r="AL176" s="3" cm="1">
        <f t="array" ref="AL176">IF(AL$174=-1,AM176,IF(AL$174=99,AK176,IF(AL$174=0,INDEX($F43:$N43,0,AL$172),(INDEX($F43:$N43,0,AL$174+1)-INDEX($F43:$N43,0,AL$174))/(INDEX($F$4:$N$4,0,AL$174+1)-INDEX($F$4:$N$4,0,AL$174))+AK176)))</f>
        <v>27.296282809729458</v>
      </c>
      <c r="AM176" s="3" cm="1">
        <f t="array" ref="AM176">IF(AM$174=-1,AN176,IF(AM$174=99,AL176,IF(AM$174=0,INDEX($F43:$N43,0,AM$172),(INDEX($F43:$N43,0,AM$174+1)-INDEX($F43:$N43,0,AM$174))/(INDEX($F$4:$N$4,0,AM$174+1)-INDEX($F$4:$N$4,0,AM$174))+AL176)))</f>
        <v>27.906968325000069</v>
      </c>
      <c r="AN176" s="3" cm="1">
        <f t="array" ref="AN176">IF(AN$174=-1,AO176,IF(AN$174=99,AM176,IF(AN$174=0,INDEX($F43:$N43,0,AN$172),(INDEX($F43:$N43,0,AN$174+1)-INDEX($F43:$N43,0,AN$174))/(INDEX($F$4:$N$4,0,AN$174+1)-INDEX($F$4:$N$4,0,AN$174))+AM176)))</f>
        <v>28.388689827083368</v>
      </c>
      <c r="AO176" s="3" cm="1">
        <f t="array" ref="AO176">IF(AO$174=-1,AP176,IF(AO$174=99,AN176,IF(AO$174=0,INDEX($F43:$N43,0,AO$172),(INDEX($F43:$N43,0,AO$174+1)-INDEX($F43:$N43,0,AO$174))/(INDEX($F$4:$N$4,0,AO$174+1)-INDEX($F$4:$N$4,0,AO$174))+AN176)))</f>
        <v>32.724183345833076</v>
      </c>
      <c r="AP176" s="3" cm="1">
        <f t="array" ref="AP176">IF(AP$174=-1,AQ176,IF(AP$174=99,AO176,IF(AP$174=0,INDEX($F43:$N43,0,AP$172),(INDEX($F43:$N43,0,AP$174+1)-INDEX($F43:$N43,0,AP$174))/(INDEX($F$4:$N$4,0,AP$174+1)-INDEX($F$4:$N$4,0,AP$174))+AO176)))</f>
        <v>32.724183345833076</v>
      </c>
      <c r="AQ176" s="3" cm="1">
        <f t="array" ref="AQ176">IF(AQ$174=-1,AR176,IF(AQ$174=99,AP176,IF(AQ$174=0,INDEX($F43:$N43,0,AQ$172),(INDEX($F43:$N43,0,AQ$174+1)-INDEX($F43:$N43,0,AQ$174))/(INDEX($F$4:$N$4,0,AQ$174+1)-INDEX($F$4:$N$4,0,AQ$174))+AP176)))</f>
        <v>32.724183345833076</v>
      </c>
    </row>
    <row r="177" spans="1:57">
      <c r="A177" t="s">
        <v>16</v>
      </c>
      <c r="B177" s="16" t="str">
        <f t="shared" si="248"/>
        <v/>
      </c>
      <c r="C177" s="17" t="str">
        <f t="shared" si="249"/>
        <v/>
      </c>
      <c r="D177" s="48"/>
      <c r="E177" s="17" t="str">
        <f t="shared" si="250"/>
        <v/>
      </c>
      <c r="F177" s="17" t="str">
        <f t="shared" si="250"/>
        <v/>
      </c>
      <c r="G177" s="17" t="str">
        <f t="shared" si="250"/>
        <v/>
      </c>
      <c r="H177" s="17"/>
      <c r="I177" s="17" t="str">
        <f t="shared" si="250"/>
        <v/>
      </c>
      <c r="J177" s="119" t="str">
        <f t="shared" si="252"/>
        <v>TFHCV1</v>
      </c>
      <c r="K177" s="3">
        <f>F46</f>
        <v>5.4335092951131081</v>
      </c>
      <c r="L177" s="3" cm="1">
        <f t="array" ref="L177">IF(L$174=-1,M177,IF(L$174=99,K177,IF(L$174=0,INDEX($F46:$N46,0,L$172),(INDEX($F46:$N46,0,L$174+1)-INDEX($F46:$N46,0,L$174))/(INDEX($F$4:$N$4,0,L$174+1)-INDEX($F$4:$N$4,0,L$174))+K177)))</f>
        <v>5.5309348717598681</v>
      </c>
      <c r="M177" s="3" cm="1">
        <f t="array" ref="M177">IF(M$174=-1,N177,IF(M$174=99,L177,IF(M$174=0,INDEX($F46:$N46,0,M$172),(INDEX($F46:$N46,0,M$174+1)-INDEX($F46:$N46,0,M$174))/(INDEX($F$4:$N$4,0,M$174+1)-INDEX($F$4:$N$4,0,M$174))+L177)))</f>
        <v>5.6283604484066281</v>
      </c>
      <c r="N177" s="3" cm="1">
        <f t="array" ref="N177">IF(N$174=-1,O177,IF(N$174=99,M177,IF(N$174=0,INDEX($F46:$N46,0,N$172),(INDEX($F46:$N46,0,N$174+1)-INDEX($F46:$N46,0,N$174))/(INDEX($F$4:$N$4,0,N$174+1)-INDEX($F$4:$N$4,0,N$174))+M177)))</f>
        <v>5.725786025053389</v>
      </c>
      <c r="O177" s="3" cm="1">
        <f t="array" ref="O177">IF(O$174=-1,P177,IF(O$174=99,N177,IF(O$174=0,INDEX($F46:$N46,0,O$172),(INDEX($F46:$N46,0,O$174+1)-INDEX($F46:$N46,0,O$174))/(INDEX($F$4:$N$4,0,O$174+1)-INDEX($F$4:$N$4,0,O$174))+N177)))</f>
        <v>5.7784324763664294</v>
      </c>
      <c r="P177" s="3" cm="1">
        <f t="array" ref="P177">IF(P$174=-1,Q177,IF(P$174=99,O177,IF(P$174=0,INDEX($F46:$N46,0,P$172),(INDEX($F46:$N46,0,P$174+1)-INDEX($F46:$N46,0,P$174))/(INDEX($F$4:$N$4,0,P$174+1)-INDEX($F$4:$N$4,0,P$174))+O177)))</f>
        <v>5.8310789276794708</v>
      </c>
      <c r="Q177" s="3" cm="1">
        <f t="array" ref="Q177">IF(Q$174=-1,R177,IF(Q$174=99,P177,IF(Q$174=0,INDEX($F46:$N46,0,Q$172),(INDEX($F46:$N46,0,Q$174+1)-INDEX($F46:$N46,0,Q$174))/(INDEX($F$4:$N$4,0,Q$174+1)-INDEX($F$4:$N$4,0,Q$174))+P177)))</f>
        <v>5.867370175846661</v>
      </c>
      <c r="R177" s="3" cm="1">
        <f t="array" ref="R177">IF(R$174=-1,S177,IF(R$174=99,Q177,IF(R$174=0,INDEX($F46:$N46,0,R$172),(INDEX($F46:$N46,0,R$174+1)-INDEX($F46:$N46,0,R$174))/(INDEX($F$4:$N$4,0,R$174+1)-INDEX($F$4:$N$4,0,R$174))+Q177)))</f>
        <v>5.9036614240138503</v>
      </c>
      <c r="S177" s="3" cm="1">
        <f t="array" ref="S177">IF(S$174=-1,T177,IF(S$174=99,R177,IF(S$174=0,INDEX($F46:$N46,0,S$172),(INDEX($F46:$N46,0,S$174+1)-INDEX($F46:$N46,0,S$174))/(INDEX($F$4:$N$4,0,S$174+1)-INDEX($F$4:$N$4,0,S$174))+R177)))</f>
        <v>5.6830538745650507</v>
      </c>
      <c r="T177" s="3" cm="1">
        <f t="array" ref="T177">IF(T$174=-1,U177,IF(T$174=99,S177,IF(T$174=0,INDEX($F46:$N46,0,T$172),(INDEX($F46:$N46,0,T$174+1)-INDEX($F46:$N46,0,T$174))/(INDEX($F$4:$N$4,0,T$174+1)-INDEX($F$4:$N$4,0,T$174))+S177)))</f>
        <v>5.809031604520948</v>
      </c>
      <c r="U177" s="3" cm="1">
        <f t="array" ref="U177">IF(U$174=-1,V177,IF(U$174=99,T177,IF(U$174=0,INDEX($F46:$N46,0,U$172),(INDEX($F46:$N46,0,U$174+1)-INDEX($F46:$N46,0,U$174))/(INDEX($F$4:$N$4,0,U$174+1)-INDEX($F$4:$N$4,0,U$174))+T177)))</f>
        <v>5.9289598794507583</v>
      </c>
      <c r="V177" s="3" cm="1">
        <f t="array" ref="V177">IF(V$174=-1,W177,IF(V$174=99,U177,IF(V$174=0,INDEX($F46:$N46,0,V$172),(INDEX($F46:$N46,0,V$174+1)-INDEX($F46:$N46,0,V$174))/(INDEX($F$4:$N$4,0,V$174+1)-INDEX($F$4:$N$4,0,V$174))+U177)))</f>
        <v>6.0488881543805686</v>
      </c>
      <c r="W177" s="3" cm="1">
        <f t="array" ref="W177">IF(W$174=-1,X177,IF(W$174=99,V177,IF(W$174=0,INDEX($F46:$N46,0,W$172),(INDEX($F46:$N46,0,W$174+1)-INDEX($F46:$N46,0,W$174))/(INDEX($F$4:$N$4,0,W$174+1)-INDEX($F$4:$N$4,0,W$174))+V177)))</f>
        <v>6.1688164293103789</v>
      </c>
      <c r="X177" s="3" cm="1">
        <f t="array" ref="X177">IF(X$174=-1,Y177,IF(X$174=99,W177,IF(X$174=0,INDEX($F46:$N46,0,X$172),(INDEX($F46:$N46,0,X$174+1)-INDEX($F46:$N46,0,X$174))/(INDEX($F$4:$N$4,0,X$174+1)-INDEX($F$4:$N$4,0,X$174))+W177)))</f>
        <v>6.2887447042401892</v>
      </c>
      <c r="Y177" s="3" cm="1">
        <f t="array" ref="Y177">IF(Y$174=-1,Z177,IF(Y$174=99,X177,IF(Y$174=0,INDEX($F46:$N46,0,Y$172),(INDEX($F46:$N46,0,Y$174+1)-INDEX($F46:$N46,0,Y$174))/(INDEX($F$4:$N$4,0,Y$174+1)-INDEX($F$4:$N$4,0,Y$174))+X177)))</f>
        <v>6.4086729791699995</v>
      </c>
      <c r="Z177" s="3" cm="1">
        <f t="array" ref="Z177">IF(Z$174=-1,AA177,IF(Z$174=99,Y177,IF(Z$174=0,INDEX($F46:$N46,0,Z$172),(INDEX($F46:$N46,0,Z$174+1)-INDEX($F46:$N46,0,Z$174))/(INDEX($F$4:$N$4,0,Z$174+1)-INDEX($F$4:$N$4,0,Z$174))+Y177)))</f>
        <v>6.5286012540998097</v>
      </c>
      <c r="AA177" s="3" cm="1">
        <f t="array" ref="AA177">IF(AA$174=-1,AB177,IF(AA$174=99,Z177,IF(AA$174=0,INDEX($F46:$N46,0,AA$172),(INDEX($F46:$N46,0,AA$174+1)-INDEX($F46:$N46,0,AA$174))/(INDEX($F$4:$N$4,0,AA$174+1)-INDEX($F$4:$N$4,0,AA$174))+Z177)))</f>
        <v>6.64852952902962</v>
      </c>
      <c r="AB177" s="3" cm="1">
        <f t="array" ref="AB177">IF(AB$174=-1,AC177,IF(AB$174=99,AA177,IF(AB$174=0,INDEX($F46:$N46,0,AB$172),(INDEX($F46:$N46,0,AB$174+1)-INDEX($F46:$N46,0,AB$174))/(INDEX($F$4:$N$4,0,AB$174+1)-INDEX($F$4:$N$4,0,AB$174))+AA177)))</f>
        <v>6.7684578039594303</v>
      </c>
      <c r="AC177" s="3" cm="1">
        <f t="array" ref="AC177">IF(AC$174=-1,AD177,IF(AC$174=99,AB177,IF(AC$174=0,INDEX($F46:$N46,0,AC$172),(INDEX($F46:$N46,0,AC$174+1)-INDEX($F46:$N46,0,AC$174))/(INDEX($F$4:$N$4,0,AC$174+1)-INDEX($F$4:$N$4,0,AC$174))+AB177)))</f>
        <v>6.8883860788892406</v>
      </c>
      <c r="AD177" s="3" cm="1">
        <f t="array" ref="AD177">IF(AD$174=-1,AE177,IF(AD$174=99,AC177,IF(AD$174=0,INDEX($F46:$N46,0,AD$172),(INDEX($F46:$N46,0,AD$174+1)-INDEX($F46:$N46,0,AD$174))/(INDEX($F$4:$N$4,0,AD$174+1)-INDEX($F$4:$N$4,0,AD$174))+AC177)))</f>
        <v>7.0813501047510687</v>
      </c>
      <c r="AE177" s="3" cm="1">
        <f t="array" ref="AE177">IF(AE$174=-1,AF177,IF(AE$174=99,AD177,IF(AE$174=0,INDEX($F46:$N46,0,AE$172),(INDEX($F46:$N46,0,AE$174+1)-INDEX($F46:$N46,0,AE$174))/(INDEX($F$4:$N$4,0,AE$174+1)-INDEX($F$4:$N$4,0,AE$174))+AD177)))</f>
        <v>7.2743141306128969</v>
      </c>
      <c r="AF177" s="3" cm="1">
        <f t="array" ref="AF177">IF(AF$174=-1,AG177,IF(AF$174=99,AE177,IF(AF$174=0,INDEX($F46:$N46,0,AF$172),(INDEX($F46:$N46,0,AF$174+1)-INDEX($F46:$N46,0,AF$174))/(INDEX($F$4:$N$4,0,AF$174+1)-INDEX($F$4:$N$4,0,AF$174))+AE177)))</f>
        <v>7.467278156474725</v>
      </c>
      <c r="AG177" s="3" cm="1">
        <f t="array" ref="AG177">IF(AG$174=-1,AH177,IF(AG$174=99,AF177,IF(AG$174=0,INDEX($F46:$N46,0,AG$172),(INDEX($F46:$N46,0,AG$174+1)-INDEX($F46:$N46,0,AG$174))/(INDEX($F$4:$N$4,0,AG$174+1)-INDEX($F$4:$N$4,0,AG$174))+AF177)))</f>
        <v>7.6602421823365532</v>
      </c>
      <c r="AH177" s="3" cm="1">
        <f t="array" ref="AH177">IF(AH$174=-1,AI177,IF(AH$174=99,AG177,IF(AH$174=0,INDEX($F46:$N46,0,AH$172),(INDEX($F46:$N46,0,AH$174+1)-INDEX($F46:$N46,0,AH$174))/(INDEX($F$4:$N$4,0,AH$174+1)-INDEX($F$4:$N$4,0,AH$174))+AG177)))</f>
        <v>7.8532062081983813</v>
      </c>
      <c r="AI177" s="3" cm="1">
        <f t="array" ref="AI177">IF(AI$174=-1,AJ177,IF(AI$174=99,AH177,IF(AI$174=0,INDEX($F46:$N46,0,AI$172),(INDEX($F46:$N46,0,AI$174+1)-INDEX($F46:$N46,0,AI$174))/(INDEX($F$4:$N$4,0,AI$174+1)-INDEX($F$4:$N$4,0,AI$174))+AH177)))</f>
        <v>8.0461702340602095</v>
      </c>
      <c r="AJ177" s="3" cm="1">
        <f t="array" ref="AJ177">IF(AJ$174=-1,AK177,IF(AJ$174=99,AI177,IF(AJ$174=0,INDEX($F46:$N46,0,AJ$172),(INDEX($F46:$N46,0,AJ$174+1)-INDEX($F46:$N46,0,AJ$174))/(INDEX($F$4:$N$4,0,AJ$174+1)-INDEX($F$4:$N$4,0,AJ$174))+AI177)))</f>
        <v>8.2391342599220376</v>
      </c>
      <c r="AK177" s="3" cm="1">
        <f t="array" ref="AK177">IF(AK$174=-1,AL177,IF(AK$174=99,AJ177,IF(AK$174=0,INDEX($F46:$N46,0,AK$172),(INDEX($F46:$N46,0,AK$174+1)-INDEX($F46:$N46,0,AK$174))/(INDEX($F$4:$N$4,0,AK$174+1)-INDEX($F$4:$N$4,0,AK$174))+AJ177)))</f>
        <v>8.4320982857838658</v>
      </c>
      <c r="AL177" s="3" cm="1">
        <f t="array" ref="AL177">IF(AL$174=-1,AM177,IF(AL$174=99,AK177,IF(AL$174=0,INDEX($F46:$N46,0,AL$172),(INDEX($F46:$N46,0,AL$174+1)-INDEX($F46:$N46,0,AL$174))/(INDEX($F$4:$N$4,0,AL$174+1)-INDEX($F$4:$N$4,0,AL$174))+AK177)))</f>
        <v>8.6250623116456939</v>
      </c>
      <c r="AM177" s="3" cm="1">
        <f t="array" ref="AM177">IF(AM$174=-1,AN177,IF(AM$174=99,AL177,IF(AM$174=0,INDEX($F46:$N46,0,AM$172),(INDEX($F46:$N46,0,AM$174+1)-INDEX($F46:$N46,0,AM$174))/(INDEX($F$4:$N$4,0,AM$174+1)-INDEX($F$4:$N$4,0,AM$174))+AL177)))</f>
        <v>8.8180263375075238</v>
      </c>
      <c r="AN177" s="3" cm="1">
        <f t="array" ref="AN177">IF(AN$174=-1,AO177,IF(AN$174=99,AM177,IF(AN$174=0,INDEX($F46:$N46,0,AN$172),(INDEX($F46:$N46,0,AN$174+1)-INDEX($F46:$N46,0,AN$174))/(INDEX($F$4:$N$4,0,AN$174+1)-INDEX($F$4:$N$4,0,AN$174))+AM177)))</f>
        <v>8.9702403954175285</v>
      </c>
      <c r="AO177" s="3" cm="1">
        <f t="array" ref="AO177">IF(AO$174=-1,AP177,IF(AO$174=99,AN177,IF(AO$174=0,INDEX($F46:$N46,0,AO$172),(INDEX($F46:$N46,0,AO$174+1)-INDEX($F46:$N46,0,AO$174))/(INDEX($F$4:$N$4,0,AO$174+1)-INDEX($F$4:$N$4,0,AO$174))+AN177)))</f>
        <v>10.340166916607572</v>
      </c>
      <c r="AP177" s="3" cm="1">
        <f t="array" ref="AP177">IF(AP$174=-1,AQ177,IF(AP$174=99,AO177,IF(AP$174=0,INDEX($F46:$N46,0,AP$172),(INDEX($F46:$N46,0,AP$174+1)-INDEX($F46:$N46,0,AP$174))/(INDEX($F$4:$N$4,0,AP$174+1)-INDEX($F$4:$N$4,0,AP$174))+AO177)))</f>
        <v>10.340166916607572</v>
      </c>
      <c r="AQ177" s="3" cm="1">
        <f t="array" ref="AQ177">IF(AQ$174=-1,AR177,IF(AQ$174=99,AP177,IF(AQ$174=0,INDEX($F46:$N46,0,AQ$172),(INDEX($F46:$N46,0,AQ$174+1)-INDEX($F46:$N46,0,AQ$174))/(INDEX($F$4:$N$4,0,AQ$174+1)-INDEX($F$4:$N$4,0,AQ$174))+AP177)))</f>
        <v>10.340166916607572</v>
      </c>
      <c r="AZ177" s="3"/>
      <c r="BA177" s="3"/>
      <c r="BB177" s="3"/>
      <c r="BC177" s="3"/>
      <c r="BD177" s="3"/>
      <c r="BE177" s="3"/>
    </row>
    <row r="178" spans="1:57">
      <c r="A178" t="s">
        <v>16</v>
      </c>
      <c r="B178" s="16" t="str">
        <f t="shared" si="248"/>
        <v/>
      </c>
      <c r="C178" s="17" t="str">
        <f t="shared" si="249"/>
        <v/>
      </c>
      <c r="D178" s="48"/>
      <c r="E178" s="17" t="str">
        <f t="shared" si="250"/>
        <v/>
      </c>
      <c r="F178" s="17" t="str">
        <f t="shared" si="250"/>
        <v/>
      </c>
      <c r="G178" s="17" t="str">
        <f t="shared" si="250"/>
        <v/>
      </c>
      <c r="H178" s="17"/>
      <c r="I178" s="17" t="str">
        <f t="shared" si="250"/>
        <v/>
      </c>
      <c r="J178" s="119" t="str">
        <f t="shared" si="252"/>
        <v>TFHCV2</v>
      </c>
      <c r="K178" s="3">
        <f t="shared" ref="K178:K185" si="253">F51</f>
        <v>2.2763173637182028</v>
      </c>
      <c r="L178" s="3" cm="1">
        <f t="array" ref="L178">IF(L$174=-1,M178,IF(L$174=99,K178,IF(L$174=0,INDEX($F51:$N51,0,L$172),(INDEX($F51:$N51,0,L$174+1)-INDEX($F51:$N51,0,L$174))/(INDEX($F$4:$N$4,0,L$174+1)-INDEX($F$4:$N$4,0,L$174))+K178)))</f>
        <v>2.3171328882247568</v>
      </c>
      <c r="M178" s="3" cm="1">
        <f t="array" ref="M178">IF(M$174=-1,N178,IF(M$174=99,L178,IF(M$174=0,INDEX($F51:$N51,0,M$172),(INDEX($F51:$N51,0,M$174+1)-INDEX($F51:$N51,0,M$174))/(INDEX($F$4:$N$4,0,M$174+1)-INDEX($F$4:$N$4,0,M$174))+L178)))</f>
        <v>2.3579484127313108</v>
      </c>
      <c r="N178" s="3" cm="1">
        <f t="array" ref="N178">IF(N$174=-1,O178,IF(N$174=99,M178,IF(N$174=0,INDEX($F51:$N51,0,N$172),(INDEX($F51:$N51,0,N$174+1)-INDEX($F51:$N51,0,N$174))/(INDEX($F$4:$N$4,0,N$174+1)-INDEX($F$4:$N$4,0,N$174))+M178)))</f>
        <v>2.3987639372378653</v>
      </c>
      <c r="O178" s="3" cm="1">
        <f t="array" ref="O178">IF(O$174=-1,P178,IF(O$174=99,N178,IF(O$174=0,INDEX($F51:$N51,0,O$172),(INDEX($F51:$N51,0,O$174+1)-INDEX($F51:$N51,0,O$174))/(INDEX($F$4:$N$4,0,O$174+1)-INDEX($F$4:$N$4,0,O$174))+N178)))</f>
        <v>2.42081967042117</v>
      </c>
      <c r="P178" s="3" cm="1">
        <f t="array" ref="P178">IF(P$174=-1,Q178,IF(P$174=99,O178,IF(P$174=0,INDEX($F51:$N51,0,P$172),(INDEX($F51:$N51,0,P$174+1)-INDEX($F51:$N51,0,P$174))/(INDEX($F$4:$N$4,0,P$174+1)-INDEX($F$4:$N$4,0,P$174))+O178)))</f>
        <v>2.4428754036044746</v>
      </c>
      <c r="Q178" s="3" cm="1">
        <f t="array" ref="Q178">IF(Q$174=-1,R178,IF(Q$174=99,P178,IF(Q$174=0,INDEX($F51:$N51,0,Q$172),(INDEX($F51:$N51,0,Q$174+1)-INDEX($F51:$N51,0,Q$174))/(INDEX($F$4:$N$4,0,Q$174+1)-INDEX($F$4:$N$4,0,Q$174))+P178)))</f>
        <v>2.4580792790130026</v>
      </c>
      <c r="R178" s="3" cm="1">
        <f t="array" ref="R178">IF(R$174=-1,S178,IF(R$174=99,Q178,IF(R$174=0,INDEX($F51:$N51,0,R$172),(INDEX($F51:$N51,0,R$174+1)-INDEX($F51:$N51,0,R$174))/(INDEX($F$4:$N$4,0,R$174+1)-INDEX($F$4:$N$4,0,R$174))+Q178)))</f>
        <v>2.473283154421531</v>
      </c>
      <c r="S178" s="3" cm="1">
        <f t="array" ref="S178">IF(S$174=-1,T178,IF(S$174=99,R178,IF(S$174=0,INDEX($F51:$N51,0,S$172),(INDEX($F51:$N51,0,S$174+1)-INDEX($F51:$N51,0,S$174))/(INDEX($F$4:$N$4,0,S$174+1)-INDEX($F$4:$N$4,0,S$174))+R178)))</f>
        <v>2.380861706678858</v>
      </c>
      <c r="T178" s="3" cm="1">
        <f t="array" ref="T178">IF(T$174=-1,U178,IF(T$174=99,S178,IF(T$174=0,INDEX($F51:$N51,0,T$172),(INDEX($F51:$N51,0,T$174+1)-INDEX($F51:$N51,0,T$174))/(INDEX($F$4:$N$4,0,T$174+1)-INDEX($F$4:$N$4,0,T$174))+S178)))</f>
        <v>2.433638885950149</v>
      </c>
      <c r="U178" s="3" cm="1">
        <f t="array" ref="U178">IF(U$174=-1,V178,IF(U$174=99,T178,IF(U$174=0,INDEX($F51:$N51,0,U$172),(INDEX($F51:$N51,0,U$174+1)-INDEX($F51:$N51,0,U$174))/(INDEX($F$4:$N$4,0,U$174+1)-INDEX($F$4:$N$4,0,U$174))+T178)))</f>
        <v>2.4838817032154159</v>
      </c>
      <c r="V178" s="3" cm="1">
        <f t="array" ref="V178">IF(V$174=-1,W178,IF(V$174=99,U178,IF(V$174=0,INDEX($F51:$N51,0,V$172),(INDEX($F51:$N51,0,V$174+1)-INDEX($F51:$N51,0,V$174))/(INDEX($F$4:$N$4,0,V$174+1)-INDEX($F$4:$N$4,0,V$174))+U178)))</f>
        <v>2.5341245204806828</v>
      </c>
      <c r="W178" s="3" cm="1">
        <f t="array" ref="W178">IF(W$174=-1,X178,IF(W$174=99,V178,IF(W$174=0,INDEX($F51:$N51,0,W$172),(INDEX($F51:$N51,0,W$174+1)-INDEX($F51:$N51,0,W$174))/(INDEX($F$4:$N$4,0,W$174+1)-INDEX($F$4:$N$4,0,W$174))+V178)))</f>
        <v>2.5843673377459497</v>
      </c>
      <c r="X178" s="3" cm="1">
        <f t="array" ref="X178">IF(X$174=-1,Y178,IF(X$174=99,W178,IF(X$174=0,INDEX($F51:$N51,0,X$172),(INDEX($F51:$N51,0,X$174+1)-INDEX($F51:$N51,0,X$174))/(INDEX($F$4:$N$4,0,X$174+1)-INDEX($F$4:$N$4,0,X$174))+W178)))</f>
        <v>2.6346101550112166</v>
      </c>
      <c r="Y178" s="3" cm="1">
        <f t="array" ref="Y178">IF(Y$174=-1,Z178,IF(Y$174=99,X178,IF(Y$174=0,INDEX($F51:$N51,0,Y$172),(INDEX($F51:$N51,0,Y$174+1)-INDEX($F51:$N51,0,Y$174))/(INDEX($F$4:$N$4,0,Y$174+1)-INDEX($F$4:$N$4,0,Y$174))+X178)))</f>
        <v>2.6848529722764836</v>
      </c>
      <c r="Z178" s="3" cm="1">
        <f t="array" ref="Z178">IF(Z$174=-1,AA178,IF(Z$174=99,Y178,IF(Z$174=0,INDEX($F51:$N51,0,Z$172),(INDEX($F51:$N51,0,Z$174+1)-INDEX($F51:$N51,0,Z$174))/(INDEX($F$4:$N$4,0,Z$174+1)-INDEX($F$4:$N$4,0,Z$174))+Y178)))</f>
        <v>2.7350957895417505</v>
      </c>
      <c r="AA178" s="3" cm="1">
        <f t="array" ref="AA178">IF(AA$174=-1,AB178,IF(AA$174=99,Z178,IF(AA$174=0,INDEX($F51:$N51,0,AA$172),(INDEX($F51:$N51,0,AA$174+1)-INDEX($F51:$N51,0,AA$174))/(INDEX($F$4:$N$4,0,AA$174+1)-INDEX($F$4:$N$4,0,AA$174))+Z178)))</f>
        <v>2.7853386068070174</v>
      </c>
      <c r="AB178" s="3" cm="1">
        <f t="array" ref="AB178">IF(AB$174=-1,AC178,IF(AB$174=99,AA178,IF(AB$174=0,INDEX($F51:$N51,0,AB$172),(INDEX($F51:$N51,0,AB$174+1)-INDEX($F51:$N51,0,AB$174))/(INDEX($F$4:$N$4,0,AB$174+1)-INDEX($F$4:$N$4,0,AB$174))+AA178)))</f>
        <v>2.8355814240722843</v>
      </c>
      <c r="AC178" s="3" cm="1">
        <f t="array" ref="AC178">IF(AC$174=-1,AD178,IF(AC$174=99,AB178,IF(AC$174=0,INDEX($F51:$N51,0,AC$172),(INDEX($F51:$N51,0,AC$174+1)-INDEX($F51:$N51,0,AC$174))/(INDEX($F$4:$N$4,0,AC$174+1)-INDEX($F$4:$N$4,0,AC$174))+AB178)))</f>
        <v>2.8858242413375517</v>
      </c>
      <c r="AD178" s="3" cm="1">
        <f t="array" ref="AD178">IF(AD$174=-1,AE178,IF(AD$174=99,AC178,IF(AD$174=0,INDEX($F51:$N51,0,AD$172),(INDEX($F51:$N51,0,AD$174+1)-INDEX($F51:$N51,0,AD$174))/(INDEX($F$4:$N$4,0,AD$174+1)-INDEX($F$4:$N$4,0,AD$174))+AC178)))</f>
        <v>2.9666646961495653</v>
      </c>
      <c r="AE178" s="3" cm="1">
        <f t="array" ref="AE178">IF(AE$174=-1,AF178,IF(AE$174=99,AD178,IF(AE$174=0,INDEX($F51:$N51,0,AE$172),(INDEX($F51:$N51,0,AE$174+1)-INDEX($F51:$N51,0,AE$174))/(INDEX($F$4:$N$4,0,AE$174+1)-INDEX($F$4:$N$4,0,AE$174))+AD178)))</f>
        <v>3.0475051509615789</v>
      </c>
      <c r="AF178" s="3" cm="1">
        <f t="array" ref="AF178">IF(AF$174=-1,AG178,IF(AF$174=99,AE178,IF(AF$174=0,INDEX($F51:$N51,0,AF$172),(INDEX($F51:$N51,0,AF$174+1)-INDEX($F51:$N51,0,AF$174))/(INDEX($F$4:$N$4,0,AF$174+1)-INDEX($F$4:$N$4,0,AF$174))+AE178)))</f>
        <v>3.1283456057735926</v>
      </c>
      <c r="AG178" s="3" cm="1">
        <f t="array" ref="AG178">IF(AG$174=-1,AH178,IF(AG$174=99,AF178,IF(AG$174=0,INDEX($F51:$N51,0,AG$172),(INDEX($F51:$N51,0,AG$174+1)-INDEX($F51:$N51,0,AG$174))/(INDEX($F$4:$N$4,0,AG$174+1)-INDEX($F$4:$N$4,0,AG$174))+AF178)))</f>
        <v>3.2091860605856062</v>
      </c>
      <c r="AH178" s="3" cm="1">
        <f t="array" ref="AH178">IF(AH$174=-1,AI178,IF(AH$174=99,AG178,IF(AH$174=0,INDEX($F51:$N51,0,AH$172),(INDEX($F51:$N51,0,AH$174+1)-INDEX($F51:$N51,0,AH$174))/(INDEX($F$4:$N$4,0,AH$174+1)-INDEX($F$4:$N$4,0,AH$174))+AG178)))</f>
        <v>3.2900265153976198</v>
      </c>
      <c r="AI178" s="3" cm="1">
        <f t="array" ref="AI178">IF(AI$174=-1,AJ178,IF(AI$174=99,AH178,IF(AI$174=0,INDEX($F51:$N51,0,AI$172),(INDEX($F51:$N51,0,AI$174+1)-INDEX($F51:$N51,0,AI$174))/(INDEX($F$4:$N$4,0,AI$174+1)-INDEX($F$4:$N$4,0,AI$174))+AH178)))</f>
        <v>3.3708669702096334</v>
      </c>
      <c r="AJ178" s="3" cm="1">
        <f t="array" ref="AJ178">IF(AJ$174=-1,AK178,IF(AJ$174=99,AI178,IF(AJ$174=0,INDEX($F51:$N51,0,AJ$172),(INDEX($F51:$N51,0,AJ$174+1)-INDEX($F51:$N51,0,AJ$174))/(INDEX($F$4:$N$4,0,AJ$174+1)-INDEX($F$4:$N$4,0,AJ$174))+AI178)))</f>
        <v>3.4517074250216471</v>
      </c>
      <c r="AK178" s="3" cm="1">
        <f t="array" ref="AK178">IF(AK$174=-1,AL178,IF(AK$174=99,AJ178,IF(AK$174=0,INDEX($F51:$N51,0,AK$172),(INDEX($F51:$N51,0,AK$174+1)-INDEX($F51:$N51,0,AK$174))/(INDEX($F$4:$N$4,0,AK$174+1)-INDEX($F$4:$N$4,0,AK$174))+AJ178)))</f>
        <v>3.5325478798336607</v>
      </c>
      <c r="AL178" s="3" cm="1">
        <f t="array" ref="AL178">IF(AL$174=-1,AM178,IF(AL$174=99,AK178,IF(AL$174=0,INDEX($F51:$N51,0,AL$172),(INDEX($F51:$N51,0,AL$174+1)-INDEX($F51:$N51,0,AL$174))/(INDEX($F$4:$N$4,0,AL$174+1)-INDEX($F$4:$N$4,0,AL$174))+AK178)))</f>
        <v>3.6133883346456743</v>
      </c>
      <c r="AM178" s="3" cm="1">
        <f t="array" ref="AM178">IF(AM$174=-1,AN178,IF(AM$174=99,AL178,IF(AM$174=0,INDEX($F51:$N51,0,AM$172),(INDEX($F51:$N51,0,AM$174+1)-INDEX($F51:$N51,0,AM$174))/(INDEX($F$4:$N$4,0,AM$174+1)-INDEX($F$4:$N$4,0,AM$174))+AL178)))</f>
        <v>3.6942287894576897</v>
      </c>
      <c r="AN178" s="3" cm="1">
        <f t="array" ref="AN178">IF(AN$174=-1,AO178,IF(AN$174=99,AM178,IF(AN$174=0,INDEX($F51:$N51,0,AN$172),(INDEX($F51:$N51,0,AN$174+1)-INDEX($F51:$N51,0,AN$174))/(INDEX($F$4:$N$4,0,AN$174+1)-INDEX($F$4:$N$4,0,AN$174))+AM178)))</f>
        <v>3.7579974303495316</v>
      </c>
      <c r="AO178" s="3" cm="1">
        <f t="array" ref="AO178">IF(AO$174=-1,AP178,IF(AO$174=99,AN178,IF(AO$174=0,INDEX($F51:$N51,0,AO$172),(INDEX($F51:$N51,0,AO$174+1)-INDEX($F51:$N51,0,AO$174))/(INDEX($F$4:$N$4,0,AO$174+1)-INDEX($F$4:$N$4,0,AO$174))+AN178)))</f>
        <v>4.3319151983761079</v>
      </c>
      <c r="AP178" s="3" cm="1">
        <f t="array" ref="AP178">IF(AP$174=-1,AQ178,IF(AP$174=99,AO178,IF(AP$174=0,INDEX($F51:$N51,0,AP$172),(INDEX($F51:$N51,0,AP$174+1)-INDEX($F51:$N51,0,AP$174))/(INDEX($F$4:$N$4,0,AP$174+1)-INDEX($F$4:$N$4,0,AP$174))+AO178)))</f>
        <v>4.3319151983761079</v>
      </c>
      <c r="AQ178" s="3" cm="1">
        <f t="array" ref="AQ178">IF(AQ$174=-1,AR178,IF(AQ$174=99,AP178,IF(AQ$174=0,INDEX($F51:$N51,0,AQ$172),(INDEX($F51:$N51,0,AQ$174+1)-INDEX($F51:$N51,0,AQ$174))/(INDEX($F$4:$N$4,0,AQ$174+1)-INDEX($F$4:$N$4,0,AQ$174))+AP178)))</f>
        <v>4.3319151983761079</v>
      </c>
      <c r="AZ178" s="3"/>
      <c r="BA178" s="3"/>
      <c r="BB178" s="3"/>
      <c r="BC178" s="3"/>
      <c r="BD178" s="3"/>
      <c r="BE178" s="3"/>
    </row>
    <row r="179" spans="1:57">
      <c r="A179" t="s">
        <v>16</v>
      </c>
      <c r="B179" s="16" t="str">
        <f t="shared" si="248"/>
        <v/>
      </c>
      <c r="C179" s="17" t="str">
        <f t="shared" si="249"/>
        <v/>
      </c>
      <c r="D179" s="48"/>
      <c r="E179" s="17" t="str">
        <f t="shared" si="250"/>
        <v/>
      </c>
      <c r="F179" s="17" t="str">
        <f t="shared" si="250"/>
        <v/>
      </c>
      <c r="G179" s="17" t="str">
        <f t="shared" si="250"/>
        <v/>
      </c>
      <c r="H179" s="17"/>
      <c r="I179" s="17" t="str">
        <f t="shared" si="250"/>
        <v/>
      </c>
      <c r="J179" s="119" t="str">
        <f t="shared" si="252"/>
        <v>TFHCV3</v>
      </c>
      <c r="K179" s="3">
        <f t="shared" si="253"/>
        <v>15.233523986729871</v>
      </c>
      <c r="L179" s="3" cm="1">
        <f t="array" ref="L179">IF(L$174=-1,M179,IF(L$174=99,K179,IF(L$174=0,INDEX($F52:$N52,0,L$172),(INDEX($F52:$N52,0,L$174+1)-INDEX($F52:$N52,0,L$174))/(INDEX($F$4:$N$4,0,L$174+1)-INDEX($F$4:$N$4,0,L$174))+K179)))</f>
        <v>15.506668795758584</v>
      </c>
      <c r="M179" s="3" cm="1">
        <f t="array" ref="M179">IF(M$174=-1,N179,IF(M$174=99,L179,IF(M$174=0,INDEX($F52:$N52,0,M$172),(INDEX($F52:$N52,0,M$174+1)-INDEX($F52:$N52,0,M$174))/(INDEX($F$4:$N$4,0,M$174+1)-INDEX($F$4:$N$4,0,M$174))+L179)))</f>
        <v>15.779813604787297</v>
      </c>
      <c r="N179" s="3" cm="1">
        <f t="array" ref="N179">IF(N$174=-1,O179,IF(N$174=99,M179,IF(N$174=0,INDEX($F52:$N52,0,N$172),(INDEX($F52:$N52,0,N$174+1)-INDEX($F52:$N52,0,N$174))/(INDEX($F$4:$N$4,0,N$174+1)-INDEX($F$4:$N$4,0,N$174))+M179)))</f>
        <v>16.052958413816011</v>
      </c>
      <c r="O179" s="3" cm="1">
        <f t="array" ref="O179">IF(O$174=-1,P179,IF(O$174=99,N179,IF(O$174=0,INDEX($F52:$N52,0,O$172),(INDEX($F52:$N52,0,O$174+1)-INDEX($F52:$N52,0,O$174))/(INDEX($F$4:$N$4,0,O$174+1)-INDEX($F$4:$N$4,0,O$174))+N179)))</f>
        <v>16.200559335307894</v>
      </c>
      <c r="P179" s="3" cm="1">
        <f t="array" ref="P179">IF(P$174=-1,Q179,IF(P$174=99,O179,IF(P$174=0,INDEX($F52:$N52,0,P$172),(INDEX($F52:$N52,0,P$174+1)-INDEX($F52:$N52,0,P$174))/(INDEX($F$4:$N$4,0,P$174+1)-INDEX($F$4:$N$4,0,P$174))+O179)))</f>
        <v>16.34816025679978</v>
      </c>
      <c r="Q179" s="3" cm="1">
        <f t="array" ref="Q179">IF(Q$174=-1,R179,IF(Q$174=99,P179,IF(Q$174=0,INDEX($F52:$N52,0,Q$172),(INDEX($F52:$N52,0,Q$174+1)-INDEX($F52:$N52,0,Q$174))/(INDEX($F$4:$N$4,0,Q$174+1)-INDEX($F$4:$N$4,0,Q$174))+P179)))</f>
        <v>16.449907317389236</v>
      </c>
      <c r="R179" s="3" cm="1">
        <f t="array" ref="R179">IF(R$174=-1,S179,IF(R$174=99,Q179,IF(R$174=0,INDEX($F52:$N52,0,R$172),(INDEX($F52:$N52,0,R$174+1)-INDEX($F52:$N52,0,R$174))/(INDEX($F$4:$N$4,0,R$174+1)-INDEX($F$4:$N$4,0,R$174))+Q179)))</f>
        <v>16.551654377978693</v>
      </c>
      <c r="S179" s="3" cm="1">
        <f t="array" ref="S179">IF(S$174=-1,T179,IF(S$174=99,R179,IF(S$174=0,INDEX($F52:$N52,0,S$172),(INDEX($F52:$N52,0,S$174+1)-INDEX($F52:$N52,0,S$174))/(INDEX($F$4:$N$4,0,S$174+1)-INDEX($F$4:$N$4,0,S$174))+R179)))</f>
        <v>15.933153476691098</v>
      </c>
      <c r="T179" s="3" cm="1">
        <f t="array" ref="T179">IF(T$174=-1,U179,IF(T$174=99,S179,IF(T$174=0,INDEX($F52:$N52,0,T$172),(INDEX($F52:$N52,0,T$174+1)-INDEX($F52:$N52,0,T$174))/(INDEX($F$4:$N$4,0,T$174+1)-INDEX($F$4:$N$4,0,T$174))+S179)))</f>
        <v>16.286347824366729</v>
      </c>
      <c r="U179" s="3" cm="1">
        <f t="array" ref="U179">IF(U$174=-1,V179,IF(U$174=99,T179,IF(U$174=0,INDEX($F52:$N52,0,U$172),(INDEX($F52:$N52,0,U$174+1)-INDEX($F52:$N52,0,U$174))/(INDEX($F$4:$N$4,0,U$174+1)-INDEX($F$4:$N$4,0,U$174))+T179)))</f>
        <v>16.622581767036806</v>
      </c>
      <c r="V179" s="3" cm="1">
        <f t="array" ref="V179">IF(V$174=-1,W179,IF(V$174=99,U179,IF(V$174=0,INDEX($F52:$N52,0,V$172),(INDEX($F52:$N52,0,V$174+1)-INDEX($F52:$N52,0,V$174))/(INDEX($F$4:$N$4,0,V$174+1)-INDEX($F$4:$N$4,0,V$174))+U179)))</f>
        <v>16.958815709706883</v>
      </c>
      <c r="W179" s="3" cm="1">
        <f t="array" ref="W179">IF(W$174=-1,X179,IF(W$174=99,V179,IF(W$174=0,INDEX($F52:$N52,0,W$172),(INDEX($F52:$N52,0,W$174+1)-INDEX($F52:$N52,0,W$174))/(INDEX($F$4:$N$4,0,W$174+1)-INDEX($F$4:$N$4,0,W$174))+V179)))</f>
        <v>17.29504965237696</v>
      </c>
      <c r="X179" s="3" cm="1">
        <f t="array" ref="X179">IF(X$174=-1,Y179,IF(X$174=99,W179,IF(X$174=0,INDEX($F52:$N52,0,X$172),(INDEX($F52:$N52,0,X$174+1)-INDEX($F52:$N52,0,X$174))/(INDEX($F$4:$N$4,0,X$174+1)-INDEX($F$4:$N$4,0,X$174))+W179)))</f>
        <v>17.631283595047037</v>
      </c>
      <c r="Y179" s="3" cm="1">
        <f t="array" ref="Y179">IF(Y$174=-1,Z179,IF(Y$174=99,X179,IF(Y$174=0,INDEX($F52:$N52,0,Y$172),(INDEX($F52:$N52,0,Y$174+1)-INDEX($F52:$N52,0,Y$174))/(INDEX($F$4:$N$4,0,Y$174+1)-INDEX($F$4:$N$4,0,Y$174))+X179)))</f>
        <v>17.967517537717114</v>
      </c>
      <c r="Z179" s="3" cm="1">
        <f t="array" ref="Z179">IF(Z$174=-1,AA179,IF(Z$174=99,Y179,IF(Z$174=0,INDEX($F52:$N52,0,Z$172),(INDEX($F52:$N52,0,Z$174+1)-INDEX($F52:$N52,0,Z$174))/(INDEX($F$4:$N$4,0,Z$174+1)-INDEX($F$4:$N$4,0,Z$174))+Y179)))</f>
        <v>18.303751480387191</v>
      </c>
      <c r="AA179" s="3" cm="1">
        <f t="array" ref="AA179">IF(AA$174=-1,AB179,IF(AA$174=99,Z179,IF(AA$174=0,INDEX($F52:$N52,0,AA$172),(INDEX($F52:$N52,0,AA$174+1)-INDEX($F52:$N52,0,AA$174))/(INDEX($F$4:$N$4,0,AA$174+1)-INDEX($F$4:$N$4,0,AA$174))+Z179)))</f>
        <v>18.639985423057269</v>
      </c>
      <c r="AB179" s="3" cm="1">
        <f t="array" ref="AB179">IF(AB$174=-1,AC179,IF(AB$174=99,AA179,IF(AB$174=0,INDEX($F52:$N52,0,AB$172),(INDEX($F52:$N52,0,AB$174+1)-INDEX($F52:$N52,0,AB$174))/(INDEX($F$4:$N$4,0,AB$174+1)-INDEX($F$4:$N$4,0,AB$174))+AA179)))</f>
        <v>18.976219365727346</v>
      </c>
      <c r="AC179" s="3" cm="1">
        <f t="array" ref="AC179">IF(AC$174=-1,AD179,IF(AC$174=99,AB179,IF(AC$174=0,INDEX($F52:$N52,0,AC$172),(INDEX($F52:$N52,0,AC$174+1)-INDEX($F52:$N52,0,AC$174))/(INDEX($F$4:$N$4,0,AC$174+1)-INDEX($F$4:$N$4,0,AC$174))+AB179)))</f>
        <v>19.31245330839743</v>
      </c>
      <c r="AD179" s="3" cm="1">
        <f t="array" ref="AD179">IF(AD$174=-1,AE179,IF(AD$174=99,AC179,IF(AD$174=0,INDEX($F52:$N52,0,AD$172),(INDEX($F52:$N52,0,AD$174+1)-INDEX($F52:$N52,0,AD$174))/(INDEX($F$4:$N$4,0,AD$174+1)-INDEX($F$4:$N$4,0,AD$174))+AC179)))</f>
        <v>19.853452128291956</v>
      </c>
      <c r="AE179" s="3" cm="1">
        <f t="array" ref="AE179">IF(AE$174=-1,AF179,IF(AE$174=99,AD179,IF(AE$174=0,INDEX($F52:$N52,0,AE$172),(INDEX($F52:$N52,0,AE$174+1)-INDEX($F52:$N52,0,AE$174))/(INDEX($F$4:$N$4,0,AE$174+1)-INDEX($F$4:$N$4,0,AE$174))+AD179)))</f>
        <v>20.394450948186481</v>
      </c>
      <c r="AF179" s="3" cm="1">
        <f t="array" ref="AF179">IF(AF$174=-1,AG179,IF(AF$174=99,AE179,IF(AF$174=0,INDEX($F52:$N52,0,AF$172),(INDEX($F52:$N52,0,AF$174+1)-INDEX($F52:$N52,0,AF$174))/(INDEX($F$4:$N$4,0,AF$174+1)-INDEX($F$4:$N$4,0,AF$174))+AE179)))</f>
        <v>20.935449768081007</v>
      </c>
      <c r="AG179" s="3" cm="1">
        <f t="array" ref="AG179">IF(AG$174=-1,AH179,IF(AG$174=99,AF179,IF(AG$174=0,INDEX($F52:$N52,0,AG$172),(INDEX($F52:$N52,0,AG$174+1)-INDEX($F52:$N52,0,AG$174))/(INDEX($F$4:$N$4,0,AG$174+1)-INDEX($F$4:$N$4,0,AG$174))+AF179)))</f>
        <v>21.476448587975533</v>
      </c>
      <c r="AH179" s="3" cm="1">
        <f t="array" ref="AH179">IF(AH$174=-1,AI179,IF(AH$174=99,AG179,IF(AH$174=0,INDEX($F52:$N52,0,AH$172),(INDEX($F52:$N52,0,AH$174+1)-INDEX($F52:$N52,0,AH$174))/(INDEX($F$4:$N$4,0,AH$174+1)-INDEX($F$4:$N$4,0,AH$174))+AG179)))</f>
        <v>22.017447407870058</v>
      </c>
      <c r="AI179" s="3" cm="1">
        <f t="array" ref="AI179">IF(AI$174=-1,AJ179,IF(AI$174=99,AH179,IF(AI$174=0,INDEX($F52:$N52,0,AI$172),(INDEX($F52:$N52,0,AI$174+1)-INDEX($F52:$N52,0,AI$174))/(INDEX($F$4:$N$4,0,AI$174+1)-INDEX($F$4:$N$4,0,AI$174))+AH179)))</f>
        <v>22.558446227764584</v>
      </c>
      <c r="AJ179" s="3" cm="1">
        <f t="array" ref="AJ179">IF(AJ$174=-1,AK179,IF(AJ$174=99,AI179,IF(AJ$174=0,INDEX($F52:$N52,0,AJ$172),(INDEX($F52:$N52,0,AJ$174+1)-INDEX($F52:$N52,0,AJ$174))/(INDEX($F$4:$N$4,0,AJ$174+1)-INDEX($F$4:$N$4,0,AJ$174))+AI179)))</f>
        <v>23.09944504765911</v>
      </c>
      <c r="AK179" s="3" cm="1">
        <f t="array" ref="AK179">IF(AK$174=-1,AL179,IF(AK$174=99,AJ179,IF(AK$174=0,INDEX($F52:$N52,0,AK$172),(INDEX($F52:$N52,0,AK$174+1)-INDEX($F52:$N52,0,AK$174))/(INDEX($F$4:$N$4,0,AK$174+1)-INDEX($F$4:$N$4,0,AK$174))+AJ179)))</f>
        <v>23.640443867553635</v>
      </c>
      <c r="AL179" s="3" cm="1">
        <f t="array" ref="AL179">IF(AL$174=-1,AM179,IF(AL$174=99,AK179,IF(AL$174=0,INDEX($F52:$N52,0,AL$172),(INDEX($F52:$N52,0,AL$174+1)-INDEX($F52:$N52,0,AL$174))/(INDEX($F$4:$N$4,0,AL$174+1)-INDEX($F$4:$N$4,0,AL$174))+AK179)))</f>
        <v>24.181442687448161</v>
      </c>
      <c r="AM179" s="3" cm="1">
        <f t="array" ref="AM179">IF(AM$174=-1,AN179,IF(AM$174=99,AL179,IF(AM$174=0,INDEX($F52:$N52,0,AM$172),(INDEX($F52:$N52,0,AM$174+1)-INDEX($F52:$N52,0,AM$174))/(INDEX($F$4:$N$4,0,AM$174+1)-INDEX($F$4:$N$4,0,AM$174))+AL179)))</f>
        <v>24.722441507342683</v>
      </c>
      <c r="AN179" s="3" cm="1">
        <f t="array" ref="AN179">IF(AN$174=-1,AO179,IF(AN$174=99,AM179,IF(AN$174=0,INDEX($F52:$N52,0,AN$172),(INDEX($F52:$N52,0,AN$174+1)-INDEX($F52:$N52,0,AN$174))/(INDEX($F$4:$N$4,0,AN$174+1)-INDEX($F$4:$N$4,0,AN$174))+AM179)))</f>
        <v>25.14919268716951</v>
      </c>
      <c r="AO179" s="3" cm="1">
        <f t="array" ref="AO179">IF(AO$174=-1,AP179,IF(AO$174=99,AN179,IF(AO$174=0,INDEX($F52:$N52,0,AO$172),(INDEX($F52:$N52,0,AO$174+1)-INDEX($F52:$N52,0,AO$174))/(INDEX($F$4:$N$4,0,AO$174+1)-INDEX($F$4:$N$4,0,AO$174))+AN179)))</f>
        <v>28.989953305610953</v>
      </c>
      <c r="AP179" s="3" cm="1">
        <f t="array" ref="AP179">IF(AP$174=-1,AQ179,IF(AP$174=99,AO179,IF(AP$174=0,INDEX($F52:$N52,0,AP$172),(INDEX($F52:$N52,0,AP$174+1)-INDEX($F52:$N52,0,AP$174))/(INDEX($F$4:$N$4,0,AP$174+1)-INDEX($F$4:$N$4,0,AP$174))+AO179)))</f>
        <v>28.989953305610953</v>
      </c>
      <c r="AQ179" s="3" cm="1">
        <f t="array" ref="AQ179">IF(AQ$174=-1,AR179,IF(AQ$174=99,AP179,IF(AQ$174=0,INDEX($F52:$N52,0,AQ$172),(INDEX($F52:$N52,0,AQ$174+1)-INDEX($F52:$N52,0,AQ$174))/(INDEX($F$4:$N$4,0,AQ$174+1)-INDEX($F$4:$N$4,0,AQ$174))+AP179)))</f>
        <v>28.989953305610953</v>
      </c>
      <c r="AZ179" s="3"/>
      <c r="BA179" s="3"/>
      <c r="BB179" s="3"/>
      <c r="BC179" s="3"/>
      <c r="BD179" s="3"/>
      <c r="BE179" s="3"/>
    </row>
    <row r="180" spans="1:57">
      <c r="A180" t="s">
        <v>16</v>
      </c>
      <c r="B180" s="16" t="str">
        <f t="shared" si="248"/>
        <v/>
      </c>
      <c r="C180" s="17" t="str">
        <f t="shared" si="249"/>
        <v/>
      </c>
      <c r="D180" s="48"/>
      <c r="E180" s="17" t="str">
        <f t="shared" si="250"/>
        <v/>
      </c>
      <c r="F180" s="17" t="str">
        <f t="shared" si="250"/>
        <v/>
      </c>
      <c r="G180" s="17" t="str">
        <f t="shared" si="250"/>
        <v/>
      </c>
      <c r="H180" s="17"/>
      <c r="I180" s="17" t="str">
        <f t="shared" si="250"/>
        <v/>
      </c>
      <c r="J180" s="119" t="str">
        <f t="shared" si="252"/>
        <v>TFHCV4</v>
      </c>
      <c r="K180" s="3">
        <f t="shared" si="253"/>
        <v>5.0807673805466287</v>
      </c>
      <c r="L180" s="3" cm="1">
        <f t="array" ref="L180">IF(L$174=-1,M180,IF(L$174=99,K180,IF(L$174=0,INDEX($F53:$N53,0,L$172),(INDEX($F53:$N53,0,L$174+1)-INDEX($F53:$N53,0,L$174))/(INDEX($F$4:$N$4,0,L$174+1)-INDEX($F$4:$N$4,0,L$174))+K180)))</f>
        <v>5.1718681158123259</v>
      </c>
      <c r="M180" s="3" cm="1">
        <f t="array" ref="M180">IF(M$174=-1,N180,IF(M$174=99,L180,IF(M$174=0,INDEX($F53:$N53,0,M$172),(INDEX($F53:$N53,0,M$174+1)-INDEX($F53:$N53,0,M$174))/(INDEX($F$4:$N$4,0,M$174+1)-INDEX($F$4:$N$4,0,M$174))+L180)))</f>
        <v>5.262968851078023</v>
      </c>
      <c r="N180" s="3" cm="1">
        <f t="array" ref="N180">IF(N$174=-1,O180,IF(N$174=99,M180,IF(N$174=0,INDEX($F53:$N53,0,N$172),(INDEX($F53:$N53,0,N$174+1)-INDEX($F53:$N53,0,N$174))/(INDEX($F$4:$N$4,0,N$174+1)-INDEX($F$4:$N$4,0,N$174))+M180)))</f>
        <v>5.3540695863437202</v>
      </c>
      <c r="O180" s="3" cm="1">
        <f t="array" ref="O180">IF(O$174=-1,P180,IF(O$174=99,N180,IF(O$174=0,INDEX($F53:$N53,0,O$172),(INDEX($F53:$N53,0,O$174+1)-INDEX($F53:$N53,0,O$174))/(INDEX($F$4:$N$4,0,O$174+1)-INDEX($F$4:$N$4,0,O$174))+N180)))</f>
        <v>5.403298244657309</v>
      </c>
      <c r="P180" s="3" cm="1">
        <f t="array" ref="P180">IF(P$174=-1,Q180,IF(P$174=99,O180,IF(P$174=0,INDEX($F53:$N53,0,P$172),(INDEX($F53:$N53,0,P$174+1)-INDEX($F53:$N53,0,P$174))/(INDEX($F$4:$N$4,0,P$174+1)-INDEX($F$4:$N$4,0,P$174))+O180)))</f>
        <v>5.4525269029708987</v>
      </c>
      <c r="Q180" s="3" cm="1">
        <f t="array" ref="Q180">IF(Q$174=-1,R180,IF(Q$174=99,P180,IF(Q$174=0,INDEX($F53:$N53,0,Q$172),(INDEX($F53:$N53,0,Q$174+1)-INDEX($F53:$N53,0,Q$174))/(INDEX($F$4:$N$4,0,Q$174+1)-INDEX($F$4:$N$4,0,Q$174))+P180)))</f>
        <v>5.4864621333850661</v>
      </c>
      <c r="R180" s="3" cm="1">
        <f t="array" ref="R180">IF(R$174=-1,S180,IF(R$174=99,Q180,IF(R$174=0,INDEX($F53:$N53,0,R$172),(INDEX($F53:$N53,0,R$174+1)-INDEX($F53:$N53,0,R$174))/(INDEX($F$4:$N$4,0,R$174+1)-INDEX($F$4:$N$4,0,R$174))+Q180)))</f>
        <v>5.5203973637992325</v>
      </c>
      <c r="S180" s="3" cm="1">
        <f t="array" ref="S180">IF(S$174=-1,T180,IF(S$174=99,R180,IF(S$174=0,INDEX($F53:$N53,0,S$172),(INDEX($F53:$N53,0,S$174+1)-INDEX($F53:$N53,0,S$174))/(INDEX($F$4:$N$4,0,S$174+1)-INDEX($F$4:$N$4,0,S$174))+R180)))</f>
        <v>5.3141115951984714</v>
      </c>
      <c r="T180" s="3" cm="1">
        <f t="array" ref="T180">IF(T$174=-1,U180,IF(T$174=99,S180,IF(T$174=0,INDEX($F53:$N53,0,T$172),(INDEX($F53:$N53,0,T$174+1)-INDEX($F53:$N53,0,T$174))/(INDEX($F$4:$N$4,0,T$174+1)-INDEX($F$4:$N$4,0,T$174))+S180)))</f>
        <v>5.431910885909339</v>
      </c>
      <c r="U180" s="3" cm="1">
        <f t="array" ref="U180">IF(U$174=-1,V180,IF(U$174=99,T180,IF(U$174=0,INDEX($F53:$N53,0,U$172),(INDEX($F53:$N53,0,U$174+1)-INDEX($F53:$N53,0,U$174))/(INDEX($F$4:$N$4,0,U$174+1)-INDEX($F$4:$N$4,0,U$174))+T180)))</f>
        <v>5.5440534505344949</v>
      </c>
      <c r="V180" s="3" cm="1">
        <f t="array" ref="V180">IF(V$174=-1,W180,IF(V$174=99,U180,IF(V$174=0,INDEX($F53:$N53,0,V$172),(INDEX($F53:$N53,0,V$174+1)-INDEX($F53:$N53,0,V$174))/(INDEX($F$4:$N$4,0,V$174+1)-INDEX($F$4:$N$4,0,V$174))+U180)))</f>
        <v>5.6561960151596509</v>
      </c>
      <c r="W180" s="3" cm="1">
        <f t="array" ref="W180">IF(W$174=-1,X180,IF(W$174=99,V180,IF(W$174=0,INDEX($F53:$N53,0,W$172),(INDEX($F53:$N53,0,W$174+1)-INDEX($F53:$N53,0,W$174))/(INDEX($F$4:$N$4,0,W$174+1)-INDEX($F$4:$N$4,0,W$174))+V180)))</f>
        <v>5.7683385797848068</v>
      </c>
      <c r="X180" s="3" cm="1">
        <f t="array" ref="X180">IF(X$174=-1,Y180,IF(X$174=99,W180,IF(X$174=0,INDEX($F53:$N53,0,X$172),(INDEX($F53:$N53,0,X$174+1)-INDEX($F53:$N53,0,X$174))/(INDEX($F$4:$N$4,0,X$174+1)-INDEX($F$4:$N$4,0,X$174))+W180)))</f>
        <v>5.8804811444099627</v>
      </c>
      <c r="Y180" s="3" cm="1">
        <f t="array" ref="Y180">IF(Y$174=-1,Z180,IF(Y$174=99,X180,IF(Y$174=0,INDEX($F53:$N53,0,Y$172),(INDEX($F53:$N53,0,Y$174+1)-INDEX($F53:$N53,0,Y$174))/(INDEX($F$4:$N$4,0,Y$174+1)-INDEX($F$4:$N$4,0,Y$174))+X180)))</f>
        <v>5.9926237090351187</v>
      </c>
      <c r="Z180" s="3" cm="1">
        <f t="array" ref="Z180">IF(Z$174=-1,AA180,IF(Z$174=99,Y180,IF(Z$174=0,INDEX($F53:$N53,0,Z$172),(INDEX($F53:$N53,0,Z$174+1)-INDEX($F53:$N53,0,Z$174))/(INDEX($F$4:$N$4,0,Z$174+1)-INDEX($F$4:$N$4,0,Z$174))+Y180)))</f>
        <v>6.1047662736602746</v>
      </c>
      <c r="AA180" s="3" cm="1">
        <f t="array" ref="AA180">IF(AA$174=-1,AB180,IF(AA$174=99,Z180,IF(AA$174=0,INDEX($F53:$N53,0,AA$172),(INDEX($F53:$N53,0,AA$174+1)-INDEX($F53:$N53,0,AA$174))/(INDEX($F$4:$N$4,0,AA$174+1)-INDEX($F$4:$N$4,0,AA$174))+Z180)))</f>
        <v>6.2169088382854305</v>
      </c>
      <c r="AB180" s="3" cm="1">
        <f t="array" ref="AB180">IF(AB$174=-1,AC180,IF(AB$174=99,AA180,IF(AB$174=0,INDEX($F53:$N53,0,AB$172),(INDEX($F53:$N53,0,AB$174+1)-INDEX($F53:$N53,0,AB$174))/(INDEX($F$4:$N$4,0,AB$174+1)-INDEX($F$4:$N$4,0,AB$174))+AA180)))</f>
        <v>6.3290514029105864</v>
      </c>
      <c r="AC180" s="3" cm="1">
        <f t="array" ref="AC180">IF(AC$174=-1,AD180,IF(AC$174=99,AB180,IF(AC$174=0,INDEX($F53:$N53,0,AC$172),(INDEX($F53:$N53,0,AC$174+1)-INDEX($F53:$N53,0,AC$174))/(INDEX($F$4:$N$4,0,AC$174+1)-INDEX($F$4:$N$4,0,AC$174))+AB180)))</f>
        <v>6.4411939675357432</v>
      </c>
      <c r="AD180" s="3" cm="1">
        <f t="array" ref="AD180">IF(AD$174=-1,AE180,IF(AD$174=99,AC180,IF(AD$174=0,INDEX($F53:$N53,0,AD$172),(INDEX($F53:$N53,0,AD$174+1)-INDEX($F53:$N53,0,AD$174))/(INDEX($F$4:$N$4,0,AD$174+1)-INDEX($F$4:$N$4,0,AD$174))+AC180)))</f>
        <v>6.6216308224242608</v>
      </c>
      <c r="AE180" s="3" cm="1">
        <f t="array" ref="AE180">IF(AE$174=-1,AF180,IF(AE$174=99,AD180,IF(AE$174=0,INDEX($F53:$N53,0,AE$172),(INDEX($F53:$N53,0,AE$174+1)-INDEX($F53:$N53,0,AE$174))/(INDEX($F$4:$N$4,0,AE$174+1)-INDEX($F$4:$N$4,0,AE$174))+AD180)))</f>
        <v>6.8020676773127784</v>
      </c>
      <c r="AF180" s="3" cm="1">
        <f t="array" ref="AF180">IF(AF$174=-1,AG180,IF(AF$174=99,AE180,IF(AF$174=0,INDEX($F53:$N53,0,AF$172),(INDEX($F53:$N53,0,AF$174+1)-INDEX($F53:$N53,0,AF$174))/(INDEX($F$4:$N$4,0,AF$174+1)-INDEX($F$4:$N$4,0,AF$174))+AE180)))</f>
        <v>6.982504532201296</v>
      </c>
      <c r="AG180" s="3" cm="1">
        <f t="array" ref="AG180">IF(AG$174=-1,AH180,IF(AG$174=99,AF180,IF(AG$174=0,INDEX($F53:$N53,0,AG$172),(INDEX($F53:$N53,0,AG$174+1)-INDEX($F53:$N53,0,AG$174))/(INDEX($F$4:$N$4,0,AG$174+1)-INDEX($F$4:$N$4,0,AG$174))+AF180)))</f>
        <v>7.1629413870898135</v>
      </c>
      <c r="AH180" s="3" cm="1">
        <f t="array" ref="AH180">IF(AH$174=-1,AI180,IF(AH$174=99,AG180,IF(AH$174=0,INDEX($F53:$N53,0,AH$172),(INDEX($F53:$N53,0,AH$174+1)-INDEX($F53:$N53,0,AH$174))/(INDEX($F$4:$N$4,0,AH$174+1)-INDEX($F$4:$N$4,0,AH$174))+AG180)))</f>
        <v>7.3433782419783311</v>
      </c>
      <c r="AI180" s="3" cm="1">
        <f t="array" ref="AI180">IF(AI$174=-1,AJ180,IF(AI$174=99,AH180,IF(AI$174=0,INDEX($F53:$N53,0,AI$172),(INDEX($F53:$N53,0,AI$174+1)-INDEX($F53:$N53,0,AI$174))/(INDEX($F$4:$N$4,0,AI$174+1)-INDEX($F$4:$N$4,0,AI$174))+AH180)))</f>
        <v>7.5238150968668487</v>
      </c>
      <c r="AJ180" s="3" cm="1">
        <f t="array" ref="AJ180">IF(AJ$174=-1,AK180,IF(AJ$174=99,AI180,IF(AJ$174=0,INDEX($F53:$N53,0,AJ$172),(INDEX($F53:$N53,0,AJ$174+1)-INDEX($F53:$N53,0,AJ$174))/(INDEX($F$4:$N$4,0,AJ$174+1)-INDEX($F$4:$N$4,0,AJ$174))+AI180)))</f>
        <v>7.7042519517553663</v>
      </c>
      <c r="AK180" s="3" cm="1">
        <f t="array" ref="AK180">IF(AK$174=-1,AL180,IF(AK$174=99,AJ180,IF(AK$174=0,INDEX($F53:$N53,0,AK$172),(INDEX($F53:$N53,0,AK$174+1)-INDEX($F53:$N53,0,AK$174))/(INDEX($F$4:$N$4,0,AK$174+1)-INDEX($F$4:$N$4,0,AK$174))+AJ180)))</f>
        <v>7.8846888066438838</v>
      </c>
      <c r="AL180" s="3" cm="1">
        <f t="array" ref="AL180">IF(AL$174=-1,AM180,IF(AL$174=99,AK180,IF(AL$174=0,INDEX($F53:$N53,0,AL$172),(INDEX($F53:$N53,0,AL$174+1)-INDEX($F53:$N53,0,AL$174))/(INDEX($F$4:$N$4,0,AL$174+1)-INDEX($F$4:$N$4,0,AL$174))+AK180)))</f>
        <v>8.0651256615324005</v>
      </c>
      <c r="AM180" s="3" cm="1">
        <f t="array" ref="AM180">IF(AM$174=-1,AN180,IF(AM$174=99,AL180,IF(AM$174=0,INDEX($F53:$N53,0,AM$172),(INDEX($F53:$N53,0,AM$174+1)-INDEX($F53:$N53,0,AM$174))/(INDEX($F$4:$N$4,0,AM$174+1)-INDEX($F$4:$N$4,0,AM$174))+AL180)))</f>
        <v>8.2455625164209163</v>
      </c>
      <c r="AN180" s="3" cm="1">
        <f t="array" ref="AN180">IF(AN$174=-1,AO180,IF(AN$174=99,AM180,IF(AN$174=0,INDEX($F53:$N53,0,AN$172),(INDEX($F53:$N53,0,AN$174+1)-INDEX($F53:$N53,0,AN$174))/(INDEX($F$4:$N$4,0,AN$174+1)-INDEX($F$4:$N$4,0,AN$174))+AM180)))</f>
        <v>8.387894879960875</v>
      </c>
      <c r="AO180" s="3" cm="1">
        <f t="array" ref="AO180">IF(AO$174=-1,AP180,IF(AO$174=99,AN180,IF(AO$174=0,INDEX($F53:$N53,0,AO$172),(INDEX($F53:$N53,0,AO$174+1)-INDEX($F53:$N53,0,AO$174))/(INDEX($F$4:$N$4,0,AO$174+1)-INDEX($F$4:$N$4,0,AO$174))+AN180)))</f>
        <v>9.6688861518205123</v>
      </c>
      <c r="AP180" s="3" cm="1">
        <f t="array" ref="AP180">IF(AP$174=-1,AQ180,IF(AP$174=99,AO180,IF(AP$174=0,INDEX($F53:$N53,0,AP$172),(INDEX($F53:$N53,0,AP$174+1)-INDEX($F53:$N53,0,AP$174))/(INDEX($F$4:$N$4,0,AP$174+1)-INDEX($F$4:$N$4,0,AP$174))+AO180)))</f>
        <v>9.6688861518205123</v>
      </c>
      <c r="AQ180" s="3" cm="1">
        <f t="array" ref="AQ180">IF(AQ$174=-1,AR180,IF(AQ$174=99,AP180,IF(AQ$174=0,INDEX($F53:$N53,0,AQ$172),(INDEX($F53:$N53,0,AQ$174+1)-INDEX($F53:$N53,0,AQ$174))/(INDEX($F$4:$N$4,0,AQ$174+1)-INDEX($F$4:$N$4,0,AQ$174))+AP180)))</f>
        <v>9.6688861518205123</v>
      </c>
      <c r="AZ180" s="3"/>
      <c r="BA180" s="3"/>
      <c r="BB180" s="3"/>
      <c r="BC180" s="3"/>
      <c r="BD180" s="3"/>
      <c r="BE180" s="3"/>
    </row>
    <row r="181" spans="1:57">
      <c r="A181" t="s">
        <v>16</v>
      </c>
      <c r="B181" s="16" t="str">
        <f t="shared" si="248"/>
        <v/>
      </c>
      <c r="C181" s="17" t="str">
        <f t="shared" si="249"/>
        <v/>
      </c>
      <c r="D181" s="48"/>
      <c r="E181" s="17" t="str">
        <f t="shared" si="250"/>
        <v/>
      </c>
      <c r="F181" s="17" t="str">
        <f t="shared" si="250"/>
        <v/>
      </c>
      <c r="G181" s="17" t="str">
        <f t="shared" si="250"/>
        <v/>
      </c>
      <c r="H181" s="17"/>
      <c r="I181" s="17" t="str">
        <f t="shared" si="250"/>
        <v/>
      </c>
      <c r="J181" s="119" t="str">
        <f t="shared" si="252"/>
        <v>TFHCV5</v>
      </c>
      <c r="K181" s="3">
        <f t="shared" si="253"/>
        <v>3.0627981264343846</v>
      </c>
      <c r="L181" s="3" cm="1">
        <f t="array" ref="L181">IF(L$174=-1,M181,IF(L$174=99,K181,IF(L$174=0,INDEX($F54:$N54,0,L$172),(INDEX($F54:$N54,0,L$174+1)-INDEX($F54:$N54,0,L$174))/(INDEX($F$4:$N$4,0,L$174+1)-INDEX($F$4:$N$4,0,L$174))+K181)))</f>
        <v>3.1177156497905814</v>
      </c>
      <c r="M181" s="3" cm="1">
        <f t="array" ref="M181">IF(M$174=-1,N181,IF(M$174=99,L181,IF(M$174=0,INDEX($F54:$N54,0,M$172),(INDEX($F54:$N54,0,M$174+1)-INDEX($F54:$N54,0,M$174))/(INDEX($F$4:$N$4,0,M$174+1)-INDEX($F$4:$N$4,0,M$174))+L181)))</f>
        <v>3.1726331731467781</v>
      </c>
      <c r="N181" s="3" cm="1">
        <f t="array" ref="N181">IF(N$174=-1,O181,IF(N$174=99,M181,IF(N$174=0,INDEX($F54:$N54,0,N$172),(INDEX($F54:$N54,0,N$174+1)-INDEX($F54:$N54,0,N$174))/(INDEX($F$4:$N$4,0,N$174+1)-INDEX($F$4:$N$4,0,N$174))+M181)))</f>
        <v>3.2275506965029748</v>
      </c>
      <c r="O181" s="3" cm="1">
        <f t="array" ref="O181">IF(O$174=-1,P181,IF(O$174=99,N181,IF(O$174=0,INDEX($F54:$N54,0,O$172),(INDEX($F54:$N54,0,O$174+1)-INDEX($F54:$N54,0,O$174))/(INDEX($F$4:$N$4,0,O$174+1)-INDEX($F$4:$N$4,0,O$174))+N181)))</f>
        <v>3.2572268125611594</v>
      </c>
      <c r="P181" s="3" cm="1">
        <f t="array" ref="P181">IF(P$174=-1,Q181,IF(P$174=99,O181,IF(P$174=0,INDEX($F54:$N54,0,P$172),(INDEX($F54:$N54,0,P$174+1)-INDEX($F54:$N54,0,P$174))/(INDEX($F$4:$N$4,0,P$174+1)-INDEX($F$4:$N$4,0,P$174))+O181)))</f>
        <v>3.2869029286193441</v>
      </c>
      <c r="Q181" s="3" cm="1">
        <f t="array" ref="Q181">IF(Q$174=-1,R181,IF(Q$174=99,P181,IF(Q$174=0,INDEX($F54:$N54,0,Q$172),(INDEX($F54:$N54,0,Q$174+1)-INDEX($F54:$N54,0,Q$174))/(INDEX($F$4:$N$4,0,Q$174+1)-INDEX($F$4:$N$4,0,Q$174))+P181)))</f>
        <v>3.3073598305689558</v>
      </c>
      <c r="R181" s="3" cm="1">
        <f t="array" ref="R181">IF(R$174=-1,S181,IF(R$174=99,Q181,IF(R$174=0,INDEX($F54:$N54,0,R$172),(INDEX($F54:$N54,0,R$174+1)-INDEX($F54:$N54,0,R$174))/(INDEX($F$4:$N$4,0,R$174+1)-INDEX($F$4:$N$4,0,R$174))+Q181)))</f>
        <v>3.3278167325185679</v>
      </c>
      <c r="S181" s="3" cm="1">
        <f t="array" ref="S181">IF(S$174=-1,T181,IF(S$174=99,R181,IF(S$174=0,INDEX($F54:$N54,0,S$172),(INDEX($F54:$N54,0,S$174+1)-INDEX($F54:$N54,0,S$174))/(INDEX($F$4:$N$4,0,S$174+1)-INDEX($F$4:$N$4,0,S$174))+R181)))</f>
        <v>3.2034631421535407</v>
      </c>
      <c r="T181" s="3" cm="1">
        <f t="array" ref="T181">IF(T$174=-1,U181,IF(T$174=99,S181,IF(T$174=0,INDEX($F54:$N54,0,T$172),(INDEX($F54:$N54,0,T$174+1)-INDEX($F54:$N54,0,T$174))/(INDEX($F$4:$N$4,0,T$174+1)-INDEX($F$4:$N$4,0,T$174))+S181)))</f>
        <v>3.2744751409051402</v>
      </c>
      <c r="U181" s="3" cm="1">
        <f t="array" ref="U181">IF(U$174=-1,V181,IF(U$174=99,T181,IF(U$174=0,INDEX($F54:$N54,0,U$172),(INDEX($F54:$N54,0,U$174+1)-INDEX($F54:$N54,0,U$174))/(INDEX($F$4:$N$4,0,U$174+1)-INDEX($F$4:$N$4,0,U$174))+T181)))</f>
        <v>3.3420771409775232</v>
      </c>
      <c r="V181" s="3" cm="1">
        <f t="array" ref="V181">IF(V$174=-1,W181,IF(V$174=99,U181,IF(V$174=0,INDEX($F54:$N54,0,V$172),(INDEX($F54:$N54,0,V$174+1)-INDEX($F54:$N54,0,V$174))/(INDEX($F$4:$N$4,0,V$174+1)-INDEX($F$4:$N$4,0,V$174))+U181)))</f>
        <v>3.4096791410499061</v>
      </c>
      <c r="W181" s="3" cm="1">
        <f t="array" ref="W181">IF(W$174=-1,X181,IF(W$174=99,V181,IF(W$174=0,INDEX($F54:$N54,0,W$172),(INDEX($F54:$N54,0,W$174+1)-INDEX($F54:$N54,0,W$174))/(INDEX($F$4:$N$4,0,W$174+1)-INDEX($F$4:$N$4,0,W$174))+V181)))</f>
        <v>3.477281141122289</v>
      </c>
      <c r="X181" s="3" cm="1">
        <f t="array" ref="X181">IF(X$174=-1,Y181,IF(X$174=99,W181,IF(X$174=0,INDEX($F54:$N54,0,X$172),(INDEX($F54:$N54,0,X$174+1)-INDEX($F54:$N54,0,X$174))/(INDEX($F$4:$N$4,0,X$174+1)-INDEX($F$4:$N$4,0,X$174))+W181)))</f>
        <v>3.544883141194672</v>
      </c>
      <c r="Y181" s="3" cm="1">
        <f t="array" ref="Y181">IF(Y$174=-1,Z181,IF(Y$174=99,X181,IF(Y$174=0,INDEX($F54:$N54,0,Y$172),(INDEX($F54:$N54,0,Y$174+1)-INDEX($F54:$N54,0,Y$174))/(INDEX($F$4:$N$4,0,Y$174+1)-INDEX($F$4:$N$4,0,Y$174))+X181)))</f>
        <v>3.6124851412670549</v>
      </c>
      <c r="Z181" s="3" cm="1">
        <f t="array" ref="Z181">IF(Z$174=-1,AA181,IF(Z$174=99,Y181,IF(Z$174=0,INDEX($F54:$N54,0,Z$172),(INDEX($F54:$N54,0,Z$174+1)-INDEX($F54:$N54,0,Z$174))/(INDEX($F$4:$N$4,0,Z$174+1)-INDEX($F$4:$N$4,0,Z$174))+Y181)))</f>
        <v>3.6800871413394378</v>
      </c>
      <c r="AA181" s="3" cm="1">
        <f t="array" ref="AA181">IF(AA$174=-1,AB181,IF(AA$174=99,Z181,IF(AA$174=0,INDEX($F54:$N54,0,AA$172),(INDEX($F54:$N54,0,AA$174+1)-INDEX($F54:$N54,0,AA$174))/(INDEX($F$4:$N$4,0,AA$174+1)-INDEX($F$4:$N$4,0,AA$174))+Z181)))</f>
        <v>3.7476891414118207</v>
      </c>
      <c r="AB181" s="3" cm="1">
        <f t="array" ref="AB181">IF(AB$174=-1,AC181,IF(AB$174=99,AA181,IF(AB$174=0,INDEX($F54:$N54,0,AB$172),(INDEX($F54:$N54,0,AB$174+1)-INDEX($F54:$N54,0,AB$174))/(INDEX($F$4:$N$4,0,AB$174+1)-INDEX($F$4:$N$4,0,AB$174))+AA181)))</f>
        <v>3.8152911414842037</v>
      </c>
      <c r="AC181" s="3" cm="1">
        <f t="array" ref="AC181">IF(AC$174=-1,AD181,IF(AC$174=99,AB181,IF(AC$174=0,INDEX($F54:$N54,0,AC$172),(INDEX($F54:$N54,0,AC$174+1)-INDEX($F54:$N54,0,AC$174))/(INDEX($F$4:$N$4,0,AC$174+1)-INDEX($F$4:$N$4,0,AC$174))+AB181)))</f>
        <v>3.8828931415565879</v>
      </c>
      <c r="AD181" s="3" cm="1">
        <f t="array" ref="AD181">IF(AD$174=-1,AE181,IF(AD$174=99,AC181,IF(AD$174=0,INDEX($F54:$N54,0,AD$172),(INDEX($F54:$N54,0,AD$174+1)-INDEX($F54:$N54,0,AD$174))/(INDEX($F$4:$N$4,0,AD$174+1)-INDEX($F$4:$N$4,0,AD$174))+AC181)))</f>
        <v>3.9916644392169043</v>
      </c>
      <c r="AE181" s="3" cm="1">
        <f t="array" ref="AE181">IF(AE$174=-1,AF181,IF(AE$174=99,AD181,IF(AE$174=0,INDEX($F54:$N54,0,AE$172),(INDEX($F54:$N54,0,AE$174+1)-INDEX($F54:$N54,0,AE$174))/(INDEX($F$4:$N$4,0,AE$174+1)-INDEX($F$4:$N$4,0,AE$174))+AD181)))</f>
        <v>4.1004357368772206</v>
      </c>
      <c r="AF181" s="3" cm="1">
        <f t="array" ref="AF181">IF(AF$174=-1,AG181,IF(AF$174=99,AE181,IF(AF$174=0,INDEX($F54:$N54,0,AF$172),(INDEX($F54:$N54,0,AF$174+1)-INDEX($F54:$N54,0,AF$174))/(INDEX($F$4:$N$4,0,AF$174+1)-INDEX($F$4:$N$4,0,AF$174))+AE181)))</f>
        <v>4.2092070345375374</v>
      </c>
      <c r="AG181" s="3" cm="1">
        <f t="array" ref="AG181">IF(AG$174=-1,AH181,IF(AG$174=99,AF181,IF(AG$174=0,INDEX($F54:$N54,0,AG$172),(INDEX($F54:$N54,0,AG$174+1)-INDEX($F54:$N54,0,AG$174))/(INDEX($F$4:$N$4,0,AG$174+1)-INDEX($F$4:$N$4,0,AG$174))+AF181)))</f>
        <v>4.3179783321978542</v>
      </c>
      <c r="AH181" s="3" cm="1">
        <f t="array" ref="AH181">IF(AH$174=-1,AI181,IF(AH$174=99,AG181,IF(AH$174=0,INDEX($F54:$N54,0,AH$172),(INDEX($F54:$N54,0,AH$174+1)-INDEX($F54:$N54,0,AH$174))/(INDEX($F$4:$N$4,0,AH$174+1)-INDEX($F$4:$N$4,0,AH$174))+AG181)))</f>
        <v>4.426749629858171</v>
      </c>
      <c r="AI181" s="3" cm="1">
        <f t="array" ref="AI181">IF(AI$174=-1,AJ181,IF(AI$174=99,AH181,IF(AI$174=0,INDEX($F54:$N54,0,AI$172),(INDEX($F54:$N54,0,AI$174+1)-INDEX($F54:$N54,0,AI$174))/(INDEX($F$4:$N$4,0,AI$174+1)-INDEX($F$4:$N$4,0,AI$174))+AH181)))</f>
        <v>4.5355209275184878</v>
      </c>
      <c r="AJ181" s="3" cm="1">
        <f t="array" ref="AJ181">IF(AJ$174=-1,AK181,IF(AJ$174=99,AI181,IF(AJ$174=0,INDEX($F54:$N54,0,AJ$172),(INDEX($F54:$N54,0,AJ$174+1)-INDEX($F54:$N54,0,AJ$174))/(INDEX($F$4:$N$4,0,AJ$174+1)-INDEX($F$4:$N$4,0,AJ$174))+AI181)))</f>
        <v>4.6442922251788046</v>
      </c>
      <c r="AK181" s="3" cm="1">
        <f t="array" ref="AK181">IF(AK$174=-1,AL181,IF(AK$174=99,AJ181,IF(AK$174=0,INDEX($F54:$N54,0,AK$172),(INDEX($F54:$N54,0,AK$174+1)-INDEX($F54:$N54,0,AK$174))/(INDEX($F$4:$N$4,0,AK$174+1)-INDEX($F$4:$N$4,0,AK$174))+AJ181)))</f>
        <v>4.7530635228391214</v>
      </c>
      <c r="AL181" s="3" cm="1">
        <f t="array" ref="AL181">IF(AL$174=-1,AM181,IF(AL$174=99,AK181,IF(AL$174=0,INDEX($F54:$N54,0,AL$172),(INDEX($F54:$N54,0,AL$174+1)-INDEX($F54:$N54,0,AL$174))/(INDEX($F$4:$N$4,0,AL$174+1)-INDEX($F$4:$N$4,0,AL$174))+AK181)))</f>
        <v>4.8618348204994382</v>
      </c>
      <c r="AM181" s="3" cm="1">
        <f t="array" ref="AM181">IF(AM$174=-1,AN181,IF(AM$174=99,AL181,IF(AM$174=0,INDEX($F54:$N54,0,AM$172),(INDEX($F54:$N54,0,AM$174+1)-INDEX($F54:$N54,0,AM$174))/(INDEX($F$4:$N$4,0,AM$174+1)-INDEX($F$4:$N$4,0,AM$174))+AL181)))</f>
        <v>4.9706061181597523</v>
      </c>
      <c r="AN181" s="3" cm="1">
        <f t="array" ref="AN181">IF(AN$174=-1,AO181,IF(AN$174=99,AM181,IF(AN$174=0,INDEX($F54:$N54,0,AN$172),(INDEX($F54:$N54,0,AN$174+1)-INDEX($F54:$N54,0,AN$174))/(INDEX($F$4:$N$4,0,AN$174+1)-INDEX($F$4:$N$4,0,AN$174))+AM181)))</f>
        <v>5.0564071918421032</v>
      </c>
      <c r="AO181" s="3" cm="1">
        <f t="array" ref="AO181">IF(AO$174=-1,AP181,IF(AO$174=99,AN181,IF(AO$174=0,INDEX($F54:$N54,0,AO$172),(INDEX($F54:$N54,0,AO$174+1)-INDEX($F54:$N54,0,AO$174))/(INDEX($F$4:$N$4,0,AO$174+1)-INDEX($F$4:$N$4,0,AO$174))+AN181)))</f>
        <v>5.8286168549832604</v>
      </c>
      <c r="AP181" s="3" cm="1">
        <f t="array" ref="AP181">IF(AP$174=-1,AQ181,IF(AP$174=99,AO181,IF(AP$174=0,INDEX($F54:$N54,0,AP$172),(INDEX($F54:$N54,0,AP$174+1)-INDEX($F54:$N54,0,AP$174))/(INDEX($F$4:$N$4,0,AP$174+1)-INDEX($F$4:$N$4,0,AP$174))+AO181)))</f>
        <v>5.8286168549832604</v>
      </c>
      <c r="AQ181" s="3" cm="1">
        <f t="array" ref="AQ181">IF(AQ$174=-1,AR181,IF(AQ$174=99,AP181,IF(AQ$174=0,INDEX($F54:$N54,0,AQ$172),(INDEX($F54:$N54,0,AQ$174+1)-INDEX($F54:$N54,0,AQ$174))/(INDEX($F$4:$N$4,0,AQ$174+1)-INDEX($F$4:$N$4,0,AQ$174))+AP181)))</f>
        <v>5.8286168549832604</v>
      </c>
      <c r="AZ181" s="3"/>
      <c r="BA181" s="3"/>
      <c r="BB181" s="3"/>
      <c r="BC181" s="3"/>
      <c r="BD181" s="3"/>
      <c r="BE181" s="3"/>
    </row>
    <row r="182" spans="1:57">
      <c r="A182" t="s">
        <v>16</v>
      </c>
      <c r="B182" s="16" t="str">
        <f t="shared" si="248"/>
        <v/>
      </c>
      <c r="C182" s="17" t="str">
        <f t="shared" si="249"/>
        <v/>
      </c>
      <c r="D182" s="48"/>
      <c r="E182" s="17" t="str">
        <f t="shared" si="250"/>
        <v/>
      </c>
      <c r="F182" s="17" t="str">
        <f t="shared" si="250"/>
        <v/>
      </c>
      <c r="G182" s="17" t="str">
        <f t="shared" si="250"/>
        <v/>
      </c>
      <c r="H182" s="17"/>
      <c r="I182" s="17" t="str">
        <f t="shared" si="250"/>
        <v/>
      </c>
      <c r="J182" s="119" t="str">
        <f t="shared" si="252"/>
        <v>TFHCV6</v>
      </c>
      <c r="K182" s="3">
        <f t="shared" si="253"/>
        <v>100.6136299290159</v>
      </c>
      <c r="L182" s="3" cm="1">
        <f t="array" ref="L182">IF(L$174=-1,M182,IF(L$174=99,K182,IF(L$174=0,INDEX($F55:$N55,0,L$172),(INDEX($F55:$N55,0,L$174+1)-INDEX($F55:$N55,0,L$174))/(INDEX($F$4:$N$4,0,L$174+1)-INDEX($F$4:$N$4,0,L$174))+K182)))</f>
        <v>102.41768332838605</v>
      </c>
      <c r="M182" s="3" cm="1">
        <f t="array" ref="M182">IF(M$174=-1,N182,IF(M$174=99,L182,IF(M$174=0,INDEX($F55:$N55,0,M$172),(INDEX($F55:$N55,0,M$174+1)-INDEX($F55:$N55,0,M$174))/(INDEX($F$4:$N$4,0,M$174+1)-INDEX($F$4:$N$4,0,M$174))+L182)))</f>
        <v>104.22173672775619</v>
      </c>
      <c r="N182" s="3" cm="1">
        <f t="array" ref="N182">IF(N$174=-1,O182,IF(N$174=99,M182,IF(N$174=0,INDEX($F55:$N55,0,N$172),(INDEX($F55:$N55,0,N$174+1)-INDEX($F55:$N55,0,N$174))/(INDEX($F$4:$N$4,0,N$174+1)-INDEX($F$4:$N$4,0,N$174))+M182)))</f>
        <v>106.02579012712634</v>
      </c>
      <c r="O182" s="3" cm="1">
        <f t="array" ref="O182">IF(O$174=-1,P182,IF(O$174=99,N182,IF(O$174=0,INDEX($F55:$N55,0,O$172),(INDEX($F55:$N55,0,O$174+1)-INDEX($F55:$N55,0,O$174))/(INDEX($F$4:$N$4,0,O$174+1)-INDEX($F$4:$N$4,0,O$174))+N182)))</f>
        <v>107.00065743327973</v>
      </c>
      <c r="P182" s="3" cm="1">
        <f t="array" ref="P182">IF(P$174=-1,Q182,IF(P$174=99,O182,IF(P$174=0,INDEX($F55:$N55,0,P$172),(INDEX($F55:$N55,0,P$174+1)-INDEX($F55:$N55,0,P$174))/(INDEX($F$4:$N$4,0,P$174+1)-INDEX($F$4:$N$4,0,P$174))+O182)))</f>
        <v>107.97552473943311</v>
      </c>
      <c r="Q182" s="3" cm="1">
        <f t="array" ref="Q182">IF(Q$174=-1,R182,IF(Q$174=99,P182,IF(Q$174=0,INDEX($F55:$N55,0,Q$172),(INDEX($F55:$N55,0,Q$174+1)-INDEX($F55:$N55,0,Q$174))/(INDEX($F$4:$N$4,0,Q$174+1)-INDEX($F$4:$N$4,0,Q$174))+P182)))</f>
        <v>108.64753872053365</v>
      </c>
      <c r="R182" s="3" cm="1">
        <f t="array" ref="R182">IF(R$174=-1,S182,IF(R$174=99,Q182,IF(R$174=0,INDEX($F55:$N55,0,R$172),(INDEX($F55:$N55,0,R$174+1)-INDEX($F55:$N55,0,R$174))/(INDEX($F$4:$N$4,0,R$174+1)-INDEX($F$4:$N$4,0,R$174))+Q182)))</f>
        <v>109.31955270163417</v>
      </c>
      <c r="S182" s="3" cm="1">
        <f t="array" ref="S182">IF(S$174=-1,T182,IF(S$174=99,R182,IF(S$174=0,INDEX($F55:$N55,0,S$172),(INDEX($F55:$N55,0,S$174+1)-INDEX($F55:$N55,0,S$174))/(INDEX($F$4:$N$4,0,S$174+1)-INDEX($F$4:$N$4,0,S$174))+R182)))</f>
        <v>105.23450837130574</v>
      </c>
      <c r="T182" s="3" cm="1">
        <f t="array" ref="T182">IF(T$174=-1,U182,IF(T$174=99,S182,IF(T$174=0,INDEX($F55:$N55,0,T$172),(INDEX($F55:$N55,0,T$174+1)-INDEX($F55:$N55,0,T$174))/(INDEX($F$4:$N$4,0,T$174+1)-INDEX($F$4:$N$4,0,T$174))+S182)))</f>
        <v>107.56726902609657</v>
      </c>
      <c r="U182" s="3" cm="1">
        <f t="array" ref="U182">IF(U$174=-1,V182,IF(U$174=99,T182,IF(U$174=0,INDEX($F55:$N55,0,U$172),(INDEX($F55:$N55,0,U$174+1)-INDEX($F55:$N55,0,U$174))/(INDEX($F$4:$N$4,0,U$174+1)-INDEX($F$4:$N$4,0,U$174))+T182)))</f>
        <v>109.78801043214619</v>
      </c>
      <c r="V182" s="3" cm="1">
        <f t="array" ref="V182">IF(V$174=-1,W182,IF(V$174=99,U182,IF(V$174=0,INDEX($F55:$N55,0,V$172),(INDEX($F55:$N55,0,V$174+1)-INDEX($F55:$N55,0,V$174))/(INDEX($F$4:$N$4,0,V$174+1)-INDEX($F$4:$N$4,0,V$174))+U182)))</f>
        <v>112.00875183819582</v>
      </c>
      <c r="W182" s="3" cm="1">
        <f t="array" ref="W182">IF(W$174=-1,X182,IF(W$174=99,V182,IF(W$174=0,INDEX($F55:$N55,0,W$172),(INDEX($F55:$N55,0,W$174+1)-INDEX($F55:$N55,0,W$174))/(INDEX($F$4:$N$4,0,W$174+1)-INDEX($F$4:$N$4,0,W$174))+V182)))</f>
        <v>114.22949324424545</v>
      </c>
      <c r="X182" s="3" cm="1">
        <f t="array" ref="X182">IF(X$174=-1,Y182,IF(X$174=99,W182,IF(X$174=0,INDEX($F55:$N55,0,X$172),(INDEX($F55:$N55,0,X$174+1)-INDEX($F55:$N55,0,X$174))/(INDEX($F$4:$N$4,0,X$174+1)-INDEX($F$4:$N$4,0,X$174))+W182)))</f>
        <v>116.45023465029507</v>
      </c>
      <c r="Y182" s="3" cm="1">
        <f t="array" ref="Y182">IF(Y$174=-1,Z182,IF(Y$174=99,X182,IF(Y$174=0,INDEX($F55:$N55,0,Y$172),(INDEX($F55:$N55,0,Y$174+1)-INDEX($F55:$N55,0,Y$174))/(INDEX($F$4:$N$4,0,Y$174+1)-INDEX($F$4:$N$4,0,Y$174))+X182)))</f>
        <v>118.6709760563447</v>
      </c>
      <c r="Z182" s="3" cm="1">
        <f t="array" ref="Z182">IF(Z$174=-1,AA182,IF(Z$174=99,Y182,IF(Z$174=0,INDEX($F55:$N55,0,Z$172),(INDEX($F55:$N55,0,Z$174+1)-INDEX($F55:$N55,0,Z$174))/(INDEX($F$4:$N$4,0,Z$174+1)-INDEX($F$4:$N$4,0,Z$174))+Y182)))</f>
        <v>120.89171746239433</v>
      </c>
      <c r="AA182" s="3" cm="1">
        <f t="array" ref="AA182">IF(AA$174=-1,AB182,IF(AA$174=99,Z182,IF(AA$174=0,INDEX($F55:$N55,0,AA$172),(INDEX($F55:$N55,0,AA$174+1)-INDEX($F55:$N55,0,AA$174))/(INDEX($F$4:$N$4,0,AA$174+1)-INDEX($F$4:$N$4,0,AA$174))+Z182)))</f>
        <v>123.11245886844395</v>
      </c>
      <c r="AB182" s="3" cm="1">
        <f t="array" ref="AB182">IF(AB$174=-1,AC182,IF(AB$174=99,AA182,IF(AB$174=0,INDEX($F55:$N55,0,AB$172),(INDEX($F55:$N55,0,AB$174+1)-INDEX($F55:$N55,0,AB$174))/(INDEX($F$4:$N$4,0,AB$174+1)-INDEX($F$4:$N$4,0,AB$174))+AA182)))</f>
        <v>125.33320027449358</v>
      </c>
      <c r="AC182" s="3" cm="1">
        <f t="array" ref="AC182">IF(AC$174=-1,AD182,IF(AC$174=99,AB182,IF(AC$174=0,INDEX($F55:$N55,0,AC$172),(INDEX($F55:$N55,0,AC$174+1)-INDEX($F55:$N55,0,AC$174))/(INDEX($F$4:$N$4,0,AC$174+1)-INDEX($F$4:$N$4,0,AC$174))+AB182)))</f>
        <v>127.55394168054322</v>
      </c>
      <c r="AD182" s="3" cm="1">
        <f t="array" ref="AD182">IF(AD$174=-1,AE182,IF(AD$174=99,AC182,IF(AD$174=0,INDEX($F55:$N55,0,AD$172),(INDEX($F55:$N55,0,AD$174+1)-INDEX($F55:$N55,0,AD$174))/(INDEX($F$4:$N$4,0,AD$174+1)-INDEX($F$4:$N$4,0,AD$174))+AC182)))</f>
        <v>131.12710407581815</v>
      </c>
      <c r="AE182" s="3" cm="1">
        <f t="array" ref="AE182">IF(AE$174=-1,AF182,IF(AE$174=99,AD182,IF(AE$174=0,INDEX($F55:$N55,0,AE$172),(INDEX($F55:$N55,0,AE$174+1)-INDEX($F55:$N55,0,AE$174))/(INDEX($F$4:$N$4,0,AE$174+1)-INDEX($F$4:$N$4,0,AE$174))+AD182)))</f>
        <v>134.7002664710931</v>
      </c>
      <c r="AF182" s="3" cm="1">
        <f t="array" ref="AF182">IF(AF$174=-1,AG182,IF(AF$174=99,AE182,IF(AF$174=0,INDEX($F55:$N55,0,AF$172),(INDEX($F55:$N55,0,AF$174+1)-INDEX($F55:$N55,0,AF$174))/(INDEX($F$4:$N$4,0,AF$174+1)-INDEX($F$4:$N$4,0,AF$174))+AE182)))</f>
        <v>138.27342886636805</v>
      </c>
      <c r="AG182" s="3" cm="1">
        <f t="array" ref="AG182">IF(AG$174=-1,AH182,IF(AG$174=99,AF182,IF(AG$174=0,INDEX($F55:$N55,0,AG$172),(INDEX($F55:$N55,0,AG$174+1)-INDEX($F55:$N55,0,AG$174))/(INDEX($F$4:$N$4,0,AG$174+1)-INDEX($F$4:$N$4,0,AG$174))+AF182)))</f>
        <v>141.846591261643</v>
      </c>
      <c r="AH182" s="3" cm="1">
        <f t="array" ref="AH182">IF(AH$174=-1,AI182,IF(AH$174=99,AG182,IF(AH$174=0,INDEX($F55:$N55,0,AH$172),(INDEX($F55:$N55,0,AH$174+1)-INDEX($F55:$N55,0,AH$174))/(INDEX($F$4:$N$4,0,AH$174+1)-INDEX($F$4:$N$4,0,AH$174))+AG182)))</f>
        <v>145.41975365691795</v>
      </c>
      <c r="AI182" s="3" cm="1">
        <f t="array" ref="AI182">IF(AI$174=-1,AJ182,IF(AI$174=99,AH182,IF(AI$174=0,INDEX($F55:$N55,0,AI$172),(INDEX($F55:$N55,0,AI$174+1)-INDEX($F55:$N55,0,AI$174))/(INDEX($F$4:$N$4,0,AI$174+1)-INDEX($F$4:$N$4,0,AI$174))+AH182)))</f>
        <v>148.9929160521929</v>
      </c>
      <c r="AJ182" s="3" cm="1">
        <f t="array" ref="AJ182">IF(AJ$174=-1,AK182,IF(AJ$174=99,AI182,IF(AJ$174=0,INDEX($F55:$N55,0,AJ$172),(INDEX($F55:$N55,0,AJ$174+1)-INDEX($F55:$N55,0,AJ$174))/(INDEX($F$4:$N$4,0,AJ$174+1)-INDEX($F$4:$N$4,0,AJ$174))+AI182)))</f>
        <v>152.56607844746785</v>
      </c>
      <c r="AK182" s="3" cm="1">
        <f t="array" ref="AK182">IF(AK$174=-1,AL182,IF(AK$174=99,AJ182,IF(AK$174=0,INDEX($F55:$N55,0,AK$172),(INDEX($F55:$N55,0,AK$174+1)-INDEX($F55:$N55,0,AK$174))/(INDEX($F$4:$N$4,0,AK$174+1)-INDEX($F$4:$N$4,0,AK$174))+AJ182)))</f>
        <v>156.13924084274279</v>
      </c>
      <c r="AL182" s="3" cm="1">
        <f t="array" ref="AL182">IF(AL$174=-1,AM182,IF(AL$174=99,AK182,IF(AL$174=0,INDEX($F55:$N55,0,AL$172),(INDEX($F55:$N55,0,AL$174+1)-INDEX($F55:$N55,0,AL$174))/(INDEX($F$4:$N$4,0,AL$174+1)-INDEX($F$4:$N$4,0,AL$174))+AK182)))</f>
        <v>159.71240323801774</v>
      </c>
      <c r="AM182" s="3" cm="1">
        <f t="array" ref="AM182">IF(AM$174=-1,AN182,IF(AM$174=99,AL182,IF(AM$174=0,INDEX($F55:$N55,0,AM$172),(INDEX($F55:$N55,0,AM$174+1)-INDEX($F55:$N55,0,AM$174))/(INDEX($F$4:$N$4,0,AM$174+1)-INDEX($F$4:$N$4,0,AM$174))+AL182)))</f>
        <v>163.28556563329269</v>
      </c>
      <c r="AN182" s="3" cm="1">
        <f t="array" ref="AN182">IF(AN$174=-1,AO182,IF(AN$174=99,AM182,IF(AN$174=0,INDEX($F55:$N55,0,AN$172),(INDEX($F55:$N55,0,AN$174+1)-INDEX($F55:$N55,0,AN$174))/(INDEX($F$4:$N$4,0,AN$174+1)-INDEX($F$4:$N$4,0,AN$174))+AM182)))</f>
        <v>166.10415083500112</v>
      </c>
      <c r="AO182" s="3" cm="1">
        <f t="array" ref="AO182">IF(AO$174=-1,AP182,IF(AO$174=99,AN182,IF(AO$174=0,INDEX($F55:$N55,0,AO$172),(INDEX($F55:$N55,0,AO$174+1)-INDEX($F55:$N55,0,AO$174))/(INDEX($F$4:$N$4,0,AO$174+1)-INDEX($F$4:$N$4,0,AO$174))+AN182)))</f>
        <v>191.47141765037702</v>
      </c>
      <c r="AP182" s="3" cm="1">
        <f t="array" ref="AP182">IF(AP$174=-1,AQ182,IF(AP$174=99,AO182,IF(AP$174=0,INDEX($F55:$N55,0,AP$172),(INDEX($F55:$N55,0,AP$174+1)-INDEX($F55:$N55,0,AP$174))/(INDEX($F$4:$N$4,0,AP$174+1)-INDEX($F$4:$N$4,0,AP$174))+AO182)))</f>
        <v>191.47141765037702</v>
      </c>
      <c r="AQ182" s="3" cm="1">
        <f t="array" ref="AQ182">IF(AQ$174=-1,AR182,IF(AQ$174=99,AP182,IF(AQ$174=0,INDEX($F55:$N55,0,AQ$172),(INDEX($F55:$N55,0,AQ$174+1)-INDEX($F55:$N55,0,AQ$174))/(INDEX($F$4:$N$4,0,AQ$174+1)-INDEX($F$4:$N$4,0,AQ$174))+AP182)))</f>
        <v>191.47141765037702</v>
      </c>
      <c r="AZ182" s="3"/>
      <c r="BA182" s="3"/>
      <c r="BB182" s="3"/>
      <c r="BC182" s="3"/>
      <c r="BD182" s="3"/>
      <c r="BE182" s="3"/>
    </row>
    <row r="183" spans="1:57">
      <c r="A183" t="s">
        <v>16</v>
      </c>
      <c r="B183" s="16" t="str">
        <f t="shared" si="248"/>
        <v/>
      </c>
      <c r="C183" s="17" t="str">
        <f t="shared" si="249"/>
        <v/>
      </c>
      <c r="D183" s="48"/>
      <c r="E183" s="17" t="str">
        <f t="shared" si="250"/>
        <v/>
      </c>
      <c r="F183" s="17" t="str">
        <f t="shared" si="250"/>
        <v/>
      </c>
      <c r="G183" s="17" t="str">
        <f t="shared" si="250"/>
        <v/>
      </c>
      <c r="H183" s="17"/>
      <c r="I183" s="17" t="str">
        <f t="shared" si="250"/>
        <v/>
      </c>
      <c r="J183" s="119" t="str">
        <f t="shared" si="252"/>
        <v>TFHCV7</v>
      </c>
      <c r="K183" s="3">
        <f t="shared" si="253"/>
        <v>35.353370344628992</v>
      </c>
      <c r="L183" s="3" cm="1">
        <f t="array" ref="L183">IF(L$174=-1,M183,IF(L$174=99,K183,IF(L$174=0,INDEX($F56:$N56,0,L$172),(INDEX($F56:$N56,0,L$174+1)-INDEX($F56:$N56,0,L$174))/(INDEX($F$4:$N$4,0,L$174+1)-INDEX($F$4:$N$4,0,L$174))+K183)))</f>
        <v>35.987274200343343</v>
      </c>
      <c r="M183" s="3" cm="1">
        <f t="array" ref="M183">IF(M$174=-1,N183,IF(M$174=99,L183,IF(M$174=0,INDEX($F56:$N56,0,M$172),(INDEX($F56:$N56,0,M$174+1)-INDEX($F56:$N56,0,M$174))/(INDEX($F$4:$N$4,0,M$174+1)-INDEX($F$4:$N$4,0,M$174))+L183)))</f>
        <v>36.621178056057694</v>
      </c>
      <c r="N183" s="3" cm="1">
        <f t="array" ref="N183">IF(N$174=-1,O183,IF(N$174=99,M183,IF(N$174=0,INDEX($F56:$N56,0,N$172),(INDEX($F56:$N56,0,N$174+1)-INDEX($F56:$N56,0,N$174))/(INDEX($F$4:$N$4,0,N$174+1)-INDEX($F$4:$N$4,0,N$174))+M183)))</f>
        <v>37.255081911772038</v>
      </c>
      <c r="O183" s="3" cm="1">
        <f t="array" ref="O183">IF(O$174=-1,P183,IF(O$174=99,N183,IF(O$174=0,INDEX($F56:$N56,0,O$172),(INDEX($F56:$N56,0,O$174+1)-INDEX($F56:$N56,0,O$174))/(INDEX($F$4:$N$4,0,O$174+1)-INDEX($F$4:$N$4,0,O$174))+N183)))</f>
        <v>37.597628393154594</v>
      </c>
      <c r="P183" s="3" cm="1">
        <f t="array" ref="P183">IF(P$174=-1,Q183,IF(P$174=99,O183,IF(P$174=0,INDEX($F56:$N56,0,P$172),(INDEX($F56:$N56,0,P$174+1)-INDEX($F56:$N56,0,P$174))/(INDEX($F$4:$N$4,0,P$174+1)-INDEX($F$4:$N$4,0,P$174))+O183)))</f>
        <v>37.940174874537156</v>
      </c>
      <c r="Q183" s="3" cm="1">
        <f t="array" ref="Q183">IF(Q$174=-1,R183,IF(Q$174=99,P183,IF(Q$174=0,INDEX($F56:$N56,0,Q$172),(INDEX($F56:$N56,0,Q$174+1)-INDEX($F56:$N56,0,Q$174))/(INDEX($F$4:$N$4,0,Q$174+1)-INDEX($F$4:$N$4,0,Q$174))+P183)))</f>
        <v>38.176305497866991</v>
      </c>
      <c r="R183" s="3" cm="1">
        <f t="array" ref="R183">IF(R$174=-1,S183,IF(R$174=99,Q183,IF(R$174=0,INDEX($F56:$N56,0,R$172),(INDEX($F56:$N56,0,R$174+1)-INDEX($F56:$N56,0,R$174))/(INDEX($F$4:$N$4,0,R$174+1)-INDEX($F$4:$N$4,0,R$174))+Q183)))</f>
        <v>38.412436121196819</v>
      </c>
      <c r="S183" s="3" cm="1">
        <f t="array" ref="S183">IF(S$174=-1,T183,IF(S$174=99,R183,IF(S$174=0,INDEX($F56:$N56,0,S$172),(INDEX($F56:$N56,0,S$174+1)-INDEX($F56:$N56,0,S$174))/(INDEX($F$4:$N$4,0,S$174+1)-INDEX($F$4:$N$4,0,S$174))+R183)))</f>
        <v>36.977043270484465</v>
      </c>
      <c r="T183" s="3" cm="1">
        <f t="array" ref="T183">IF(T$174=-1,U183,IF(T$174=99,S183,IF(T$174=0,INDEX($F56:$N56,0,T$172),(INDEX($F56:$N56,0,T$174+1)-INDEX($F56:$N56,0,T$174))/(INDEX($F$4:$N$4,0,T$174+1)-INDEX($F$4:$N$4,0,T$174))+S183)))</f>
        <v>37.79672298398237</v>
      </c>
      <c r="U183" s="3" cm="1">
        <f t="array" ref="U183">IF(U$174=-1,V183,IF(U$174=99,T183,IF(U$174=0,INDEX($F56:$N56,0,U$172),(INDEX($F56:$N56,0,U$174+1)-INDEX($F56:$N56,0,U$174))/(INDEX($F$4:$N$4,0,U$174+1)-INDEX($F$4:$N$4,0,U$174))+T183)))</f>
        <v>38.577041648790654</v>
      </c>
      <c r="V183" s="3" cm="1">
        <f t="array" ref="V183">IF(V$174=-1,W183,IF(V$174=99,U183,IF(V$174=0,INDEX($F56:$N56,0,V$172),(INDEX($F56:$N56,0,V$174+1)-INDEX($F56:$N56,0,V$174))/(INDEX($F$4:$N$4,0,V$174+1)-INDEX($F$4:$N$4,0,V$174))+U183)))</f>
        <v>39.357360313598939</v>
      </c>
      <c r="W183" s="3" cm="1">
        <f t="array" ref="W183">IF(W$174=-1,X183,IF(W$174=99,V183,IF(W$174=0,INDEX($F56:$N56,0,W$172),(INDEX($F56:$N56,0,W$174+1)-INDEX($F56:$N56,0,W$174))/(INDEX($F$4:$N$4,0,W$174+1)-INDEX($F$4:$N$4,0,W$174))+V183)))</f>
        <v>40.137678978407223</v>
      </c>
      <c r="X183" s="3" cm="1">
        <f t="array" ref="X183">IF(X$174=-1,Y183,IF(X$174=99,W183,IF(X$174=0,INDEX($F56:$N56,0,X$172),(INDEX($F56:$N56,0,X$174+1)-INDEX($F56:$N56,0,X$174))/(INDEX($F$4:$N$4,0,X$174+1)-INDEX($F$4:$N$4,0,X$174))+W183)))</f>
        <v>40.917997643215507</v>
      </c>
      <c r="Y183" s="3" cm="1">
        <f t="array" ref="Y183">IF(Y$174=-1,Z183,IF(Y$174=99,X183,IF(Y$174=0,INDEX($F56:$N56,0,Y$172),(INDEX($F56:$N56,0,Y$174+1)-INDEX($F56:$N56,0,Y$174))/(INDEX($F$4:$N$4,0,Y$174+1)-INDEX($F$4:$N$4,0,Y$174))+X183)))</f>
        <v>41.698316308023792</v>
      </c>
      <c r="Z183" s="3" cm="1">
        <f t="array" ref="Z183">IF(Z$174=-1,AA183,IF(Z$174=99,Y183,IF(Z$174=0,INDEX($F56:$N56,0,Z$172),(INDEX($F56:$N56,0,Z$174+1)-INDEX($F56:$N56,0,Z$174))/(INDEX($F$4:$N$4,0,Z$174+1)-INDEX($F$4:$N$4,0,Z$174))+Y183)))</f>
        <v>42.478634972832076</v>
      </c>
      <c r="AA183" s="3" cm="1">
        <f t="array" ref="AA183">IF(AA$174=-1,AB183,IF(AA$174=99,Z183,IF(AA$174=0,INDEX($F56:$N56,0,AA$172),(INDEX($F56:$N56,0,AA$174+1)-INDEX($F56:$N56,0,AA$174))/(INDEX($F$4:$N$4,0,AA$174+1)-INDEX($F$4:$N$4,0,AA$174))+Z183)))</f>
        <v>43.25895363764036</v>
      </c>
      <c r="AB183" s="3" cm="1">
        <f t="array" ref="AB183">IF(AB$174=-1,AC183,IF(AB$174=99,AA183,IF(AB$174=0,INDEX($F56:$N56,0,AB$172),(INDEX($F56:$N56,0,AB$174+1)-INDEX($F56:$N56,0,AB$174))/(INDEX($F$4:$N$4,0,AB$174+1)-INDEX($F$4:$N$4,0,AB$174))+AA183)))</f>
        <v>44.039272302448644</v>
      </c>
      <c r="AC183" s="3" cm="1">
        <f t="array" ref="AC183">IF(AC$174=-1,AD183,IF(AC$174=99,AB183,IF(AC$174=0,INDEX($F56:$N56,0,AC$172),(INDEX($F56:$N56,0,AC$174+1)-INDEX($F56:$N56,0,AC$174))/(INDEX($F$4:$N$4,0,AC$174+1)-INDEX($F$4:$N$4,0,AC$174))+AB183)))</f>
        <v>44.819590967256929</v>
      </c>
      <c r="AD183" s="3" cm="1">
        <f t="array" ref="AD183">IF(AD$174=-1,AE183,IF(AD$174=99,AC183,IF(AD$174=0,INDEX($F56:$N56,0,AD$172),(INDEX($F56:$N56,0,AD$174+1)-INDEX($F56:$N56,0,AD$174))/(INDEX($F$4:$N$4,0,AD$174+1)-INDEX($F$4:$N$4,0,AD$174))+AC183)))</f>
        <v>46.075119999961338</v>
      </c>
      <c r="AE183" s="3" cm="1">
        <f t="array" ref="AE183">IF(AE$174=-1,AF183,IF(AE$174=99,AD183,IF(AE$174=0,INDEX($F56:$N56,0,AE$172),(INDEX($F56:$N56,0,AE$174+1)-INDEX($F56:$N56,0,AE$174))/(INDEX($F$4:$N$4,0,AE$174+1)-INDEX($F$4:$N$4,0,AE$174))+AD183)))</f>
        <v>47.330649032665747</v>
      </c>
      <c r="AF183" s="3" cm="1">
        <f t="array" ref="AF183">IF(AF$174=-1,AG183,IF(AF$174=99,AE183,IF(AF$174=0,INDEX($F56:$N56,0,AF$172),(INDEX($F56:$N56,0,AF$174+1)-INDEX($F56:$N56,0,AF$174))/(INDEX($F$4:$N$4,0,AF$174+1)-INDEX($F$4:$N$4,0,AF$174))+AE183)))</f>
        <v>48.586178065370156</v>
      </c>
      <c r="AG183" s="3" cm="1">
        <f t="array" ref="AG183">IF(AG$174=-1,AH183,IF(AG$174=99,AF183,IF(AG$174=0,INDEX($F56:$N56,0,AG$172),(INDEX($F56:$N56,0,AG$174+1)-INDEX($F56:$N56,0,AG$174))/(INDEX($F$4:$N$4,0,AG$174+1)-INDEX($F$4:$N$4,0,AG$174))+AF183)))</f>
        <v>49.841707098074565</v>
      </c>
      <c r="AH183" s="3" cm="1">
        <f t="array" ref="AH183">IF(AH$174=-1,AI183,IF(AH$174=99,AG183,IF(AH$174=0,INDEX($F56:$N56,0,AH$172),(INDEX($F56:$N56,0,AH$174+1)-INDEX($F56:$N56,0,AH$174))/(INDEX($F$4:$N$4,0,AH$174+1)-INDEX($F$4:$N$4,0,AH$174))+AG183)))</f>
        <v>51.097236130778974</v>
      </c>
      <c r="AI183" s="3" cm="1">
        <f t="array" ref="AI183">IF(AI$174=-1,AJ183,IF(AI$174=99,AH183,IF(AI$174=0,INDEX($F56:$N56,0,AI$172),(INDEX($F56:$N56,0,AI$174+1)-INDEX($F56:$N56,0,AI$174))/(INDEX($F$4:$N$4,0,AI$174+1)-INDEX($F$4:$N$4,0,AI$174))+AH183)))</f>
        <v>52.352765163483383</v>
      </c>
      <c r="AJ183" s="3" cm="1">
        <f t="array" ref="AJ183">IF(AJ$174=-1,AK183,IF(AJ$174=99,AI183,IF(AJ$174=0,INDEX($F56:$N56,0,AJ$172),(INDEX($F56:$N56,0,AJ$174+1)-INDEX($F56:$N56,0,AJ$174))/(INDEX($F$4:$N$4,0,AJ$174+1)-INDEX($F$4:$N$4,0,AJ$174))+AI183)))</f>
        <v>53.608294196187792</v>
      </c>
      <c r="AK183" s="3" cm="1">
        <f t="array" ref="AK183">IF(AK$174=-1,AL183,IF(AK$174=99,AJ183,IF(AK$174=0,INDEX($F56:$N56,0,AK$172),(INDEX($F56:$N56,0,AK$174+1)-INDEX($F56:$N56,0,AK$174))/(INDEX($F$4:$N$4,0,AK$174+1)-INDEX($F$4:$N$4,0,AK$174))+AJ183)))</f>
        <v>54.863823228892201</v>
      </c>
      <c r="AL183" s="3" cm="1">
        <f t="array" ref="AL183">IF(AL$174=-1,AM183,IF(AL$174=99,AK183,IF(AL$174=0,INDEX($F56:$N56,0,AL$172),(INDEX($F56:$N56,0,AL$174+1)-INDEX($F56:$N56,0,AL$174))/(INDEX($F$4:$N$4,0,AL$174+1)-INDEX($F$4:$N$4,0,AL$174))+AK183)))</f>
        <v>56.11935226159661</v>
      </c>
      <c r="AM183" s="3" cm="1">
        <f t="array" ref="AM183">IF(AM$174=-1,AN183,IF(AM$174=99,AL183,IF(AM$174=0,INDEX($F56:$N56,0,AM$172),(INDEX($F56:$N56,0,AM$174+1)-INDEX($F56:$N56,0,AM$174))/(INDEX($F$4:$N$4,0,AM$174+1)-INDEX($F$4:$N$4,0,AM$174))+AL183)))</f>
        <v>57.374881294301034</v>
      </c>
      <c r="AN183" s="3" cm="1">
        <f t="array" ref="AN183">IF(AN$174=-1,AO183,IF(AN$174=99,AM183,IF(AN$174=0,INDEX($F56:$N56,0,AN$172),(INDEX($F56:$N56,0,AN$174+1)-INDEX($F56:$N56,0,AN$174))/(INDEX($F$4:$N$4,0,AN$174+1)-INDEX($F$4:$N$4,0,AN$174))+AM183)))</f>
        <v>58.36526884471732</v>
      </c>
      <c r="AO183" s="3" cm="1">
        <f t="array" ref="AO183">IF(AO$174=-1,AP183,IF(AO$174=99,AN183,IF(AO$174=0,INDEX($F56:$N56,0,AO$172),(INDEX($F56:$N56,0,AO$174+1)-INDEX($F56:$N56,0,AO$174))/(INDEX($F$4:$N$4,0,AO$174+1)-INDEX($F$4:$N$4,0,AO$174))+AN183)))</f>
        <v>67.278756798463917</v>
      </c>
      <c r="AP183" s="3" cm="1">
        <f t="array" ref="AP183">IF(AP$174=-1,AQ183,IF(AP$174=99,AO183,IF(AP$174=0,INDEX($F56:$N56,0,AP$172),(INDEX($F56:$N56,0,AP$174+1)-INDEX($F56:$N56,0,AP$174))/(INDEX($F$4:$N$4,0,AP$174+1)-INDEX($F$4:$N$4,0,AP$174))+AO183)))</f>
        <v>67.278756798463917</v>
      </c>
      <c r="AQ183" s="3" cm="1">
        <f t="array" ref="AQ183">IF(AQ$174=-1,AR183,IF(AQ$174=99,AP183,IF(AQ$174=0,INDEX($F56:$N56,0,AQ$172),(INDEX($F56:$N56,0,AQ$174+1)-INDEX($F56:$N56,0,AQ$174))/(INDEX($F$4:$N$4,0,AQ$174+1)-INDEX($F$4:$N$4,0,AQ$174))+AP183)))</f>
        <v>67.278756798463917</v>
      </c>
      <c r="AZ183" s="3"/>
      <c r="BA183" s="3"/>
      <c r="BB183" s="3"/>
      <c r="BC183" s="3"/>
      <c r="BD183" s="3"/>
      <c r="BE183" s="3"/>
    </row>
    <row r="184" spans="1:57">
      <c r="A184" t="s">
        <v>16</v>
      </c>
      <c r="B184" s="16" t="str">
        <f t="shared" si="248"/>
        <v/>
      </c>
      <c r="C184" s="17" t="str">
        <f t="shared" si="249"/>
        <v/>
      </c>
      <c r="D184" s="48"/>
      <c r="E184" s="17" t="str">
        <f t="shared" si="250"/>
        <v/>
      </c>
      <c r="F184" s="17" t="str">
        <f t="shared" si="250"/>
        <v/>
      </c>
      <c r="G184" s="17" t="str">
        <f t="shared" si="250"/>
        <v/>
      </c>
      <c r="H184" s="17"/>
      <c r="I184" s="17" t="str">
        <f t="shared" si="250"/>
        <v/>
      </c>
      <c r="J184" s="119" t="str">
        <f t="shared" si="252"/>
        <v>TFHCV8</v>
      </c>
      <c r="K184" s="3">
        <f t="shared" si="253"/>
        <v>1.3011202447704153</v>
      </c>
      <c r="L184" s="3" cm="1">
        <f t="array" ref="L184">IF(L$174=-1,M184,IF(L$174=99,K184,IF(L$174=0,INDEX($F57:$N57,0,L$172),(INDEX($F57:$N57,0,L$174+1)-INDEX($F57:$N57,0,L$174))/(INDEX($F$4:$N$4,0,L$174+1)-INDEX($F$4:$N$4,0,L$174))+K184)))</f>
        <v>1.3244499904740881</v>
      </c>
      <c r="M184" s="3" cm="1">
        <f t="array" ref="M184">IF(M$174=-1,N184,IF(M$174=99,L184,IF(M$174=0,INDEX($F57:$N57,0,M$172),(INDEX($F57:$N57,0,M$174+1)-INDEX($F57:$N57,0,M$174))/(INDEX($F$4:$N$4,0,M$174+1)-INDEX($F$4:$N$4,0,M$174))+L184)))</f>
        <v>1.3477797361777608</v>
      </c>
      <c r="N184" s="3" cm="1">
        <f t="array" ref="N184">IF(N$174=-1,O184,IF(N$174=99,M184,IF(N$174=0,INDEX($F57:$N57,0,N$172),(INDEX($F57:$N57,0,N$174+1)-INDEX($F57:$N57,0,N$174))/(INDEX($F$4:$N$4,0,N$174+1)-INDEX($F$4:$N$4,0,N$174))+M184)))</f>
        <v>1.3711094818814338</v>
      </c>
      <c r="O184" s="3" cm="1">
        <f t="array" ref="O184">IF(O$174=-1,P184,IF(O$174=99,N184,IF(O$174=0,INDEX($F57:$N57,0,O$172),(INDEX($F57:$N57,0,O$174+1)-INDEX($F57:$N57,0,O$174))/(INDEX($F$4:$N$4,0,O$174+1)-INDEX($F$4:$N$4,0,O$174))+N184)))</f>
        <v>1.3837163184392227</v>
      </c>
      <c r="P184" s="3" cm="1">
        <f t="array" ref="P184">IF(P$174=-1,Q184,IF(P$174=99,O184,IF(P$174=0,INDEX($F57:$N57,0,P$172),(INDEX($F57:$N57,0,P$174+1)-INDEX($F57:$N57,0,P$174))/(INDEX($F$4:$N$4,0,P$174+1)-INDEX($F$4:$N$4,0,P$174))+O184)))</f>
        <v>1.3963231549970117</v>
      </c>
      <c r="Q184" s="3" cm="1">
        <f t="array" ref="Q184">IF(Q$174=-1,R184,IF(Q$174=99,P184,IF(Q$174=0,INDEX($F57:$N57,0,Q$172),(INDEX($F57:$N57,0,Q$174+1)-INDEX($F57:$N57,0,Q$174))/(INDEX($F$4:$N$4,0,Q$174+1)-INDEX($F$4:$N$4,0,Q$174))+P184)))</f>
        <v>1.4050135381607594</v>
      </c>
      <c r="R184" s="3" cm="1">
        <f t="array" ref="R184">IF(R$174=-1,S184,IF(R$174=99,Q184,IF(R$174=0,INDEX($F57:$N57,0,R$172),(INDEX($F57:$N57,0,R$174+1)-INDEX($F57:$N57,0,R$174))/(INDEX($F$4:$N$4,0,R$174+1)-INDEX($F$4:$N$4,0,R$174))+Q184)))</f>
        <v>1.4137039213245071</v>
      </c>
      <c r="S184" s="3" cm="1">
        <f t="array" ref="S184">IF(S$174=-1,T184,IF(S$174=99,R184,IF(S$174=0,INDEX($F57:$N57,0,S$172),(INDEX($F57:$N57,0,S$174+1)-INDEX($F57:$N57,0,S$174))/(INDEX($F$4:$N$4,0,S$174+1)-INDEX($F$4:$N$4,0,S$174))+R184)))</f>
        <v>1.3608767458938542</v>
      </c>
      <c r="T184" s="3" cm="1">
        <f t="array" ref="T184">IF(T$174=-1,U184,IF(T$174=99,S184,IF(T$174=0,INDEX($F57:$N57,0,T$172),(INDEX($F57:$N57,0,T$174+1)-INDEX($F57:$N57,0,T$174))/(INDEX($F$4:$N$4,0,T$174+1)-INDEX($F$4:$N$4,0,T$174))+S184)))</f>
        <v>1.3910436538594411</v>
      </c>
      <c r="U184" s="3" cm="1">
        <f t="array" ref="U184">IF(U$174=-1,V184,IF(U$174=99,T184,IF(U$174=0,INDEX($F57:$N57,0,U$172),(INDEX($F57:$N57,0,U$174+1)-INDEX($F57:$N57,0,U$174))/(INDEX($F$4:$N$4,0,U$174+1)-INDEX($F$4:$N$4,0,U$174))+T184)))</f>
        <v>1.4197619458428397</v>
      </c>
      <c r="V184" s="3" cm="1">
        <f t="array" ref="V184">IF(V$174=-1,W184,IF(V$174=99,U184,IF(V$174=0,INDEX($F57:$N57,0,V$172),(INDEX($F57:$N57,0,V$174+1)-INDEX($F57:$N57,0,V$174))/(INDEX($F$4:$N$4,0,V$174+1)-INDEX($F$4:$N$4,0,V$174))+U184)))</f>
        <v>1.4484802378262382</v>
      </c>
      <c r="W184" s="3" cm="1">
        <f t="array" ref="W184">IF(W$174=-1,X184,IF(W$174=99,V184,IF(W$174=0,INDEX($F57:$N57,0,W$172),(INDEX($F57:$N57,0,W$174+1)-INDEX($F57:$N57,0,W$174))/(INDEX($F$4:$N$4,0,W$174+1)-INDEX($F$4:$N$4,0,W$174))+V184)))</f>
        <v>1.4771985298096368</v>
      </c>
      <c r="X184" s="3" cm="1">
        <f t="array" ref="X184">IF(X$174=-1,Y184,IF(X$174=99,W184,IF(X$174=0,INDEX($F57:$N57,0,X$172),(INDEX($F57:$N57,0,X$174+1)-INDEX($F57:$N57,0,X$174))/(INDEX($F$4:$N$4,0,X$174+1)-INDEX($F$4:$N$4,0,X$174))+W184)))</f>
        <v>1.5059168217930354</v>
      </c>
      <c r="Y184" s="3" cm="1">
        <f t="array" ref="Y184">IF(Y$174=-1,Z184,IF(Y$174=99,X184,IF(Y$174=0,INDEX($F57:$N57,0,Y$172),(INDEX($F57:$N57,0,Y$174+1)-INDEX($F57:$N57,0,Y$174))/(INDEX($F$4:$N$4,0,Y$174+1)-INDEX($F$4:$N$4,0,Y$174))+X184)))</f>
        <v>1.534635113776434</v>
      </c>
      <c r="Z184" s="3" cm="1">
        <f t="array" ref="Z184">IF(Z$174=-1,AA184,IF(Z$174=99,Y184,IF(Z$174=0,INDEX($F57:$N57,0,Z$172),(INDEX($F57:$N57,0,Z$174+1)-INDEX($F57:$N57,0,Z$174))/(INDEX($F$4:$N$4,0,Z$174+1)-INDEX($F$4:$N$4,0,Z$174))+Y184)))</f>
        <v>1.5633534057598326</v>
      </c>
      <c r="AA184" s="3" cm="1">
        <f t="array" ref="AA184">IF(AA$174=-1,AB184,IF(AA$174=99,Z184,IF(AA$174=0,INDEX($F57:$N57,0,AA$172),(INDEX($F57:$N57,0,AA$174+1)-INDEX($F57:$N57,0,AA$174))/(INDEX($F$4:$N$4,0,AA$174+1)-INDEX($F$4:$N$4,0,AA$174))+Z184)))</f>
        <v>1.5920716977432312</v>
      </c>
      <c r="AB184" s="3" cm="1">
        <f t="array" ref="AB184">IF(AB$174=-1,AC184,IF(AB$174=99,AA184,IF(AB$174=0,INDEX($F57:$N57,0,AB$172),(INDEX($F57:$N57,0,AB$174+1)-INDEX($F57:$N57,0,AB$174))/(INDEX($F$4:$N$4,0,AB$174+1)-INDEX($F$4:$N$4,0,AB$174))+AA184)))</f>
        <v>1.6207899897266298</v>
      </c>
      <c r="AC184" s="3" cm="1">
        <f t="array" ref="AC184">IF(AC$174=-1,AD184,IF(AC$174=99,AB184,IF(AC$174=0,INDEX($F57:$N57,0,AC$172),(INDEX($F57:$N57,0,AC$174+1)-INDEX($F57:$N57,0,AC$174))/(INDEX($F$4:$N$4,0,AC$174+1)-INDEX($F$4:$N$4,0,AC$174))+AB184)))</f>
        <v>1.6495082817100282</v>
      </c>
      <c r="AD184" s="3" cm="1">
        <f t="array" ref="AD184">IF(AD$174=-1,AE184,IF(AD$174=99,AC184,IF(AD$174=0,INDEX($F57:$N57,0,AD$172),(INDEX($F57:$N57,0,AD$174+1)-INDEX($F57:$N57,0,AD$174))/(INDEX($F$4:$N$4,0,AD$174+1)-INDEX($F$4:$N$4,0,AD$174))+AC184)))</f>
        <v>1.6957158773769829</v>
      </c>
      <c r="AE184" s="3" cm="1">
        <f t="array" ref="AE184">IF(AE$174=-1,AF184,IF(AE$174=99,AD184,IF(AE$174=0,INDEX($F57:$N57,0,AE$172),(INDEX($F57:$N57,0,AE$174+1)-INDEX($F57:$N57,0,AE$174))/(INDEX($F$4:$N$4,0,AE$174+1)-INDEX($F$4:$N$4,0,AE$174))+AD184)))</f>
        <v>1.7419234730439377</v>
      </c>
      <c r="AF184" s="3" cm="1">
        <f t="array" ref="AF184">IF(AF$174=-1,AG184,IF(AF$174=99,AE184,IF(AF$174=0,INDEX($F57:$N57,0,AF$172),(INDEX($F57:$N57,0,AF$174+1)-INDEX($F57:$N57,0,AF$174))/(INDEX($F$4:$N$4,0,AF$174+1)-INDEX($F$4:$N$4,0,AF$174))+AE184)))</f>
        <v>1.7881310687108924</v>
      </c>
      <c r="AG184" s="3" cm="1">
        <f t="array" ref="AG184">IF(AG$174=-1,AH184,IF(AG$174=99,AF184,IF(AG$174=0,INDEX($F57:$N57,0,AG$172),(INDEX($F57:$N57,0,AG$174+1)-INDEX($F57:$N57,0,AG$174))/(INDEX($F$4:$N$4,0,AG$174+1)-INDEX($F$4:$N$4,0,AG$174))+AF184)))</f>
        <v>1.8343386643778472</v>
      </c>
      <c r="AH184" s="3" cm="1">
        <f t="array" ref="AH184">IF(AH$174=-1,AI184,IF(AH$174=99,AG184,IF(AH$174=0,INDEX($F57:$N57,0,AH$172),(INDEX($F57:$N57,0,AH$174+1)-INDEX($F57:$N57,0,AH$174))/(INDEX($F$4:$N$4,0,AH$174+1)-INDEX($F$4:$N$4,0,AH$174))+AG184)))</f>
        <v>1.880546260044802</v>
      </c>
      <c r="AI184" s="3" cm="1">
        <f t="array" ref="AI184">IF(AI$174=-1,AJ184,IF(AI$174=99,AH184,IF(AI$174=0,INDEX($F57:$N57,0,AI$172),(INDEX($F57:$N57,0,AI$174+1)-INDEX($F57:$N57,0,AI$174))/(INDEX($F$4:$N$4,0,AI$174+1)-INDEX($F$4:$N$4,0,AI$174))+AH184)))</f>
        <v>1.9267538557117567</v>
      </c>
      <c r="AJ184" s="3" cm="1">
        <f t="array" ref="AJ184">IF(AJ$174=-1,AK184,IF(AJ$174=99,AI184,IF(AJ$174=0,INDEX($F57:$N57,0,AJ$172),(INDEX($F57:$N57,0,AJ$174+1)-INDEX($F57:$N57,0,AJ$174))/(INDEX($F$4:$N$4,0,AJ$174+1)-INDEX($F$4:$N$4,0,AJ$174))+AI184)))</f>
        <v>1.9729614513787115</v>
      </c>
      <c r="AK184" s="3" cm="1">
        <f t="array" ref="AK184">IF(AK$174=-1,AL184,IF(AK$174=99,AJ184,IF(AK$174=0,INDEX($F57:$N57,0,AK$172),(INDEX($F57:$N57,0,AK$174+1)-INDEX($F57:$N57,0,AK$174))/(INDEX($F$4:$N$4,0,AK$174+1)-INDEX($F$4:$N$4,0,AK$174))+AJ184)))</f>
        <v>2.0191690470456662</v>
      </c>
      <c r="AL184" s="3" cm="1">
        <f t="array" ref="AL184">IF(AL$174=-1,AM184,IF(AL$174=99,AK184,IF(AL$174=0,INDEX($F57:$N57,0,AL$172),(INDEX($F57:$N57,0,AL$174+1)-INDEX($F57:$N57,0,AL$174))/(INDEX($F$4:$N$4,0,AL$174+1)-INDEX($F$4:$N$4,0,AL$174))+AK184)))</f>
        <v>2.065376642712621</v>
      </c>
      <c r="AM184" s="3" cm="1">
        <f t="array" ref="AM184">IF(AM$174=-1,AN184,IF(AM$174=99,AL184,IF(AM$174=0,INDEX($F57:$N57,0,AM$172),(INDEX($F57:$N57,0,AM$174+1)-INDEX($F57:$N57,0,AM$174))/(INDEX($F$4:$N$4,0,AM$174+1)-INDEX($F$4:$N$4,0,AM$174))+AL184)))</f>
        <v>2.1115842383795758</v>
      </c>
      <c r="AN184" s="3" cm="1">
        <f t="array" ref="AN184">IF(AN$174=-1,AO184,IF(AN$174=99,AM184,IF(AN$174=0,INDEX($F57:$N57,0,AN$172),(INDEX($F57:$N57,0,AN$174+1)-INDEX($F57:$N57,0,AN$174))/(INDEX($F$4:$N$4,0,AN$174+1)-INDEX($F$4:$N$4,0,AN$174))+AM184)))</f>
        <v>2.1480337559065799</v>
      </c>
      <c r="AO184" s="3" cm="1">
        <f t="array" ref="AO184">IF(AO$174=-1,AP184,IF(AO$174=99,AN184,IF(AO$174=0,INDEX($F57:$N57,0,AO$172),(INDEX($F57:$N57,0,AO$174+1)-INDEX($F57:$N57,0,AO$174))/(INDEX($F$4:$N$4,0,AO$174+1)-INDEX($F$4:$N$4,0,AO$174))+AN184)))</f>
        <v>2.4760794136496145</v>
      </c>
      <c r="AP184" s="3" cm="1">
        <f t="array" ref="AP184">IF(AP$174=-1,AQ184,IF(AP$174=99,AO184,IF(AP$174=0,INDEX($F57:$N57,0,AP$172),(INDEX($F57:$N57,0,AP$174+1)-INDEX($F57:$N57,0,AP$174))/(INDEX($F$4:$N$4,0,AP$174+1)-INDEX($F$4:$N$4,0,AP$174))+AO184)))</f>
        <v>2.4760794136496145</v>
      </c>
      <c r="AQ184" s="3" cm="1">
        <f t="array" ref="AQ184">IF(AQ$174=-1,AR184,IF(AQ$174=99,AP184,IF(AQ$174=0,INDEX($F57:$N57,0,AQ$172),(INDEX($F57:$N57,0,AQ$174+1)-INDEX($F57:$N57,0,AQ$174))/(INDEX($F$4:$N$4,0,AQ$174+1)-INDEX($F$4:$N$4,0,AQ$174))+AP184)))</f>
        <v>2.4760794136496145</v>
      </c>
      <c r="AZ184" s="3"/>
      <c r="BA184" s="3"/>
      <c r="BB184" s="3"/>
      <c r="BC184" s="3"/>
      <c r="BD184" s="3"/>
      <c r="BE184" s="3"/>
    </row>
    <row r="185" spans="1:57">
      <c r="A185" t="s">
        <v>16</v>
      </c>
      <c r="B185" s="16"/>
      <c r="C185" s="17"/>
      <c r="D185" s="48"/>
      <c r="E185" s="17"/>
      <c r="F185" s="17"/>
      <c r="G185" s="17"/>
      <c r="H185" s="17"/>
      <c r="I185" s="17"/>
      <c r="J185" s="119" t="str">
        <f t="shared" si="252"/>
        <v>TFHCV9</v>
      </c>
      <c r="K185" s="3">
        <f t="shared" si="253"/>
        <v>1.1571058027236365</v>
      </c>
      <c r="L185" s="3" cm="1">
        <f t="array" ref="L185">IF(L$174=-1,M185,IF(L$174=99,K185,IF(L$174=0,INDEX($F58:$N58,0,L$172),(INDEX($F58:$N58,0,L$174+1)-INDEX($F58:$N58,0,L$174))/(INDEX($F$4:$N$4,0,L$174+1)-INDEX($F$4:$N$4,0,L$174))+K185)))</f>
        <v>1.177853296460889</v>
      </c>
      <c r="M185" s="3" cm="1">
        <f t="array" ref="M185">IF(M$174=-1,N185,IF(M$174=99,L185,IF(M$174=0,INDEX($F58:$N58,0,M$172),(INDEX($F58:$N58,0,M$174+1)-INDEX($F58:$N58,0,M$174))/(INDEX($F$4:$N$4,0,M$174+1)-INDEX($F$4:$N$4,0,M$174))+L185)))</f>
        <v>1.1986007901981415</v>
      </c>
      <c r="N185" s="3" cm="1">
        <f t="array" ref="N185">IF(N$174=-1,O185,IF(N$174=99,M185,IF(N$174=0,INDEX($F58:$N58,0,N$172),(INDEX($F58:$N58,0,N$174+1)-INDEX($F58:$N58,0,N$174))/(INDEX($F$4:$N$4,0,N$174+1)-INDEX($F$4:$N$4,0,N$174))+M185)))</f>
        <v>1.219348283935394</v>
      </c>
      <c r="O185" s="3" cm="1">
        <f t="array" ref="O185">IF(O$174=-1,P185,IF(O$174=99,N185,IF(O$174=0,INDEX($F58:$N58,0,O$172),(INDEX($F58:$N58,0,O$174+1)-INDEX($F58:$N58,0,O$174))/(INDEX($F$4:$N$4,0,O$174+1)-INDEX($F$4:$N$4,0,O$174))+N185)))</f>
        <v>1.2305597332950033</v>
      </c>
      <c r="P185" s="3" cm="1">
        <f t="array" ref="P185">IF(P$174=-1,Q185,IF(P$174=99,O185,IF(P$174=0,INDEX($F58:$N58,0,P$172),(INDEX($F58:$N58,0,P$174+1)-INDEX($F58:$N58,0,P$174))/(INDEX($F$4:$N$4,0,P$174+1)-INDEX($F$4:$N$4,0,P$174))+O185)))</f>
        <v>1.2417711826546127</v>
      </c>
      <c r="Q185" s="3" cm="1">
        <f t="array" ref="Q185">IF(Q$174=-1,R185,IF(Q$174=99,P185,IF(Q$174=0,INDEX($F58:$N58,0,Q$172),(INDEX($F58:$N58,0,Q$174+1)-INDEX($F58:$N58,0,Q$174))/(INDEX($F$4:$N$4,0,Q$174+1)-INDEX($F$4:$N$4,0,Q$174))+P185)))</f>
        <v>1.2494996711068378</v>
      </c>
      <c r="R185" s="3" cm="1">
        <f t="array" ref="R185">IF(R$174=-1,S185,IF(R$174=99,Q185,IF(R$174=0,INDEX($F58:$N58,0,R$172),(INDEX($F58:$N58,0,R$174+1)-INDEX($F58:$N58,0,R$174))/(INDEX($F$4:$N$4,0,R$174+1)-INDEX($F$4:$N$4,0,R$174))+Q185)))</f>
        <v>1.2572281595590626</v>
      </c>
      <c r="S185" s="3" cm="1">
        <f t="array" ref="S185">IF(S$174=-1,T185,IF(S$174=99,R185,IF(S$174=0,INDEX($F58:$N58,0,S$172),(INDEX($F58:$N58,0,S$174+1)-INDEX($F58:$N58,0,S$174))/(INDEX($F$4:$N$4,0,S$174+1)-INDEX($F$4:$N$4,0,S$174))+R185)))</f>
        <v>1.2102481579197106</v>
      </c>
      <c r="T185" s="3" cm="1">
        <f t="array" ref="T185">IF(T$174=-1,U185,IF(T$174=99,S185,IF(T$174=0,INDEX($F58:$N58,0,T$172),(INDEX($F58:$N58,0,T$174+1)-INDEX($F58:$N58,0,T$174))/(INDEX($F$4:$N$4,0,T$174+1)-INDEX($F$4:$N$4,0,T$174))+S185)))</f>
        <v>1.2370760428884591</v>
      </c>
      <c r="U185" s="3" cm="1">
        <f t="array" ref="U185">IF(U$174=-1,V185,IF(U$174=99,T185,IF(U$174=0,INDEX($F58:$N58,0,U$172),(INDEX($F58:$N58,0,U$174+1)-INDEX($F58:$N58,0,U$174))/(INDEX($F$4:$N$4,0,U$174+1)-INDEX($F$4:$N$4,0,U$174))+T185)))</f>
        <v>1.2626156518768394</v>
      </c>
      <c r="V185" s="3" cm="1">
        <f t="array" ref="V185">IF(V$174=-1,W185,IF(V$174=99,U185,IF(V$174=0,INDEX($F58:$N58,0,V$172),(INDEX($F58:$N58,0,V$174+1)-INDEX($F58:$N58,0,V$174))/(INDEX($F$4:$N$4,0,V$174+1)-INDEX($F$4:$N$4,0,V$174))+U185)))</f>
        <v>1.2881552608652198</v>
      </c>
      <c r="W185" s="3" cm="1">
        <f t="array" ref="W185">IF(W$174=-1,X185,IF(W$174=99,V185,IF(W$174=0,INDEX($F58:$N58,0,W$172),(INDEX($F58:$N58,0,W$174+1)-INDEX($F58:$N58,0,W$174))/(INDEX($F$4:$N$4,0,W$174+1)-INDEX($F$4:$N$4,0,W$174))+V185)))</f>
        <v>1.3136948698536002</v>
      </c>
      <c r="X185" s="3" cm="1">
        <f t="array" ref="X185">IF(X$174=-1,Y185,IF(X$174=99,W185,IF(X$174=0,INDEX($F58:$N58,0,X$172),(INDEX($F58:$N58,0,X$174+1)-INDEX($F58:$N58,0,X$174))/(INDEX($F$4:$N$4,0,X$174+1)-INDEX($F$4:$N$4,0,X$174))+W185)))</f>
        <v>1.3392344788419805</v>
      </c>
      <c r="Y185" s="3" cm="1">
        <f t="array" ref="Y185">IF(Y$174=-1,Z185,IF(Y$174=99,X185,IF(Y$174=0,INDEX($F58:$N58,0,Y$172),(INDEX($F58:$N58,0,Y$174+1)-INDEX($F58:$N58,0,Y$174))/(INDEX($F$4:$N$4,0,Y$174+1)-INDEX($F$4:$N$4,0,Y$174))+X185)))</f>
        <v>1.3647740878303609</v>
      </c>
      <c r="Z185" s="3" cm="1">
        <f t="array" ref="Z185">IF(Z$174=-1,AA185,IF(Z$174=99,Y185,IF(Z$174=0,INDEX($F58:$N58,0,Z$172),(INDEX($F58:$N58,0,Z$174+1)-INDEX($F58:$N58,0,Z$174))/(INDEX($F$4:$N$4,0,Z$174+1)-INDEX($F$4:$N$4,0,Z$174))+Y185)))</f>
        <v>1.3903136968187413</v>
      </c>
      <c r="AA185" s="3" cm="1">
        <f t="array" ref="AA185">IF(AA$174=-1,AB185,IF(AA$174=99,Z185,IF(AA$174=0,INDEX($F58:$N58,0,AA$172),(INDEX($F58:$N58,0,AA$174+1)-INDEX($F58:$N58,0,AA$174))/(INDEX($F$4:$N$4,0,AA$174+1)-INDEX($F$4:$N$4,0,AA$174))+Z185)))</f>
        <v>1.4158533058071217</v>
      </c>
      <c r="AB185" s="3" cm="1">
        <f t="array" ref="AB185">IF(AB$174=-1,AC185,IF(AB$174=99,AA185,IF(AB$174=0,INDEX($F58:$N58,0,AB$172),(INDEX($F58:$N58,0,AB$174+1)-INDEX($F58:$N58,0,AB$174))/(INDEX($F$4:$N$4,0,AB$174+1)-INDEX($F$4:$N$4,0,AB$174))+AA185)))</f>
        <v>1.441392914795502</v>
      </c>
      <c r="AC185" s="3" cm="1">
        <f t="array" ref="AC185">IF(AC$174=-1,AD185,IF(AC$174=99,AB185,IF(AC$174=0,INDEX($F58:$N58,0,AC$172),(INDEX($F58:$N58,0,AC$174+1)-INDEX($F58:$N58,0,AC$174))/(INDEX($F$4:$N$4,0,AC$174+1)-INDEX($F$4:$N$4,0,AC$174))+AB185)))</f>
        <v>1.4669325237838824</v>
      </c>
      <c r="AD185" s="3" cm="1">
        <f t="array" ref="AD185">IF(AD$174=-1,AE185,IF(AD$174=99,AC185,IF(AD$174=0,INDEX($F58:$N58,0,AD$172),(INDEX($F58:$N58,0,AD$174+1)-INDEX($F58:$N58,0,AD$174))/(INDEX($F$4:$N$4,0,AD$174+1)-INDEX($F$4:$N$4,0,AD$174))+AC185)))</f>
        <v>1.5080256335798761</v>
      </c>
      <c r="AE185" s="3" cm="1">
        <f t="array" ref="AE185">IF(AE$174=-1,AF185,IF(AE$174=99,AD185,IF(AE$174=0,INDEX($F58:$N58,0,AE$172),(INDEX($F58:$N58,0,AE$174+1)-INDEX($F58:$N58,0,AE$174))/(INDEX($F$4:$N$4,0,AE$174+1)-INDEX($F$4:$N$4,0,AE$174))+AD185)))</f>
        <v>1.5491187433758697</v>
      </c>
      <c r="AF185" s="3" cm="1">
        <f t="array" ref="AF185">IF(AF$174=-1,AG185,IF(AF$174=99,AE185,IF(AF$174=0,INDEX($F58:$N58,0,AF$172),(INDEX($F58:$N58,0,AF$174+1)-INDEX($F58:$N58,0,AF$174))/(INDEX($F$4:$N$4,0,AF$174+1)-INDEX($F$4:$N$4,0,AF$174))+AE185)))</f>
        <v>1.5902118531718634</v>
      </c>
      <c r="AG185" s="3" cm="1">
        <f t="array" ref="AG185">IF(AG$174=-1,AH185,IF(AG$174=99,AF185,IF(AG$174=0,INDEX($F58:$N58,0,AG$172),(INDEX($F58:$N58,0,AG$174+1)-INDEX($F58:$N58,0,AG$174))/(INDEX($F$4:$N$4,0,AG$174+1)-INDEX($F$4:$N$4,0,AG$174))+AF185)))</f>
        <v>1.6313049629678571</v>
      </c>
      <c r="AH185" s="3" cm="1">
        <f t="array" ref="AH185">IF(AH$174=-1,AI185,IF(AH$174=99,AG185,IF(AH$174=0,INDEX($F58:$N58,0,AH$172),(INDEX($F58:$N58,0,AH$174+1)-INDEX($F58:$N58,0,AH$174))/(INDEX($F$4:$N$4,0,AH$174+1)-INDEX($F$4:$N$4,0,AH$174))+AG185)))</f>
        <v>1.6723980727638508</v>
      </c>
      <c r="AI185" s="3" cm="1">
        <f t="array" ref="AI185">IF(AI$174=-1,AJ185,IF(AI$174=99,AH185,IF(AI$174=0,INDEX($F58:$N58,0,AI$172),(INDEX($F58:$N58,0,AI$174+1)-INDEX($F58:$N58,0,AI$174))/(INDEX($F$4:$N$4,0,AI$174+1)-INDEX($F$4:$N$4,0,AI$174))+AH185)))</f>
        <v>1.7134911825598445</v>
      </c>
      <c r="AJ185" s="3" cm="1">
        <f t="array" ref="AJ185">IF(AJ$174=-1,AK185,IF(AJ$174=99,AI185,IF(AJ$174=0,INDEX($F58:$N58,0,AJ$172),(INDEX($F58:$N58,0,AJ$174+1)-INDEX($F58:$N58,0,AJ$174))/(INDEX($F$4:$N$4,0,AJ$174+1)-INDEX($F$4:$N$4,0,AJ$174))+AI185)))</f>
        <v>1.7545842923558381</v>
      </c>
      <c r="AK185" s="3" cm="1">
        <f t="array" ref="AK185">IF(AK$174=-1,AL185,IF(AK$174=99,AJ185,IF(AK$174=0,INDEX($F58:$N58,0,AK$172),(INDEX($F58:$N58,0,AK$174+1)-INDEX($F58:$N58,0,AK$174))/(INDEX($F$4:$N$4,0,AK$174+1)-INDEX($F$4:$N$4,0,AK$174))+AJ185)))</f>
        <v>1.7956774021518318</v>
      </c>
      <c r="AL185" s="3" cm="1">
        <f t="array" ref="AL185">IF(AL$174=-1,AM185,IF(AL$174=99,AK185,IF(AL$174=0,INDEX($F58:$N58,0,AL$172),(INDEX($F58:$N58,0,AL$174+1)-INDEX($F58:$N58,0,AL$174))/(INDEX($F$4:$N$4,0,AL$174+1)-INDEX($F$4:$N$4,0,AL$174))+AK185)))</f>
        <v>1.8367705119478255</v>
      </c>
      <c r="AM185" s="3" cm="1">
        <f t="array" ref="AM185">IF(AM$174=-1,AN185,IF(AM$174=99,AL185,IF(AM$174=0,INDEX($F58:$N58,0,AM$172),(INDEX($F58:$N58,0,AM$174+1)-INDEX($F58:$N58,0,AM$174))/(INDEX($F$4:$N$4,0,AM$174+1)-INDEX($F$4:$N$4,0,AM$174))+AL185)))</f>
        <v>1.8778636217438198</v>
      </c>
      <c r="AN185" s="3" cm="1">
        <f t="array" ref="AN185">IF(AN$174=-1,AO185,IF(AN$174=99,AM185,IF(AN$174=0,INDEX($F58:$N58,0,AN$172),(INDEX($F58:$N58,0,AN$174+1)-INDEX($F58:$N58,0,AN$174))/(INDEX($F$4:$N$4,0,AN$174+1)-INDEX($F$4:$N$4,0,AN$174))+AM185)))</f>
        <v>1.9102787258869538</v>
      </c>
      <c r="AO185" s="3" cm="1">
        <f t="array" ref="AO185">IF(AO$174=-1,AP185,IF(AO$174=99,AN185,IF(AO$174=0,INDEX($F58:$N58,0,AO$172),(INDEX($F58:$N58,0,AO$174+1)-INDEX($F58:$N58,0,AO$174))/(INDEX($F$4:$N$4,0,AO$174+1)-INDEX($F$4:$N$4,0,AO$174))+AN185)))</f>
        <v>2.2020146631751603</v>
      </c>
      <c r="AP185" s="3" cm="1">
        <f t="array" ref="AP185">IF(AP$174=-1,AQ185,IF(AP$174=99,AO185,IF(AP$174=0,INDEX($F58:$N58,0,AP$172),(INDEX($F58:$N58,0,AP$174+1)-INDEX($F58:$N58,0,AP$174))/(INDEX($F$4:$N$4,0,AP$174+1)-INDEX($F$4:$N$4,0,AP$174))+AO185)))</f>
        <v>2.2020146631751603</v>
      </c>
      <c r="AQ185" s="3" cm="1">
        <f t="array" ref="AQ185">IF(AQ$174=-1,AR185,IF(AQ$174=99,AP185,IF(AQ$174=0,INDEX($F58:$N58,0,AQ$172),(INDEX($F58:$N58,0,AQ$174+1)-INDEX($F58:$N58,0,AQ$174))/(INDEX($F$4:$N$4,0,AQ$174+1)-INDEX($F$4:$N$4,0,AQ$174))+AP185)))</f>
        <v>2.2020146631751603</v>
      </c>
      <c r="AZ185" s="3"/>
      <c r="BA185" s="3"/>
      <c r="BB185" s="3"/>
      <c r="BC185" s="3"/>
      <c r="BD185" s="3"/>
      <c r="BE185" s="3"/>
    </row>
    <row r="186" spans="1:57">
      <c r="A186" t="s">
        <v>16</v>
      </c>
      <c r="B186" s="16"/>
      <c r="C186" s="17"/>
      <c r="D186" s="48"/>
      <c r="E186" s="17"/>
      <c r="F186" s="17"/>
      <c r="G186" s="17"/>
      <c r="H186" s="17"/>
      <c r="I186" s="17"/>
      <c r="J186" s="119" t="str">
        <f t="shared" si="252"/>
        <v>TFRCO</v>
      </c>
      <c r="K186" s="3">
        <f t="shared" ref="K186:AQ186" si="254">J147</f>
        <v>22</v>
      </c>
      <c r="L186" s="3">
        <f t="shared" si="254"/>
        <v>22.394471154794282</v>
      </c>
      <c r="M186" s="3">
        <f t="shared" si="254"/>
        <v>22.788942309588563</v>
      </c>
      <c r="N186" s="3">
        <f t="shared" si="254"/>
        <v>23.183413464382845</v>
      </c>
      <c r="O186" s="3">
        <f t="shared" si="254"/>
        <v>23.396576241140881</v>
      </c>
      <c r="P186" s="3">
        <f t="shared" si="254"/>
        <v>23.609739017898917</v>
      </c>
      <c r="Q186" s="3">
        <f t="shared" si="254"/>
        <v>23.756680417335971</v>
      </c>
      <c r="R186" s="3">
        <f t="shared" si="254"/>
        <v>23.903621816773025</v>
      </c>
      <c r="S186" s="3">
        <f t="shared" si="254"/>
        <v>23.010393182336216</v>
      </c>
      <c r="T186" s="3">
        <f t="shared" si="254"/>
        <v>23.52047053906816</v>
      </c>
      <c r="U186" s="3">
        <f t="shared" si="254"/>
        <v>24.006053963178399</v>
      </c>
      <c r="V186" s="3">
        <f t="shared" si="254"/>
        <v>24.491637387288637</v>
      </c>
      <c r="W186" s="3">
        <f t="shared" si="254"/>
        <v>24.977220811398876</v>
      </c>
      <c r="X186" s="3">
        <f t="shared" si="254"/>
        <v>25.462804235509115</v>
      </c>
      <c r="Y186" s="3">
        <f t="shared" si="254"/>
        <v>25.948387659619353</v>
      </c>
      <c r="Z186" s="3">
        <f t="shared" si="254"/>
        <v>26.433971083729592</v>
      </c>
      <c r="AA186" s="3">
        <f t="shared" si="254"/>
        <v>26.91955450783983</v>
      </c>
      <c r="AB186" s="3">
        <f t="shared" si="254"/>
        <v>27.405137931950069</v>
      </c>
      <c r="AC186" s="3">
        <f t="shared" si="254"/>
        <v>27.890721356060297</v>
      </c>
      <c r="AD186" s="3">
        <f t="shared" si="254"/>
        <v>28.672022783625419</v>
      </c>
      <c r="AE186" s="3">
        <f t="shared" si="254"/>
        <v>29.453324211190541</v>
      </c>
      <c r="AF186" s="3">
        <f t="shared" si="254"/>
        <v>30.234625638755663</v>
      </c>
      <c r="AG186" s="3">
        <f t="shared" si="254"/>
        <v>31.015927066320785</v>
      </c>
      <c r="AH186" s="3">
        <f t="shared" si="254"/>
        <v>31.797228493885907</v>
      </c>
      <c r="AI186" s="3">
        <f t="shared" si="254"/>
        <v>32.578529921451029</v>
      </c>
      <c r="AJ186" s="3">
        <f t="shared" si="254"/>
        <v>33.359831349016147</v>
      </c>
      <c r="AK186" s="3">
        <f t="shared" si="254"/>
        <v>34.141132776581266</v>
      </c>
      <c r="AL186" s="3">
        <f t="shared" si="254"/>
        <v>34.922434204146384</v>
      </c>
      <c r="AM186" s="3">
        <f t="shared" si="254"/>
        <v>35.703735631711503</v>
      </c>
      <c r="AN186" s="3">
        <f t="shared" si="254"/>
        <v>38.785270135601962</v>
      </c>
      <c r="AO186" s="3">
        <f t="shared" si="254"/>
        <v>41.866804639492415</v>
      </c>
      <c r="AP186" s="3">
        <f t="shared" si="254"/>
        <v>41.866804639492415</v>
      </c>
      <c r="AQ186" s="3">
        <f t="shared" si="254"/>
        <v>41.866804639492415</v>
      </c>
      <c r="AZ186" s="3"/>
      <c r="BA186" s="3"/>
      <c r="BB186" s="3"/>
      <c r="BC186" s="3"/>
      <c r="BD186" s="3"/>
      <c r="BE186" s="3"/>
    </row>
    <row r="187" spans="1:57">
      <c r="A187" t="s">
        <v>16</v>
      </c>
      <c r="B187" s="16"/>
      <c r="C187" s="17"/>
      <c r="D187" s="48"/>
      <c r="E187" s="17"/>
      <c r="F187" s="17"/>
      <c r="G187" s="17"/>
      <c r="H187" s="17"/>
      <c r="I187" s="17"/>
      <c r="J187" s="119" t="str">
        <f t="shared" si="252"/>
        <v>TFROT</v>
      </c>
      <c r="K187" s="3">
        <f t="shared" ref="K187:AQ187" si="255">J148</f>
        <v>25.1</v>
      </c>
      <c r="L187" s="3">
        <f t="shared" si="255"/>
        <v>25.550055726606203</v>
      </c>
      <c r="M187" s="3">
        <f t="shared" si="255"/>
        <v>26.000111453212405</v>
      </c>
      <c r="N187" s="3">
        <f t="shared" si="255"/>
        <v>26.450167179818607</v>
      </c>
      <c r="O187" s="3">
        <f t="shared" si="255"/>
        <v>26.693366529665273</v>
      </c>
      <c r="P187" s="3">
        <f t="shared" si="255"/>
        <v>26.936565879511939</v>
      </c>
      <c r="Q187" s="3">
        <f t="shared" si="255"/>
        <v>27.104212657960581</v>
      </c>
      <c r="R187" s="3">
        <f t="shared" si="255"/>
        <v>27.271859436409219</v>
      </c>
      <c r="S187" s="3">
        <f t="shared" si="255"/>
        <v>26.252766767119954</v>
      </c>
      <c r="T187" s="3">
        <f t="shared" si="255"/>
        <v>26.834718660482309</v>
      </c>
      <c r="U187" s="3">
        <f t="shared" si="255"/>
        <v>27.388725203444444</v>
      </c>
      <c r="V187" s="3">
        <f t="shared" si="255"/>
        <v>27.942731746406579</v>
      </c>
      <c r="W187" s="3">
        <f t="shared" si="255"/>
        <v>28.496738289368714</v>
      </c>
      <c r="X187" s="3">
        <f t="shared" si="255"/>
        <v>29.050744832330849</v>
      </c>
      <c r="Y187" s="3">
        <f t="shared" si="255"/>
        <v>29.604751375292985</v>
      </c>
      <c r="Z187" s="3">
        <f t="shared" si="255"/>
        <v>30.15875791825512</v>
      </c>
      <c r="AA187" s="3">
        <f t="shared" si="255"/>
        <v>30.712764461217255</v>
      </c>
      <c r="AB187" s="3">
        <f t="shared" si="255"/>
        <v>31.26677100417939</v>
      </c>
      <c r="AC187" s="3">
        <f t="shared" si="255"/>
        <v>31.820777547141518</v>
      </c>
      <c r="AD187" s="3">
        <f t="shared" si="255"/>
        <v>32.712171448590816</v>
      </c>
      <c r="AE187" s="3">
        <f t="shared" si="255"/>
        <v>33.603565350040114</v>
      </c>
      <c r="AF187" s="3">
        <f t="shared" si="255"/>
        <v>34.494959251489412</v>
      </c>
      <c r="AG187" s="3">
        <f t="shared" si="255"/>
        <v>35.38635315293871</v>
      </c>
      <c r="AH187" s="3">
        <f t="shared" si="255"/>
        <v>36.277747054388009</v>
      </c>
      <c r="AI187" s="3">
        <f t="shared" si="255"/>
        <v>37.169140955837307</v>
      </c>
      <c r="AJ187" s="3">
        <f t="shared" si="255"/>
        <v>38.060534857286605</v>
      </c>
      <c r="AK187" s="3">
        <f t="shared" si="255"/>
        <v>38.951928758735903</v>
      </c>
      <c r="AL187" s="3">
        <f t="shared" si="255"/>
        <v>39.843322660185201</v>
      </c>
      <c r="AM187" s="3">
        <f t="shared" si="255"/>
        <v>40.734716561634485</v>
      </c>
      <c r="AN187" s="3">
        <f t="shared" si="255"/>
        <v>44.25046729107315</v>
      </c>
      <c r="AO187" s="3">
        <f t="shared" si="255"/>
        <v>47.766218020511793</v>
      </c>
      <c r="AP187" s="3">
        <f t="shared" si="255"/>
        <v>47.766218020511793</v>
      </c>
      <c r="AQ187" s="3">
        <f t="shared" si="255"/>
        <v>47.766218020511793</v>
      </c>
      <c r="AZ187" s="3"/>
      <c r="BA187" s="3"/>
      <c r="BB187" s="3"/>
      <c r="BC187" s="3"/>
      <c r="BD187" s="3"/>
      <c r="BE187" s="3"/>
    </row>
    <row r="188" spans="1:57">
      <c r="A188" t="s">
        <v>16</v>
      </c>
      <c r="J188" s="119" t="str">
        <f t="shared" si="252"/>
        <v>TFREX</v>
      </c>
      <c r="K188" s="3">
        <f t="shared" ref="K188:AQ188" si="256">J149</f>
        <v>82</v>
      </c>
      <c r="L188" s="3">
        <f t="shared" si="256"/>
        <v>82</v>
      </c>
      <c r="M188" s="3">
        <f t="shared" si="256"/>
        <v>82</v>
      </c>
      <c r="N188" s="3">
        <f t="shared" si="256"/>
        <v>82</v>
      </c>
      <c r="O188" s="3">
        <f t="shared" si="256"/>
        <v>82</v>
      </c>
      <c r="P188" s="3">
        <f t="shared" si="256"/>
        <v>82</v>
      </c>
      <c r="Q188" s="3">
        <f t="shared" si="256"/>
        <v>84.018400836522261</v>
      </c>
      <c r="R188" s="3">
        <f t="shared" si="256"/>
        <v>86.036801673044508</v>
      </c>
      <c r="S188" s="3">
        <f t="shared" si="256"/>
        <v>79.266714881385326</v>
      </c>
      <c r="T188" s="3">
        <f t="shared" si="256"/>
        <v>84.862097424278346</v>
      </c>
      <c r="U188" s="3">
        <f t="shared" si="256"/>
        <v>85.569361981081954</v>
      </c>
      <c r="V188" s="3">
        <f t="shared" si="256"/>
        <v>86.276626537885562</v>
      </c>
      <c r="W188" s="3">
        <f t="shared" si="256"/>
        <v>86.98389109468917</v>
      </c>
      <c r="X188" s="3">
        <f t="shared" si="256"/>
        <v>87.691155651492778</v>
      </c>
      <c r="Y188" s="3">
        <f t="shared" si="256"/>
        <v>88.398420208296386</v>
      </c>
      <c r="Z188" s="3">
        <f t="shared" si="256"/>
        <v>89.105684765099994</v>
      </c>
      <c r="AA188" s="3">
        <f t="shared" si="256"/>
        <v>89.812949321903602</v>
      </c>
      <c r="AB188" s="3">
        <f t="shared" si="256"/>
        <v>90.52021387870721</v>
      </c>
      <c r="AC188" s="3">
        <f t="shared" si="256"/>
        <v>91.22747843551079</v>
      </c>
      <c r="AD188" s="3">
        <f t="shared" si="256"/>
        <v>92.287730218036216</v>
      </c>
      <c r="AE188" s="3">
        <f t="shared" si="256"/>
        <v>93.347982000561643</v>
      </c>
      <c r="AF188" s="3">
        <f t="shared" si="256"/>
        <v>94.40823378308707</v>
      </c>
      <c r="AG188" s="3">
        <f t="shared" si="256"/>
        <v>95.468485565612497</v>
      </c>
      <c r="AH188" s="3">
        <f t="shared" si="256"/>
        <v>96.528737348137923</v>
      </c>
      <c r="AI188" s="3">
        <f t="shared" si="256"/>
        <v>97.58898913066335</v>
      </c>
      <c r="AJ188" s="3">
        <f t="shared" si="256"/>
        <v>98.649240913188777</v>
      </c>
      <c r="AK188" s="3">
        <f t="shared" si="256"/>
        <v>99.709492695714204</v>
      </c>
      <c r="AL188" s="3">
        <f t="shared" si="256"/>
        <v>100.76974447823963</v>
      </c>
      <c r="AM188" s="3">
        <f t="shared" si="256"/>
        <v>101.82999626076513</v>
      </c>
      <c r="AN188" s="3">
        <f t="shared" si="256"/>
        <v>102.40704423462124</v>
      </c>
      <c r="AO188" s="3">
        <f t="shared" si="256"/>
        <v>102.98409220847734</v>
      </c>
      <c r="AP188" s="3">
        <f t="shared" si="256"/>
        <v>102.98409220847734</v>
      </c>
      <c r="AQ188" s="3">
        <f t="shared" si="256"/>
        <v>102.98409220847734</v>
      </c>
      <c r="AZ188" s="3"/>
      <c r="BA188" s="3"/>
      <c r="BB188" s="3"/>
      <c r="BC188" s="3"/>
      <c r="BD188" s="3"/>
      <c r="BE188" s="3"/>
    </row>
    <row r="189" spans="1:57">
      <c r="A189" t="s">
        <v>16</v>
      </c>
    </row>
    <row r="221" spans="1:37">
      <c r="A221" t="s">
        <v>16</v>
      </c>
      <c r="J221" t="s">
        <v>688</v>
      </c>
    </row>
    <row r="222" spans="1:37">
      <c r="A222" t="s">
        <v>16</v>
      </c>
      <c r="J222" t="s">
        <v>662</v>
      </c>
      <c r="K222">
        <v>2000</v>
      </c>
      <c r="L222">
        <v>2001</v>
      </c>
      <c r="M222">
        <v>2002</v>
      </c>
      <c r="N222">
        <v>2003</v>
      </c>
      <c r="O222">
        <v>2004</v>
      </c>
      <c r="P222">
        <v>2005</v>
      </c>
      <c r="Q222">
        <v>2006</v>
      </c>
      <c r="R222">
        <v>2007</v>
      </c>
      <c r="S222">
        <v>2008</v>
      </c>
      <c r="T222">
        <v>2009</v>
      </c>
      <c r="U222">
        <v>2010</v>
      </c>
      <c r="V222">
        <v>2011</v>
      </c>
      <c r="W222">
        <v>2012</v>
      </c>
      <c r="X222">
        <v>2013</v>
      </c>
      <c r="Y222">
        <v>2014</v>
      </c>
      <c r="Z222">
        <v>2015</v>
      </c>
      <c r="AA222">
        <v>2016</v>
      </c>
      <c r="AB222">
        <v>2017</v>
      </c>
      <c r="AC222">
        <v>2018</v>
      </c>
      <c r="AD222">
        <v>2019</v>
      </c>
      <c r="AE222">
        <v>2020</v>
      </c>
      <c r="AF222">
        <v>2025</v>
      </c>
      <c r="AG222">
        <v>2030</v>
      </c>
      <c r="AH222">
        <v>2035</v>
      </c>
      <c r="AI222">
        <v>2040</v>
      </c>
      <c r="AJ222">
        <v>2045</v>
      </c>
      <c r="AK222">
        <v>2050</v>
      </c>
    </row>
    <row r="223" spans="1:37">
      <c r="A223" t="s">
        <v>16</v>
      </c>
      <c r="J223" t="s">
        <v>663</v>
      </c>
      <c r="K223">
        <v>317552693.80071998</v>
      </c>
      <c r="L223">
        <v>331034364.99427903</v>
      </c>
      <c r="M223">
        <v>357531511.96026403</v>
      </c>
      <c r="N223">
        <v>366631343.94960803</v>
      </c>
      <c r="O223">
        <v>382666270.56249398</v>
      </c>
      <c r="P223">
        <v>401468073.54536003</v>
      </c>
      <c r="Q223">
        <v>432815822.62658799</v>
      </c>
      <c r="R223">
        <v>461629447.53794497</v>
      </c>
      <c r="S223">
        <v>501176293.61133599</v>
      </c>
      <c r="T223">
        <v>534016658.342893</v>
      </c>
      <c r="U223">
        <v>569418265.384094</v>
      </c>
      <c r="V223">
        <v>567235922.03884804</v>
      </c>
      <c r="W223">
        <v>574118262.56618905</v>
      </c>
      <c r="X223">
        <v>590103700.85600996</v>
      </c>
      <c r="Y223">
        <v>613665487.47985399</v>
      </c>
      <c r="Z223">
        <v>629978538.05678999</v>
      </c>
      <c r="AA223">
        <v>642224591.915061</v>
      </c>
      <c r="AB223">
        <v>642966971.78877997</v>
      </c>
      <c r="AC223">
        <v>578545641.25667799</v>
      </c>
      <c r="AD223">
        <v>520026326.80235398</v>
      </c>
      <c r="AE223">
        <v>466846710.41662502</v>
      </c>
      <c r="AF223">
        <v>265271901.67313701</v>
      </c>
      <c r="AG223">
        <v>141241124.682284</v>
      </c>
      <c r="AH223">
        <v>68113088.900146201</v>
      </c>
      <c r="AI223">
        <v>28639059.336607002</v>
      </c>
      <c r="AJ223">
        <v>10063155.440592799</v>
      </c>
      <c r="AK223">
        <v>2817424.9578848798</v>
      </c>
    </row>
    <row r="224" spans="1:37">
      <c r="A224" t="s">
        <v>16</v>
      </c>
      <c r="J224" t="s">
        <v>664</v>
      </c>
      <c r="K224">
        <v>368875074.37701702</v>
      </c>
      <c r="L224">
        <v>595201448.63217103</v>
      </c>
      <c r="M224">
        <v>886565742.16875803</v>
      </c>
      <c r="N224">
        <v>1292096984.87994</v>
      </c>
      <c r="O224">
        <v>1762451113.5284901</v>
      </c>
      <c r="P224">
        <v>2348253314.5770502</v>
      </c>
      <c r="Q224">
        <v>3015504560.7311902</v>
      </c>
      <c r="R224">
        <v>3562702713.3454299</v>
      </c>
      <c r="S224">
        <v>3905086596.0109701</v>
      </c>
      <c r="T224">
        <v>4097620975.86167</v>
      </c>
      <c r="U224">
        <v>4331564967.5967102</v>
      </c>
      <c r="V224">
        <v>4704587032.0194902</v>
      </c>
      <c r="W224">
        <v>5161210206.80305</v>
      </c>
      <c r="X224">
        <v>5624263666.3826103</v>
      </c>
      <c r="Y224">
        <v>6042358980.29953</v>
      </c>
      <c r="Z224">
        <v>6333991101.4516602</v>
      </c>
      <c r="AA224">
        <v>6449198384.4227695</v>
      </c>
      <c r="AB224">
        <v>6484144686.50035</v>
      </c>
      <c r="AC224">
        <v>6165921835.6197395</v>
      </c>
      <c r="AD224">
        <v>5850228195.7241602</v>
      </c>
      <c r="AE224">
        <v>5536479889.9511805</v>
      </c>
      <c r="AF224">
        <v>3994791939.5750699</v>
      </c>
      <c r="AG224">
        <v>2560716101.8260298</v>
      </c>
      <c r="AH224">
        <v>1389703709.12427</v>
      </c>
      <c r="AI224">
        <v>605457134.94076097</v>
      </c>
      <c r="AJ224">
        <v>198718131.88059101</v>
      </c>
      <c r="AK224">
        <v>45445474.162640199</v>
      </c>
    </row>
    <row r="225" spans="1:37">
      <c r="A225" t="s">
        <v>16</v>
      </c>
      <c r="J225" t="s">
        <v>665</v>
      </c>
      <c r="K225">
        <v>54815156057.894997</v>
      </c>
      <c r="L225">
        <v>55888968086.582001</v>
      </c>
      <c r="M225">
        <v>56575659247.184898</v>
      </c>
      <c r="N225">
        <v>57343197973.798401</v>
      </c>
      <c r="O225">
        <v>58903324317.6744</v>
      </c>
      <c r="P225">
        <v>61550471923.691902</v>
      </c>
      <c r="Q225">
        <v>65467391626.531898</v>
      </c>
      <c r="R225">
        <v>68353733510.992897</v>
      </c>
      <c r="S225">
        <v>69278924883.026505</v>
      </c>
      <c r="T225">
        <v>68944784133.245697</v>
      </c>
      <c r="U225">
        <v>69834086832.173599</v>
      </c>
      <c r="V225">
        <v>71581638589.099899</v>
      </c>
      <c r="W225">
        <v>73739723710.9189</v>
      </c>
      <c r="X225">
        <v>75644812210.673401</v>
      </c>
      <c r="Y225">
        <v>77119888440.896393</v>
      </c>
      <c r="Z225">
        <v>78135773539.835495</v>
      </c>
      <c r="AA225">
        <v>78149981513.331604</v>
      </c>
      <c r="AB225">
        <v>78099885227.2005</v>
      </c>
      <c r="AC225">
        <v>73209364327.690796</v>
      </c>
      <c r="AD225">
        <v>68475829188.976402</v>
      </c>
      <c r="AE225">
        <v>63896112963.623001</v>
      </c>
      <c r="AF225">
        <v>43304091384.803703</v>
      </c>
      <c r="AG225">
        <v>26792853001.7995</v>
      </c>
      <c r="AH225">
        <v>14715436163.9538</v>
      </c>
      <c r="AI225">
        <v>6967066643.1058598</v>
      </c>
      <c r="AJ225">
        <v>2758337869.1621199</v>
      </c>
      <c r="AK225">
        <v>885009317.131037</v>
      </c>
    </row>
    <row r="226" spans="1:37">
      <c r="A226" t="s">
        <v>16</v>
      </c>
      <c r="J226" t="s">
        <v>666</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c r="A227" t="s">
        <v>16</v>
      </c>
      <c r="J227" t="s">
        <v>667</v>
      </c>
      <c r="K227">
        <v>0</v>
      </c>
      <c r="L227">
        <v>0</v>
      </c>
      <c r="M227">
        <v>0</v>
      </c>
      <c r="N227">
        <v>0</v>
      </c>
      <c r="O227">
        <v>0</v>
      </c>
      <c r="P227">
        <v>2120000</v>
      </c>
      <c r="Q227">
        <v>6116850.8833315698</v>
      </c>
      <c r="R227">
        <v>9876736.7883789893</v>
      </c>
      <c r="S227">
        <v>12968244.5619963</v>
      </c>
      <c r="T227">
        <v>15976223.3111197</v>
      </c>
      <c r="U227">
        <v>20461900.292630099</v>
      </c>
      <c r="V227">
        <v>30204584.0813611</v>
      </c>
      <c r="W227">
        <v>42354535.627855599</v>
      </c>
      <c r="X227">
        <v>50232402.827363104</v>
      </c>
      <c r="Y227">
        <v>60178883.863439299</v>
      </c>
      <c r="Z227">
        <v>64964191.848066099</v>
      </c>
      <c r="AA227">
        <v>67380232.856707603</v>
      </c>
      <c r="AB227">
        <v>69068056.373444706</v>
      </c>
      <c r="AC227">
        <v>66103608.5467766</v>
      </c>
      <c r="AD227">
        <v>63176540.824660003</v>
      </c>
      <c r="AE227">
        <v>60273253.7637427</v>
      </c>
      <c r="AF227">
        <v>45790432.705628604</v>
      </c>
      <c r="AG227">
        <v>31304471.001213901</v>
      </c>
      <c r="AH227">
        <v>18130842.140202802</v>
      </c>
      <c r="AI227">
        <v>8321844.3257685201</v>
      </c>
      <c r="AJ227">
        <v>2814629.3031992801</v>
      </c>
      <c r="AK227">
        <v>648131.82861972996</v>
      </c>
    </row>
    <row r="228" spans="1:37">
      <c r="A228" t="s">
        <v>16</v>
      </c>
      <c r="J228" t="s">
        <v>668</v>
      </c>
      <c r="K228">
        <v>0</v>
      </c>
      <c r="L228">
        <v>0</v>
      </c>
      <c r="M228">
        <v>0</v>
      </c>
      <c r="N228">
        <v>0</v>
      </c>
      <c r="O228">
        <v>0</v>
      </c>
      <c r="P228">
        <v>0</v>
      </c>
      <c r="Q228">
        <v>0</v>
      </c>
      <c r="R228">
        <v>0</v>
      </c>
      <c r="S228">
        <v>0</v>
      </c>
      <c r="T228">
        <v>0</v>
      </c>
      <c r="U228">
        <v>0</v>
      </c>
      <c r="V228">
        <v>0</v>
      </c>
      <c r="W228">
        <v>0</v>
      </c>
      <c r="X228">
        <v>765000</v>
      </c>
      <c r="Y228">
        <v>1049995.7196927599</v>
      </c>
      <c r="Z228">
        <v>3641240.1580249602</v>
      </c>
      <c r="AA228">
        <v>5748135.0967566101</v>
      </c>
      <c r="AB228">
        <v>7029242.9346893802</v>
      </c>
      <c r="AC228">
        <v>6751144.3929200303</v>
      </c>
      <c r="AD228">
        <v>6481344.2520075897</v>
      </c>
      <c r="AE228">
        <v>6218198.0690088999</v>
      </c>
      <c r="AF228">
        <v>4948395.1952702003</v>
      </c>
      <c r="AG228">
        <v>3662701.8823531601</v>
      </c>
      <c r="AH228">
        <v>2370476.9073227001</v>
      </c>
      <c r="AI228">
        <v>1246905.94997046</v>
      </c>
      <c r="AJ228">
        <v>490939.64765082498</v>
      </c>
      <c r="AK228">
        <v>132176.39531177099</v>
      </c>
    </row>
    <row r="229" spans="1:37">
      <c r="A229" t="s">
        <v>16</v>
      </c>
      <c r="I229" s="3" t="s">
        <v>412</v>
      </c>
      <c r="J229" t="s">
        <v>669</v>
      </c>
      <c r="K229">
        <v>1919611439.51422</v>
      </c>
      <c r="L229">
        <v>1975165897.6670401</v>
      </c>
      <c r="M229">
        <v>2041015236.18694</v>
      </c>
      <c r="N229">
        <v>2112280726.2537899</v>
      </c>
      <c r="O229">
        <v>2273513285.1859899</v>
      </c>
      <c r="P229">
        <v>2576167520.5720301</v>
      </c>
      <c r="Q229">
        <v>2950953302.3854198</v>
      </c>
      <c r="R229">
        <v>3348255850.10356</v>
      </c>
      <c r="S229">
        <v>3569190665.9342399</v>
      </c>
      <c r="T229">
        <v>3540048657.0248299</v>
      </c>
      <c r="U229">
        <v>3503793535.95263</v>
      </c>
      <c r="V229">
        <v>3531071629.7719798</v>
      </c>
      <c r="W229">
        <v>3591616240.7154698</v>
      </c>
      <c r="X229">
        <v>3713580519.1079102</v>
      </c>
      <c r="Y229">
        <v>3780353118.30165</v>
      </c>
      <c r="Z229">
        <v>3810502133.92869</v>
      </c>
      <c r="AA229">
        <v>3734340606.0689998</v>
      </c>
      <c r="AB229">
        <v>3619315046.72683</v>
      </c>
      <c r="AC229">
        <v>3556773370.2487702</v>
      </c>
      <c r="AD229">
        <v>3186895764.4331598</v>
      </c>
      <c r="AE229">
        <v>2846186437.12078</v>
      </c>
      <c r="AF229">
        <v>1520698068.5113201</v>
      </c>
      <c r="AG229">
        <v>709838041.99741995</v>
      </c>
      <c r="AH229">
        <v>276703627.85648698</v>
      </c>
      <c r="AI229">
        <v>85888621.301146507</v>
      </c>
      <c r="AJ229">
        <v>20163582.712067299</v>
      </c>
      <c r="AK229">
        <v>3386973.2758648298</v>
      </c>
    </row>
    <row r="230" spans="1:37">
      <c r="A230" t="s">
        <v>16</v>
      </c>
      <c r="I230" s="3" t="s">
        <v>412</v>
      </c>
      <c r="J230" t="s">
        <v>670</v>
      </c>
      <c r="K230">
        <v>257635838.743689</v>
      </c>
      <c r="L230">
        <v>236501526.83289</v>
      </c>
      <c r="M230">
        <v>214201719.19669199</v>
      </c>
      <c r="N230">
        <v>192609799.45568901</v>
      </c>
      <c r="O230">
        <v>171120763.66123199</v>
      </c>
      <c r="P230">
        <v>150721371.38412499</v>
      </c>
      <c r="Q230">
        <v>133975286.737023</v>
      </c>
      <c r="R230">
        <v>125104602.74516501</v>
      </c>
      <c r="S230">
        <v>115856986.10596</v>
      </c>
      <c r="T230">
        <v>103565577.34103499</v>
      </c>
      <c r="U230">
        <v>92732055.881640807</v>
      </c>
      <c r="V230">
        <v>80637465.167977005</v>
      </c>
      <c r="W230">
        <v>69531454.933817998</v>
      </c>
      <c r="X230">
        <v>59749660.227552101</v>
      </c>
      <c r="Y230">
        <v>51255667.931377701</v>
      </c>
      <c r="Z230">
        <v>43911853.238022499</v>
      </c>
      <c r="AA230">
        <v>37587708.033969</v>
      </c>
      <c r="AB230">
        <v>32163324.0184527</v>
      </c>
      <c r="AC230">
        <v>33586090.116375297</v>
      </c>
      <c r="AD230">
        <v>28470483.446759</v>
      </c>
      <c r="AE230">
        <v>24047935.451316401</v>
      </c>
      <c r="AF230">
        <v>9830390.8308177199</v>
      </c>
      <c r="AG230">
        <v>3639299.80557351</v>
      </c>
      <c r="AH230">
        <v>1143872.8332901699</v>
      </c>
      <c r="AI230">
        <v>278259.09377569403</v>
      </c>
      <c r="AJ230">
        <v>47984.643657061097</v>
      </c>
      <c r="AK230">
        <v>5448.6727880613398</v>
      </c>
    </row>
    <row r="231" spans="1:37">
      <c r="A231" t="s">
        <v>16</v>
      </c>
      <c r="I231" s="3" t="s">
        <v>413</v>
      </c>
      <c r="J231" t="s">
        <v>671</v>
      </c>
      <c r="K231">
        <v>534961780.22950602</v>
      </c>
      <c r="L231">
        <v>535108110.61733198</v>
      </c>
      <c r="M231">
        <v>535820838.52516699</v>
      </c>
      <c r="N231">
        <v>557663068.64873695</v>
      </c>
      <c r="O231">
        <v>603046322.15292704</v>
      </c>
      <c r="P231">
        <v>677757651.26379895</v>
      </c>
      <c r="Q231">
        <v>775254988.73529804</v>
      </c>
      <c r="R231">
        <v>863587098.73132396</v>
      </c>
      <c r="S231">
        <v>902632168.90166402</v>
      </c>
      <c r="T231">
        <v>884247031.97837198</v>
      </c>
      <c r="U231">
        <v>888505572.62997305</v>
      </c>
      <c r="V231">
        <v>899561004.33986402</v>
      </c>
      <c r="W231">
        <v>910162880.33514702</v>
      </c>
      <c r="X231">
        <v>930465848.28506505</v>
      </c>
      <c r="Y231">
        <v>946190073.36733699</v>
      </c>
      <c r="Z231">
        <v>970450352.948578</v>
      </c>
      <c r="AA231">
        <v>985642275.09410203</v>
      </c>
      <c r="AB231">
        <v>1003019214.49747</v>
      </c>
      <c r="AC231">
        <v>1010567434.6448801</v>
      </c>
      <c r="AD231">
        <v>924837475.86532903</v>
      </c>
      <c r="AE231">
        <v>843752590.99606502</v>
      </c>
      <c r="AF231">
        <v>502819065.33477402</v>
      </c>
      <c r="AG231">
        <v>263137774.23639399</v>
      </c>
      <c r="AH231">
        <v>115688929.017074</v>
      </c>
      <c r="AI231">
        <v>40758674.911494002</v>
      </c>
      <c r="AJ231">
        <v>10924068.6750363</v>
      </c>
      <c r="AK231">
        <v>2104110.57840455</v>
      </c>
    </row>
    <row r="232" spans="1:37">
      <c r="A232" t="s">
        <v>16</v>
      </c>
      <c r="I232" s="3" t="s">
        <v>414</v>
      </c>
      <c r="J232" t="s">
        <v>672</v>
      </c>
      <c r="K232">
        <v>1751277144.6252699</v>
      </c>
      <c r="L232">
        <v>1753502480.1646299</v>
      </c>
      <c r="M232">
        <v>1736568377.57322</v>
      </c>
      <c r="N232">
        <v>1745502825.82658</v>
      </c>
      <c r="O232">
        <v>1821995903.5110099</v>
      </c>
      <c r="P232">
        <v>2006775610.3306999</v>
      </c>
      <c r="Q232">
        <v>2283729281.2916498</v>
      </c>
      <c r="R232">
        <v>2562805220.8906598</v>
      </c>
      <c r="S232">
        <v>2809805306.9908299</v>
      </c>
      <c r="T232">
        <v>2821843812.57868</v>
      </c>
      <c r="U232">
        <v>2877773893.5501099</v>
      </c>
      <c r="V232">
        <v>2956540869.5359998</v>
      </c>
      <c r="W232">
        <v>3042387300.8641601</v>
      </c>
      <c r="X232">
        <v>3142066395.3421302</v>
      </c>
      <c r="Y232">
        <v>3215052019.5725002</v>
      </c>
      <c r="Z232">
        <v>3267499601.1072998</v>
      </c>
      <c r="AA232">
        <v>3289593985.7562299</v>
      </c>
      <c r="AB232">
        <v>3299354378.4220901</v>
      </c>
      <c r="AC232">
        <v>3319551076.217</v>
      </c>
      <c r="AD232">
        <v>3039713784.3246698</v>
      </c>
      <c r="AE232">
        <v>2774770767.8393102</v>
      </c>
      <c r="AF232">
        <v>1657034788.76314</v>
      </c>
      <c r="AG232">
        <v>866814686.85412097</v>
      </c>
      <c r="AH232">
        <v>379407513.94493401</v>
      </c>
      <c r="AI232">
        <v>132476093.061588</v>
      </c>
      <c r="AJ232">
        <v>35061961.720911101</v>
      </c>
      <c r="AK232">
        <v>6656950.0294743301</v>
      </c>
    </row>
    <row r="233" spans="1:37">
      <c r="A233" t="s">
        <v>16</v>
      </c>
      <c r="I233" s="3" t="s">
        <v>415</v>
      </c>
      <c r="J233" t="s">
        <v>673</v>
      </c>
      <c r="K233">
        <v>331216941.33739001</v>
      </c>
      <c r="L233">
        <v>331091630.84965998</v>
      </c>
      <c r="M233">
        <v>351483027.66837001</v>
      </c>
      <c r="N233">
        <v>390407718.90243298</v>
      </c>
      <c r="O233">
        <v>439703222.94933999</v>
      </c>
      <c r="P233">
        <v>503585244.70995599</v>
      </c>
      <c r="Q233">
        <v>541995544.29185402</v>
      </c>
      <c r="R233">
        <v>590958356.55981302</v>
      </c>
      <c r="S233">
        <v>642762075.33210194</v>
      </c>
      <c r="T233">
        <v>640746608.08186805</v>
      </c>
      <c r="U233">
        <v>628899356.88888705</v>
      </c>
      <c r="V233">
        <v>632397117.76961195</v>
      </c>
      <c r="W233">
        <v>641562999.484339</v>
      </c>
      <c r="X233">
        <v>639415256.03753603</v>
      </c>
      <c r="Y233">
        <v>629498593.91954505</v>
      </c>
      <c r="Z233">
        <v>620405732.70097303</v>
      </c>
      <c r="AA233">
        <v>610142173.28967094</v>
      </c>
      <c r="AB233">
        <v>598406989.10616302</v>
      </c>
      <c r="AC233">
        <v>610370195.38468599</v>
      </c>
      <c r="AD233">
        <v>556741892.75998902</v>
      </c>
      <c r="AE233">
        <v>506058333.62443501</v>
      </c>
      <c r="AF233">
        <v>294460470.302077</v>
      </c>
      <c r="AG233">
        <v>149297328.463025</v>
      </c>
      <c r="AH233">
        <v>63287780.6503051</v>
      </c>
      <c r="AI233">
        <v>21478683.752556201</v>
      </c>
      <c r="AJ233">
        <v>5560575.3420188399</v>
      </c>
      <c r="AK233">
        <v>1039837.1700628001</v>
      </c>
    </row>
    <row r="234" spans="1:37">
      <c r="A234" t="s">
        <v>16</v>
      </c>
      <c r="I234" s="3" t="s">
        <v>416</v>
      </c>
      <c r="J234" t="s">
        <v>674</v>
      </c>
      <c r="K234">
        <v>150129223.21081501</v>
      </c>
      <c r="L234">
        <v>146321882.521981</v>
      </c>
      <c r="M234">
        <v>152103821.19303</v>
      </c>
      <c r="N234">
        <v>176072692.90421101</v>
      </c>
      <c r="O234">
        <v>215344780.61534399</v>
      </c>
      <c r="P234">
        <v>227352465.361626</v>
      </c>
      <c r="Q234">
        <v>246520548.381495</v>
      </c>
      <c r="R234">
        <v>271692480.202245</v>
      </c>
      <c r="S234">
        <v>294209767.79634303</v>
      </c>
      <c r="T234">
        <v>287173199.20626003</v>
      </c>
      <c r="U234">
        <v>281531131.46644902</v>
      </c>
      <c r="V234">
        <v>280646399.25191802</v>
      </c>
      <c r="W234">
        <v>281327856.30344898</v>
      </c>
      <c r="X234">
        <v>291456684.20224702</v>
      </c>
      <c r="Y234">
        <v>301247002.55769497</v>
      </c>
      <c r="Z234">
        <v>305447009.59014702</v>
      </c>
      <c r="AA234">
        <v>308314642.14785898</v>
      </c>
      <c r="AB234">
        <v>297988096.05332702</v>
      </c>
      <c r="AC234">
        <v>288434951.06673402</v>
      </c>
      <c r="AD234">
        <v>256406849.15903601</v>
      </c>
      <c r="AE234">
        <v>227228102.151279</v>
      </c>
      <c r="AF234">
        <v>117036727.364052</v>
      </c>
      <c r="AG234">
        <v>52812056.675588802</v>
      </c>
      <c r="AH234">
        <v>19938973.471000899</v>
      </c>
      <c r="AI234">
        <v>5998952.6219375199</v>
      </c>
      <c r="AJ234">
        <v>1364312.10404387</v>
      </c>
      <c r="AK234">
        <v>221594.28184127499</v>
      </c>
    </row>
    <row r="235" spans="1:37">
      <c r="A235" t="s">
        <v>16</v>
      </c>
      <c r="I235" s="3" t="s">
        <v>417</v>
      </c>
      <c r="J235" t="s">
        <v>675</v>
      </c>
      <c r="K235">
        <v>2037621910.04404</v>
      </c>
      <c r="L235">
        <v>2002486502.43154</v>
      </c>
      <c r="M235">
        <v>1974461518.1415999</v>
      </c>
      <c r="N235">
        <v>2076046377.8250401</v>
      </c>
      <c r="O235">
        <v>2331055533.3441601</v>
      </c>
      <c r="P235">
        <v>2666334230.7783799</v>
      </c>
      <c r="Q235">
        <v>3111835201.57482</v>
      </c>
      <c r="R235">
        <v>3709366472.4710202</v>
      </c>
      <c r="S235">
        <v>4321277103.3671904</v>
      </c>
      <c r="T235">
        <v>4279713359.60502</v>
      </c>
      <c r="U235">
        <v>4458056616.34869</v>
      </c>
      <c r="V235">
        <v>4835406298.3221998</v>
      </c>
      <c r="W235">
        <v>5154181758.4817801</v>
      </c>
      <c r="X235">
        <v>5547608302.2518997</v>
      </c>
      <c r="Y235">
        <v>5964690158.3445196</v>
      </c>
      <c r="Z235">
        <v>6322334447.7210999</v>
      </c>
      <c r="AA235">
        <v>6492060101.8670397</v>
      </c>
      <c r="AB235">
        <v>6662187764.6371298</v>
      </c>
      <c r="AC235">
        <v>6351349450.7534304</v>
      </c>
      <c r="AD235">
        <v>5676743923.5750198</v>
      </c>
      <c r="AE235">
        <v>5059483868.1432695</v>
      </c>
      <c r="AF235">
        <v>2689385454.5387001</v>
      </c>
      <c r="AG235">
        <v>1254927743.9649601</v>
      </c>
      <c r="AH235">
        <v>489201117.33436</v>
      </c>
      <c r="AI235">
        <v>151424015.068205</v>
      </c>
      <c r="AJ235">
        <v>35290813.161567897</v>
      </c>
      <c r="AK235">
        <v>5856942.68653196</v>
      </c>
    </row>
    <row r="236" spans="1:37">
      <c r="A236" t="s">
        <v>16</v>
      </c>
      <c r="I236" s="3" t="s">
        <v>418</v>
      </c>
      <c r="J236" t="s">
        <v>676</v>
      </c>
      <c r="K236">
        <v>568227914.74388504</v>
      </c>
      <c r="L236">
        <v>687448627.66947305</v>
      </c>
      <c r="M236">
        <v>841952137.38462102</v>
      </c>
      <c r="N236">
        <v>976675699.36098003</v>
      </c>
      <c r="O236">
        <v>1059148629.07541</v>
      </c>
      <c r="P236">
        <v>1192268532.03318</v>
      </c>
      <c r="Q236">
        <v>1419295059.6400599</v>
      </c>
      <c r="R236">
        <v>1645063977.3303001</v>
      </c>
      <c r="S236">
        <v>1820537522.9351699</v>
      </c>
      <c r="T236">
        <v>1792145579.6803801</v>
      </c>
      <c r="U236">
        <v>1789169056.0441501</v>
      </c>
      <c r="V236">
        <v>1897308376.2600999</v>
      </c>
      <c r="W236">
        <v>1976161621.4119699</v>
      </c>
      <c r="X236">
        <v>2080475230.8573301</v>
      </c>
      <c r="Y236">
        <v>2191650088.1494298</v>
      </c>
      <c r="Z236">
        <v>2209450130.06213</v>
      </c>
      <c r="AA236">
        <v>2221191160.6075301</v>
      </c>
      <c r="AB236">
        <v>2226156630.66398</v>
      </c>
      <c r="AC236">
        <v>2142810448.52757</v>
      </c>
      <c r="AD236">
        <v>1910688461.38959</v>
      </c>
      <c r="AE236">
        <v>1698460400.35413</v>
      </c>
      <c r="AF236">
        <v>888159511.24178898</v>
      </c>
      <c r="AG236">
        <v>406425109.300089</v>
      </c>
      <c r="AH236">
        <v>155356869.01458001</v>
      </c>
      <c r="AI236">
        <v>47249728.080166198</v>
      </c>
      <c r="AJ236">
        <v>10851352.0376922</v>
      </c>
      <c r="AK236">
        <v>1779753.32204699</v>
      </c>
    </row>
    <row r="237" spans="1:37">
      <c r="A237" t="s">
        <v>16</v>
      </c>
      <c r="I237" s="3" t="s">
        <v>419</v>
      </c>
      <c r="J237" t="s">
        <v>677</v>
      </c>
      <c r="K237">
        <v>5625437.4744506599</v>
      </c>
      <c r="L237">
        <v>5180740.7543489803</v>
      </c>
      <c r="M237">
        <v>4614964.3361642696</v>
      </c>
      <c r="N237">
        <v>4264840.5559785804</v>
      </c>
      <c r="O237">
        <v>4595141.0295843696</v>
      </c>
      <c r="P237">
        <v>8746237.0822762195</v>
      </c>
      <c r="Q237">
        <v>15882869.174430201</v>
      </c>
      <c r="R237">
        <v>28121657.608640999</v>
      </c>
      <c r="S237">
        <v>39051299.0056132</v>
      </c>
      <c r="T237">
        <v>42685161.501678102</v>
      </c>
      <c r="U237">
        <v>50387460.084369399</v>
      </c>
      <c r="V237">
        <v>60291347.1732179</v>
      </c>
      <c r="W237">
        <v>70701624.395945504</v>
      </c>
      <c r="X237">
        <v>74796038.312730998</v>
      </c>
      <c r="Y237">
        <v>89432441.856926695</v>
      </c>
      <c r="Z237">
        <v>95656653.727422997</v>
      </c>
      <c r="AA237">
        <v>111158222.12459099</v>
      </c>
      <c r="AB237">
        <v>122213678.84983701</v>
      </c>
      <c r="AC237">
        <v>114586026.194571</v>
      </c>
      <c r="AD237">
        <v>102978869.439032</v>
      </c>
      <c r="AE237">
        <v>92314255.473987997</v>
      </c>
      <c r="AF237">
        <v>50672087.7278907</v>
      </c>
      <c r="AG237">
        <v>24478490.880847901</v>
      </c>
      <c r="AH237">
        <v>9877863.3737912793</v>
      </c>
      <c r="AI237">
        <v>3160336.1230644402</v>
      </c>
      <c r="AJ237">
        <v>759741.594858706</v>
      </c>
      <c r="AK237">
        <v>129765.955752429</v>
      </c>
    </row>
    <row r="238" spans="1:37">
      <c r="A238" t="s">
        <v>16</v>
      </c>
      <c r="I238" s="3" t="s">
        <v>420</v>
      </c>
      <c r="J238" t="s">
        <v>678</v>
      </c>
      <c r="K238">
        <v>7088050.2023903802</v>
      </c>
      <c r="L238">
        <v>6113898.67207943</v>
      </c>
      <c r="M238">
        <v>5227773.3091062196</v>
      </c>
      <c r="N238">
        <v>4428858.5599546898</v>
      </c>
      <c r="O238">
        <v>3715897.4576634001</v>
      </c>
      <c r="P238">
        <v>18026810.843204901</v>
      </c>
      <c r="Q238">
        <v>46137796.527859204</v>
      </c>
      <c r="R238">
        <v>59200648.905473098</v>
      </c>
      <c r="S238">
        <v>72978924.134818703</v>
      </c>
      <c r="T238">
        <v>66468581.647166103</v>
      </c>
      <c r="U238">
        <v>60409684.9668926</v>
      </c>
      <c r="V238">
        <v>55602724.847158298</v>
      </c>
      <c r="W238">
        <v>52818957.554105103</v>
      </c>
      <c r="X238">
        <v>50258542.281746902</v>
      </c>
      <c r="Y238">
        <v>45047126.121697202</v>
      </c>
      <c r="Z238">
        <v>39455002.9107337</v>
      </c>
      <c r="AA238">
        <v>34295516.5218499</v>
      </c>
      <c r="AB238">
        <v>29412068.148240201</v>
      </c>
      <c r="AC238">
        <v>30143213.422731798</v>
      </c>
      <c r="AD238">
        <v>26503062.9529108</v>
      </c>
      <c r="AE238">
        <v>23181383.8938087</v>
      </c>
      <c r="AF238">
        <v>10806092.2473778</v>
      </c>
      <c r="AG238">
        <v>4145425.6169874799</v>
      </c>
      <c r="AH238">
        <v>1246966.3638136</v>
      </c>
      <c r="AI238">
        <v>282059.36532572901</v>
      </c>
      <c r="AJ238">
        <v>46271.117981916097</v>
      </c>
      <c r="AK238">
        <v>5317.4613330054399</v>
      </c>
    </row>
    <row r="239" spans="1:37">
      <c r="A239" t="s">
        <v>16</v>
      </c>
      <c r="I239" s="3" t="s">
        <v>151</v>
      </c>
      <c r="J239" t="s">
        <v>679</v>
      </c>
      <c r="K239">
        <v>9457429036.6961193</v>
      </c>
      <c r="L239">
        <v>10170358349.743</v>
      </c>
      <c r="M239">
        <v>10819581384.903799</v>
      </c>
      <c r="N239">
        <v>11408753625.339399</v>
      </c>
      <c r="O239">
        <v>12155705943.241501</v>
      </c>
      <c r="P239">
        <v>13348688103.9839</v>
      </c>
      <c r="Q239">
        <v>15322493799.6001</v>
      </c>
      <c r="R239">
        <v>17176239536.754499</v>
      </c>
      <c r="S239">
        <v>18137222347.9846</v>
      </c>
      <c r="T239">
        <v>18398687333.710201</v>
      </c>
      <c r="U239">
        <v>18936333926.556999</v>
      </c>
      <c r="V239">
        <v>19812349461.709099</v>
      </c>
      <c r="W239">
        <v>20925523504.623001</v>
      </c>
      <c r="X239">
        <v>22448655192.464699</v>
      </c>
      <c r="Y239">
        <v>23971647936.052799</v>
      </c>
      <c r="Z239">
        <v>25654165273.253101</v>
      </c>
      <c r="AA239">
        <v>26815778262.550701</v>
      </c>
      <c r="AB239">
        <v>28130667901.066101</v>
      </c>
      <c r="AC239">
        <v>25344904124.1133</v>
      </c>
      <c r="AD239">
        <v>22754832476.2048</v>
      </c>
      <c r="AE239">
        <v>20370323870.9697</v>
      </c>
      <c r="AF239">
        <v>11304446348.3022</v>
      </c>
      <c r="AG239">
        <v>5977104944.1715097</v>
      </c>
      <c r="AH239">
        <v>3035502305.55405</v>
      </c>
      <c r="AI239">
        <v>1487909512.21121</v>
      </c>
      <c r="AJ239">
        <v>706314244.64048195</v>
      </c>
      <c r="AK239">
        <v>325537237.47551</v>
      </c>
    </row>
    <row r="240" spans="1:37">
      <c r="A240" t="s">
        <v>16</v>
      </c>
      <c r="I240" s="3" t="s">
        <v>151</v>
      </c>
      <c r="J240" t="s">
        <v>680</v>
      </c>
      <c r="K240">
        <v>21187060209.2001</v>
      </c>
      <c r="L240">
        <v>21302081582.240501</v>
      </c>
      <c r="M240">
        <v>20978196473.0681</v>
      </c>
      <c r="N240">
        <v>20770879860.299702</v>
      </c>
      <c r="O240">
        <v>21089804423.839699</v>
      </c>
      <c r="P240">
        <v>21898036237.3074</v>
      </c>
      <c r="Q240">
        <v>23062156726.733398</v>
      </c>
      <c r="R240">
        <v>23953134501.7173</v>
      </c>
      <c r="S240">
        <v>24126728024.1092</v>
      </c>
      <c r="T240">
        <v>23347948208.474499</v>
      </c>
      <c r="U240">
        <v>22829289072.8022</v>
      </c>
      <c r="V240">
        <v>22748437320.342098</v>
      </c>
      <c r="W240">
        <v>22585367251.479198</v>
      </c>
      <c r="X240">
        <v>22200094295.7719</v>
      </c>
      <c r="Y240">
        <v>21689624179.908199</v>
      </c>
      <c r="Z240">
        <v>21071997552.841801</v>
      </c>
      <c r="AA240">
        <v>20234046259.340199</v>
      </c>
      <c r="AB240">
        <v>19454152684.683899</v>
      </c>
      <c r="AC240">
        <v>17548004965.229</v>
      </c>
      <c r="AD240">
        <v>15799133230.3948</v>
      </c>
      <c r="AE240">
        <v>14202302088.4629</v>
      </c>
      <c r="AF240">
        <v>8176374791.5258398</v>
      </c>
      <c r="AG240">
        <v>4583258181.2513599</v>
      </c>
      <c r="AH240">
        <v>2512745557.7565598</v>
      </c>
      <c r="AI240">
        <v>1351113080.7437201</v>
      </c>
      <c r="AJ240">
        <v>713935933.66393399</v>
      </c>
      <c r="AK240">
        <v>371279111.099783</v>
      </c>
    </row>
    <row r="241" spans="1:37">
      <c r="A241" t="s">
        <v>16</v>
      </c>
      <c r="J241" t="s">
        <v>681</v>
      </c>
      <c r="K241">
        <v>55935417.517135203</v>
      </c>
      <c r="L241">
        <v>53100046.113764197</v>
      </c>
      <c r="M241">
        <v>50266236.360226199</v>
      </c>
      <c r="N241">
        <v>47452503.888255097</v>
      </c>
      <c r="O241">
        <v>44675023.155415699</v>
      </c>
      <c r="P241">
        <v>71452985.185886398</v>
      </c>
      <c r="Q241">
        <v>131487851.91297001</v>
      </c>
      <c r="R241">
        <v>229743502.918933</v>
      </c>
      <c r="S241">
        <v>319404303.91944599</v>
      </c>
      <c r="T241">
        <v>360064028.28808999</v>
      </c>
      <c r="U241">
        <v>424363923.39592701</v>
      </c>
      <c r="V241">
        <v>535405877.43765599</v>
      </c>
      <c r="W241">
        <v>689475378.18147504</v>
      </c>
      <c r="X241">
        <v>945495614.11812401</v>
      </c>
      <c r="Y241">
        <v>1215003552.55497</v>
      </c>
      <c r="Z241">
        <v>1477014785.9695699</v>
      </c>
      <c r="AA241">
        <v>1802117908.08342</v>
      </c>
      <c r="AB241">
        <v>2132469266.97544</v>
      </c>
      <c r="AC241">
        <v>2025809328.2140801</v>
      </c>
      <c r="AD241">
        <v>1919010219.24331</v>
      </c>
      <c r="AE241">
        <v>1812852758.4143</v>
      </c>
      <c r="AF241">
        <v>1311148821.2594199</v>
      </c>
      <c r="AG241">
        <v>890350007.88851094</v>
      </c>
      <c r="AH241">
        <v>568997034.666237</v>
      </c>
      <c r="AI241">
        <v>342755942.48194999</v>
      </c>
      <c r="AJ241">
        <v>194850568.60389701</v>
      </c>
      <c r="AK241">
        <v>104634073.90256999</v>
      </c>
    </row>
    <row r="242" spans="1:37">
      <c r="A242" t="s">
        <v>16</v>
      </c>
      <c r="J242" t="s">
        <v>682</v>
      </c>
      <c r="K242">
        <v>6013479780.64468</v>
      </c>
      <c r="L242">
        <v>5802386090.9882097</v>
      </c>
      <c r="M242">
        <v>5637369306.3173199</v>
      </c>
      <c r="N242">
        <v>5417583449.2073898</v>
      </c>
      <c r="O242">
        <v>5293915986.20047</v>
      </c>
      <c r="P242">
        <v>5284977941.5605297</v>
      </c>
      <c r="Q242">
        <v>5333223870.38797</v>
      </c>
      <c r="R242">
        <v>5493535353.2996101</v>
      </c>
      <c r="S242">
        <v>5706417036.9822397</v>
      </c>
      <c r="T242">
        <v>5656762561.7613001</v>
      </c>
      <c r="U242">
        <v>5601280809.6035299</v>
      </c>
      <c r="V242">
        <v>5534136104.5333595</v>
      </c>
      <c r="W242">
        <v>5483743293.4380798</v>
      </c>
      <c r="X242">
        <v>5367971727.6703901</v>
      </c>
      <c r="Y242">
        <v>5297289371.6096802</v>
      </c>
      <c r="Z242">
        <v>5190127326.0237303</v>
      </c>
      <c r="AA242">
        <v>5151391088.77528</v>
      </c>
      <c r="AB242">
        <v>5080581278.5700502</v>
      </c>
      <c r="AC242">
        <v>4716696503.6307802</v>
      </c>
      <c r="AD242">
        <v>4370779005.9278603</v>
      </c>
      <c r="AE242">
        <v>4043651097.5019498</v>
      </c>
      <c r="AF242">
        <v>2683229484.8517299</v>
      </c>
      <c r="AG242">
        <v>1726778803.48528</v>
      </c>
      <c r="AH242">
        <v>1081888984.54531</v>
      </c>
      <c r="AI242">
        <v>661587058.87643397</v>
      </c>
      <c r="AJ242">
        <v>395598206.18648398</v>
      </c>
      <c r="AK242">
        <v>231641623.061728</v>
      </c>
    </row>
    <row r="243" spans="1:37">
      <c r="A243" t="s">
        <v>16</v>
      </c>
      <c r="J243" t="s">
        <v>683</v>
      </c>
      <c r="K243">
        <v>396729744.453435</v>
      </c>
      <c r="L243">
        <v>492194583.081119</v>
      </c>
      <c r="M243">
        <v>644891152.91232097</v>
      </c>
      <c r="N243">
        <v>802767235.88178504</v>
      </c>
      <c r="O243">
        <v>979763553.36641097</v>
      </c>
      <c r="P243">
        <v>1254185207.1200199</v>
      </c>
      <c r="Q243">
        <v>1635252930.88258</v>
      </c>
      <c r="R243">
        <v>2141222200.5527799</v>
      </c>
      <c r="S243">
        <v>2555114692.2533798</v>
      </c>
      <c r="T243">
        <v>2929958075.14428</v>
      </c>
      <c r="U243">
        <v>3481651113.7887402</v>
      </c>
      <c r="V243">
        <v>4036040592.86274</v>
      </c>
      <c r="W243">
        <v>4728648181.8786602</v>
      </c>
      <c r="X243">
        <v>5601757979.2096596</v>
      </c>
      <c r="Y243">
        <v>6427425990.13416</v>
      </c>
      <c r="Z243">
        <v>7139061433.1280603</v>
      </c>
      <c r="AA243">
        <v>7802258245.5215197</v>
      </c>
      <c r="AB243">
        <v>8571575529.1626701</v>
      </c>
      <c r="AC243">
        <v>8172271319.9861603</v>
      </c>
      <c r="AD243">
        <v>7777353237.3978205</v>
      </c>
      <c r="AE243">
        <v>7385823612.2235003</v>
      </c>
      <c r="AF243">
        <v>5470001988.3322897</v>
      </c>
      <c r="AG243">
        <v>3679928754.1623201</v>
      </c>
      <c r="AH243">
        <v>2171209328.1210799</v>
      </c>
      <c r="AI243">
        <v>1084507692.73511</v>
      </c>
      <c r="AJ243">
        <v>442313535.78407699</v>
      </c>
      <c r="AK243">
        <v>141903609.654688</v>
      </c>
    </row>
    <row r="244" spans="1:37">
      <c r="A244" t="s">
        <v>16</v>
      </c>
      <c r="J244" t="s">
        <v>684</v>
      </c>
      <c r="K244">
        <v>0</v>
      </c>
      <c r="L244">
        <v>0</v>
      </c>
      <c r="M244">
        <v>0</v>
      </c>
      <c r="N244">
        <v>0</v>
      </c>
      <c r="O244">
        <v>0</v>
      </c>
      <c r="P244">
        <v>0</v>
      </c>
      <c r="Q244">
        <v>0</v>
      </c>
      <c r="R244">
        <v>0</v>
      </c>
      <c r="S244">
        <v>1632000</v>
      </c>
      <c r="T244">
        <v>4183990.8686778899</v>
      </c>
      <c r="U244">
        <v>7715732.8326528901</v>
      </c>
      <c r="V244">
        <v>9764304.7152997702</v>
      </c>
      <c r="W244">
        <v>11610846.16667</v>
      </c>
      <c r="X244">
        <v>11941735.9065434</v>
      </c>
      <c r="Y244">
        <v>12326399.5151351</v>
      </c>
      <c r="Z244">
        <v>12424407.9200815</v>
      </c>
      <c r="AA244">
        <v>14788495.9489499</v>
      </c>
      <c r="AB244">
        <v>15919201.2956309</v>
      </c>
      <c r="AC244">
        <v>15238112.532214601</v>
      </c>
      <c r="AD244">
        <v>14565372.302711399</v>
      </c>
      <c r="AE244">
        <v>13897848.3068798</v>
      </c>
      <c r="AF244">
        <v>10563414.104224499</v>
      </c>
      <c r="AG244">
        <v>7222057.8259937596</v>
      </c>
      <c r="AH244">
        <v>4185876.5790268802</v>
      </c>
      <c r="AI244">
        <v>1932213.2223985801</v>
      </c>
      <c r="AJ244">
        <v>666077.77877974603</v>
      </c>
      <c r="AK244">
        <v>159989.43666908299</v>
      </c>
    </row>
    <row r="245" spans="1:37">
      <c r="A245" t="s">
        <v>16</v>
      </c>
      <c r="J245" t="s">
        <v>685</v>
      </c>
      <c r="K245">
        <v>718281527.19992602</v>
      </c>
      <c r="L245">
        <v>845222679.22164798</v>
      </c>
      <c r="M245">
        <v>967058354.25427103</v>
      </c>
      <c r="N245">
        <v>1112622382.29217</v>
      </c>
      <c r="O245">
        <v>1346704955.9602699</v>
      </c>
      <c r="P245">
        <v>1679401976.4688499</v>
      </c>
      <c r="Q245">
        <v>2261289940.23563</v>
      </c>
      <c r="R245">
        <v>2875775308.5437899</v>
      </c>
      <c r="S245">
        <v>3310892371.3382502</v>
      </c>
      <c r="T245">
        <v>3649396122.4123302</v>
      </c>
      <c r="U245">
        <v>4138743877.5921302</v>
      </c>
      <c r="V245">
        <v>4740718140.83358</v>
      </c>
      <c r="W245">
        <v>5375513735.9766798</v>
      </c>
      <c r="X245">
        <v>6056930752.0140896</v>
      </c>
      <c r="Y245">
        <v>6783708792.4904299</v>
      </c>
      <c r="Z245">
        <v>7472082483.1575403</v>
      </c>
      <c r="AA245">
        <v>8244483943.8615904</v>
      </c>
      <c r="AB245">
        <v>9166697071.6096191</v>
      </c>
      <c r="AC245">
        <v>8726067270.4225292</v>
      </c>
      <c r="AD245">
        <v>8290636601.9742699</v>
      </c>
      <c r="AE245">
        <v>7859544987.8648901</v>
      </c>
      <c r="AF245">
        <v>5767316755.8013897</v>
      </c>
      <c r="AG245">
        <v>3851700079.2403302</v>
      </c>
      <c r="AH245">
        <v>2270785158.4244499</v>
      </c>
      <c r="AI245">
        <v>1146838157.2948699</v>
      </c>
      <c r="AJ245">
        <v>481368585.51249599</v>
      </c>
      <c r="AK245">
        <v>162808775.596387</v>
      </c>
    </row>
    <row r="246" spans="1:37">
      <c r="A246" t="s">
        <v>16</v>
      </c>
      <c r="J246" t="s">
        <v>686</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row>
    <row r="247" spans="1:37">
      <c r="A247" t="s">
        <v>16</v>
      </c>
      <c r="J247" t="s">
        <v>687</v>
      </c>
      <c r="K247">
        <v>1837247774.6393199</v>
      </c>
      <c r="L247">
        <v>2029006592.7708001</v>
      </c>
      <c r="M247">
        <v>2188300730.3119702</v>
      </c>
      <c r="N247">
        <v>2334537217.0045099</v>
      </c>
      <c r="O247">
        <v>2606582753.9672999</v>
      </c>
      <c r="P247">
        <v>2955614669.58005</v>
      </c>
      <c r="Q247">
        <v>3330631034.1451502</v>
      </c>
      <c r="R247">
        <v>3773106830.7731099</v>
      </c>
      <c r="S247">
        <v>4009331186.4348698</v>
      </c>
      <c r="T247">
        <v>4125607299.1135402</v>
      </c>
      <c r="U247">
        <v>4314153571.6862297</v>
      </c>
      <c r="V247">
        <v>4508924390.9787798</v>
      </c>
      <c r="W247">
        <v>4788655061.21103</v>
      </c>
      <c r="X247">
        <v>4511244978.9678297</v>
      </c>
      <c r="Y247">
        <v>4237274430.5552301</v>
      </c>
      <c r="Z247">
        <v>3966472123.3180199</v>
      </c>
      <c r="AA247">
        <v>3698874057.96031</v>
      </c>
      <c r="AB247">
        <v>3434795788.4808002</v>
      </c>
      <c r="AC247">
        <v>3174801524.6414199</v>
      </c>
      <c r="AD247">
        <v>2919669060.9611101</v>
      </c>
      <c r="AE247">
        <v>2670350077.6321402</v>
      </c>
      <c r="AF247">
        <v>1550589859.2809601</v>
      </c>
      <c r="AG247">
        <v>735639844.54326606</v>
      </c>
      <c r="AH247">
        <v>269606423.88368601</v>
      </c>
      <c r="AI247">
        <v>71988171.701932296</v>
      </c>
      <c r="AJ247">
        <v>13165291.3665761</v>
      </c>
      <c r="AK247">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1" zoomScale="90" zoomScaleNormal="90" workbookViewId="0">
      <selection activeCell="F59" sqref="F59"/>
    </sheetView>
  </sheetViews>
  <sheetFormatPr defaultColWidth="9.140625" defaultRowHeight="15"/>
  <cols>
    <col min="1" max="1" width="9" customWidth="1"/>
    <col min="2" max="2" width="11.140625" customWidth="1"/>
    <col min="3" max="3" width="42.85546875" customWidth="1"/>
    <col min="4" max="4" width="15.85546875" customWidth="1"/>
    <col min="5" max="5" width="10.140625" customWidth="1"/>
    <col min="6" max="7" width="7.42578125" customWidth="1"/>
    <col min="8" max="8" width="8.42578125" bestFit="1" customWidth="1"/>
    <col min="9" max="9" width="8.85546875" bestFit="1" customWidth="1"/>
    <col min="10" max="11" width="11.140625" bestFit="1" customWidth="1"/>
    <col min="12" max="12" width="9.140625" style="34" bestFit="1" customWidth="1"/>
    <col min="13"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2" width="9.85546875" customWidth="1"/>
    <col min="23" max="23" width="9.42578125" customWidth="1"/>
    <col min="24" max="24" width="9.7109375" customWidth="1"/>
    <col min="25" max="42" width="7.7109375" customWidth="1"/>
    <col min="54" max="54" width="19.140625" customWidth="1"/>
    <col min="55" max="55" width="18.85546875" customWidth="1"/>
  </cols>
  <sheetData>
    <row r="1" spans="1:64">
      <c r="A1" t="str">
        <f>IF(TRA,"TS DATA","")</f>
        <v>TS DATA</v>
      </c>
      <c r="B1" t="s">
        <v>17</v>
      </c>
      <c r="D1">
        <f>DriversGams!C164</f>
        <v>-1</v>
      </c>
      <c r="L1"/>
      <c r="N1" s="34"/>
      <c r="BB1" s="171" t="s">
        <v>223</v>
      </c>
      <c r="BC1" s="171" t="s">
        <v>539</v>
      </c>
      <c r="BD1" s="171" t="s">
        <v>197</v>
      </c>
      <c r="BE1" s="171" t="s">
        <v>543</v>
      </c>
      <c r="BF1" s="171"/>
      <c r="BG1" s="171"/>
      <c r="BH1" s="171"/>
      <c r="BI1" s="171" t="s">
        <v>618</v>
      </c>
      <c r="BJ1" s="171"/>
      <c r="BK1" s="171"/>
      <c r="BL1" s="171"/>
    </row>
    <row r="2" spans="1:64" ht="15.75" thickBot="1">
      <c r="A2" t="s">
        <v>16</v>
      </c>
      <c r="B2" s="311" t="s">
        <v>296</v>
      </c>
      <c r="C2" s="311"/>
      <c r="L2"/>
      <c r="N2" s="124"/>
      <c r="O2" s="124"/>
      <c r="R2" s="124"/>
      <c r="T2" s="124"/>
      <c r="U2" s="27"/>
      <c r="V2" s="27"/>
      <c r="W2" s="27"/>
      <c r="X2" s="27"/>
      <c r="AA2" s="27"/>
      <c r="AC2" s="27"/>
      <c r="AD2" s="27"/>
      <c r="AE2" s="27"/>
      <c r="AF2" s="27"/>
      <c r="AG2" s="27"/>
      <c r="AH2" s="27"/>
      <c r="AI2" s="27"/>
      <c r="AJ2" s="27"/>
      <c r="AK2" s="27"/>
      <c r="AL2" s="27"/>
      <c r="AM2" s="27"/>
      <c r="AN2" s="27"/>
      <c r="AO2" s="27"/>
      <c r="AP2" s="27"/>
      <c r="AQ2" s="27"/>
      <c r="AR2" s="27"/>
      <c r="BB2" s="171"/>
      <c r="BC2" s="171"/>
      <c r="BD2" s="171"/>
      <c r="BE2" s="171" t="s">
        <v>540</v>
      </c>
      <c r="BF2" s="171" t="s">
        <v>540</v>
      </c>
      <c r="BG2" s="171" t="s">
        <v>540</v>
      </c>
      <c r="BH2" s="171" t="s">
        <v>545</v>
      </c>
      <c r="BI2" s="171" t="s">
        <v>615</v>
      </c>
      <c r="BJ2" s="171" t="s">
        <v>616</v>
      </c>
      <c r="BK2" s="171" t="s">
        <v>617</v>
      </c>
      <c r="BL2" s="171"/>
    </row>
    <row r="3" spans="1:64">
      <c r="A3" t="s">
        <v>16</v>
      </c>
      <c r="B3" s="19"/>
      <c r="C3" s="171" t="str">
        <f>INDEX($BC$4:$BC$7,MATCH($D$3,$BB$4:$BB$7,0))</f>
        <v>NDC-PAMS-reference</v>
      </c>
      <c r="D3" s="175">
        <f>DriversGams!C164</f>
        <v>-1</v>
      </c>
      <c r="L3"/>
      <c r="N3" s="33"/>
      <c r="BB3" s="171"/>
      <c r="BC3" s="171"/>
      <c r="BD3" s="171"/>
      <c r="BE3" s="171" t="s">
        <v>541</v>
      </c>
      <c r="BF3" s="171" t="s">
        <v>542</v>
      </c>
      <c r="BG3" s="171" t="s">
        <v>644</v>
      </c>
      <c r="BH3" s="171"/>
      <c r="BI3" s="171"/>
      <c r="BJ3" s="171"/>
      <c r="BK3" s="171"/>
      <c r="BL3" s="171"/>
    </row>
    <row r="4" spans="1:64">
      <c r="A4" t="s">
        <v>16</v>
      </c>
      <c r="C4" s="2" t="s">
        <v>198</v>
      </c>
      <c r="D4" s="174">
        <f>INDEX($BD$4:$BD$7,MATCH($D$3,$BB$4:$BB$7,0))</f>
        <v>0</v>
      </c>
      <c r="E4">
        <v>2012</v>
      </c>
      <c r="F4">
        <v>2015</v>
      </c>
      <c r="G4">
        <v>2017</v>
      </c>
      <c r="H4">
        <v>2019</v>
      </c>
      <c r="I4">
        <v>2020</v>
      </c>
      <c r="J4">
        <v>2021</v>
      </c>
      <c r="K4">
        <v>2030</v>
      </c>
      <c r="L4">
        <v>2040</v>
      </c>
      <c r="M4" s="109">
        <v>2050</v>
      </c>
      <c r="N4" s="209"/>
      <c r="W4" s="209"/>
      <c r="X4" s="209"/>
      <c r="AA4" s="209"/>
      <c r="AC4" s="209"/>
      <c r="AD4" s="209"/>
      <c r="AE4" s="209"/>
      <c r="AF4" s="209"/>
      <c r="AG4" s="209"/>
      <c r="AH4" s="209"/>
      <c r="AI4" s="209"/>
      <c r="AJ4" s="209"/>
      <c r="AK4" s="209"/>
      <c r="AL4" s="209"/>
      <c r="AM4" s="209"/>
      <c r="AN4" s="209"/>
      <c r="AO4" s="209"/>
      <c r="AP4" s="209"/>
      <c r="AQ4" s="209"/>
      <c r="AR4" s="209"/>
      <c r="AS4" s="209"/>
      <c r="BB4" s="171">
        <v>-1</v>
      </c>
      <c r="BC4" s="171" t="s">
        <v>621</v>
      </c>
      <c r="BD4" s="171">
        <v>0</v>
      </c>
      <c r="BE4" s="168">
        <v>0.97499999999999998</v>
      </c>
      <c r="BF4" s="169">
        <v>0.95</v>
      </c>
      <c r="BG4" s="169">
        <v>0.95</v>
      </c>
      <c r="BH4" s="179">
        <v>1</v>
      </c>
      <c r="BI4" s="169">
        <v>0</v>
      </c>
      <c r="BJ4" s="166">
        <v>0</v>
      </c>
      <c r="BK4" s="169">
        <v>0</v>
      </c>
      <c r="BL4" s="171"/>
    </row>
    <row r="5" spans="1:64" ht="15.75" thickBot="1">
      <c r="A5" t="s">
        <v>16</v>
      </c>
      <c r="B5" s="14"/>
      <c r="C5" s="14"/>
      <c r="L5"/>
      <c r="M5" s="109"/>
      <c r="BB5" s="171">
        <v>1</v>
      </c>
      <c r="BC5" s="171" t="s">
        <v>622</v>
      </c>
      <c r="BD5" s="171">
        <v>1</v>
      </c>
      <c r="BE5" s="168">
        <v>0.97499999999999998</v>
      </c>
      <c r="BF5" s="169">
        <v>0.95</v>
      </c>
      <c r="BG5" s="169">
        <v>0.95</v>
      </c>
      <c r="BH5" s="179">
        <v>1</v>
      </c>
      <c r="BI5" s="169">
        <v>0</v>
      </c>
      <c r="BJ5" s="166">
        <v>0</v>
      </c>
      <c r="BK5" s="169">
        <v>0</v>
      </c>
      <c r="BL5" s="171"/>
    </row>
    <row r="6" spans="1:64">
      <c r="A6" t="s">
        <v>16</v>
      </c>
      <c r="E6" s="3"/>
      <c r="F6" s="3"/>
      <c r="G6" s="3"/>
      <c r="I6" s="3"/>
      <c r="K6" s="3"/>
      <c r="L6" s="3"/>
      <c r="M6" s="132"/>
      <c r="N6" s="210"/>
      <c r="R6" s="210"/>
      <c r="T6" s="210"/>
      <c r="U6" s="210"/>
      <c r="V6" s="210"/>
      <c r="W6" s="210"/>
      <c r="X6" s="210"/>
      <c r="AA6" s="210"/>
      <c r="AC6" s="210"/>
      <c r="AD6" s="210"/>
      <c r="AE6" s="210"/>
      <c r="AF6" s="210"/>
      <c r="AG6" s="210"/>
      <c r="AH6" s="210"/>
      <c r="AI6" s="210"/>
      <c r="AJ6" s="210"/>
      <c r="AK6" s="210"/>
      <c r="AL6" s="210"/>
      <c r="AM6" s="210"/>
      <c r="AN6" s="210"/>
      <c r="AO6" s="210"/>
      <c r="AP6" s="210"/>
      <c r="AQ6" s="210"/>
      <c r="AR6" s="210"/>
      <c r="AS6" s="210"/>
      <c r="AT6" s="210"/>
      <c r="AU6" s="210"/>
      <c r="BB6" s="171">
        <v>2</v>
      </c>
      <c r="BC6" s="171" t="s">
        <v>613</v>
      </c>
      <c r="BD6" s="171">
        <v>1</v>
      </c>
      <c r="BE6" s="168">
        <v>0.97499999999999998</v>
      </c>
      <c r="BF6" s="169">
        <v>0.95</v>
      </c>
      <c r="BG6" s="169">
        <v>0.95</v>
      </c>
      <c r="BH6" s="180">
        <v>1</v>
      </c>
      <c r="BI6" s="169">
        <v>0</v>
      </c>
      <c r="BJ6" s="223">
        <v>0</v>
      </c>
      <c r="BK6" s="169">
        <v>0</v>
      </c>
      <c r="BL6" s="171"/>
    </row>
    <row r="7" spans="1:64">
      <c r="A7" t="s">
        <v>16</v>
      </c>
      <c r="L7"/>
      <c r="N7" s="34"/>
      <c r="BB7" s="171">
        <v>3</v>
      </c>
      <c r="BC7" s="171" t="s">
        <v>623</v>
      </c>
      <c r="BD7" s="171">
        <v>1</v>
      </c>
      <c r="BE7" s="168">
        <v>0.97499999999999998</v>
      </c>
      <c r="BF7" s="169">
        <v>0.95</v>
      </c>
      <c r="BG7" s="169">
        <v>0.95</v>
      </c>
      <c r="BH7" s="180">
        <v>1</v>
      </c>
      <c r="BI7" s="168">
        <v>0.05</v>
      </c>
      <c r="BJ7" s="168">
        <v>2.5000000000000001E-2</v>
      </c>
      <c r="BK7" s="168">
        <v>0.2</v>
      </c>
      <c r="BL7" s="171"/>
    </row>
    <row r="8" spans="1:64">
      <c r="A8" t="s">
        <v>16</v>
      </c>
      <c r="L8"/>
      <c r="N8" s="34"/>
    </row>
    <row r="9" spans="1:64">
      <c r="A9" t="s">
        <v>16</v>
      </c>
      <c r="L9"/>
      <c r="N9" s="34"/>
    </row>
    <row r="10" spans="1:64">
      <c r="A10" t="s">
        <v>16</v>
      </c>
      <c r="B10" s="19"/>
      <c r="C10" s="19"/>
      <c r="L10"/>
      <c r="N10" s="34"/>
      <c r="O10" s="210"/>
    </row>
    <row r="11" spans="1:64" ht="15.75" thickBot="1">
      <c r="A11" t="s">
        <v>16</v>
      </c>
      <c r="B11" s="14" t="s">
        <v>56</v>
      </c>
      <c r="E11">
        <f>MATCH(E12,Drivers!$C$5:$AG$5,0)</f>
        <v>1</v>
      </c>
      <c r="F11">
        <f>MATCH(F12,Drivers!$C$5:$AG$5,0)</f>
        <v>4</v>
      </c>
      <c r="G11">
        <f>MATCH(G12,Drivers!$C$5:$AG$5,0)</f>
        <v>6</v>
      </c>
      <c r="H11">
        <f>MATCH(H12,Drivers!$C$5:$AG$5,0)</f>
        <v>8</v>
      </c>
      <c r="I11">
        <f>MATCH(I12,Drivers!$C$5:$AG$5,0)</f>
        <v>9</v>
      </c>
      <c r="J11">
        <f>MATCH(J12,Drivers!$C$5:$AG$5,0)</f>
        <v>10</v>
      </c>
      <c r="K11">
        <f>MATCH(K12,Drivers!$C$5:$AG$5,0)</f>
        <v>19</v>
      </c>
      <c r="L11">
        <f>MATCH(L12,Drivers!$C$5:$AG$5,0)</f>
        <v>29</v>
      </c>
      <c r="M11">
        <f>MATCH(M12,Drivers!$C$5:$AG$5,0)</f>
        <v>31</v>
      </c>
      <c r="N11" s="34"/>
      <c r="O11" s="2" t="s">
        <v>41</v>
      </c>
      <c r="X11" s="2" t="s">
        <v>197</v>
      </c>
    </row>
    <row r="12" spans="1:64" ht="15.75" thickBot="1">
      <c r="A12" t="s">
        <v>16</v>
      </c>
      <c r="D12" s="14"/>
      <c r="E12" s="4">
        <f>E4</f>
        <v>2012</v>
      </c>
      <c r="F12" s="4">
        <f t="shared" ref="F12:M12" si="0">F4</f>
        <v>2015</v>
      </c>
      <c r="G12" s="4">
        <f t="shared" si="0"/>
        <v>2017</v>
      </c>
      <c r="H12" s="4">
        <f t="shared" si="0"/>
        <v>2019</v>
      </c>
      <c r="I12" s="4">
        <f t="shared" si="0"/>
        <v>2020</v>
      </c>
      <c r="J12" s="4">
        <f t="shared" si="0"/>
        <v>2021</v>
      </c>
      <c r="K12" s="4">
        <f t="shared" si="0"/>
        <v>2030</v>
      </c>
      <c r="L12" s="4">
        <f t="shared" si="0"/>
        <v>2040</v>
      </c>
      <c r="M12" s="4">
        <f t="shared" si="0"/>
        <v>2050</v>
      </c>
      <c r="N12" s="34"/>
      <c r="O12" s="4">
        <f>F12</f>
        <v>2015</v>
      </c>
      <c r="P12" s="4">
        <f t="shared" ref="P12:S15" si="1">G12</f>
        <v>2017</v>
      </c>
      <c r="Q12" s="4">
        <f t="shared" si="1"/>
        <v>2019</v>
      </c>
      <c r="R12" s="4">
        <f t="shared" si="1"/>
        <v>2020</v>
      </c>
      <c r="S12" s="4">
        <f t="shared" si="1"/>
        <v>2021</v>
      </c>
      <c r="T12" s="4">
        <v>2030</v>
      </c>
      <c r="U12" s="4">
        <v>2040</v>
      </c>
      <c r="V12" s="4">
        <v>2050</v>
      </c>
      <c r="X12" s="4">
        <f>O12</f>
        <v>2015</v>
      </c>
      <c r="Y12" s="4">
        <f t="shared" ref="Y12:AD12" si="2">P12</f>
        <v>2017</v>
      </c>
      <c r="Z12" s="4">
        <f t="shared" si="2"/>
        <v>2019</v>
      </c>
      <c r="AA12" s="4">
        <f t="shared" si="2"/>
        <v>2020</v>
      </c>
      <c r="AB12" s="4">
        <f t="shared" si="2"/>
        <v>2021</v>
      </c>
      <c r="AC12" s="4">
        <f>T12</f>
        <v>2030</v>
      </c>
      <c r="AD12" s="4">
        <f t="shared" si="2"/>
        <v>2040</v>
      </c>
      <c r="AE12" s="4">
        <f>V12</f>
        <v>2050</v>
      </c>
    </row>
    <row r="13" spans="1:64">
      <c r="A13" t="s">
        <v>16</v>
      </c>
      <c r="C13" t="s">
        <v>49</v>
      </c>
      <c r="D13" t="s">
        <v>47</v>
      </c>
      <c r="E13" s="3" cm="1">
        <f t="array" ref="E13">INDEX(Drivers!$C$34:$AG$36,1,E$11)</f>
        <v>26.162716441035041</v>
      </c>
      <c r="F13" s="3" cm="1">
        <f t="array" ref="F13">INDEX(Drivers!$C$34:$AG$36,1,F$11)</f>
        <v>25.676476665132281</v>
      </c>
      <c r="G13" s="3" cm="1">
        <f t="array" ref="G13">INDEX(Drivers!$C$34:$AG$36,1,G$11)</f>
        <v>25.755361891142741</v>
      </c>
      <c r="H13" s="3" cm="1">
        <f t="array" ref="H13">INDEX(Drivers!$C$34:$AG$36,1,H$11)</f>
        <v>25.946710085536886</v>
      </c>
      <c r="I13" s="3" cm="1">
        <f t="array" ref="I13">INDEX(Drivers!$C$34:$AG$36,1,I$11)</f>
        <v>26.998265626975765</v>
      </c>
      <c r="J13" s="3" cm="1">
        <f t="array" ref="J13">INDEX(Drivers!$C$34:$AG$36,1,J$11)</f>
        <v>31.342336853405079</v>
      </c>
      <c r="K13" s="3" cm="1">
        <f t="array" ref="K13">INDEX(Drivers!$C$34:$AG$36,1,K$11)</f>
        <v>29.686576824104986</v>
      </c>
      <c r="L13" s="3" cm="1">
        <f t="array" ref="L13">INDEX(Drivers!$C$34:$AG$36,1,L$11)</f>
        <v>25.633657687019387</v>
      </c>
      <c r="M13" s="3" cm="1">
        <f t="array" ref="M13">INDEX(Drivers!$C$34:$AG$36,1,M$11)</f>
        <v>22.235877334709592</v>
      </c>
      <c r="N13" s="34"/>
      <c r="O13" s="3">
        <f>F13</f>
        <v>25.676476665132281</v>
      </c>
      <c r="P13" s="3">
        <f t="shared" si="1"/>
        <v>25.755361891142741</v>
      </c>
      <c r="Q13" s="3">
        <f t="shared" si="1"/>
        <v>25.946710085536886</v>
      </c>
      <c r="R13" s="3">
        <f t="shared" si="1"/>
        <v>26.998265626975765</v>
      </c>
      <c r="S13" s="3">
        <f t="shared" si="1"/>
        <v>31.342336853405079</v>
      </c>
      <c r="T13" s="3">
        <f t="shared" ref="T13:V15" si="3">K13</f>
        <v>29.686576824104986</v>
      </c>
      <c r="U13" s="3">
        <f t="shared" si="3"/>
        <v>25.633657687019387</v>
      </c>
      <c r="V13" s="3">
        <f t="shared" si="3"/>
        <v>22.235877334709592</v>
      </c>
      <c r="X13" s="3">
        <f>F13</f>
        <v>25.676476665132281</v>
      </c>
      <c r="Y13" s="3">
        <f t="shared" ref="Y13:AE15" si="4">G13</f>
        <v>25.755361891142741</v>
      </c>
      <c r="Z13" s="3">
        <f t="shared" si="4"/>
        <v>25.946710085536886</v>
      </c>
      <c r="AA13" s="3">
        <f t="shared" si="4"/>
        <v>26.998265626975765</v>
      </c>
      <c r="AB13" s="3">
        <f t="shared" si="4"/>
        <v>31.342336853405079</v>
      </c>
      <c r="AC13" s="4">
        <f>T13</f>
        <v>29.686576824104986</v>
      </c>
      <c r="AD13" s="3">
        <f t="shared" si="4"/>
        <v>25.633657687019387</v>
      </c>
      <c r="AE13" s="3">
        <f t="shared" si="4"/>
        <v>22.235877334709592</v>
      </c>
    </row>
    <row r="14" spans="1:64">
      <c r="A14" t="s">
        <v>16</v>
      </c>
      <c r="C14" t="s">
        <v>51</v>
      </c>
      <c r="D14" t="s">
        <v>47</v>
      </c>
      <c r="E14" s="3" cm="1">
        <f t="array" ref="E14">INDEX(Drivers!$C$34:$AG$36,2,E$11)</f>
        <v>15.697629864621025</v>
      </c>
      <c r="F14" s="3" cm="1">
        <f t="array" ref="F14">INDEX(Drivers!$C$34:$AG$36,2,F$11)</f>
        <v>16.65350655721161</v>
      </c>
      <c r="G14" s="3" cm="1">
        <f t="array" ref="G14">INDEX(Drivers!$C$34:$AG$36,2,G$11)</f>
        <v>17.422744808714206</v>
      </c>
      <c r="H14" s="3" cm="1">
        <f t="array" ref="H14">INDEX(Drivers!$C$34:$AG$36,2,H$11)</f>
        <v>18.376375848815535</v>
      </c>
      <c r="I14" s="3" cm="1">
        <f t="array" ref="I14">INDEX(Drivers!$C$34:$AG$36,2,I$11)</f>
        <v>19.311259441517389</v>
      </c>
      <c r="J14" s="3" cm="1">
        <f t="array" ref="J14">INDEX(Drivers!$C$34:$AG$36,2,J$11)</f>
        <v>16.784092096161263</v>
      </c>
      <c r="K14" s="3" cm="1">
        <f t="array" ref="K14">INDEX(Drivers!$C$34:$AG$36,2,K$11)</f>
        <v>20.893002842799945</v>
      </c>
      <c r="L14" s="3" cm="1">
        <f t="array" ref="L14">INDEX(Drivers!$C$34:$AG$36,2,L$11)</f>
        <v>24.348404655358244</v>
      </c>
      <c r="M14" s="3" cm="1">
        <f t="array" ref="M14">INDEX(Drivers!$C$34:$AG$36,2,M$11)</f>
        <v>26.968513389056554</v>
      </c>
      <c r="N14" s="34"/>
      <c r="O14" s="3">
        <f t="shared" ref="O14:O15" si="5">F14</f>
        <v>16.65350655721161</v>
      </c>
      <c r="P14" s="3">
        <f t="shared" si="1"/>
        <v>17.422744808714206</v>
      </c>
      <c r="Q14" s="3">
        <f t="shared" si="1"/>
        <v>18.376375848815535</v>
      </c>
      <c r="R14" s="3">
        <f t="shared" si="1"/>
        <v>19.311259441517389</v>
      </c>
      <c r="S14" s="3">
        <f t="shared" si="1"/>
        <v>16.784092096161263</v>
      </c>
      <c r="T14" s="3">
        <f t="shared" si="3"/>
        <v>20.893002842799945</v>
      </c>
      <c r="U14" s="3">
        <f t="shared" si="3"/>
        <v>24.348404655358244</v>
      </c>
      <c r="V14" s="3">
        <f t="shared" si="3"/>
        <v>26.968513389056554</v>
      </c>
      <c r="X14" s="3">
        <f t="shared" ref="X14:X15" si="6">F14</f>
        <v>16.65350655721161</v>
      </c>
      <c r="Y14" s="3">
        <f t="shared" si="4"/>
        <v>17.422744808714206</v>
      </c>
      <c r="Z14" s="3">
        <f t="shared" si="4"/>
        <v>18.376375848815535</v>
      </c>
      <c r="AA14" s="3">
        <f t="shared" si="4"/>
        <v>19.311259441517389</v>
      </c>
      <c r="AB14" s="3">
        <f t="shared" si="4"/>
        <v>16.784092096161263</v>
      </c>
      <c r="AC14" s="4">
        <f>T14</f>
        <v>20.893002842799945</v>
      </c>
      <c r="AD14" s="3">
        <f t="shared" si="4"/>
        <v>24.348404655358244</v>
      </c>
      <c r="AE14" s="3">
        <f t="shared" si="4"/>
        <v>26.968513389056554</v>
      </c>
    </row>
    <row r="15" spans="1:64">
      <c r="A15" t="s">
        <v>16</v>
      </c>
      <c r="C15" t="s">
        <v>50</v>
      </c>
      <c r="D15" t="s">
        <v>47</v>
      </c>
      <c r="E15" s="3" cm="1">
        <f t="array" ref="E15">INDEX(Drivers!$C$34:$AG$36,3,E$11)</f>
        <v>10.465086576414015</v>
      </c>
      <c r="F15" s="3" cm="1">
        <f t="array" ref="F15">INDEX(Drivers!$C$34:$AG$36,3,F$11)</f>
        <v>12.420508234977223</v>
      </c>
      <c r="G15" s="3" cm="1">
        <f t="array" ref="G15">INDEX(Drivers!$C$34:$AG$36,3,G$11)</f>
        <v>13.343841341791148</v>
      </c>
      <c r="H15" s="3" cm="1">
        <f t="array" ref="H15">INDEX(Drivers!$C$34:$AG$36,3,H$11)</f>
        <v>14.041748987467024</v>
      </c>
      <c r="I15" s="3" cm="1">
        <f t="array" ref="I15">INDEX(Drivers!$C$34:$AG$36,3,I$11)</f>
        <v>11.858701524628284</v>
      </c>
      <c r="J15" s="3" cm="1">
        <f t="array" ref="J15">INDEX(Drivers!$C$34:$AG$36,3,J$11)</f>
        <v>12.031607237391585</v>
      </c>
      <c r="K15" s="3" cm="1">
        <f t="array" ref="K15">INDEX(Drivers!$C$34:$AG$36,3,K$11)</f>
        <v>15.603635034496163</v>
      </c>
      <c r="L15" s="3" cm="1">
        <f t="array" ref="L15">INDEX(Drivers!$C$34:$AG$36,3,L$11)</f>
        <v>21.34948091481559</v>
      </c>
      <c r="M15" s="3" cm="1">
        <f t="array" ref="M15">INDEX(Drivers!$C$34:$AG$36,3,M$11)</f>
        <v>25.916816488090575</v>
      </c>
      <c r="N15" s="34"/>
      <c r="O15" s="3">
        <f t="shared" si="5"/>
        <v>12.420508234977223</v>
      </c>
      <c r="P15" s="3">
        <f t="shared" si="1"/>
        <v>13.343841341791148</v>
      </c>
      <c r="Q15" s="3">
        <f t="shared" si="1"/>
        <v>14.041748987467024</v>
      </c>
      <c r="R15" s="3">
        <f t="shared" si="1"/>
        <v>11.858701524628284</v>
      </c>
      <c r="S15" s="3">
        <f t="shared" si="1"/>
        <v>12.031607237391585</v>
      </c>
      <c r="T15" s="3">
        <f t="shared" si="3"/>
        <v>15.603635034496163</v>
      </c>
      <c r="U15" s="3">
        <f t="shared" si="3"/>
        <v>21.34948091481559</v>
      </c>
      <c r="V15" s="3">
        <f t="shared" si="3"/>
        <v>25.916816488090575</v>
      </c>
      <c r="X15" s="3">
        <f t="shared" si="6"/>
        <v>12.420508234977223</v>
      </c>
      <c r="Y15" s="3">
        <f t="shared" si="4"/>
        <v>13.343841341791148</v>
      </c>
      <c r="Z15" s="3">
        <f t="shared" si="4"/>
        <v>14.041748987467024</v>
      </c>
      <c r="AA15" s="3">
        <f t="shared" si="4"/>
        <v>11.858701524628284</v>
      </c>
      <c r="AB15" s="3">
        <f t="shared" si="4"/>
        <v>12.031607237391585</v>
      </c>
      <c r="AC15" s="4">
        <f>T15</f>
        <v>15.603635034496163</v>
      </c>
      <c r="AD15" s="3">
        <f t="shared" si="4"/>
        <v>21.34948091481559</v>
      </c>
      <c r="AE15" s="3">
        <f t="shared" si="4"/>
        <v>25.916816488090575</v>
      </c>
      <c r="BE15" s="24"/>
    </row>
    <row r="16" spans="1:64">
      <c r="A16" t="s">
        <v>16</v>
      </c>
      <c r="E16" s="1">
        <f t="shared" ref="E16:K16" si="7">SUM(E13:E15)</f>
        <v>52.325432882070082</v>
      </c>
      <c r="F16" s="1">
        <f t="shared" si="7"/>
        <v>54.750491457321118</v>
      </c>
      <c r="G16" s="1">
        <f t="shared" si="7"/>
        <v>56.521948041648095</v>
      </c>
      <c r="H16" s="1">
        <f t="shared" si="7"/>
        <v>58.364834921819444</v>
      </c>
      <c r="I16" s="1">
        <f t="shared" si="7"/>
        <v>58.168226593121446</v>
      </c>
      <c r="J16" s="1">
        <f t="shared" si="7"/>
        <v>60.158036186957929</v>
      </c>
      <c r="K16" s="1">
        <f t="shared" si="7"/>
        <v>66.183214701401099</v>
      </c>
      <c r="L16" s="1">
        <f>SUM(L13:L15)</f>
        <v>71.331543257193218</v>
      </c>
      <c r="M16" s="1">
        <f>SUM(M13:M15)</f>
        <v>75.121207211856728</v>
      </c>
      <c r="N16" s="34"/>
      <c r="O16" s="1">
        <f>SUM(O13:O15)</f>
        <v>54.750491457321118</v>
      </c>
      <c r="P16" s="1">
        <f t="shared" ref="P16:V16" si="8">SUM(P13:P15)</f>
        <v>56.521948041648095</v>
      </c>
      <c r="Q16" s="1">
        <f t="shared" si="8"/>
        <v>58.364834921819444</v>
      </c>
      <c r="R16" s="1">
        <f t="shared" si="8"/>
        <v>58.168226593121446</v>
      </c>
      <c r="S16" s="1">
        <f t="shared" si="8"/>
        <v>60.158036186957929</v>
      </c>
      <c r="T16" s="1">
        <f t="shared" si="8"/>
        <v>66.183214701401099</v>
      </c>
      <c r="U16" s="1">
        <f t="shared" si="8"/>
        <v>71.331543257193218</v>
      </c>
      <c r="V16" s="1">
        <f t="shared" si="8"/>
        <v>75.121207211856728</v>
      </c>
      <c r="X16" s="39">
        <f>SUM(X13:X15)</f>
        <v>54.750491457321118</v>
      </c>
      <c r="Y16" s="39">
        <f t="shared" ref="Y16:AE16" si="9">SUM(Y13:Y15)</f>
        <v>56.521948041648095</v>
      </c>
      <c r="Z16" s="39">
        <f t="shared" si="9"/>
        <v>58.364834921819444</v>
      </c>
      <c r="AA16" s="39">
        <f t="shared" si="9"/>
        <v>58.168226593121446</v>
      </c>
      <c r="AB16" s="39">
        <f t="shared" si="9"/>
        <v>60.158036186957929</v>
      </c>
      <c r="AC16" s="4">
        <f>T16</f>
        <v>66.183214701401099</v>
      </c>
      <c r="AD16" s="39">
        <f t="shared" si="9"/>
        <v>71.331543257193218</v>
      </c>
      <c r="AE16" s="39">
        <f t="shared" si="9"/>
        <v>75.121207211856728</v>
      </c>
      <c r="BE16" s="24"/>
    </row>
    <row r="17" spans="1:57">
      <c r="A17" t="s">
        <v>16</v>
      </c>
      <c r="B17" s="19"/>
      <c r="L17"/>
      <c r="N17" s="34"/>
      <c r="BE17" s="24"/>
    </row>
    <row r="18" spans="1:57" ht="15.75" thickBot="1">
      <c r="A18" t="s">
        <v>16</v>
      </c>
      <c r="B18" s="22"/>
      <c r="C18" s="14" t="s">
        <v>58</v>
      </c>
      <c r="D18" s="14"/>
      <c r="E18" s="4">
        <v>2012</v>
      </c>
      <c r="F18" s="4">
        <v>2015</v>
      </c>
      <c r="G18" s="4">
        <f>G12</f>
        <v>2017</v>
      </c>
      <c r="H18" s="4">
        <f t="shared" ref="H18:J18" si="10">H12</f>
        <v>2019</v>
      </c>
      <c r="I18" s="4">
        <f t="shared" si="10"/>
        <v>2020</v>
      </c>
      <c r="J18" s="4">
        <f t="shared" si="10"/>
        <v>2021</v>
      </c>
      <c r="K18" s="4">
        <v>2030</v>
      </c>
      <c r="L18" s="4">
        <v>2040</v>
      </c>
      <c r="M18" s="4">
        <v>2050</v>
      </c>
      <c r="N18" s="34"/>
      <c r="O18" s="4">
        <f>F18</f>
        <v>2015</v>
      </c>
      <c r="P18" s="4">
        <f t="shared" ref="P18" si="11">G18</f>
        <v>2017</v>
      </c>
      <c r="Q18" s="4">
        <f t="shared" ref="Q18" si="12">H18</f>
        <v>2019</v>
      </c>
      <c r="R18" s="4">
        <f>I18</f>
        <v>2020</v>
      </c>
      <c r="S18" s="4">
        <f>J18</f>
        <v>2021</v>
      </c>
      <c r="T18" s="4">
        <f>K18</f>
        <v>2030</v>
      </c>
      <c r="U18" s="4">
        <f>L18</f>
        <v>2040</v>
      </c>
      <c r="V18" s="4">
        <f>M18</f>
        <v>2050</v>
      </c>
    </row>
    <row r="19" spans="1:57">
      <c r="A19" t="s">
        <v>16</v>
      </c>
      <c r="B19" s="19"/>
      <c r="C19" t="s">
        <v>7</v>
      </c>
      <c r="D19" s="29" t="s">
        <v>512</v>
      </c>
      <c r="E19" s="6">
        <f>RES!E43</f>
        <v>1</v>
      </c>
      <c r="F19" s="6">
        <f>RES!E43</f>
        <v>1</v>
      </c>
      <c r="G19" s="182">
        <f>AVERAGE(F19,I19)</f>
        <v>1</v>
      </c>
      <c r="H19" s="182">
        <f>AVERAGE(F19,I19)</f>
        <v>1</v>
      </c>
      <c r="I19" s="6">
        <f>RES!F43</f>
        <v>1</v>
      </c>
      <c r="J19" s="182">
        <f>AVERAGE(I19,K19)</f>
        <v>1</v>
      </c>
      <c r="K19" s="6">
        <f>RES!G43</f>
        <v>1</v>
      </c>
      <c r="L19" s="6">
        <f>RES!H43</f>
        <v>1</v>
      </c>
      <c r="M19" s="6">
        <f>RES!I43</f>
        <v>1</v>
      </c>
      <c r="N19" s="37"/>
      <c r="O19" s="6"/>
      <c r="R19" s="6"/>
      <c r="T19" s="6"/>
      <c r="U19" s="6"/>
      <c r="V19" s="6"/>
      <c r="W19" s="6"/>
      <c r="X19" s="6"/>
      <c r="AA19" s="6"/>
      <c r="AC19" s="6"/>
      <c r="AD19" s="6"/>
      <c r="AE19" s="6"/>
      <c r="AF19" s="6"/>
      <c r="AG19" s="6"/>
      <c r="AH19" s="6"/>
      <c r="AI19" s="6"/>
      <c r="AJ19" s="6"/>
      <c r="AK19" s="6"/>
      <c r="AL19" s="6"/>
      <c r="AM19" s="6"/>
      <c r="AN19" s="6"/>
      <c r="AO19" s="6"/>
      <c r="AP19" s="6"/>
      <c r="AQ19" s="6"/>
      <c r="AR19" s="6"/>
      <c r="AS19" s="6"/>
      <c r="AT19" s="6"/>
      <c r="AU19" s="6"/>
    </row>
    <row r="20" spans="1:57">
      <c r="A20" t="s">
        <v>16</v>
      </c>
      <c r="B20" s="19"/>
      <c r="C20" s="19" t="s">
        <v>8</v>
      </c>
      <c r="D20" s="29" t="s">
        <v>512</v>
      </c>
      <c r="E20" s="6">
        <f>RES!E44</f>
        <v>1</v>
      </c>
      <c r="F20" s="6">
        <f>RES!E44</f>
        <v>1</v>
      </c>
      <c r="G20" s="182">
        <f>AVERAGE(F20,I20)</f>
        <v>1</v>
      </c>
      <c r="H20" s="182">
        <f t="shared" ref="H20:H21" si="13">AVERAGE(F20,I20)</f>
        <v>1</v>
      </c>
      <c r="I20" s="6">
        <f>RES!F44</f>
        <v>1</v>
      </c>
      <c r="J20" s="182">
        <f t="shared" ref="J20:J21" si="14">AVERAGE(I20,K20)</f>
        <v>1</v>
      </c>
      <c r="K20" s="6">
        <f>RES!G44</f>
        <v>1</v>
      </c>
      <c r="L20" s="6">
        <f>RES!H44</f>
        <v>1</v>
      </c>
      <c r="M20" s="6">
        <f>RES!I44</f>
        <v>1</v>
      </c>
      <c r="N20" s="37"/>
      <c r="O20" s="6"/>
      <c r="R20" s="6"/>
      <c r="T20" s="6"/>
      <c r="U20" s="6"/>
      <c r="V20" s="6"/>
      <c r="W20" s="6"/>
      <c r="X20" s="6"/>
      <c r="AA20" s="6"/>
      <c r="AC20" s="6"/>
      <c r="AD20" s="6"/>
      <c r="AE20" s="6"/>
      <c r="AF20" s="6"/>
      <c r="AG20" s="6"/>
      <c r="AH20" s="6"/>
      <c r="AI20" s="6"/>
      <c r="AJ20" s="6"/>
      <c r="AK20" s="6"/>
      <c r="AL20" s="6"/>
      <c r="AM20" s="6"/>
      <c r="AN20" s="6"/>
      <c r="AO20" s="6"/>
      <c r="AP20" s="6"/>
      <c r="AQ20" s="6"/>
      <c r="AR20" s="6"/>
      <c r="AS20" s="6"/>
      <c r="AT20" s="6"/>
      <c r="AU20" s="6"/>
    </row>
    <row r="21" spans="1:57">
      <c r="A21" t="s">
        <v>16</v>
      </c>
      <c r="C21" s="19" t="s">
        <v>406</v>
      </c>
      <c r="D21" s="29" t="s">
        <v>512</v>
      </c>
      <c r="E21" s="3">
        <f>RES!E45</f>
        <v>1</v>
      </c>
      <c r="F21" s="3">
        <f>RES!E45</f>
        <v>1</v>
      </c>
      <c r="G21" s="182">
        <f>AVERAGE(F21,I21)</f>
        <v>0.99960548365786217</v>
      </c>
      <c r="H21" s="182">
        <f t="shared" si="13"/>
        <v>0.99960548365786217</v>
      </c>
      <c r="I21" s="3">
        <f>RES!F45</f>
        <v>0.99921096731572434</v>
      </c>
      <c r="J21" s="182">
        <f t="shared" si="14"/>
        <v>1.175971971767775</v>
      </c>
      <c r="K21" s="6">
        <f>RES!G45</f>
        <v>1.3527329762198257</v>
      </c>
      <c r="L21" s="6">
        <f>RES!H45</f>
        <v>1.6186049002716711</v>
      </c>
      <c r="M21" s="6">
        <f>RES!I45</f>
        <v>2.0626986635231042</v>
      </c>
      <c r="N21" s="37"/>
      <c r="O21" s="6"/>
      <c r="R21" s="38">
        <v>0.25</v>
      </c>
      <c r="S21" s="38">
        <v>0.25</v>
      </c>
      <c r="T21" s="38">
        <f>R21</f>
        <v>0.25</v>
      </c>
      <c r="U21" s="38">
        <f>T21</f>
        <v>0.25</v>
      </c>
      <c r="V21" s="38">
        <f>U21</f>
        <v>0.25</v>
      </c>
      <c r="W21" s="6"/>
      <c r="AA21" s="97"/>
      <c r="AC21" s="6"/>
      <c r="AD21" s="6"/>
      <c r="AE21" s="6"/>
      <c r="AF21" s="6"/>
      <c r="AG21" s="6"/>
      <c r="AH21" s="6"/>
      <c r="AI21" s="6"/>
      <c r="AJ21" s="6"/>
      <c r="AK21" s="6"/>
      <c r="AL21" s="6"/>
      <c r="AM21" s="6"/>
      <c r="AN21" s="6"/>
      <c r="AO21" s="6"/>
      <c r="AP21" s="6"/>
      <c r="AQ21" s="6"/>
      <c r="AR21" s="6"/>
      <c r="AS21" s="6"/>
      <c r="AT21" s="6"/>
      <c r="AU21" s="5"/>
    </row>
    <row r="22" spans="1:57">
      <c r="A22" t="s">
        <v>16</v>
      </c>
      <c r="C22" s="19"/>
      <c r="L22"/>
      <c r="N22" s="37"/>
      <c r="O22" s="6"/>
      <c r="R22" s="6"/>
      <c r="T22" s="6"/>
      <c r="U22" s="6"/>
      <c r="V22" s="6"/>
      <c r="W22" s="6"/>
      <c r="X22" s="6"/>
      <c r="AA22" s="6"/>
      <c r="AC22" s="6"/>
      <c r="AD22" s="6"/>
      <c r="AE22" s="6"/>
      <c r="AF22" s="6"/>
      <c r="AG22" s="6"/>
      <c r="AH22" s="6"/>
      <c r="AI22" s="6"/>
      <c r="AJ22" s="6"/>
      <c r="AK22" s="6"/>
      <c r="AL22" s="6"/>
      <c r="AM22" s="6"/>
      <c r="AN22" s="6"/>
      <c r="AO22" s="6"/>
      <c r="AP22" s="6"/>
      <c r="AQ22" s="6"/>
      <c r="AR22" s="6"/>
      <c r="AS22" s="6"/>
      <c r="AT22" s="6"/>
      <c r="AU22" s="6"/>
    </row>
    <row r="23" spans="1:57">
      <c r="A23" t="s">
        <v>16</v>
      </c>
      <c r="B23" s="19"/>
      <c r="C23" s="19"/>
      <c r="L23"/>
      <c r="N23" s="34"/>
      <c r="X23" t="s">
        <v>199</v>
      </c>
    </row>
    <row r="24" spans="1:57" ht="15.75" thickBot="1">
      <c r="A24" t="s">
        <v>16</v>
      </c>
      <c r="B24" s="14" t="s">
        <v>160</v>
      </c>
      <c r="D24" s="14"/>
      <c r="E24" s="4">
        <f>E4</f>
        <v>2012</v>
      </c>
      <c r="F24" s="4">
        <f t="shared" ref="F24:M24" si="15">F4</f>
        <v>2015</v>
      </c>
      <c r="G24" s="4">
        <f t="shared" si="15"/>
        <v>2017</v>
      </c>
      <c r="H24" s="4">
        <f t="shared" si="15"/>
        <v>2019</v>
      </c>
      <c r="I24" s="4">
        <f t="shared" si="15"/>
        <v>2020</v>
      </c>
      <c r="J24" s="4">
        <f t="shared" si="15"/>
        <v>2021</v>
      </c>
      <c r="K24" s="4">
        <f t="shared" si="15"/>
        <v>2030</v>
      </c>
      <c r="L24" s="4">
        <f t="shared" si="15"/>
        <v>2040</v>
      </c>
      <c r="M24" s="4">
        <f t="shared" si="15"/>
        <v>2050</v>
      </c>
      <c r="N24" s="34"/>
      <c r="O24" s="4">
        <f>F24</f>
        <v>2015</v>
      </c>
      <c r="P24" s="4">
        <f t="shared" ref="P24:Q24" si="16">G24</f>
        <v>2017</v>
      </c>
      <c r="Q24" s="4">
        <f t="shared" si="16"/>
        <v>2019</v>
      </c>
      <c r="R24" s="4">
        <f>I24</f>
        <v>2020</v>
      </c>
      <c r="S24" s="4">
        <f>J24</f>
        <v>2021</v>
      </c>
      <c r="T24" s="4">
        <f>K24</f>
        <v>2030</v>
      </c>
      <c r="U24" s="4">
        <f>L24</f>
        <v>2040</v>
      </c>
      <c r="V24" s="4">
        <f>M24</f>
        <v>2050</v>
      </c>
      <c r="X24" s="260">
        <f>X$12</f>
        <v>2015</v>
      </c>
      <c r="Y24" s="260">
        <f t="shared" ref="Y24:AE24" si="17">Y$12</f>
        <v>2017</v>
      </c>
      <c r="Z24" s="260">
        <f t="shared" si="17"/>
        <v>2019</v>
      </c>
      <c r="AA24" s="260">
        <f t="shared" si="17"/>
        <v>2020</v>
      </c>
      <c r="AB24" s="260">
        <f t="shared" si="17"/>
        <v>2021</v>
      </c>
      <c r="AC24" s="260">
        <f t="shared" si="17"/>
        <v>2030</v>
      </c>
      <c r="AD24" s="260">
        <f t="shared" si="17"/>
        <v>2040</v>
      </c>
      <c r="AE24" s="260">
        <f t="shared" si="17"/>
        <v>2050</v>
      </c>
    </row>
    <row r="25" spans="1:57">
      <c r="A25" t="s">
        <v>16</v>
      </c>
      <c r="B25" s="172">
        <f>INDEX($BG$4:$BG$7,MATCH($D$3,$BB$4:$BB$7,0))</f>
        <v>0.95</v>
      </c>
      <c r="C25" s="19" t="str">
        <f>C19</f>
        <v>Low Income</v>
      </c>
      <c r="D25" t="s">
        <v>48</v>
      </c>
      <c r="E25" s="203">
        <f>[2]Calib_1011!$H$86</f>
        <v>0.02</v>
      </c>
      <c r="F25" s="53">
        <f>IF($D$4,X25,O25)</f>
        <v>0.02</v>
      </c>
      <c r="G25" s="53">
        <f t="shared" ref="G25:L25" si="18">IF($D$4,Y25,P25)</f>
        <v>0.02</v>
      </c>
      <c r="H25" s="53">
        <f t="shared" si="18"/>
        <v>0.02</v>
      </c>
      <c r="I25" s="53">
        <f t="shared" si="18"/>
        <v>0.02</v>
      </c>
      <c r="J25" s="53">
        <f t="shared" si="18"/>
        <v>0.02</v>
      </c>
      <c r="K25" s="53">
        <f t="shared" si="18"/>
        <v>0.02</v>
      </c>
      <c r="L25" s="53">
        <f t="shared" si="18"/>
        <v>0.02</v>
      </c>
      <c r="M25" s="53">
        <f>IF($D$4,AE25,V25)</f>
        <v>0.02</v>
      </c>
      <c r="N25" s="211"/>
      <c r="O25" s="53">
        <f>E25</f>
        <v>0.02</v>
      </c>
      <c r="P25" s="53">
        <f>O25</f>
        <v>0.02</v>
      </c>
      <c r="Q25" s="53">
        <f>P25</f>
        <v>0.02</v>
      </c>
      <c r="R25" s="53">
        <f t="shared" ref="R25:V25" si="19">Q25</f>
        <v>0.02</v>
      </c>
      <c r="S25" s="53">
        <f t="shared" si="19"/>
        <v>0.02</v>
      </c>
      <c r="T25" s="28">
        <f t="shared" si="19"/>
        <v>0.02</v>
      </c>
      <c r="U25" s="28">
        <f t="shared" si="19"/>
        <v>0.02</v>
      </c>
      <c r="V25" s="28">
        <f t="shared" si="19"/>
        <v>0.02</v>
      </c>
      <c r="W25" s="212"/>
      <c r="X25" s="53">
        <f>O25</f>
        <v>0.02</v>
      </c>
      <c r="Y25" s="53">
        <f t="shared" ref="Y25:AB25" si="20">P25</f>
        <v>0.02</v>
      </c>
      <c r="Z25" s="53">
        <f t="shared" si="20"/>
        <v>0.02</v>
      </c>
      <c r="AA25" s="53">
        <f t="shared" si="20"/>
        <v>0.02</v>
      </c>
      <c r="AB25" s="53">
        <f t="shared" si="20"/>
        <v>0.02</v>
      </c>
      <c r="AC25" s="59">
        <v>0.05</v>
      </c>
      <c r="AD25" s="59">
        <v>0.04</v>
      </c>
      <c r="AE25" s="59">
        <v>0.04</v>
      </c>
      <c r="AF25" s="212"/>
      <c r="AG25" s="212"/>
      <c r="AH25" s="212"/>
      <c r="AI25" s="212"/>
      <c r="AJ25" s="212"/>
      <c r="AK25" s="212"/>
      <c r="AL25" s="212"/>
      <c r="AM25" s="212"/>
      <c r="AN25" s="212"/>
      <c r="AO25" s="212"/>
      <c r="AP25" s="212"/>
      <c r="AQ25" s="212"/>
      <c r="AR25" s="212"/>
      <c r="AS25" s="212"/>
      <c r="AT25" s="212"/>
      <c r="AU25" s="212"/>
    </row>
    <row r="26" spans="1:57">
      <c r="A26" t="s">
        <v>16</v>
      </c>
      <c r="B26" s="172">
        <f>INDEX($BF$4:$BF$7,MATCH($D$3,$BB$4:$BB$7,0))</f>
        <v>0.95</v>
      </c>
      <c r="C26" s="19" t="str">
        <f>C20</f>
        <v>Middle Income</v>
      </c>
      <c r="D26" t="s">
        <v>48</v>
      </c>
      <c r="E26" s="203">
        <f>[2]Calib_1011!$I$86</f>
        <v>0.53</v>
      </c>
      <c r="F26" s="53">
        <f t="shared" ref="F26:F27" si="21">IF($D$4,X26,O26)</f>
        <v>0.53</v>
      </c>
      <c r="G26" s="53">
        <f t="shared" ref="G26:G27" si="22">IF($D$4,Y26,P26)</f>
        <v>0.53</v>
      </c>
      <c r="H26" s="53">
        <f t="shared" ref="H26:H27" si="23">IF($D$4,Z26,Q26)</f>
        <v>0.53</v>
      </c>
      <c r="I26" s="53">
        <f t="shared" ref="I26:I27" si="24">IF($D$4,AA26,R26)</f>
        <v>0.53</v>
      </c>
      <c r="J26" s="53">
        <f t="shared" ref="J26:J27" si="25">IF($D$4,AB26,S26)</f>
        <v>0.53</v>
      </c>
      <c r="K26" s="53">
        <f t="shared" ref="K26:K27" si="26">IF($D$4,AC26,T26)</f>
        <v>0.53</v>
      </c>
      <c r="L26" s="53">
        <f t="shared" ref="L26:L27" si="27">IF($D$4,AD26,U26)</f>
        <v>0.53</v>
      </c>
      <c r="M26" s="53">
        <f t="shared" ref="M26:M27" si="28">IF($D$4,AE26,V26)</f>
        <v>0.53</v>
      </c>
      <c r="N26" s="211"/>
      <c r="O26" s="53">
        <f>E26</f>
        <v>0.53</v>
      </c>
      <c r="P26" s="53">
        <f t="shared" ref="P26:Q27" si="29">O26</f>
        <v>0.53</v>
      </c>
      <c r="Q26" s="53">
        <f t="shared" si="29"/>
        <v>0.53</v>
      </c>
      <c r="R26" s="53">
        <f t="shared" ref="R26:V26" si="30">Q26</f>
        <v>0.53</v>
      </c>
      <c r="S26" s="53">
        <f t="shared" si="30"/>
        <v>0.53</v>
      </c>
      <c r="T26" s="28">
        <f t="shared" si="30"/>
        <v>0.53</v>
      </c>
      <c r="U26" s="28">
        <f t="shared" si="30"/>
        <v>0.53</v>
      </c>
      <c r="V26" s="28">
        <f t="shared" si="30"/>
        <v>0.53</v>
      </c>
      <c r="W26" s="212"/>
      <c r="X26" s="53">
        <f t="shared" ref="X26:X27" si="31">O26</f>
        <v>0.53</v>
      </c>
      <c r="Y26" s="53">
        <f t="shared" ref="Y26:Y27" si="32">P26</f>
        <v>0.53</v>
      </c>
      <c r="Z26" s="53">
        <f t="shared" ref="Z26:Z27" si="33">Q26</f>
        <v>0.53</v>
      </c>
      <c r="AA26" s="53">
        <f t="shared" ref="AA26:AA27" si="34">R26</f>
        <v>0.53</v>
      </c>
      <c r="AB26" s="53">
        <f t="shared" ref="AB26:AB27" si="35">S26</f>
        <v>0.53</v>
      </c>
      <c r="AC26" s="59">
        <f>IF(INDEX($BH$4:$BH$7,MATCH($D$3,$BB$4:$BB$7,0)),AA26*$B$26,AA26)</f>
        <v>0.50349999999999995</v>
      </c>
      <c r="AD26" s="59">
        <f>IF(INDEX($BH$4:$BH$7,MATCH($D$3,$BB$4:$BB$7,0)),AC26*$B$26,AC26)</f>
        <v>0.47832499999999994</v>
      </c>
      <c r="AE26" s="59">
        <f>IF(INDEX($BH$4:$BH$7,MATCH($D$3,$BB$4:$BB$7,0)),AD26*$B$26,AD26)</f>
        <v>0.45440874999999992</v>
      </c>
      <c r="AF26" s="212"/>
      <c r="AG26" s="212"/>
      <c r="AH26" s="212"/>
      <c r="AI26" s="212"/>
      <c r="AJ26" s="212"/>
      <c r="AK26" s="212"/>
      <c r="AL26" s="212"/>
      <c r="AM26" s="212"/>
      <c r="AN26" s="212"/>
      <c r="AO26" s="212"/>
      <c r="AP26" s="212"/>
      <c r="AQ26" s="212"/>
      <c r="AR26" s="212"/>
      <c r="AS26" s="212"/>
      <c r="AT26" s="212"/>
      <c r="AU26" s="212"/>
    </row>
    <row r="27" spans="1:57">
      <c r="A27" t="s">
        <v>16</v>
      </c>
      <c r="B27" s="172">
        <f>INDEX($BE$4:$BE$7,MATCH($D$3,$BB$4:$BB$7,0))</f>
        <v>0.97499999999999998</v>
      </c>
      <c r="C27" s="19" t="str">
        <f>C21</f>
        <v>High Income</v>
      </c>
      <c r="D27" t="s">
        <v>48</v>
      </c>
      <c r="E27" s="242">
        <f>[2]Calib_1011!$J$86*0.98</f>
        <v>0.76810810810810803</v>
      </c>
      <c r="F27" s="53">
        <f t="shared" si="21"/>
        <v>0.76810810810810803</v>
      </c>
      <c r="G27" s="53">
        <f t="shared" si="22"/>
        <v>0.76810810810810803</v>
      </c>
      <c r="H27" s="53">
        <f t="shared" si="23"/>
        <v>0.76810810810810803</v>
      </c>
      <c r="I27" s="53">
        <f t="shared" si="24"/>
        <v>0.76810810810810803</v>
      </c>
      <c r="J27" s="53">
        <f t="shared" si="25"/>
        <v>0.76810810810810803</v>
      </c>
      <c r="K27" s="53">
        <f t="shared" si="26"/>
        <v>0.76810810810810803</v>
      </c>
      <c r="L27" s="53">
        <f t="shared" si="27"/>
        <v>0.76810810810810803</v>
      </c>
      <c r="M27" s="53">
        <f t="shared" si="28"/>
        <v>0.76810810810810803</v>
      </c>
      <c r="N27" s="211"/>
      <c r="O27" s="53">
        <f>E27</f>
        <v>0.76810810810810803</v>
      </c>
      <c r="P27" s="53">
        <f t="shared" si="29"/>
        <v>0.76810810810810803</v>
      </c>
      <c r="Q27" s="53">
        <f t="shared" si="29"/>
        <v>0.76810810810810803</v>
      </c>
      <c r="R27" s="53">
        <f t="shared" ref="R27:V27" si="36">Q27</f>
        <v>0.76810810810810803</v>
      </c>
      <c r="S27" s="53">
        <f t="shared" si="36"/>
        <v>0.76810810810810803</v>
      </c>
      <c r="T27" s="28">
        <f t="shared" si="36"/>
        <v>0.76810810810810803</v>
      </c>
      <c r="U27" s="28">
        <f t="shared" si="36"/>
        <v>0.76810810810810803</v>
      </c>
      <c r="V27" s="28">
        <f t="shared" si="36"/>
        <v>0.76810810810810803</v>
      </c>
      <c r="W27" s="212"/>
      <c r="X27" s="53">
        <f t="shared" si="31"/>
        <v>0.76810810810810803</v>
      </c>
      <c r="Y27" s="53">
        <f t="shared" si="32"/>
        <v>0.76810810810810803</v>
      </c>
      <c r="Z27" s="53">
        <f t="shared" si="33"/>
        <v>0.76810810810810803</v>
      </c>
      <c r="AA27" s="53">
        <f t="shared" si="34"/>
        <v>0.76810810810810803</v>
      </c>
      <c r="AB27" s="53">
        <f t="shared" si="35"/>
        <v>0.76810810810810803</v>
      </c>
      <c r="AC27" s="59">
        <f>IF(INDEX($BH$4:$BH$7,MATCH($D$3,$BB$4:$BB$7,0)),AA27*$B$27,AA27)</f>
        <v>0.74890540540540529</v>
      </c>
      <c r="AD27" s="59">
        <f>IF(INDEX($BH$4:$BH$7,MATCH($D$3,$BB$4:$BB$7,0)),AC27*$B$27,AC27)</f>
        <v>0.73018277027027012</v>
      </c>
      <c r="AE27" s="59">
        <f>IF(INDEX($BH$4:$BH$7,MATCH($D$3,$BB$4:$BB$7,0)),AD27*$B$27,AD27)</f>
        <v>0.7119282010135134</v>
      </c>
      <c r="AF27" s="212"/>
      <c r="AG27" s="212"/>
      <c r="AH27" s="212"/>
      <c r="AI27" s="212"/>
      <c r="AJ27" s="212"/>
      <c r="AK27" s="212"/>
      <c r="AL27" s="212"/>
      <c r="AM27" s="212"/>
      <c r="AN27" s="212"/>
      <c r="AO27" s="212"/>
      <c r="AP27" s="212"/>
      <c r="AQ27" s="212"/>
      <c r="AR27" s="212"/>
      <c r="AS27" s="212"/>
      <c r="AT27" s="212"/>
      <c r="AU27" s="212"/>
    </row>
    <row r="28" spans="1:57">
      <c r="A28" t="s">
        <v>16</v>
      </c>
      <c r="B28" s="19"/>
      <c r="C28" s="19"/>
      <c r="F28" s="170">
        <f>SUMPRODUCT(F25:F27,F$13:F$15)/F$16</f>
        <v>0.34484039482004897</v>
      </c>
      <c r="G28" s="170">
        <f t="shared" ref="G28" si="37">SUMPRODUCT(G25:G27,G13:G15)/G16</f>
        <v>0.35382139871830592</v>
      </c>
      <c r="H28" s="170">
        <f>SUMPRODUCT(H25:H27,H13:H15)/H16</f>
        <v>0.36055948207621846</v>
      </c>
      <c r="I28" s="170">
        <f t="shared" ref="I28:M28" si="38">SUMPRODUCT(I25:I27,I13:I15)/I16</f>
        <v>0.34183090621497481</v>
      </c>
      <c r="J28" s="170">
        <f t="shared" si="38"/>
        <v>0.31191162162162156</v>
      </c>
      <c r="K28" s="170">
        <f t="shared" si="38"/>
        <v>0.35737613737613738</v>
      </c>
      <c r="L28" s="170">
        <f t="shared" si="38"/>
        <v>0.41799231664096531</v>
      </c>
      <c r="M28" s="170">
        <f t="shared" si="38"/>
        <v>0.46118729729729729</v>
      </c>
      <c r="N28" s="34"/>
      <c r="X28" t="s">
        <v>200</v>
      </c>
      <c r="AA28" s="170"/>
      <c r="AC28" s="170"/>
      <c r="AD28" s="27"/>
    </row>
    <row r="29" spans="1:57" ht="15.75" thickBot="1">
      <c r="A29" t="s">
        <v>16</v>
      </c>
      <c r="B29" s="14" t="s">
        <v>188</v>
      </c>
      <c r="D29" s="14"/>
      <c r="E29" s="4">
        <v>2012</v>
      </c>
      <c r="F29" s="4">
        <f>F4</f>
        <v>2015</v>
      </c>
      <c r="G29" s="4">
        <f>G4</f>
        <v>2017</v>
      </c>
      <c r="H29" s="4">
        <f t="shared" ref="H29:J29" si="39">H4</f>
        <v>2019</v>
      </c>
      <c r="I29" s="4">
        <f t="shared" si="39"/>
        <v>2020</v>
      </c>
      <c r="J29" s="4">
        <f t="shared" si="39"/>
        <v>2021</v>
      </c>
      <c r="K29" s="4">
        <v>2030</v>
      </c>
      <c r="L29" s="4">
        <v>2040</v>
      </c>
      <c r="M29" s="4">
        <v>2050</v>
      </c>
      <c r="N29" s="34"/>
      <c r="O29" s="4">
        <f>O24</f>
        <v>2015</v>
      </c>
      <c r="P29" s="4">
        <f t="shared" ref="P29:V29" si="40">P24</f>
        <v>2017</v>
      </c>
      <c r="Q29" s="4">
        <f t="shared" si="40"/>
        <v>2019</v>
      </c>
      <c r="R29" s="4">
        <f t="shared" si="40"/>
        <v>2020</v>
      </c>
      <c r="S29" s="4">
        <f t="shared" si="40"/>
        <v>2021</v>
      </c>
      <c r="T29" s="4">
        <f t="shared" si="40"/>
        <v>2030</v>
      </c>
      <c r="U29" s="4">
        <f t="shared" si="40"/>
        <v>2040</v>
      </c>
      <c r="V29" s="4">
        <f t="shared" si="40"/>
        <v>2050</v>
      </c>
      <c r="X29" s="4">
        <f>F29</f>
        <v>2015</v>
      </c>
      <c r="Y29" s="4">
        <f t="shared" ref="Y29:Z29" si="41">G29</f>
        <v>2017</v>
      </c>
      <c r="Z29" s="4">
        <f t="shared" si="41"/>
        <v>2019</v>
      </c>
      <c r="AA29" s="4">
        <f>I29</f>
        <v>2020</v>
      </c>
      <c r="AB29" s="4">
        <f>J29</f>
        <v>2021</v>
      </c>
      <c r="AC29" s="4">
        <f>K29</f>
        <v>2030</v>
      </c>
      <c r="AD29" s="4">
        <f>L29</f>
        <v>2040</v>
      </c>
      <c r="AE29" s="4">
        <f>M29</f>
        <v>2050</v>
      </c>
    </row>
    <row r="30" spans="1:57">
      <c r="A30" t="s">
        <v>16</v>
      </c>
      <c r="C30" s="19" t="str">
        <f>C25</f>
        <v>Low Income</v>
      </c>
      <c r="D30" t="s">
        <v>48</v>
      </c>
      <c r="E30" s="41">
        <f>[2]Calib_1011!$H$93</f>
        <v>0.25</v>
      </c>
      <c r="F30" s="52">
        <f>IF($D$4,X30,O30)</f>
        <v>0.25</v>
      </c>
      <c r="G30" s="52">
        <f t="shared" ref="G30:M32" si="42">IF($D$4,Y30,P30)</f>
        <v>0.25</v>
      </c>
      <c r="H30" s="52">
        <f t="shared" si="42"/>
        <v>0.25</v>
      </c>
      <c r="I30" s="52">
        <f t="shared" si="42"/>
        <v>0.25</v>
      </c>
      <c r="J30" s="52">
        <f t="shared" si="42"/>
        <v>0.25</v>
      </c>
      <c r="K30" s="52">
        <f t="shared" si="42"/>
        <v>0.25</v>
      </c>
      <c r="L30" s="52">
        <f t="shared" si="42"/>
        <v>0.25</v>
      </c>
      <c r="M30" s="52">
        <f t="shared" si="42"/>
        <v>0.25</v>
      </c>
      <c r="N30" s="36"/>
      <c r="O30" s="52">
        <f>E30</f>
        <v>0.25</v>
      </c>
      <c r="P30" s="52">
        <f>O30</f>
        <v>0.25</v>
      </c>
      <c r="Q30" s="52">
        <f>P30</f>
        <v>0.25</v>
      </c>
      <c r="R30" s="52">
        <f>Q30</f>
        <v>0.25</v>
      </c>
      <c r="S30" s="52">
        <f>R30</f>
        <v>0.25</v>
      </c>
      <c r="T30" s="38">
        <f t="shared" ref="T30:V30" si="43">S30</f>
        <v>0.25</v>
      </c>
      <c r="U30" s="38">
        <f t="shared" si="43"/>
        <v>0.25</v>
      </c>
      <c r="V30" s="38">
        <f t="shared" si="43"/>
        <v>0.25</v>
      </c>
      <c r="W30" s="202"/>
      <c r="X30" s="53">
        <f>O30</f>
        <v>0.25</v>
      </c>
      <c r="Y30" s="53">
        <f t="shared" ref="Y30:AB30" si="44">P30</f>
        <v>0.25</v>
      </c>
      <c r="Z30" s="53">
        <f t="shared" si="44"/>
        <v>0.25</v>
      </c>
      <c r="AA30" s="53">
        <f t="shared" si="44"/>
        <v>0.25</v>
      </c>
      <c r="AB30" s="53">
        <f t="shared" si="44"/>
        <v>0.25</v>
      </c>
      <c r="AC30" s="60">
        <f>AA30*$B25</f>
        <v>0.23749999999999999</v>
      </c>
      <c r="AD30" s="60">
        <f>AC30*0.95</f>
        <v>0.22562499999999999</v>
      </c>
      <c r="AE30" s="60">
        <f>AD30*0.95</f>
        <v>0.21434374999999997</v>
      </c>
      <c r="AF30" s="202"/>
      <c r="AG30" s="202"/>
      <c r="AH30" s="202"/>
      <c r="AI30" s="202"/>
      <c r="AJ30" s="202"/>
      <c r="AK30" s="202"/>
      <c r="AL30" s="202"/>
      <c r="AM30" s="202"/>
      <c r="AN30" s="202"/>
      <c r="AO30" s="202"/>
      <c r="AP30" s="202"/>
      <c r="AQ30" s="202"/>
      <c r="AR30" s="202"/>
      <c r="AS30" s="202"/>
      <c r="AT30" s="202"/>
      <c r="AU30" s="202"/>
    </row>
    <row r="31" spans="1:57">
      <c r="A31" t="s">
        <v>16</v>
      </c>
      <c r="C31" s="19" t="str">
        <f>C26</f>
        <v>Middle Income</v>
      </c>
      <c r="D31" t="s">
        <v>48</v>
      </c>
      <c r="E31" s="41">
        <f>[2]Calib_1011!$I$93</f>
        <v>0.31311637080867849</v>
      </c>
      <c r="F31" s="52">
        <f t="shared" ref="F31:F32" si="45">IF($D$4,X31,O31)</f>
        <v>0.31311637080867849</v>
      </c>
      <c r="G31" s="52">
        <f t="shared" si="42"/>
        <v>0.31311637080867849</v>
      </c>
      <c r="H31" s="52">
        <f t="shared" si="42"/>
        <v>0.31311637080867849</v>
      </c>
      <c r="I31" s="52">
        <f t="shared" si="42"/>
        <v>0.31311637080867849</v>
      </c>
      <c r="J31" s="52">
        <f t="shared" si="42"/>
        <v>0.31311637080867849</v>
      </c>
      <c r="K31" s="52">
        <f t="shared" si="42"/>
        <v>0.31311637080867849</v>
      </c>
      <c r="L31" s="52">
        <f t="shared" si="42"/>
        <v>0.31311637080867849</v>
      </c>
      <c r="M31" s="52">
        <f t="shared" si="42"/>
        <v>0.31311637080867849</v>
      </c>
      <c r="N31" s="36"/>
      <c r="O31" s="52">
        <f t="shared" ref="O31:O32" si="46">E31</f>
        <v>0.31311637080867849</v>
      </c>
      <c r="P31" s="52">
        <f t="shared" ref="P31:Q32" si="47">O31</f>
        <v>0.31311637080867849</v>
      </c>
      <c r="Q31" s="52">
        <f t="shared" si="47"/>
        <v>0.31311637080867849</v>
      </c>
      <c r="R31" s="52">
        <f>Q31</f>
        <v>0.31311637080867849</v>
      </c>
      <c r="S31" s="52">
        <f>R31</f>
        <v>0.31311637080867849</v>
      </c>
      <c r="T31" s="38">
        <f t="shared" ref="T31:V31" si="48">S31</f>
        <v>0.31311637080867849</v>
      </c>
      <c r="U31" s="38">
        <f t="shared" si="48"/>
        <v>0.31311637080867849</v>
      </c>
      <c r="V31" s="38">
        <f t="shared" si="48"/>
        <v>0.31311637080867849</v>
      </c>
      <c r="W31" s="202"/>
      <c r="X31" s="53">
        <f t="shared" ref="X31:X32" si="49">O31</f>
        <v>0.31311637080867849</v>
      </c>
      <c r="Y31" s="53">
        <f t="shared" ref="Y31:Y32" si="50">P31</f>
        <v>0.31311637080867849</v>
      </c>
      <c r="Z31" s="53">
        <f t="shared" ref="Z31:Z32" si="51">Q31</f>
        <v>0.31311637080867849</v>
      </c>
      <c r="AA31" s="53">
        <f t="shared" ref="AA31:AA32" si="52">R31</f>
        <v>0.31311637080867849</v>
      </c>
      <c r="AB31" s="53">
        <f t="shared" ref="AB31:AB32" si="53">S31</f>
        <v>0.31311637080867849</v>
      </c>
      <c r="AC31" s="59">
        <f>IF(INDEX($BH$4:$BH$7,MATCH($D$3,$BB$4:$BB$7,0)),AA31*$B$26,AA31)</f>
        <v>0.29746055226824453</v>
      </c>
      <c r="AD31" s="59">
        <f t="shared" ref="AD31" si="54">IF(INDEX($BH$4:$BH$7,MATCH($D$3,$BB$4:$BB$7,0)),AB31*$B$26,AB31)</f>
        <v>0.29746055226824453</v>
      </c>
      <c r="AE31" s="59">
        <f>IF(INDEX($BH$4:$BH$7,MATCH($D$3,$BB$4:$BB$7,0)),AC31*$B$26,AC31)</f>
        <v>0.28258752465483228</v>
      </c>
      <c r="AF31" s="202"/>
      <c r="AG31" s="202"/>
      <c r="AH31" s="202"/>
      <c r="AI31" s="202"/>
      <c r="AJ31" s="202"/>
      <c r="AK31" s="202"/>
      <c r="AL31" s="202"/>
      <c r="AM31" s="202"/>
      <c r="AN31" s="202"/>
      <c r="AO31" s="202"/>
      <c r="AP31" s="202"/>
      <c r="AQ31" s="202"/>
      <c r="AR31" s="202"/>
      <c r="AS31" s="202"/>
      <c r="AT31" s="202"/>
      <c r="AU31" s="202"/>
    </row>
    <row r="32" spans="1:57">
      <c r="A32" t="s">
        <v>16</v>
      </c>
      <c r="C32" s="19" t="str">
        <f>C27</f>
        <v>High Income</v>
      </c>
      <c r="D32" t="s">
        <v>48</v>
      </c>
      <c r="E32" s="41">
        <f>[2]Calib_1011!$J$93</f>
        <v>0.41283463855351005</v>
      </c>
      <c r="F32" s="52">
        <f t="shared" si="45"/>
        <v>0.41283463855351005</v>
      </c>
      <c r="G32" s="52">
        <f t="shared" si="42"/>
        <v>0.41283463855351005</v>
      </c>
      <c r="H32" s="52">
        <f t="shared" si="42"/>
        <v>0.41283463855351005</v>
      </c>
      <c r="I32" s="52">
        <f t="shared" si="42"/>
        <v>0.41275320354775508</v>
      </c>
      <c r="J32" s="52">
        <f t="shared" si="42"/>
        <v>0.43095934440931061</v>
      </c>
      <c r="K32" s="52">
        <f t="shared" si="42"/>
        <v>0.44715377940108908</v>
      </c>
      <c r="L32" s="52">
        <f t="shared" si="42"/>
        <v>0.46912515841053787</v>
      </c>
      <c r="M32" s="52">
        <f t="shared" si="42"/>
        <v>0.50130341837371561</v>
      </c>
      <c r="N32" s="36"/>
      <c r="O32" s="52">
        <f t="shared" si="46"/>
        <v>0.41283463855351005</v>
      </c>
      <c r="P32" s="52">
        <f t="shared" si="47"/>
        <v>0.41283463855351005</v>
      </c>
      <c r="Q32" s="52">
        <f t="shared" si="47"/>
        <v>0.41283463855351005</v>
      </c>
      <c r="R32" s="52">
        <f>Q32*(1+R21*(I21/F21-1))</f>
        <v>0.41275320354775508</v>
      </c>
      <c r="S32" s="52">
        <f>R32*(1+S21*(J21/G21-1))</f>
        <v>0.43095934440931061</v>
      </c>
      <c r="T32" s="38">
        <f>S32*(1+T21*(K21/J21-1))</f>
        <v>0.44715377940108908</v>
      </c>
      <c r="U32" s="38">
        <f t="shared" ref="U32:V32" si="55">T32*(1+U21*(L21/K21-1))</f>
        <v>0.46912515841053787</v>
      </c>
      <c r="V32" s="38">
        <f t="shared" si="55"/>
        <v>0.50130341837371561</v>
      </c>
      <c r="W32" s="202"/>
      <c r="X32" s="53">
        <f t="shared" si="49"/>
        <v>0.41283463855351005</v>
      </c>
      <c r="Y32" s="53">
        <f t="shared" si="50"/>
        <v>0.41283463855351005</v>
      </c>
      <c r="Z32" s="53">
        <f t="shared" si="51"/>
        <v>0.41283463855351005</v>
      </c>
      <c r="AA32" s="53">
        <f t="shared" si="52"/>
        <v>0.41275320354775508</v>
      </c>
      <c r="AB32" s="53">
        <f t="shared" si="53"/>
        <v>0.43095934440931061</v>
      </c>
      <c r="AC32" s="59">
        <f>IF(INDEX($BH$4:$BH$7,MATCH($D$3,$BB$4:$BB$7,0)),AA32*$B$27,AA32)</f>
        <v>0.40243437345906119</v>
      </c>
      <c r="AD32" s="59">
        <f>IF(INDEX($BH$4:$BH$7,MATCH($D$3,$BB$4:$BB$7,0)),AC32*$B$27,AC32)</f>
        <v>0.39237351412258464</v>
      </c>
      <c r="AE32" s="59">
        <f>IF(INDEX($BH$4:$BH$7,MATCH($D$3,$BB$4:$BB$7,0)),AD32*$B$27,AD32)</f>
        <v>0.38256417626952</v>
      </c>
      <c r="AF32" s="202"/>
      <c r="AG32" s="202"/>
      <c r="AH32" s="202"/>
      <c r="AI32" s="202"/>
      <c r="AJ32" s="202"/>
      <c r="AK32" s="202"/>
      <c r="AL32" s="202"/>
      <c r="AM32" s="202"/>
      <c r="AN32" s="202"/>
      <c r="AO32" s="202"/>
      <c r="AP32" s="202"/>
      <c r="AQ32" s="202"/>
      <c r="AR32" s="202"/>
      <c r="AS32" s="202"/>
      <c r="AT32" s="202"/>
      <c r="AU32" s="202"/>
    </row>
    <row r="33" spans="1:47">
      <c r="A33" t="s">
        <v>16</v>
      </c>
      <c r="C33" s="19"/>
      <c r="F33" s="309">
        <f>SUMPRODUCT(F30:F32,F$13:F$15)/F$16</f>
        <v>0.3061382698567931</v>
      </c>
      <c r="G33" s="309">
        <f t="shared" ref="G33:M33" si="56">SUMPRODUCT(G30:G32,G$13:G$15)/G$16</f>
        <v>0.3078978629902564</v>
      </c>
      <c r="H33" s="309">
        <f t="shared" si="56"/>
        <v>0.30904811138150579</v>
      </c>
      <c r="I33" s="309">
        <f t="shared" si="56"/>
        <v>0.30413433517183536</v>
      </c>
      <c r="J33" s="309">
        <f t="shared" si="56"/>
        <v>0.30380133633748346</v>
      </c>
      <c r="K33" s="309">
        <f t="shared" si="56"/>
        <v>0.31640665845574367</v>
      </c>
      <c r="L33" s="309">
        <f t="shared" si="56"/>
        <v>0.33712823304355377</v>
      </c>
      <c r="M33" s="309">
        <f t="shared" si="56"/>
        <v>0.35935845645924741</v>
      </c>
      <c r="N33" s="36"/>
      <c r="O33" s="3"/>
      <c r="W33" s="202"/>
      <c r="X33" t="s">
        <v>201</v>
      </c>
      <c r="AF33" s="202"/>
      <c r="AG33" s="202"/>
      <c r="AH33" s="202"/>
      <c r="AI33" s="202"/>
      <c r="AJ33" s="202"/>
      <c r="AK33" s="202"/>
      <c r="AL33" s="202"/>
      <c r="AM33" s="202"/>
      <c r="AN33" s="202"/>
      <c r="AO33" s="202"/>
      <c r="AP33" s="202"/>
      <c r="AQ33" s="202"/>
      <c r="AR33" s="202"/>
      <c r="AS33" s="202"/>
      <c r="AT33" s="202"/>
      <c r="AU33" s="202"/>
    </row>
    <row r="34" spans="1:47" ht="15.75" thickBot="1">
      <c r="A34" t="s">
        <v>16</v>
      </c>
      <c r="B34" s="14" t="s">
        <v>189</v>
      </c>
      <c r="D34" s="224">
        <f>INDEX($BJ$4:$BJ$7,MATCH($D$3,$BB$4:$BB$7,0))</f>
        <v>0</v>
      </c>
      <c r="E34" s="4">
        <v>2012</v>
      </c>
      <c r="F34" s="4">
        <f>F4</f>
        <v>2015</v>
      </c>
      <c r="G34" s="4">
        <f>G4</f>
        <v>2017</v>
      </c>
      <c r="H34" s="4">
        <f t="shared" ref="H34:J34" si="57">H4</f>
        <v>2019</v>
      </c>
      <c r="I34" s="4">
        <f t="shared" si="57"/>
        <v>2020</v>
      </c>
      <c r="J34" s="4">
        <f t="shared" si="57"/>
        <v>2021</v>
      </c>
      <c r="K34" s="4">
        <v>2030</v>
      </c>
      <c r="L34" s="4">
        <v>2040</v>
      </c>
      <c r="M34" s="4">
        <v>2050</v>
      </c>
      <c r="N34" s="34"/>
      <c r="O34" s="4">
        <f>O29</f>
        <v>2015</v>
      </c>
      <c r="P34" s="4">
        <f t="shared" ref="P34:T34" si="58">P29</f>
        <v>2017</v>
      </c>
      <c r="Q34" s="4">
        <f t="shared" si="58"/>
        <v>2019</v>
      </c>
      <c r="R34" s="4">
        <f t="shared" si="58"/>
        <v>2020</v>
      </c>
      <c r="S34" s="4">
        <f t="shared" si="58"/>
        <v>2021</v>
      </c>
      <c r="T34" s="4">
        <f t="shared" si="58"/>
        <v>2030</v>
      </c>
      <c r="U34" s="4">
        <f>L34</f>
        <v>2040</v>
      </c>
      <c r="V34" s="4">
        <f>M34</f>
        <v>2050</v>
      </c>
      <c r="W34" s="202"/>
      <c r="X34" s="4">
        <f>F34</f>
        <v>2015</v>
      </c>
      <c r="Y34" s="4">
        <f t="shared" ref="Y34:Z34" si="59">G34</f>
        <v>2017</v>
      </c>
      <c r="Z34" s="4">
        <f t="shared" si="59"/>
        <v>2019</v>
      </c>
      <c r="AA34" s="4">
        <f>I34</f>
        <v>2020</v>
      </c>
      <c r="AB34" s="4">
        <f>J34</f>
        <v>2021</v>
      </c>
      <c r="AC34" s="4">
        <f>K34</f>
        <v>2030</v>
      </c>
      <c r="AD34" s="4">
        <f>L34</f>
        <v>2040</v>
      </c>
      <c r="AE34" s="4">
        <f>M34</f>
        <v>2050</v>
      </c>
    </row>
    <row r="35" spans="1:47">
      <c r="A35" t="s">
        <v>16</v>
      </c>
      <c r="C35" s="19" t="str">
        <f>C30</f>
        <v>Low Income</v>
      </c>
      <c r="D35" t="s">
        <v>96</v>
      </c>
      <c r="E35" s="41">
        <f>[2]Calib_1011!$H$113</f>
        <v>1.4</v>
      </c>
      <c r="F35" s="52">
        <f>IF($D$4,X35,O35)</f>
        <v>1.4</v>
      </c>
      <c r="G35" s="52">
        <f t="shared" ref="G35:M38" si="60">IF($D$4,Y35,P35)</f>
        <v>1.4</v>
      </c>
      <c r="H35" s="52">
        <f t="shared" si="60"/>
        <v>1.4</v>
      </c>
      <c r="I35" s="52">
        <f t="shared" si="60"/>
        <v>1.4</v>
      </c>
      <c r="J35" s="52">
        <f t="shared" si="60"/>
        <v>1.4</v>
      </c>
      <c r="K35" s="52">
        <f t="shared" si="60"/>
        <v>1.4</v>
      </c>
      <c r="L35" s="52">
        <f t="shared" si="60"/>
        <v>1.4</v>
      </c>
      <c r="M35" s="52">
        <f t="shared" si="60"/>
        <v>1.4</v>
      </c>
      <c r="N35" s="36"/>
      <c r="O35" s="52">
        <f>E35</f>
        <v>1.4</v>
      </c>
      <c r="P35" s="52">
        <f>O35</f>
        <v>1.4</v>
      </c>
      <c r="Q35" s="52">
        <f t="shared" ref="Q35:V35" si="61">P35</f>
        <v>1.4</v>
      </c>
      <c r="R35" s="52">
        <f t="shared" si="61"/>
        <v>1.4</v>
      </c>
      <c r="S35" s="52">
        <f t="shared" ref="S35" si="62">R35</f>
        <v>1.4</v>
      </c>
      <c r="T35" s="38">
        <f t="shared" si="61"/>
        <v>1.4</v>
      </c>
      <c r="U35" s="38">
        <f t="shared" si="61"/>
        <v>1.4</v>
      </c>
      <c r="V35" s="38">
        <f t="shared" si="61"/>
        <v>1.4</v>
      </c>
      <c r="W35" s="202"/>
      <c r="X35" s="52">
        <f>O35</f>
        <v>1.4</v>
      </c>
      <c r="Y35" s="52">
        <f t="shared" ref="Y35:AB35" si="63">P35</f>
        <v>1.4</v>
      </c>
      <c r="Z35" s="52">
        <f t="shared" si="63"/>
        <v>1.4</v>
      </c>
      <c r="AA35" s="52">
        <f t="shared" si="63"/>
        <v>1.4</v>
      </c>
      <c r="AB35" s="52">
        <f t="shared" si="63"/>
        <v>1.4</v>
      </c>
      <c r="AC35" s="60">
        <f>AA35*(1+$D$34)</f>
        <v>1.4</v>
      </c>
      <c r="AD35" s="60">
        <f t="shared" ref="AD35:AE38" si="64">AC35*(1+$D$34)</f>
        <v>1.4</v>
      </c>
      <c r="AE35" s="60">
        <f t="shared" si="64"/>
        <v>1.4</v>
      </c>
      <c r="AF35" s="202"/>
      <c r="AG35" s="202"/>
      <c r="AH35" s="202"/>
      <c r="AI35" s="202"/>
      <c r="AJ35" s="202"/>
      <c r="AK35" s="202"/>
      <c r="AL35" s="202"/>
      <c r="AM35" s="202"/>
      <c r="AN35" s="202"/>
      <c r="AO35" s="202"/>
      <c r="AP35" s="202"/>
      <c r="AQ35" s="202"/>
      <c r="AR35" s="202"/>
      <c r="AS35" s="202"/>
      <c r="AT35" s="202"/>
      <c r="AU35" s="202"/>
    </row>
    <row r="36" spans="1:47">
      <c r="A36" t="s">
        <v>16</v>
      </c>
      <c r="C36" s="19" t="str">
        <f>C31</f>
        <v>Middle Income</v>
      </c>
      <c r="D36" t="s">
        <v>96</v>
      </c>
      <c r="E36" s="41">
        <f>[2]Calib_1011!$I$113</f>
        <v>1.4</v>
      </c>
      <c r="F36" s="52">
        <f t="shared" ref="F36:F38" si="65">IF($D$4,X36,O36)</f>
        <v>1.4</v>
      </c>
      <c r="G36" s="52">
        <f t="shared" si="60"/>
        <v>1.4</v>
      </c>
      <c r="H36" s="52">
        <f t="shared" si="60"/>
        <v>1.4</v>
      </c>
      <c r="I36" s="52">
        <f t="shared" si="60"/>
        <v>1.4</v>
      </c>
      <c r="J36" s="52">
        <f t="shared" si="60"/>
        <v>1.4</v>
      </c>
      <c r="K36" s="52">
        <f t="shared" si="60"/>
        <v>1.4</v>
      </c>
      <c r="L36" s="52">
        <f t="shared" si="60"/>
        <v>1.4</v>
      </c>
      <c r="M36" s="52">
        <f t="shared" si="60"/>
        <v>1.4</v>
      </c>
      <c r="N36" s="36"/>
      <c r="O36" s="52">
        <f>E36</f>
        <v>1.4</v>
      </c>
      <c r="P36" s="52">
        <f t="shared" ref="P36:V38" si="66">O36</f>
        <v>1.4</v>
      </c>
      <c r="Q36" s="52">
        <f t="shared" si="66"/>
        <v>1.4</v>
      </c>
      <c r="R36" s="52">
        <f t="shared" si="66"/>
        <v>1.4</v>
      </c>
      <c r="S36" s="52">
        <f t="shared" ref="S36" si="67">R36</f>
        <v>1.4</v>
      </c>
      <c r="T36" s="38">
        <f t="shared" si="66"/>
        <v>1.4</v>
      </c>
      <c r="U36" s="38">
        <f t="shared" si="66"/>
        <v>1.4</v>
      </c>
      <c r="V36" s="38">
        <f t="shared" si="66"/>
        <v>1.4</v>
      </c>
      <c r="W36" s="202"/>
      <c r="X36" s="52">
        <f t="shared" ref="X36:X38" si="68">O36</f>
        <v>1.4</v>
      </c>
      <c r="Y36" s="52">
        <f t="shared" ref="Y36:Y38" si="69">P36</f>
        <v>1.4</v>
      </c>
      <c r="Z36" s="52">
        <f t="shared" ref="Z36:Z38" si="70">Q36</f>
        <v>1.4</v>
      </c>
      <c r="AA36" s="52">
        <f t="shared" ref="AA36:AA38" si="71">R36</f>
        <v>1.4</v>
      </c>
      <c r="AB36" s="52">
        <f t="shared" ref="AB36:AB38" si="72">S36</f>
        <v>1.4</v>
      </c>
      <c r="AC36" s="60">
        <f>AA36*(1+$D$34)</f>
        <v>1.4</v>
      </c>
      <c r="AD36" s="60">
        <f t="shared" si="64"/>
        <v>1.4</v>
      </c>
      <c r="AE36" s="60">
        <f t="shared" si="64"/>
        <v>1.4</v>
      </c>
      <c r="AF36" s="202"/>
      <c r="AG36" s="202"/>
      <c r="AH36" s="202"/>
      <c r="AI36" s="202"/>
      <c r="AJ36" s="202"/>
      <c r="AK36" s="202"/>
      <c r="AL36" s="202"/>
      <c r="AM36" s="202"/>
      <c r="AN36" s="202"/>
      <c r="AO36" s="202"/>
      <c r="AP36" s="202"/>
      <c r="AQ36" s="202"/>
      <c r="AR36" s="202"/>
      <c r="AS36" s="202"/>
      <c r="AT36" s="202"/>
      <c r="AU36" s="202"/>
    </row>
    <row r="37" spans="1:47">
      <c r="A37" t="s">
        <v>16</v>
      </c>
      <c r="C37" s="19" t="str">
        <f>C32</f>
        <v>High Income</v>
      </c>
      <c r="D37" t="s">
        <v>96</v>
      </c>
      <c r="E37" s="41">
        <f>[2]Calib_1011!$J$113</f>
        <v>1.4</v>
      </c>
      <c r="F37" s="52">
        <f t="shared" si="65"/>
        <v>1.4</v>
      </c>
      <c r="G37" s="52">
        <f t="shared" si="60"/>
        <v>1.4</v>
      </c>
      <c r="H37" s="52">
        <f t="shared" si="60"/>
        <v>1.4</v>
      </c>
      <c r="I37" s="52">
        <f t="shared" si="60"/>
        <v>1.4</v>
      </c>
      <c r="J37" s="52">
        <f t="shared" si="60"/>
        <v>1.4</v>
      </c>
      <c r="K37" s="52">
        <f t="shared" si="60"/>
        <v>1.4</v>
      </c>
      <c r="L37" s="52">
        <f t="shared" si="60"/>
        <v>1.4</v>
      </c>
      <c r="M37" s="52">
        <f t="shared" si="60"/>
        <v>1.4</v>
      </c>
      <c r="N37" s="36"/>
      <c r="O37" s="52">
        <f>E37</f>
        <v>1.4</v>
      </c>
      <c r="P37" s="52">
        <f t="shared" si="66"/>
        <v>1.4</v>
      </c>
      <c r="Q37" s="52">
        <f t="shared" si="66"/>
        <v>1.4</v>
      </c>
      <c r="R37" s="52">
        <f t="shared" si="66"/>
        <v>1.4</v>
      </c>
      <c r="S37" s="52">
        <f t="shared" ref="S37" si="73">R37</f>
        <v>1.4</v>
      </c>
      <c r="T37" s="38">
        <f t="shared" si="66"/>
        <v>1.4</v>
      </c>
      <c r="U37" s="38">
        <f t="shared" si="66"/>
        <v>1.4</v>
      </c>
      <c r="V37" s="38">
        <f t="shared" si="66"/>
        <v>1.4</v>
      </c>
      <c r="W37" s="202"/>
      <c r="X37" s="52">
        <f t="shared" si="68"/>
        <v>1.4</v>
      </c>
      <c r="Y37" s="52">
        <f t="shared" si="69"/>
        <v>1.4</v>
      </c>
      <c r="Z37" s="52">
        <f t="shared" si="70"/>
        <v>1.4</v>
      </c>
      <c r="AA37" s="52">
        <f t="shared" si="71"/>
        <v>1.4</v>
      </c>
      <c r="AB37" s="52">
        <f t="shared" si="72"/>
        <v>1.4</v>
      </c>
      <c r="AC37" s="60">
        <f>AA37*(1+$D$34)</f>
        <v>1.4</v>
      </c>
      <c r="AD37" s="60">
        <f t="shared" si="64"/>
        <v>1.4</v>
      </c>
      <c r="AE37" s="60">
        <f t="shared" si="64"/>
        <v>1.4</v>
      </c>
      <c r="AF37" s="202"/>
      <c r="AG37" s="202"/>
      <c r="AH37" s="202"/>
      <c r="AI37" s="202"/>
      <c r="AJ37" s="202"/>
      <c r="AK37" s="202"/>
      <c r="AL37" s="202"/>
      <c r="AM37" s="202"/>
      <c r="AN37" s="202"/>
      <c r="AO37" s="202"/>
      <c r="AP37" s="202"/>
      <c r="AQ37" s="202"/>
      <c r="AR37" s="202"/>
      <c r="AS37" s="202"/>
      <c r="AT37" s="202"/>
      <c r="AU37" s="202"/>
    </row>
    <row r="38" spans="1:47">
      <c r="A38" t="s">
        <v>16</v>
      </c>
      <c r="C38" s="19" t="s">
        <v>195</v>
      </c>
      <c r="D38" t="s">
        <v>96</v>
      </c>
      <c r="E38" s="41">
        <f>[2]Calib_1011!K113</f>
        <v>1.4</v>
      </c>
      <c r="F38" s="52">
        <f t="shared" si="65"/>
        <v>1.4</v>
      </c>
      <c r="G38" s="52">
        <f t="shared" si="60"/>
        <v>1.4</v>
      </c>
      <c r="H38" s="52">
        <f t="shared" si="60"/>
        <v>1.4</v>
      </c>
      <c r="I38" s="52">
        <f t="shared" si="60"/>
        <v>1.4</v>
      </c>
      <c r="J38" s="52">
        <f t="shared" si="60"/>
        <v>1.4</v>
      </c>
      <c r="K38" s="52">
        <f t="shared" si="60"/>
        <v>1.4</v>
      </c>
      <c r="L38" s="52">
        <f t="shared" si="60"/>
        <v>1.4</v>
      </c>
      <c r="M38" s="52">
        <f t="shared" si="60"/>
        <v>1.4</v>
      </c>
      <c r="N38" s="34"/>
      <c r="O38" s="52">
        <f>E38</f>
        <v>1.4</v>
      </c>
      <c r="P38" s="52">
        <f t="shared" si="66"/>
        <v>1.4</v>
      </c>
      <c r="Q38" s="52">
        <f t="shared" si="66"/>
        <v>1.4</v>
      </c>
      <c r="R38" s="52">
        <f t="shared" si="66"/>
        <v>1.4</v>
      </c>
      <c r="S38" s="52">
        <f t="shared" ref="S38" si="74">R38</f>
        <v>1.4</v>
      </c>
      <c r="T38" s="38">
        <f t="shared" si="66"/>
        <v>1.4</v>
      </c>
      <c r="U38" s="38">
        <f t="shared" si="66"/>
        <v>1.4</v>
      </c>
      <c r="V38" s="38">
        <f t="shared" si="66"/>
        <v>1.4</v>
      </c>
      <c r="X38" s="52">
        <f t="shared" si="68"/>
        <v>1.4</v>
      </c>
      <c r="Y38" s="52">
        <f t="shared" si="69"/>
        <v>1.4</v>
      </c>
      <c r="Z38" s="52">
        <f t="shared" si="70"/>
        <v>1.4</v>
      </c>
      <c r="AA38" s="52">
        <f t="shared" si="71"/>
        <v>1.4</v>
      </c>
      <c r="AB38" s="52">
        <f t="shared" si="72"/>
        <v>1.4</v>
      </c>
      <c r="AC38" s="60">
        <f>AA38*(1+$D$34)</f>
        <v>1.4</v>
      </c>
      <c r="AD38" s="60">
        <f t="shared" si="64"/>
        <v>1.4</v>
      </c>
      <c r="AE38" s="60">
        <f t="shared" si="64"/>
        <v>1.4</v>
      </c>
    </row>
    <row r="39" spans="1:47">
      <c r="A39" t="s">
        <v>16</v>
      </c>
      <c r="C39" s="19"/>
      <c r="L39"/>
      <c r="N39" s="36"/>
      <c r="O39" s="3">
        <v>0.92</v>
      </c>
      <c r="P39" s="3">
        <v>1</v>
      </c>
      <c r="Q39" s="3"/>
      <c r="R39" s="3"/>
      <c r="S39" s="3"/>
      <c r="T39" s="3"/>
      <c r="W39" s="202"/>
      <c r="X39" t="s">
        <v>202</v>
      </c>
      <c r="AF39" s="202"/>
      <c r="AG39" s="202"/>
      <c r="AH39" s="202"/>
      <c r="AI39" s="202"/>
      <c r="AJ39" s="202"/>
      <c r="AK39" s="202"/>
      <c r="AL39" s="202"/>
      <c r="AM39" s="202"/>
      <c r="AN39" s="202"/>
      <c r="AO39" s="202"/>
      <c r="AP39" s="202"/>
      <c r="AQ39" s="202"/>
      <c r="AR39" s="202"/>
      <c r="AS39" s="202"/>
      <c r="AT39" s="202"/>
      <c r="AU39" s="202"/>
    </row>
    <row r="40" spans="1:47" ht="15.75" thickBot="1">
      <c r="A40" t="s">
        <v>16</v>
      </c>
      <c r="B40" s="14" t="s">
        <v>190</v>
      </c>
      <c r="D40" s="14"/>
      <c r="E40" s="4">
        <v>2012</v>
      </c>
      <c r="F40" s="4">
        <f>F4</f>
        <v>2015</v>
      </c>
      <c r="G40" s="4">
        <f>G4</f>
        <v>2017</v>
      </c>
      <c r="H40" s="4">
        <f t="shared" ref="H40:J40" si="75">H4</f>
        <v>2019</v>
      </c>
      <c r="I40" s="4">
        <f t="shared" si="75"/>
        <v>2020</v>
      </c>
      <c r="J40" s="4">
        <f t="shared" si="75"/>
        <v>2021</v>
      </c>
      <c r="K40" s="4">
        <v>2030</v>
      </c>
      <c r="L40" s="4">
        <v>2040</v>
      </c>
      <c r="M40" s="4">
        <v>2050</v>
      </c>
      <c r="N40" s="258" t="s">
        <v>645</v>
      </c>
      <c r="O40" s="4">
        <f>O34</f>
        <v>2015</v>
      </c>
      <c r="P40" s="4">
        <f t="shared" ref="P40:V40" si="76">P34</f>
        <v>2017</v>
      </c>
      <c r="Q40" s="4">
        <f t="shared" si="76"/>
        <v>2019</v>
      </c>
      <c r="R40" s="4">
        <f t="shared" si="76"/>
        <v>2020</v>
      </c>
      <c r="S40" s="4">
        <f t="shared" si="76"/>
        <v>2021</v>
      </c>
      <c r="T40" s="4">
        <f t="shared" si="76"/>
        <v>2030</v>
      </c>
      <c r="U40" s="4">
        <f t="shared" si="76"/>
        <v>2040</v>
      </c>
      <c r="V40" s="4">
        <f t="shared" si="76"/>
        <v>2050</v>
      </c>
      <c r="X40" s="4">
        <f>F40</f>
        <v>2015</v>
      </c>
      <c r="Y40" s="4">
        <f t="shared" ref="Y40:Z40" si="77">G40</f>
        <v>2017</v>
      </c>
      <c r="Z40" s="4">
        <f t="shared" si="77"/>
        <v>2019</v>
      </c>
      <c r="AA40" s="4">
        <f>I40</f>
        <v>2020</v>
      </c>
      <c r="AB40" s="4">
        <f>J40</f>
        <v>2021</v>
      </c>
      <c r="AC40" s="4">
        <f>K40</f>
        <v>2030</v>
      </c>
      <c r="AD40" s="4">
        <f>L40</f>
        <v>2040</v>
      </c>
      <c r="AE40" s="4">
        <f>M40</f>
        <v>2050</v>
      </c>
    </row>
    <row r="41" spans="1:47">
      <c r="A41" t="s">
        <v>16</v>
      </c>
      <c r="B41" s="172">
        <f>INDEX($BG$4:$BG$7,MATCH($D$3,$BB$4:$BB$7,0))</f>
        <v>0.95</v>
      </c>
      <c r="C41" s="19" t="str">
        <f>C35</f>
        <v>Low Income</v>
      </c>
      <c r="D41" s="29" t="s">
        <v>171</v>
      </c>
      <c r="E41" s="41">
        <f>[2]Calib_1011!$H$118</f>
        <v>8.0274119837508469</v>
      </c>
      <c r="F41" s="52">
        <f>IF($D$4,X41,O41)</f>
        <v>7.3852190250507794</v>
      </c>
      <c r="G41" s="52">
        <f t="shared" ref="G41:M44" si="78">IF($D$4,Y41,P41)</f>
        <v>7.3852190250507794</v>
      </c>
      <c r="H41" s="52">
        <f t="shared" si="78"/>
        <v>7.3852190250507794</v>
      </c>
      <c r="I41" s="52">
        <f t="shared" si="78"/>
        <v>7.3852190250507794</v>
      </c>
      <c r="J41" s="52">
        <f t="shared" si="78"/>
        <v>7.3852190250507794</v>
      </c>
      <c r="K41" s="52">
        <f t="shared" si="78"/>
        <v>7.3852190250507794</v>
      </c>
      <c r="L41" s="52">
        <f t="shared" si="78"/>
        <v>7.3852190250507794</v>
      </c>
      <c r="M41" s="52">
        <f t="shared" si="78"/>
        <v>7.3852190250507794</v>
      </c>
      <c r="N41" s="259">
        <v>1</v>
      </c>
      <c r="O41" s="283">
        <f>E41*O$39</f>
        <v>7.3852190250507794</v>
      </c>
      <c r="P41" s="190">
        <f>O41*P$39</f>
        <v>7.3852190250507794</v>
      </c>
      <c r="Q41">
        <f t="shared" ref="Q41:V41" si="79">P41</f>
        <v>7.3852190250507794</v>
      </c>
      <c r="R41" s="52">
        <f>Q41*$N41</f>
        <v>7.3852190250507794</v>
      </c>
      <c r="S41" s="52">
        <f>Q41</f>
        <v>7.3852190250507794</v>
      </c>
      <c r="T41" s="38">
        <f t="shared" si="79"/>
        <v>7.3852190250507794</v>
      </c>
      <c r="U41" s="38">
        <f t="shared" si="79"/>
        <v>7.3852190250507794</v>
      </c>
      <c r="V41" s="38">
        <f t="shared" si="79"/>
        <v>7.3852190250507794</v>
      </c>
      <c r="X41" s="52">
        <f>O41</f>
        <v>7.3852190250507794</v>
      </c>
      <c r="Y41" s="52">
        <f t="shared" ref="Y41:AB41" si="80">P41</f>
        <v>7.3852190250507794</v>
      </c>
      <c r="Z41" s="52">
        <f t="shared" si="80"/>
        <v>7.3852190250507794</v>
      </c>
      <c r="AA41" s="52">
        <f t="shared" si="80"/>
        <v>7.3852190250507794</v>
      </c>
      <c r="AB41" s="52">
        <f t="shared" si="80"/>
        <v>7.3852190250507794</v>
      </c>
      <c r="AC41" s="60">
        <f t="shared" ref="AC41:AE43" si="81">AB41*$B41</f>
        <v>7.0159580737982399</v>
      </c>
      <c r="AD41" s="60">
        <f t="shared" si="81"/>
        <v>6.6651601701083276</v>
      </c>
      <c r="AE41" s="60">
        <f t="shared" si="81"/>
        <v>6.331902161602911</v>
      </c>
      <c r="AF41" s="202"/>
      <c r="AG41" s="202"/>
      <c r="AH41" s="202"/>
      <c r="AI41" s="202"/>
      <c r="AJ41" s="202"/>
      <c r="AK41" s="202"/>
      <c r="AL41" s="202"/>
      <c r="AM41" s="202"/>
      <c r="AN41" s="202"/>
      <c r="AO41" s="202"/>
      <c r="AP41" s="202"/>
      <c r="AQ41" s="202"/>
      <c r="AR41" s="202"/>
      <c r="AS41" s="202"/>
      <c r="AT41" s="202"/>
      <c r="AU41" s="202"/>
    </row>
    <row r="42" spans="1:47">
      <c r="A42" t="s">
        <v>16</v>
      </c>
      <c r="B42" s="172">
        <f>INDEX($BF$4:$BF$7,MATCH($D$3,$BB$4:$BB$7,0))</f>
        <v>0.95</v>
      </c>
      <c r="C42" s="19" t="str">
        <f>C36</f>
        <v>Middle Income</v>
      </c>
      <c r="D42" s="29" t="s">
        <v>171</v>
      </c>
      <c r="E42" s="41">
        <f>[2]Calib_1011!$I$118</f>
        <v>13.418073439870216</v>
      </c>
      <c r="F42" s="52">
        <f>IF($D$4,X42,O42)</f>
        <v>12.3446275646806</v>
      </c>
      <c r="G42" s="52">
        <f t="shared" si="78"/>
        <v>12.3446275646806</v>
      </c>
      <c r="H42" s="52">
        <f t="shared" si="78"/>
        <v>12.3446275646806</v>
      </c>
      <c r="I42" s="52">
        <f t="shared" si="78"/>
        <v>12.3446275646806</v>
      </c>
      <c r="J42" s="52">
        <f t="shared" si="78"/>
        <v>12.3446275646806</v>
      </c>
      <c r="K42" s="52">
        <f t="shared" si="78"/>
        <v>12.3446275646806</v>
      </c>
      <c r="L42" s="52">
        <f t="shared" si="78"/>
        <v>12.3446275646806</v>
      </c>
      <c r="M42" s="52">
        <f t="shared" si="78"/>
        <v>12.3446275646806</v>
      </c>
      <c r="N42" s="259">
        <v>1</v>
      </c>
      <c r="O42" s="283">
        <f t="shared" ref="O42:O43" si="82">E42*O$39</f>
        <v>12.3446275646806</v>
      </c>
      <c r="P42" s="190">
        <f t="shared" ref="P42:P43" si="83">O42*P$39</f>
        <v>12.3446275646806</v>
      </c>
      <c r="Q42">
        <f t="shared" ref="P42:V44" si="84">P42</f>
        <v>12.3446275646806</v>
      </c>
      <c r="R42" s="52">
        <f t="shared" ref="R42:R44" si="85">Q42*$N42</f>
        <v>12.3446275646806</v>
      </c>
      <c r="S42" s="52">
        <f t="shared" ref="S42:S44" si="86">Q42</f>
        <v>12.3446275646806</v>
      </c>
      <c r="T42" s="165">
        <f>S42</f>
        <v>12.3446275646806</v>
      </c>
      <c r="U42" s="165">
        <f t="shared" si="84"/>
        <v>12.3446275646806</v>
      </c>
      <c r="V42" s="165">
        <f t="shared" si="84"/>
        <v>12.3446275646806</v>
      </c>
      <c r="X42" s="52">
        <f t="shared" ref="X42:X44" si="87">O42</f>
        <v>12.3446275646806</v>
      </c>
      <c r="Y42" s="52">
        <f t="shared" ref="Y42:Y44" si="88">P42</f>
        <v>12.3446275646806</v>
      </c>
      <c r="Z42" s="52">
        <f t="shared" ref="Z42:Z44" si="89">Q42</f>
        <v>12.3446275646806</v>
      </c>
      <c r="AA42" s="52">
        <f t="shared" ref="AA42:AA44" si="90">R42</f>
        <v>12.3446275646806</v>
      </c>
      <c r="AB42" s="52">
        <f t="shared" ref="AB42:AB44" si="91">S42</f>
        <v>12.3446275646806</v>
      </c>
      <c r="AC42" s="60">
        <f t="shared" si="81"/>
        <v>11.727396186446569</v>
      </c>
      <c r="AD42" s="60">
        <f t="shared" si="81"/>
        <v>11.141026377124239</v>
      </c>
      <c r="AE42" s="60">
        <f t="shared" si="81"/>
        <v>10.583975058268027</v>
      </c>
      <c r="AF42" s="202"/>
      <c r="AG42" s="202"/>
      <c r="AH42" s="202"/>
      <c r="AI42" s="202"/>
      <c r="AJ42" s="202"/>
      <c r="AK42" s="202"/>
      <c r="AL42" s="202"/>
      <c r="AM42" s="202"/>
      <c r="AN42" s="202"/>
      <c r="AO42" s="202"/>
      <c r="AP42" s="202"/>
      <c r="AQ42" s="202"/>
      <c r="AR42" s="202"/>
      <c r="AS42" s="202"/>
      <c r="AT42" s="202"/>
      <c r="AU42" s="202"/>
    </row>
    <row r="43" spans="1:47">
      <c r="A43" t="s">
        <v>16</v>
      </c>
      <c r="B43" s="172">
        <f>INDEX($BE$4:$BE$7,MATCH($D$3,$BB$4:$BB$7,0))</f>
        <v>0.97499999999999998</v>
      </c>
      <c r="C43" s="19" t="str">
        <f>C37</f>
        <v>High Income</v>
      </c>
      <c r="D43" s="29" t="s">
        <v>171</v>
      </c>
      <c r="E43" s="282">
        <f>[2]Calib_1011!$J$118*0.925</f>
        <v>14.489168827787489</v>
      </c>
      <c r="F43" s="52">
        <f>IF($D$4,X43,O43)</f>
        <v>13.330035321564491</v>
      </c>
      <c r="G43" s="52">
        <f t="shared" si="78"/>
        <v>13.330035321564491</v>
      </c>
      <c r="H43" s="52">
        <f t="shared" si="78"/>
        <v>13.330035321564491</v>
      </c>
      <c r="I43" s="52">
        <f t="shared" si="78"/>
        <v>13.330035321564491</v>
      </c>
      <c r="J43" s="52">
        <f t="shared" si="78"/>
        <v>13.330035321564491</v>
      </c>
      <c r="K43" s="52">
        <f t="shared" si="78"/>
        <v>13.330035321564491</v>
      </c>
      <c r="L43" s="52">
        <f t="shared" si="78"/>
        <v>13.330035321564491</v>
      </c>
      <c r="M43" s="52">
        <f t="shared" si="78"/>
        <v>13.330035321564491</v>
      </c>
      <c r="N43" s="259">
        <v>1</v>
      </c>
      <c r="O43" s="283">
        <f t="shared" si="82"/>
        <v>13.330035321564491</v>
      </c>
      <c r="P43" s="190">
        <f t="shared" si="83"/>
        <v>13.330035321564491</v>
      </c>
      <c r="Q43">
        <f t="shared" si="84"/>
        <v>13.330035321564491</v>
      </c>
      <c r="R43" s="52">
        <f t="shared" si="85"/>
        <v>13.330035321564491</v>
      </c>
      <c r="S43" s="52">
        <f t="shared" si="86"/>
        <v>13.330035321564491</v>
      </c>
      <c r="T43" s="38">
        <f t="shared" si="84"/>
        <v>13.330035321564491</v>
      </c>
      <c r="U43" s="38">
        <f t="shared" si="84"/>
        <v>13.330035321564491</v>
      </c>
      <c r="V43" s="38">
        <f t="shared" si="84"/>
        <v>13.330035321564491</v>
      </c>
      <c r="X43" s="52">
        <f t="shared" si="87"/>
        <v>13.330035321564491</v>
      </c>
      <c r="Y43" s="52">
        <f t="shared" si="88"/>
        <v>13.330035321564491</v>
      </c>
      <c r="Z43" s="52">
        <f t="shared" si="89"/>
        <v>13.330035321564491</v>
      </c>
      <c r="AA43" s="52">
        <f t="shared" si="90"/>
        <v>13.330035321564491</v>
      </c>
      <c r="AB43" s="52">
        <f t="shared" si="91"/>
        <v>13.330035321564491</v>
      </c>
      <c r="AC43" s="60">
        <f t="shared" si="81"/>
        <v>12.996784438525378</v>
      </c>
      <c r="AD43" s="60">
        <f t="shared" si="81"/>
        <v>12.671864827562242</v>
      </c>
      <c r="AE43" s="60">
        <f t="shared" si="81"/>
        <v>12.355068206873186</v>
      </c>
      <c r="AF43" s="202"/>
      <c r="AG43" s="202"/>
      <c r="AH43" s="202"/>
      <c r="AI43" s="202"/>
      <c r="AJ43" s="202"/>
      <c r="AK43" s="202"/>
      <c r="AL43" s="202"/>
      <c r="AM43" s="202"/>
      <c r="AN43" s="202"/>
      <c r="AO43" s="202"/>
      <c r="AP43" s="202"/>
      <c r="AQ43" s="202"/>
      <c r="AR43" s="202"/>
      <c r="AS43" s="202"/>
      <c r="AT43" s="202"/>
      <c r="AU43" s="202"/>
    </row>
    <row r="44" spans="1:47">
      <c r="A44" t="s">
        <v>16</v>
      </c>
      <c r="B44" s="172">
        <v>0.95</v>
      </c>
      <c r="C44" s="19" t="s">
        <v>195</v>
      </c>
      <c r="D44" s="29" t="s">
        <v>171</v>
      </c>
      <c r="E44" s="41">
        <f>[2]Calib_1011!$K$118</f>
        <v>13.5</v>
      </c>
      <c r="F44" s="52">
        <f>IF($D$4,X44,O44)</f>
        <v>13.5</v>
      </c>
      <c r="G44" s="52">
        <f t="shared" si="78"/>
        <v>13.5</v>
      </c>
      <c r="H44" s="52">
        <f t="shared" si="78"/>
        <v>13.5</v>
      </c>
      <c r="I44" s="52">
        <f t="shared" si="78"/>
        <v>13.5</v>
      </c>
      <c r="J44" s="52">
        <f t="shared" si="78"/>
        <v>13.5</v>
      </c>
      <c r="K44" s="52">
        <f t="shared" si="78"/>
        <v>13.5</v>
      </c>
      <c r="L44" s="52">
        <f t="shared" si="78"/>
        <v>13.5</v>
      </c>
      <c r="M44" s="52">
        <f t="shared" si="78"/>
        <v>13.5</v>
      </c>
      <c r="N44" s="259">
        <v>1</v>
      </c>
      <c r="O44" s="52">
        <f t="shared" ref="O44" si="92">E44</f>
        <v>13.5</v>
      </c>
      <c r="P44" s="3">
        <f t="shared" si="84"/>
        <v>13.5</v>
      </c>
      <c r="Q44">
        <f t="shared" si="84"/>
        <v>13.5</v>
      </c>
      <c r="R44" s="52">
        <f t="shared" si="85"/>
        <v>13.5</v>
      </c>
      <c r="S44" s="52">
        <f t="shared" si="86"/>
        <v>13.5</v>
      </c>
      <c r="T44" s="38">
        <f>S44</f>
        <v>13.5</v>
      </c>
      <c r="U44" s="38">
        <f t="shared" si="84"/>
        <v>13.5</v>
      </c>
      <c r="V44" s="38">
        <f t="shared" si="84"/>
        <v>13.5</v>
      </c>
      <c r="X44" s="52">
        <f t="shared" si="87"/>
        <v>13.5</v>
      </c>
      <c r="Y44" s="52">
        <f t="shared" si="88"/>
        <v>13.5</v>
      </c>
      <c r="Z44" s="52">
        <f t="shared" si="89"/>
        <v>13.5</v>
      </c>
      <c r="AA44" s="52">
        <f t="shared" si="90"/>
        <v>13.5</v>
      </c>
      <c r="AB44" s="52">
        <f t="shared" si="91"/>
        <v>13.5</v>
      </c>
      <c r="AC44" s="60">
        <f>AB44*$B44</f>
        <v>12.824999999999999</v>
      </c>
      <c r="AD44" s="60">
        <f t="shared" ref="AD44:AE44" si="93">AC44*$B44</f>
        <v>12.183749999999998</v>
      </c>
      <c r="AE44" s="60">
        <f t="shared" si="93"/>
        <v>11.574562499999997</v>
      </c>
      <c r="AF44" s="202"/>
      <c r="AG44" s="202"/>
      <c r="AH44" s="202"/>
      <c r="AI44" s="202"/>
      <c r="AJ44" s="202"/>
      <c r="AK44" s="202"/>
      <c r="AL44" s="202"/>
      <c r="AM44" s="202"/>
      <c r="AN44" s="202"/>
      <c r="AO44" s="202"/>
      <c r="AP44" s="202"/>
      <c r="AQ44" s="202"/>
      <c r="AR44" s="202"/>
      <c r="AS44" s="202"/>
      <c r="AT44" s="202"/>
      <c r="AU44" s="202"/>
    </row>
    <row r="45" spans="1:47">
      <c r="A45" t="s">
        <v>16</v>
      </c>
      <c r="C45" s="19" t="s">
        <v>6</v>
      </c>
      <c r="D45" s="29" t="s">
        <v>171</v>
      </c>
      <c r="E45" s="3">
        <f t="shared" ref="E45" si="94">SUMPRODUCT(E41:E44,E54:E57)/SUM(E54:E57)</f>
        <v>13.858705512449847</v>
      </c>
      <c r="F45" s="3">
        <f>SUMPRODUCT(F41:F44,F54:F57)/SUM(F54:F57)</f>
        <v>12.868004059439311</v>
      </c>
      <c r="G45" s="3">
        <f t="shared" ref="G45:L45" si="95">SUMPRODUCT(G41:G44,G54:G57)/SUM(G54:G57)</f>
        <v>12.877014618381118</v>
      </c>
      <c r="H45" s="3">
        <f t="shared" si="95"/>
        <v>12.878645358068882</v>
      </c>
      <c r="I45" s="3">
        <f t="shared" si="95"/>
        <v>12.821923048962782</v>
      </c>
      <c r="J45" s="3">
        <f t="shared" si="95"/>
        <v>12.848802850317631</v>
      </c>
      <c r="K45" s="3">
        <f t="shared" si="95"/>
        <v>12.891098170477655</v>
      </c>
      <c r="L45" s="3">
        <f t="shared" si="95"/>
        <v>12.961756866300304</v>
      </c>
      <c r="M45" s="3">
        <f>SUMPRODUCT(M41:M44,M54:M57)/SUM(M54:M57)</f>
        <v>13.008018906431259</v>
      </c>
      <c r="N45" s="36"/>
      <c r="O45" s="3"/>
      <c r="W45" s="202"/>
      <c r="X45" s="202"/>
      <c r="AA45" s="202"/>
      <c r="AC45" s="202"/>
      <c r="AD45" s="202"/>
      <c r="AE45" s="202"/>
      <c r="AF45" s="202"/>
      <c r="AG45" s="202"/>
      <c r="AH45" s="202"/>
      <c r="AI45" s="202"/>
      <c r="AJ45" s="202"/>
      <c r="AK45" s="202"/>
      <c r="AL45" s="202"/>
      <c r="AM45" s="202"/>
      <c r="AN45" s="202"/>
      <c r="AO45" s="202"/>
      <c r="AP45" s="202"/>
      <c r="AQ45" s="202"/>
      <c r="AR45" s="202"/>
      <c r="AS45" s="202"/>
      <c r="AT45" s="202"/>
      <c r="AU45" s="202"/>
    </row>
    <row r="46" spans="1:47" ht="15.75" thickBot="1">
      <c r="A46" t="s">
        <v>16</v>
      </c>
      <c r="C46" s="14" t="s">
        <v>161</v>
      </c>
      <c r="D46" s="14"/>
      <c r="E46" s="4"/>
      <c r="F46" s="4"/>
      <c r="G46" s="4"/>
      <c r="H46" s="4"/>
      <c r="I46" s="4"/>
      <c r="J46" s="4"/>
      <c r="K46" s="4"/>
      <c r="L46" s="4"/>
      <c r="M46" s="4"/>
      <c r="N46" s="36"/>
      <c r="O46" s="4"/>
      <c r="P46" s="4"/>
      <c r="Q46" s="4"/>
      <c r="R46" s="4"/>
      <c r="S46" s="4"/>
      <c r="T46" s="4"/>
      <c r="U46" s="4"/>
      <c r="V46" s="4"/>
      <c r="X46" s="4"/>
      <c r="AA46" s="4"/>
      <c r="AC46" s="4"/>
      <c r="AD46" s="4"/>
      <c r="AE46" s="4"/>
      <c r="AF46" s="202"/>
      <c r="AG46" s="202"/>
      <c r="AH46" s="202"/>
      <c r="AI46" s="202"/>
      <c r="AJ46" s="202"/>
      <c r="AK46" s="202"/>
      <c r="AL46" s="202"/>
      <c r="AM46" s="202"/>
      <c r="AN46" s="202"/>
      <c r="AO46" s="202"/>
      <c r="AP46" s="202"/>
      <c r="AQ46" s="202"/>
      <c r="AR46" s="202"/>
      <c r="AS46" s="202"/>
      <c r="AT46" s="202"/>
      <c r="AU46" s="202"/>
    </row>
    <row r="47" spans="1:47">
      <c r="A47" t="s">
        <v>16</v>
      </c>
      <c r="C47" t="s">
        <v>13</v>
      </c>
      <c r="E47" s="41">
        <f>FTRA!F7</f>
        <v>234.64829421512601</v>
      </c>
      <c r="F47" s="62">
        <f>IF($D$4,X47,O47)</f>
        <v>250.49509082227485</v>
      </c>
      <c r="G47" s="62">
        <f t="shared" ref="G47:M51" si="96">IF($D$4,Y47,P47)</f>
        <v>256.25966914032193</v>
      </c>
      <c r="H47" s="62">
        <f t="shared" si="96"/>
        <v>260.25</v>
      </c>
      <c r="I47" s="62">
        <f t="shared" si="96"/>
        <v>248.16</v>
      </c>
      <c r="J47" s="62">
        <f t="shared" si="96"/>
        <v>255.04895104895104</v>
      </c>
      <c r="K47" s="62">
        <f t="shared" si="96"/>
        <v>315.42981818181812</v>
      </c>
      <c r="L47" s="62">
        <f t="shared" si="96"/>
        <v>429.10276923076901</v>
      </c>
      <c r="M47" s="62">
        <f t="shared" si="96"/>
        <v>523.40251748251717</v>
      </c>
      <c r="N47" s="36"/>
      <c r="O47" s="3">
        <f>FTRA!G7</f>
        <v>250.49509082227485</v>
      </c>
      <c r="P47" s="3">
        <f>FTRA!H7</f>
        <v>256.25966914032193</v>
      </c>
      <c r="Q47" s="3">
        <f>FTRA!I7</f>
        <v>260.25</v>
      </c>
      <c r="R47" s="3">
        <f>FTRA!J7</f>
        <v>248.16</v>
      </c>
      <c r="S47" s="3">
        <f>FTRA!K7</f>
        <v>255.04895104895104</v>
      </c>
      <c r="T47" s="246">
        <f>FTRA!L7</f>
        <v>315.42981818181812</v>
      </c>
      <c r="U47" s="246">
        <f>FTRA!M7</f>
        <v>429.10276923076901</v>
      </c>
      <c r="V47" s="246">
        <f>FTRA!N7</f>
        <v>523.40251748251717</v>
      </c>
      <c r="W47" s="202"/>
      <c r="X47" s="3">
        <f>FTRA!G7</f>
        <v>250.49509082227485</v>
      </c>
      <c r="Y47" s="3">
        <f>FTRA!H7</f>
        <v>256.25966914032193</v>
      </c>
      <c r="Z47" s="3">
        <f>FTRA!I7</f>
        <v>260.25</v>
      </c>
      <c r="AA47" s="3">
        <f>FTRA!J7</f>
        <v>248.16</v>
      </c>
      <c r="AB47" s="3">
        <f>FTRA!K7</f>
        <v>255.04895104895104</v>
      </c>
      <c r="AC47" s="3">
        <f>FTRA!L7</f>
        <v>315.42981818181812</v>
      </c>
      <c r="AD47" s="3">
        <f>FTRA!M7</f>
        <v>429.10276923076901</v>
      </c>
      <c r="AE47" s="3">
        <f>FTRA!N7</f>
        <v>523.40251748251717</v>
      </c>
      <c r="AF47" s="202"/>
      <c r="AG47" s="202"/>
      <c r="AH47" s="202"/>
      <c r="AI47" s="202"/>
      <c r="AJ47" s="202"/>
      <c r="AK47" s="202"/>
      <c r="AL47" s="202"/>
      <c r="AM47" s="202"/>
      <c r="AN47" s="202"/>
      <c r="AO47" s="202"/>
      <c r="AP47" s="202"/>
      <c r="AQ47" s="202"/>
      <c r="AR47" s="202"/>
      <c r="AS47" s="202"/>
      <c r="AT47" s="202"/>
      <c r="AU47" s="202"/>
    </row>
    <row r="48" spans="1:47">
      <c r="A48" t="s">
        <v>16</v>
      </c>
      <c r="C48" t="s">
        <v>163</v>
      </c>
      <c r="E48" s="41">
        <v>0.5</v>
      </c>
      <c r="F48" s="62">
        <f>IF($D$4,X48,O48)</f>
        <v>0.5</v>
      </c>
      <c r="G48" s="62">
        <f t="shared" si="96"/>
        <v>0.5</v>
      </c>
      <c r="H48" s="62">
        <f t="shared" si="96"/>
        <v>0.5</v>
      </c>
      <c r="I48" s="62">
        <f t="shared" si="96"/>
        <v>0.5</v>
      </c>
      <c r="J48" s="62">
        <f t="shared" si="96"/>
        <v>0.5</v>
      </c>
      <c r="K48" s="62">
        <f t="shared" si="96"/>
        <v>0.5</v>
      </c>
      <c r="L48" s="62">
        <f t="shared" si="96"/>
        <v>0.5</v>
      </c>
      <c r="M48" s="62">
        <f t="shared" si="96"/>
        <v>0.5</v>
      </c>
      <c r="N48" s="36"/>
      <c r="O48" s="62">
        <f>E48</f>
        <v>0.5</v>
      </c>
      <c r="P48" s="62">
        <f t="shared" ref="P48:V48" si="97">F48</f>
        <v>0.5</v>
      </c>
      <c r="Q48" s="62">
        <f t="shared" si="97"/>
        <v>0.5</v>
      </c>
      <c r="R48" s="62">
        <f t="shared" si="97"/>
        <v>0.5</v>
      </c>
      <c r="S48" s="62">
        <f t="shared" si="97"/>
        <v>0.5</v>
      </c>
      <c r="T48" s="38">
        <f t="shared" si="97"/>
        <v>0.5</v>
      </c>
      <c r="U48" s="38">
        <f t="shared" si="97"/>
        <v>0.5</v>
      </c>
      <c r="V48" s="38">
        <f t="shared" si="97"/>
        <v>0.5</v>
      </c>
      <c r="W48" s="202"/>
      <c r="X48" s="62">
        <f>O48</f>
        <v>0.5</v>
      </c>
      <c r="Y48" s="62">
        <f t="shared" ref="Y48:AB48" si="98">P48</f>
        <v>0.5</v>
      </c>
      <c r="Z48" s="62">
        <f t="shared" si="98"/>
        <v>0.5</v>
      </c>
      <c r="AA48" s="62">
        <f t="shared" si="98"/>
        <v>0.5</v>
      </c>
      <c r="AB48" s="62">
        <f t="shared" si="98"/>
        <v>0.5</v>
      </c>
      <c r="AC48" s="38">
        <f>AB48</f>
        <v>0.5</v>
      </c>
      <c r="AD48" s="38">
        <v>0.4</v>
      </c>
      <c r="AE48" s="38">
        <v>0.3</v>
      </c>
      <c r="AF48" s="202"/>
      <c r="AG48" s="202"/>
      <c r="AH48" s="202"/>
      <c r="AI48" s="202"/>
      <c r="AJ48" s="202"/>
      <c r="AK48" s="202"/>
      <c r="AL48" s="202"/>
      <c r="AM48" s="202"/>
      <c r="AN48" s="202"/>
      <c r="AO48" s="202"/>
      <c r="AP48" s="202"/>
      <c r="AQ48" s="202"/>
      <c r="AR48" s="202"/>
      <c r="AS48" s="202"/>
      <c r="AT48" s="202"/>
      <c r="AU48" s="202"/>
    </row>
    <row r="49" spans="1:47">
      <c r="A49" t="s">
        <v>16</v>
      </c>
      <c r="C49" s="19" t="s">
        <v>162</v>
      </c>
      <c r="D49" t="s">
        <v>164</v>
      </c>
      <c r="E49" s="41">
        <f>[2]Calib_1011!$K$116</f>
        <v>0.50601376355767247</v>
      </c>
      <c r="F49" s="62">
        <f t="shared" ref="F49:F51" si="99">IF($D$4,X49,O49)</f>
        <v>0.52310039361040328</v>
      </c>
      <c r="G49" s="62">
        <f t="shared" si="96"/>
        <v>0.52911938020465121</v>
      </c>
      <c r="H49" s="62">
        <f t="shared" si="96"/>
        <v>0.53323895430378154</v>
      </c>
      <c r="I49" s="62">
        <f t="shared" si="96"/>
        <v>0.52085305813176863</v>
      </c>
      <c r="J49" s="62">
        <f t="shared" si="96"/>
        <v>0.52808252948324785</v>
      </c>
      <c r="K49" s="62">
        <f t="shared" si="96"/>
        <v>0.59059225735465659</v>
      </c>
      <c r="L49" s="62">
        <f t="shared" si="96"/>
        <v>0.69700953449595104</v>
      </c>
      <c r="M49" s="62">
        <f t="shared" si="96"/>
        <v>0.77359704260020234</v>
      </c>
      <c r="N49" s="36"/>
      <c r="O49" s="18">
        <f>E49*(1+(O48*(O47/E47-1)))</f>
        <v>0.52310039361040328</v>
      </c>
      <c r="P49" s="18">
        <f t="shared" ref="P49:V49" si="100">F49*(1+(P48*(P47/F47-1)))</f>
        <v>0.52911938020465121</v>
      </c>
      <c r="Q49" s="18">
        <f t="shared" si="100"/>
        <v>0.53323895430378154</v>
      </c>
      <c r="R49" s="62">
        <f t="shared" si="100"/>
        <v>0.52085305813176863</v>
      </c>
      <c r="S49" s="62">
        <f t="shared" si="100"/>
        <v>0.52808252948324785</v>
      </c>
      <c r="T49" s="38">
        <f t="shared" si="100"/>
        <v>0.59059225735465659</v>
      </c>
      <c r="U49" s="38">
        <f t="shared" si="100"/>
        <v>0.69700953449595104</v>
      </c>
      <c r="V49" s="38">
        <f t="shared" si="100"/>
        <v>0.77359704260020234</v>
      </c>
      <c r="W49" s="202"/>
      <c r="X49" s="62">
        <f t="shared" ref="X49:X51" si="101">O49</f>
        <v>0.52310039361040328</v>
      </c>
      <c r="Y49" s="62">
        <f t="shared" ref="Y49:Y51" si="102">P49</f>
        <v>0.52911938020465121</v>
      </c>
      <c r="Z49" s="62">
        <f t="shared" ref="Z49:Z51" si="103">Q49</f>
        <v>0.53323895430378154</v>
      </c>
      <c r="AA49" s="62">
        <f t="shared" ref="AA49:AA51" si="104">R49</f>
        <v>0.52085305813176863</v>
      </c>
      <c r="AB49" s="62">
        <f t="shared" ref="AB49:AB51" si="105">S49</f>
        <v>0.52808252948324785</v>
      </c>
      <c r="AC49" s="38">
        <f>AA49*(1+(AC48*(AC47/AA47-1)))</f>
        <v>0.59144801807690084</v>
      </c>
      <c r="AD49" s="38">
        <f>AC49*(1+(AD48*(AD47/AC47-1)))</f>
        <v>0.67670519762243297</v>
      </c>
      <c r="AE49" s="38">
        <f>AD49*(1+(AE48*(AE47/AD47-1)))</f>
        <v>0.72131907640781545</v>
      </c>
      <c r="AF49" s="202"/>
      <c r="AG49" s="202"/>
      <c r="AH49" s="202"/>
      <c r="AI49" s="202"/>
      <c r="AJ49" s="202"/>
      <c r="AK49" s="202"/>
      <c r="AL49" s="202"/>
      <c r="AM49" s="202"/>
      <c r="AN49" s="202"/>
      <c r="AO49" s="202"/>
      <c r="AP49" s="202"/>
      <c r="AQ49" s="202"/>
      <c r="AR49" s="202"/>
      <c r="AS49" s="202"/>
      <c r="AT49" s="202"/>
      <c r="AU49" s="202"/>
    </row>
    <row r="50" spans="1:47">
      <c r="A50" t="s">
        <v>16</v>
      </c>
      <c r="C50" s="19" t="s">
        <v>172</v>
      </c>
      <c r="D50" t="s">
        <v>173</v>
      </c>
      <c r="E50" s="41">
        <f t="shared" ref="E50" si="106">E49*E44</f>
        <v>6.8311858080285788</v>
      </c>
      <c r="F50" s="62">
        <f t="shared" si="99"/>
        <v>7.0618553137404447</v>
      </c>
      <c r="G50" s="62">
        <f t="shared" si="96"/>
        <v>7.1431116327627917</v>
      </c>
      <c r="H50" s="62">
        <f t="shared" si="96"/>
        <v>7.1987258831010505</v>
      </c>
      <c r="I50" s="62">
        <f t="shared" si="96"/>
        <v>7.0315162847788768</v>
      </c>
      <c r="J50" s="62">
        <f t="shared" si="96"/>
        <v>7.129114148023846</v>
      </c>
      <c r="K50" s="62">
        <f t="shared" si="96"/>
        <v>7.9729954742878641</v>
      </c>
      <c r="L50" s="62">
        <f t="shared" si="96"/>
        <v>9.4096287156953391</v>
      </c>
      <c r="M50" s="62">
        <f t="shared" si="96"/>
        <v>10.443560075102731</v>
      </c>
      <c r="N50" s="36"/>
      <c r="O50" s="3">
        <f>O49*O44</f>
        <v>7.0618553137404447</v>
      </c>
      <c r="P50" s="3">
        <f t="shared" ref="P50:V50" si="107">P49*P44</f>
        <v>7.1431116327627917</v>
      </c>
      <c r="Q50" s="3">
        <f t="shared" si="107"/>
        <v>7.1987258831010505</v>
      </c>
      <c r="R50" s="62">
        <f t="shared" si="107"/>
        <v>7.0315162847788768</v>
      </c>
      <c r="S50" s="62">
        <f t="shared" si="107"/>
        <v>7.129114148023846</v>
      </c>
      <c r="T50" s="38">
        <f t="shared" si="107"/>
        <v>7.9729954742878641</v>
      </c>
      <c r="U50" s="38">
        <f t="shared" si="107"/>
        <v>9.4096287156953391</v>
      </c>
      <c r="V50" s="38">
        <f t="shared" si="107"/>
        <v>10.443560075102731</v>
      </c>
      <c r="W50" s="202"/>
      <c r="X50" s="62">
        <f t="shared" si="101"/>
        <v>7.0618553137404447</v>
      </c>
      <c r="Y50" s="62">
        <f t="shared" si="102"/>
        <v>7.1431116327627917</v>
      </c>
      <c r="Z50" s="62">
        <f t="shared" si="103"/>
        <v>7.1987258831010505</v>
      </c>
      <c r="AA50" s="62">
        <f t="shared" si="104"/>
        <v>7.0315162847788768</v>
      </c>
      <c r="AB50" s="62">
        <f t="shared" si="105"/>
        <v>7.129114148023846</v>
      </c>
      <c r="AC50" s="38">
        <f>AC49*AC44</f>
        <v>7.5853208318362526</v>
      </c>
      <c r="AD50" s="38">
        <f>AD49*AD44</f>
        <v>8.2448069515323166</v>
      </c>
      <c r="AE50" s="38">
        <f>AE49*AE44</f>
        <v>8.3489527323245341</v>
      </c>
      <c r="AF50" s="202"/>
      <c r="AG50" s="202"/>
      <c r="AH50" s="202"/>
      <c r="AI50" s="202"/>
      <c r="AJ50" s="202"/>
      <c r="AK50" s="202"/>
      <c r="AL50" s="202"/>
      <c r="AM50" s="202"/>
      <c r="AN50" s="202"/>
      <c r="AO50" s="202"/>
      <c r="AP50" s="202"/>
      <c r="AQ50" s="202"/>
      <c r="AR50" s="202"/>
      <c r="AS50" s="202"/>
      <c r="AT50" s="202"/>
      <c r="AU50" s="202"/>
    </row>
    <row r="51" spans="1:47">
      <c r="A51" t="s">
        <v>16</v>
      </c>
      <c r="C51" s="19" t="s">
        <v>174</v>
      </c>
      <c r="D51" t="s">
        <v>136</v>
      </c>
      <c r="E51" s="41">
        <f t="shared" ref="E51" si="108">E50*E38</f>
        <v>9.5636601312400096</v>
      </c>
      <c r="F51" s="62">
        <f t="shared" si="99"/>
        <v>9.8865974392366223</v>
      </c>
      <c r="G51" s="62">
        <f t="shared" si="96"/>
        <v>10.000356285867907</v>
      </c>
      <c r="H51" s="62">
        <f t="shared" si="96"/>
        <v>10.07821623634147</v>
      </c>
      <c r="I51" s="62">
        <f t="shared" si="96"/>
        <v>9.8441227986904263</v>
      </c>
      <c r="J51" s="62">
        <f t="shared" si="96"/>
        <v>9.9807598072333832</v>
      </c>
      <c r="K51" s="62">
        <f t="shared" si="96"/>
        <v>11.162193664003009</v>
      </c>
      <c r="L51" s="62">
        <f t="shared" si="96"/>
        <v>13.173480201973474</v>
      </c>
      <c r="M51" s="62">
        <f t="shared" si="96"/>
        <v>14.620984105143823</v>
      </c>
      <c r="N51" s="36"/>
      <c r="O51" s="3">
        <f>O50*O38</f>
        <v>9.8865974392366223</v>
      </c>
      <c r="P51" s="3">
        <f t="shared" ref="P51:V51" si="109">P50*P38</f>
        <v>10.000356285867907</v>
      </c>
      <c r="Q51" s="3">
        <f t="shared" si="109"/>
        <v>10.07821623634147</v>
      </c>
      <c r="R51" s="62">
        <f>R50*R38</f>
        <v>9.8441227986904263</v>
      </c>
      <c r="S51" s="62">
        <f t="shared" si="109"/>
        <v>9.9807598072333832</v>
      </c>
      <c r="T51" s="38">
        <f t="shared" si="109"/>
        <v>11.162193664003009</v>
      </c>
      <c r="U51" s="38">
        <f t="shared" si="109"/>
        <v>13.173480201973474</v>
      </c>
      <c r="V51" s="38">
        <f t="shared" si="109"/>
        <v>14.620984105143823</v>
      </c>
      <c r="W51" s="202"/>
      <c r="X51" s="62">
        <f t="shared" si="101"/>
        <v>9.8865974392366223</v>
      </c>
      <c r="Y51" s="62">
        <f t="shared" si="102"/>
        <v>10.000356285867907</v>
      </c>
      <c r="Z51" s="62">
        <f t="shared" si="103"/>
        <v>10.07821623634147</v>
      </c>
      <c r="AA51" s="62">
        <f t="shared" si="104"/>
        <v>9.8441227986904263</v>
      </c>
      <c r="AB51" s="62">
        <f t="shared" si="105"/>
        <v>9.9807598072333832</v>
      </c>
      <c r="AC51" s="38">
        <f>AC50*AC38</f>
        <v>10.619449164570753</v>
      </c>
      <c r="AD51" s="38">
        <f>AD50*AD38</f>
        <v>11.542729732145242</v>
      </c>
      <c r="AE51" s="38">
        <f>AE50*AE38</f>
        <v>11.688533825254346</v>
      </c>
      <c r="AF51" s="202"/>
      <c r="AG51" s="202"/>
      <c r="AH51" s="202"/>
      <c r="AI51" s="202"/>
      <c r="AJ51" s="202"/>
      <c r="AK51" s="202"/>
      <c r="AL51" s="202"/>
      <c r="AM51" s="202"/>
      <c r="AN51" s="202"/>
      <c r="AO51" s="202"/>
      <c r="AP51" s="202"/>
      <c r="AQ51" s="202"/>
      <c r="AR51" s="202"/>
      <c r="AS51" s="202"/>
      <c r="AT51" s="202"/>
      <c r="AU51" s="202"/>
    </row>
    <row r="52" spans="1:47">
      <c r="A52" t="s">
        <v>16</v>
      </c>
      <c r="C52" s="19"/>
      <c r="E52" s="24"/>
      <c r="L52"/>
      <c r="N52" s="34"/>
    </row>
    <row r="53" spans="1:47" ht="15.75" thickBot="1">
      <c r="A53" t="s">
        <v>16</v>
      </c>
      <c r="B53" s="14" t="s">
        <v>84</v>
      </c>
      <c r="D53" s="14"/>
      <c r="E53" s="4">
        <f>E40</f>
        <v>2012</v>
      </c>
      <c r="F53" s="4">
        <f t="shared" ref="F53:M53" si="110">F40</f>
        <v>2015</v>
      </c>
      <c r="G53" s="4">
        <f t="shared" si="110"/>
        <v>2017</v>
      </c>
      <c r="H53" s="4">
        <f t="shared" si="110"/>
        <v>2019</v>
      </c>
      <c r="I53" s="4">
        <f t="shared" si="110"/>
        <v>2020</v>
      </c>
      <c r="J53" s="4">
        <f t="shared" si="110"/>
        <v>2021</v>
      </c>
      <c r="K53" s="4">
        <f t="shared" si="110"/>
        <v>2030</v>
      </c>
      <c r="L53" s="4">
        <f t="shared" si="110"/>
        <v>2040</v>
      </c>
      <c r="M53" s="4">
        <f t="shared" si="110"/>
        <v>2050</v>
      </c>
      <c r="N53" s="34"/>
      <c r="O53" s="4">
        <f>O40</f>
        <v>2015</v>
      </c>
      <c r="P53" s="4">
        <f t="shared" ref="P53:V53" si="111">P40</f>
        <v>2017</v>
      </c>
      <c r="Q53" s="4">
        <f t="shared" si="111"/>
        <v>2019</v>
      </c>
      <c r="R53" s="4">
        <f t="shared" si="111"/>
        <v>2020</v>
      </c>
      <c r="S53" s="4">
        <f t="shared" si="111"/>
        <v>2021</v>
      </c>
      <c r="T53" s="4">
        <f t="shared" si="111"/>
        <v>2030</v>
      </c>
      <c r="U53" s="4">
        <f t="shared" si="111"/>
        <v>2040</v>
      </c>
      <c r="V53" s="4">
        <f t="shared" si="111"/>
        <v>2050</v>
      </c>
      <c r="X53" s="260">
        <f>X$12</f>
        <v>2015</v>
      </c>
      <c r="Y53" s="260">
        <f t="shared" ref="Y53:AE53" si="112">Y$12</f>
        <v>2017</v>
      </c>
      <c r="Z53" s="260">
        <f t="shared" si="112"/>
        <v>2019</v>
      </c>
      <c r="AA53" s="260">
        <f t="shared" si="112"/>
        <v>2020</v>
      </c>
      <c r="AB53" s="260">
        <f t="shared" si="112"/>
        <v>2021</v>
      </c>
      <c r="AC53" s="260">
        <f t="shared" si="112"/>
        <v>2030</v>
      </c>
      <c r="AD53" s="260">
        <f t="shared" si="112"/>
        <v>2040</v>
      </c>
      <c r="AE53" s="260">
        <f t="shared" si="112"/>
        <v>2050</v>
      </c>
    </row>
    <row r="54" spans="1:47">
      <c r="A54" t="s">
        <v>16</v>
      </c>
      <c r="C54" s="19" t="str">
        <f>C30</f>
        <v>Low Income</v>
      </c>
      <c r="D54" t="s">
        <v>67</v>
      </c>
      <c r="E54" s="3">
        <f>E30*E25*E13</f>
        <v>0.13081358220517519</v>
      </c>
      <c r="F54" s="52">
        <f t="shared" ref="F54:F61" si="113">IF($D$4,X54,O54)</f>
        <v>0.1283823833256614</v>
      </c>
      <c r="G54" s="52">
        <f t="shared" ref="G54:G59" si="114">IF($D$4,Y54,P54)</f>
        <v>0.12877680945571371</v>
      </c>
      <c r="H54" s="52">
        <f t="shared" ref="H54:H59" si="115">IF($D$4,Z54,Q54)</f>
        <v>0.12973355042768442</v>
      </c>
      <c r="I54" s="52">
        <f t="shared" ref="I54:I59" si="116">IF($D$4,AA54,R54)</f>
        <v>0.13499132813487882</v>
      </c>
      <c r="J54" s="52">
        <f t="shared" ref="J54:J59" si="117">IF($D$4,AB54,S54)</f>
        <v>0.15671168426702539</v>
      </c>
      <c r="K54" s="52">
        <f t="shared" ref="K54:K59" si="118">IF($D$4,AC54,T54)</f>
        <v>0.14843288412052494</v>
      </c>
      <c r="L54" s="52">
        <f t="shared" ref="L54:L59" si="119">IF($D$4,AD54,U54)</f>
        <v>0.12816828843509692</v>
      </c>
      <c r="M54" s="52">
        <f t="shared" ref="M54:M58" si="120">IF($D$4,AE54,V54)</f>
        <v>0.11117938667354796</v>
      </c>
      <c r="N54" s="36"/>
      <c r="O54" s="3">
        <f t="shared" ref="O54:R56" si="121">O30*O25*O13</f>
        <v>0.1283823833256614</v>
      </c>
      <c r="P54" s="3">
        <f t="shared" si="121"/>
        <v>0.12877680945571371</v>
      </c>
      <c r="Q54" s="3">
        <f t="shared" si="121"/>
        <v>0.12973355042768442</v>
      </c>
      <c r="R54" s="3">
        <f t="shared" si="121"/>
        <v>0.13499132813487882</v>
      </c>
      <c r="S54" s="3">
        <f t="shared" ref="S54:V54" si="122">S30*S25*S13</f>
        <v>0.15671168426702539</v>
      </c>
      <c r="T54" s="38">
        <f t="shared" si="122"/>
        <v>0.14843288412052494</v>
      </c>
      <c r="U54" s="38">
        <f t="shared" si="122"/>
        <v>0.12816828843509692</v>
      </c>
      <c r="V54" s="38">
        <f t="shared" si="122"/>
        <v>0.11117938667354796</v>
      </c>
      <c r="W54" s="202"/>
      <c r="X54" s="3">
        <f t="shared" ref="X54:AB56" si="123">X30*X25*X13</f>
        <v>0.1283823833256614</v>
      </c>
      <c r="Y54" s="3">
        <f t="shared" si="123"/>
        <v>0.12877680945571371</v>
      </c>
      <c r="Z54" s="3">
        <f t="shared" si="123"/>
        <v>0.12973355042768442</v>
      </c>
      <c r="AA54" s="3">
        <f t="shared" si="123"/>
        <v>0.13499132813487882</v>
      </c>
      <c r="AB54" s="3">
        <f t="shared" si="123"/>
        <v>0.15671168426702539</v>
      </c>
      <c r="AC54" s="38">
        <f t="shared" ref="AC54" si="124">AC30*AC25*AC13</f>
        <v>0.35252809978624672</v>
      </c>
      <c r="AD54" s="38">
        <f t="shared" ref="AD54:AE56" si="125">AD30*AD25*AD13</f>
        <v>0.23134376062534998</v>
      </c>
      <c r="AE54" s="38">
        <f t="shared" si="125"/>
        <v>0.19064485329846637</v>
      </c>
      <c r="AF54" s="202"/>
      <c r="AG54" s="202"/>
      <c r="AH54" s="202"/>
      <c r="AI54" s="202"/>
      <c r="AJ54" s="202"/>
      <c r="AK54" s="202"/>
      <c r="AL54" s="202"/>
      <c r="AM54" s="202"/>
      <c r="AN54" s="202"/>
      <c r="AO54" s="202"/>
      <c r="AP54" s="202"/>
      <c r="AQ54" s="202"/>
      <c r="AR54" s="202"/>
      <c r="AS54" s="202"/>
      <c r="AT54" s="202"/>
      <c r="AU54" s="202"/>
    </row>
    <row r="55" spans="1:47">
      <c r="A55" t="s">
        <v>16</v>
      </c>
      <c r="C55" s="19" t="str">
        <f>C31</f>
        <v>Middle Income</v>
      </c>
      <c r="D55" t="s">
        <v>67</v>
      </c>
      <c r="E55" s="3">
        <f>E31*E26*E14</f>
        <v>2.605047993559273</v>
      </c>
      <c r="F55" s="52">
        <f t="shared" si="113"/>
        <v>2.7636773332492934</v>
      </c>
      <c r="G55" s="52">
        <f t="shared" si="114"/>
        <v>2.8913337107360779</v>
      </c>
      <c r="H55" s="52">
        <f t="shared" si="115"/>
        <v>3.0495903806306055</v>
      </c>
      <c r="I55" s="52">
        <f t="shared" si="116"/>
        <v>3.2047358801985588</v>
      </c>
      <c r="J55" s="52">
        <f t="shared" si="117"/>
        <v>2.7853482223683792</v>
      </c>
      <c r="K55" s="52">
        <f t="shared" si="118"/>
        <v>3.4672288494794481</v>
      </c>
      <c r="L55" s="52">
        <f t="shared" si="119"/>
        <v>4.0406585733534603</v>
      </c>
      <c r="M55" s="52">
        <f t="shared" si="120"/>
        <v>4.4754700103979204</v>
      </c>
      <c r="N55" s="36"/>
      <c r="O55" s="3">
        <f t="shared" si="121"/>
        <v>2.7636773332492934</v>
      </c>
      <c r="P55" s="3">
        <f t="shared" si="121"/>
        <v>2.8913337107360779</v>
      </c>
      <c r="Q55" s="3">
        <f t="shared" si="121"/>
        <v>3.0495903806306055</v>
      </c>
      <c r="R55" s="3">
        <f>R31*R26*R14</f>
        <v>3.2047358801985588</v>
      </c>
      <c r="S55" s="3">
        <f t="shared" ref="S55:V55" si="126">S31*S26*S14</f>
        <v>2.7853482223683792</v>
      </c>
      <c r="T55" s="38">
        <f t="shared" si="126"/>
        <v>3.4672288494794481</v>
      </c>
      <c r="U55" s="38">
        <f t="shared" si="126"/>
        <v>4.0406585733534603</v>
      </c>
      <c r="V55" s="38">
        <f t="shared" si="126"/>
        <v>4.4754700103979204</v>
      </c>
      <c r="W55" s="202"/>
      <c r="X55" s="3">
        <f t="shared" si="123"/>
        <v>2.7636773332492934</v>
      </c>
      <c r="Y55" s="3">
        <f t="shared" si="123"/>
        <v>2.8913337107360779</v>
      </c>
      <c r="Z55" s="3">
        <f t="shared" si="123"/>
        <v>3.0495903806306055</v>
      </c>
      <c r="AA55" s="3">
        <f t="shared" si="123"/>
        <v>3.2047358801985588</v>
      </c>
      <c r="AB55" s="3">
        <f t="shared" si="123"/>
        <v>2.7853482223683792</v>
      </c>
      <c r="AC55" s="38">
        <f t="shared" ref="AC55" si="127">AC31*AC26*AC14</f>
        <v>3.1291740366552014</v>
      </c>
      <c r="AD55" s="38">
        <f t="shared" si="125"/>
        <v>3.4643596443289217</v>
      </c>
      <c r="AE55" s="38">
        <f t="shared" si="125"/>
        <v>3.4630333803988362</v>
      </c>
      <c r="AF55" s="202"/>
      <c r="AG55" s="202"/>
      <c r="AH55" s="202"/>
      <c r="AI55" s="202"/>
      <c r="AJ55" s="202"/>
      <c r="AK55" s="202"/>
      <c r="AL55" s="202"/>
      <c r="AM55" s="202"/>
      <c r="AN55" s="202"/>
      <c r="AO55" s="202"/>
      <c r="AP55" s="202"/>
      <c r="AQ55" s="202"/>
      <c r="AR55" s="202"/>
      <c r="AS55" s="202"/>
      <c r="AT55" s="202"/>
      <c r="AU55" s="202"/>
    </row>
    <row r="56" spans="1:47">
      <c r="A56" t="s">
        <v>16</v>
      </c>
      <c r="C56" s="19" t="str">
        <f>C32</f>
        <v>High Income</v>
      </c>
      <c r="D56" t="s">
        <v>67</v>
      </c>
      <c r="E56" s="3">
        <f>E32*E27*E15</f>
        <v>3.3184960447596774</v>
      </c>
      <c r="F56" s="52">
        <f t="shared" si="113"/>
        <v>3.9385634462472403</v>
      </c>
      <c r="G56" s="52">
        <f t="shared" si="114"/>
        <v>4.2313538823878662</v>
      </c>
      <c r="H56" s="52">
        <f t="shared" si="115"/>
        <v>4.4526615366410756</v>
      </c>
      <c r="I56" s="52">
        <f t="shared" si="116"/>
        <v>3.7596718485503273</v>
      </c>
      <c r="J56" s="52">
        <f t="shared" si="117"/>
        <v>3.9827431346025834</v>
      </c>
      <c r="K56" s="52">
        <f t="shared" si="118"/>
        <v>5.3592626168852737</v>
      </c>
      <c r="L56" s="52">
        <f t="shared" si="119"/>
        <v>7.6930471424556339</v>
      </c>
      <c r="M56" s="52">
        <f t="shared" si="120"/>
        <v>9.9794054816526696</v>
      </c>
      <c r="N56" s="36"/>
      <c r="O56" s="3">
        <f t="shared" si="121"/>
        <v>3.9385634462472403</v>
      </c>
      <c r="P56" s="3">
        <f t="shared" si="121"/>
        <v>4.2313538823878662</v>
      </c>
      <c r="Q56" s="3">
        <f t="shared" si="121"/>
        <v>4.4526615366410756</v>
      </c>
      <c r="R56" s="3">
        <f t="shared" si="121"/>
        <v>3.7596718485503273</v>
      </c>
      <c r="S56" s="3">
        <f t="shared" ref="S56:V56" si="128">S32*S27*S15</f>
        <v>3.9827431346025834</v>
      </c>
      <c r="T56" s="38">
        <f t="shared" si="128"/>
        <v>5.3592626168852737</v>
      </c>
      <c r="U56" s="38">
        <f t="shared" si="128"/>
        <v>7.6930471424556339</v>
      </c>
      <c r="V56" s="38">
        <f t="shared" si="128"/>
        <v>9.9794054816526696</v>
      </c>
      <c r="W56" s="202"/>
      <c r="X56" s="3">
        <f t="shared" si="123"/>
        <v>3.9385634462472403</v>
      </c>
      <c r="Y56" s="3">
        <f t="shared" si="123"/>
        <v>4.2313538823878662</v>
      </c>
      <c r="Z56" s="3">
        <f t="shared" si="123"/>
        <v>4.4526615366410756</v>
      </c>
      <c r="AA56" s="3">
        <f t="shared" si="123"/>
        <v>3.7596718485503273</v>
      </c>
      <c r="AB56" s="3">
        <f t="shared" si="123"/>
        <v>3.9827431346025834</v>
      </c>
      <c r="AC56" s="38">
        <f t="shared" ref="AC56" si="129">AC32*AC27*AC15</f>
        <v>4.7027058765098122</v>
      </c>
      <c r="AD56" s="38">
        <f t="shared" si="125"/>
        <v>6.1167197826311757</v>
      </c>
      <c r="AE56" s="38">
        <f t="shared" si="125"/>
        <v>7.0586581566600612</v>
      </c>
      <c r="AF56" s="202"/>
      <c r="AG56" s="202"/>
      <c r="AH56" s="202"/>
      <c r="AI56" s="202"/>
      <c r="AJ56" s="202"/>
      <c r="AK56" s="202"/>
      <c r="AL56" s="202"/>
      <c r="AM56" s="202"/>
      <c r="AN56" s="202"/>
      <c r="AO56" s="202"/>
      <c r="AP56" s="202"/>
      <c r="AQ56" s="202"/>
      <c r="AR56" s="202"/>
      <c r="AS56" s="202"/>
      <c r="AT56" s="202"/>
      <c r="AU56" s="202"/>
    </row>
    <row r="57" spans="1:47">
      <c r="A57" t="s">
        <v>16</v>
      </c>
      <c r="C57" s="19" t="s">
        <v>165</v>
      </c>
      <c r="D57" t="s">
        <v>67</v>
      </c>
      <c r="E57" s="3">
        <f>E49</f>
        <v>0.50601376355767247</v>
      </c>
      <c r="F57" s="52">
        <f t="shared" si="113"/>
        <v>0.52310039361040328</v>
      </c>
      <c r="G57" s="52">
        <f t="shared" si="114"/>
        <v>0.52911938020465121</v>
      </c>
      <c r="H57" s="52">
        <f t="shared" si="115"/>
        <v>0.53323895430378154</v>
      </c>
      <c r="I57" s="52">
        <f t="shared" si="116"/>
        <v>0.52085305813176863</v>
      </c>
      <c r="J57" s="52">
        <f t="shared" si="117"/>
        <v>0.52808252948324785</v>
      </c>
      <c r="K57" s="52">
        <f t="shared" si="118"/>
        <v>0.59059225735465659</v>
      </c>
      <c r="L57" s="52">
        <f t="shared" si="119"/>
        <v>0.69700953449595104</v>
      </c>
      <c r="M57" s="52">
        <f t="shared" si="120"/>
        <v>0.77359704260020234</v>
      </c>
      <c r="N57" s="36"/>
      <c r="O57" s="3">
        <f>O49</f>
        <v>0.52310039361040328</v>
      </c>
      <c r="P57" s="3">
        <f t="shared" ref="P57:R57" si="130">P49</f>
        <v>0.52911938020465121</v>
      </c>
      <c r="Q57" s="3">
        <f t="shared" si="130"/>
        <v>0.53323895430378154</v>
      </c>
      <c r="R57" s="3">
        <f t="shared" si="130"/>
        <v>0.52085305813176863</v>
      </c>
      <c r="S57" s="3">
        <f>S49</f>
        <v>0.52808252948324785</v>
      </c>
      <c r="T57" s="38">
        <f t="shared" ref="T57:V57" si="131">T49</f>
        <v>0.59059225735465659</v>
      </c>
      <c r="U57" s="38">
        <f t="shared" si="131"/>
        <v>0.69700953449595104</v>
      </c>
      <c r="V57" s="38">
        <f t="shared" si="131"/>
        <v>0.77359704260020234</v>
      </c>
      <c r="W57" s="202"/>
      <c r="X57" s="3">
        <f>X49</f>
        <v>0.52310039361040328</v>
      </c>
      <c r="Y57" s="3">
        <f t="shared" ref="Y57:AB57" si="132">Y49</f>
        <v>0.52911938020465121</v>
      </c>
      <c r="Z57" s="3">
        <f t="shared" si="132"/>
        <v>0.53323895430378154</v>
      </c>
      <c r="AA57" s="3">
        <f t="shared" si="132"/>
        <v>0.52085305813176863</v>
      </c>
      <c r="AB57" s="3">
        <f t="shared" si="132"/>
        <v>0.52808252948324785</v>
      </c>
      <c r="AC57" s="38">
        <f t="shared" ref="AC57" si="133">AC49</f>
        <v>0.59144801807690084</v>
      </c>
      <c r="AD57" s="38">
        <f>AD49</f>
        <v>0.67670519762243297</v>
      </c>
      <c r="AE57" s="38">
        <f>AE49</f>
        <v>0.72131907640781545</v>
      </c>
      <c r="AF57" s="202"/>
      <c r="AG57" s="202"/>
      <c r="AH57" s="202"/>
      <c r="AI57" s="202"/>
      <c r="AJ57" s="202"/>
      <c r="AK57" s="202"/>
      <c r="AL57" s="202"/>
      <c r="AM57" s="202"/>
      <c r="AN57" s="202"/>
      <c r="AO57" s="202"/>
      <c r="AP57" s="202"/>
      <c r="AQ57" s="202"/>
      <c r="AR57" s="202"/>
      <c r="AS57" s="202"/>
      <c r="AT57" s="202"/>
      <c r="AU57" s="202"/>
    </row>
    <row r="58" spans="1:47">
      <c r="A58" t="s">
        <v>16</v>
      </c>
      <c r="C58" s="19" t="s">
        <v>64</v>
      </c>
      <c r="D58" t="s">
        <v>67</v>
      </c>
      <c r="E58" s="3">
        <f>SUM(E54:E57)</f>
        <v>6.5603713840817983</v>
      </c>
      <c r="F58" s="52">
        <f t="shared" si="113"/>
        <v>7.3537235564325982</v>
      </c>
      <c r="G58" s="52">
        <f t="shared" si="114"/>
        <v>7.7805837827843094</v>
      </c>
      <c r="H58" s="52">
        <f t="shared" si="115"/>
        <v>8.1652244220031474</v>
      </c>
      <c r="I58" s="52">
        <f t="shared" si="116"/>
        <v>7.6202521150155338</v>
      </c>
      <c r="J58" s="52">
        <f t="shared" si="117"/>
        <v>7.4528855707212358</v>
      </c>
      <c r="K58" s="52">
        <f t="shared" si="118"/>
        <v>9.5655166078399017</v>
      </c>
      <c r="L58" s="52">
        <f t="shared" si="119"/>
        <v>12.558883538740142</v>
      </c>
      <c r="M58" s="52">
        <f t="shared" si="120"/>
        <v>15.339651921324341</v>
      </c>
      <c r="N58" s="36"/>
      <c r="O58" s="3">
        <f>SUM(O54:O57)</f>
        <v>7.3537235564325982</v>
      </c>
      <c r="P58" s="3">
        <f t="shared" ref="P58:R58" si="134">SUM(P54:P57)</f>
        <v>7.7805837827843094</v>
      </c>
      <c r="Q58" s="3">
        <f t="shared" si="134"/>
        <v>8.1652244220031474</v>
      </c>
      <c r="R58" s="3">
        <f t="shared" si="134"/>
        <v>7.6202521150155338</v>
      </c>
      <c r="S58" s="3">
        <f>SUM(S54:S57)</f>
        <v>7.4528855707212358</v>
      </c>
      <c r="T58" s="38">
        <f t="shared" ref="T58" si="135">SUM(T54:T57)</f>
        <v>9.5655166078399017</v>
      </c>
      <c r="U58" s="38">
        <f t="shared" ref="U58" si="136">SUM(U54:U57)</f>
        <v>12.558883538740142</v>
      </c>
      <c r="V58" s="38">
        <f>SUM(V54:V57)</f>
        <v>15.339651921324341</v>
      </c>
      <c r="W58" s="202"/>
      <c r="X58" s="3">
        <f>SUM(X54:X57)</f>
        <v>7.3537235564325982</v>
      </c>
      <c r="Y58" s="3">
        <f t="shared" ref="Y58:AC58" si="137">SUM(Y54:Y57)</f>
        <v>7.7805837827843094</v>
      </c>
      <c r="Z58" s="3">
        <f t="shared" si="137"/>
        <v>8.1652244220031474</v>
      </c>
      <c r="AA58" s="3">
        <f t="shared" si="137"/>
        <v>7.6202521150155338</v>
      </c>
      <c r="AB58" s="3">
        <f t="shared" si="137"/>
        <v>7.4528855707212358</v>
      </c>
      <c r="AC58" s="38">
        <f t="shared" si="137"/>
        <v>8.7758560310281624</v>
      </c>
      <c r="AD58" s="38">
        <f>SUM(AD54:AD57)</f>
        <v>10.489128385207881</v>
      </c>
      <c r="AE58" s="38">
        <f>SUM(AE54:AE57)</f>
        <v>11.433655466765181</v>
      </c>
      <c r="AF58" s="202"/>
      <c r="AG58" s="202"/>
      <c r="AH58" s="202"/>
      <c r="AI58" s="202"/>
      <c r="AJ58" s="202"/>
      <c r="AK58" s="202"/>
      <c r="AL58" s="202"/>
      <c r="AM58" s="202"/>
      <c r="AN58" s="202"/>
      <c r="AO58" s="202"/>
      <c r="AP58" s="202"/>
      <c r="AQ58" s="202"/>
      <c r="AR58" s="202"/>
      <c r="AS58" s="202"/>
      <c r="AT58" s="202"/>
      <c r="AU58" s="202"/>
    </row>
    <row r="59" spans="1:47">
      <c r="A59" t="s">
        <v>16</v>
      </c>
      <c r="C59" s="19" t="s">
        <v>65</v>
      </c>
      <c r="D59" t="s">
        <v>66</v>
      </c>
      <c r="E59" s="39">
        <f>E16/E58</f>
        <v>7.9759863914158036</v>
      </c>
      <c r="F59" s="52">
        <f t="shared" si="113"/>
        <v>7.4452746336145115</v>
      </c>
      <c r="G59" s="52">
        <f t="shared" si="114"/>
        <v>7.2644867814046616</v>
      </c>
      <c r="H59" s="52">
        <f t="shared" si="115"/>
        <v>7.1479768228465907</v>
      </c>
      <c r="I59" s="52">
        <f t="shared" si="116"/>
        <v>7.6333729796816403</v>
      </c>
      <c r="J59" s="52">
        <f t="shared" si="117"/>
        <v>8.07177778541101</v>
      </c>
      <c r="K59" s="52">
        <f t="shared" si="118"/>
        <v>6.918937827901245</v>
      </c>
      <c r="L59" s="52">
        <f t="shared" si="119"/>
        <v>5.6797678740437556</v>
      </c>
      <c r="M59" s="52">
        <f>IF($D$4,AE59,V59)</f>
        <v>4.8971911225330578</v>
      </c>
      <c r="N59" s="36"/>
      <c r="O59" s="39">
        <f>F16/O58</f>
        <v>7.4452746336145115</v>
      </c>
      <c r="P59" s="39">
        <f t="shared" ref="P59:R59" si="138">G16/P58</f>
        <v>7.2644867814046616</v>
      </c>
      <c r="Q59" s="39">
        <f t="shared" si="138"/>
        <v>7.1479768228465907</v>
      </c>
      <c r="R59" s="3">
        <f t="shared" si="138"/>
        <v>7.6333729796816403</v>
      </c>
      <c r="S59" s="3">
        <f>J16/S58</f>
        <v>8.07177778541101</v>
      </c>
      <c r="T59" s="38">
        <f t="shared" ref="T59" si="139">K16/T58</f>
        <v>6.918937827901245</v>
      </c>
      <c r="U59" s="38">
        <f t="shared" ref="U59" si="140">L16/U58</f>
        <v>5.6797678740437556</v>
      </c>
      <c r="V59" s="38">
        <f t="shared" ref="V59" si="141">M16/V58</f>
        <v>4.8971911225330578</v>
      </c>
      <c r="W59" s="202"/>
      <c r="X59" s="39">
        <f>X16/X58</f>
        <v>7.4452746336145115</v>
      </c>
      <c r="Y59" s="39">
        <f t="shared" ref="Y59:AC59" si="142">Y16/Y58</f>
        <v>7.2644867814046616</v>
      </c>
      <c r="Z59" s="39">
        <f t="shared" si="142"/>
        <v>7.1479768228465907</v>
      </c>
      <c r="AA59" s="39">
        <f t="shared" si="142"/>
        <v>7.6333729796816403</v>
      </c>
      <c r="AB59" s="39">
        <f t="shared" si="142"/>
        <v>8.07177778541101</v>
      </c>
      <c r="AC59" s="38">
        <f t="shared" si="142"/>
        <v>7.5415109896290309</v>
      </c>
      <c r="AD59" s="38">
        <f>AD16/AD58</f>
        <v>6.800521514999029</v>
      </c>
      <c r="AE59" s="38">
        <f>AE16/AE58</f>
        <v>6.5701828632335095</v>
      </c>
      <c r="AF59" s="202"/>
      <c r="AG59" s="202"/>
      <c r="AH59" s="202"/>
      <c r="AI59" s="202"/>
      <c r="AJ59" s="202"/>
      <c r="AK59" s="202"/>
      <c r="AL59" s="202"/>
      <c r="AM59" s="202"/>
      <c r="AN59" s="202"/>
      <c r="AO59" s="202"/>
      <c r="AP59" s="202"/>
      <c r="AQ59" s="202"/>
      <c r="AR59" s="202"/>
      <c r="AS59" s="202"/>
      <c r="AT59" s="202"/>
      <c r="AU59" s="202"/>
    </row>
    <row r="60" spans="1:47">
      <c r="A60" t="s">
        <v>16</v>
      </c>
      <c r="C60" s="19" t="s">
        <v>166</v>
      </c>
      <c r="D60" t="s">
        <v>144</v>
      </c>
      <c r="E60" s="3">
        <f>1000/E59</f>
        <v>125.37634230121746</v>
      </c>
      <c r="F60" s="3">
        <f t="shared" ref="F60:M60" si="143">1000/F59</f>
        <v>134.31337985641542</v>
      </c>
      <c r="G60" s="3">
        <f t="shared" si="143"/>
        <v>137.65597351760064</v>
      </c>
      <c r="H60" s="3">
        <f t="shared" si="143"/>
        <v>139.89972614401438</v>
      </c>
      <c r="I60" s="3">
        <f t="shared" si="143"/>
        <v>131.0036863994174</v>
      </c>
      <c r="J60" s="3">
        <f t="shared" si="143"/>
        <v>123.88844522050735</v>
      </c>
      <c r="K60" s="3">
        <f t="shared" si="143"/>
        <v>144.53085500601108</v>
      </c>
      <c r="L60" s="3">
        <f t="shared" si="143"/>
        <v>176.06353325986228</v>
      </c>
      <c r="M60" s="3">
        <f t="shared" si="143"/>
        <v>204.19868756985593</v>
      </c>
      <c r="N60" s="34"/>
      <c r="O60" s="3">
        <f>1000/O59</f>
        <v>134.31337985641542</v>
      </c>
      <c r="P60" s="3">
        <f t="shared" ref="P60:R60" si="144">1000/P59</f>
        <v>137.65597351760064</v>
      </c>
      <c r="Q60" s="3">
        <f t="shared" si="144"/>
        <v>139.89972614401438</v>
      </c>
      <c r="R60" s="3">
        <f t="shared" si="144"/>
        <v>131.0036863994174</v>
      </c>
      <c r="S60" s="3">
        <f>1000/S59</f>
        <v>123.88844522050735</v>
      </c>
      <c r="T60" s="3">
        <f t="shared" ref="T60" si="145">1000/T59</f>
        <v>144.53085500601108</v>
      </c>
      <c r="U60" s="3">
        <f t="shared" ref="U60" si="146">1000/U59</f>
        <v>176.06353325986228</v>
      </c>
      <c r="V60" s="3">
        <f t="shared" ref="V60" si="147">1000/V59</f>
        <v>204.19868756985593</v>
      </c>
      <c r="X60" s="3">
        <f>1000/X59</f>
        <v>134.31337985641542</v>
      </c>
      <c r="Y60" s="3">
        <f t="shared" ref="Y60:AC60" si="148">1000/Y59</f>
        <v>137.65597351760064</v>
      </c>
      <c r="Z60" s="3">
        <f t="shared" si="148"/>
        <v>139.89972614401438</v>
      </c>
      <c r="AA60" s="3">
        <f t="shared" si="148"/>
        <v>131.0036863994174</v>
      </c>
      <c r="AB60" s="3">
        <f t="shared" si="148"/>
        <v>123.88844522050735</v>
      </c>
      <c r="AC60" s="3">
        <f t="shared" si="148"/>
        <v>132.59942223450773</v>
      </c>
      <c r="AD60" s="3">
        <f>1000/AD59</f>
        <v>147.04754595576671</v>
      </c>
      <c r="AE60" s="3">
        <f>1000/AE59</f>
        <v>152.20276525269358</v>
      </c>
    </row>
    <row r="61" spans="1:47">
      <c r="A61" t="s">
        <v>16</v>
      </c>
      <c r="C61" s="19" t="s">
        <v>167</v>
      </c>
      <c r="E61" s="205">
        <f>E57/E58</f>
        <v>7.7131877744829089E-2</v>
      </c>
      <c r="F61" s="205">
        <f t="shared" si="113"/>
        <v>7.1134084603007172E-2</v>
      </c>
      <c r="G61" s="205">
        <f t="shared" ref="G61" si="149">IF($D$4,AA61,R61)</f>
        <v>6.8351158238641407E-2</v>
      </c>
      <c r="H61" s="205">
        <f t="shared" ref="H61:J61" si="150">IF($D$4,AC61,T61)</f>
        <v>6.1741804605786467E-2</v>
      </c>
      <c r="I61" s="205">
        <f t="shared" si="150"/>
        <v>5.5499323036629758E-2</v>
      </c>
      <c r="J61" s="205">
        <f t="shared" si="150"/>
        <v>5.0431199258491009E-2</v>
      </c>
      <c r="K61" s="205">
        <f t="shared" ref="K61:M61" si="151">IF($D$4,AC61,T61)</f>
        <v>6.1741804605786467E-2</v>
      </c>
      <c r="L61" s="205">
        <f t="shared" si="151"/>
        <v>5.5499323036629758E-2</v>
      </c>
      <c r="M61" s="205">
        <f t="shared" si="151"/>
        <v>5.0431199258491009E-2</v>
      </c>
      <c r="N61" s="34"/>
      <c r="O61" s="205">
        <f>O57/O58</f>
        <v>7.1134084603007172E-2</v>
      </c>
      <c r="P61" s="205">
        <f t="shared" ref="P61:R61" si="152">P57/P58</f>
        <v>6.8005100256796402E-2</v>
      </c>
      <c r="Q61" s="205">
        <f>Q57/Q58</f>
        <v>6.5306098980799823E-2</v>
      </c>
      <c r="R61" s="205">
        <f t="shared" si="152"/>
        <v>6.8351158238641407E-2</v>
      </c>
      <c r="S61" s="205">
        <f>S57/S58</f>
        <v>7.0856116664104893E-2</v>
      </c>
      <c r="T61" s="205">
        <f t="shared" ref="T61:V61" si="153">T57/T58</f>
        <v>6.1741804605786467E-2</v>
      </c>
      <c r="U61" s="205">
        <f t="shared" si="153"/>
        <v>5.5499323036629758E-2</v>
      </c>
      <c r="V61" s="205">
        <f t="shared" si="153"/>
        <v>5.0431199258491009E-2</v>
      </c>
      <c r="X61" s="205">
        <f>X57/X58</f>
        <v>7.1134084603007172E-2</v>
      </c>
      <c r="Y61" s="205">
        <f t="shared" ref="Y61:AB61" si="154">Y57/Y58</f>
        <v>6.8005100256796402E-2</v>
      </c>
      <c r="Z61" s="205">
        <f t="shared" si="154"/>
        <v>6.5306098980799823E-2</v>
      </c>
      <c r="AA61" s="205">
        <f t="shared" si="154"/>
        <v>6.8351158238641407E-2</v>
      </c>
      <c r="AB61" s="205">
        <f t="shared" si="154"/>
        <v>7.0856116664104893E-2</v>
      </c>
      <c r="AC61" s="205">
        <f t="shared" ref="AC61" si="155">AC57/AC58</f>
        <v>6.7394908939453962E-2</v>
      </c>
      <c r="AD61" s="205">
        <f>AD57/AD58</f>
        <v>6.4514912275908956E-2</v>
      </c>
      <c r="AE61" s="205">
        <f>AE57/AE58</f>
        <v>6.3087354565170534E-2</v>
      </c>
    </row>
    <row r="62" spans="1:47">
      <c r="A62" t="s">
        <v>16</v>
      </c>
      <c r="C62" s="19"/>
      <c r="E62" s="205"/>
      <c r="F62" s="205"/>
      <c r="G62" s="205"/>
      <c r="I62" s="205"/>
      <c r="K62" s="205"/>
      <c r="L62" s="205"/>
      <c r="M62" s="205"/>
      <c r="N62" s="34"/>
    </row>
    <row r="63" spans="1:47" ht="15.75" thickBot="1">
      <c r="A63" t="s">
        <v>16</v>
      </c>
      <c r="C63" s="14" t="s">
        <v>80</v>
      </c>
      <c r="E63" s="4">
        <f t="shared" ref="E63:M63" si="156">E53</f>
        <v>2012</v>
      </c>
      <c r="F63" s="4">
        <f t="shared" si="156"/>
        <v>2015</v>
      </c>
      <c r="G63" s="4">
        <f t="shared" si="156"/>
        <v>2017</v>
      </c>
      <c r="H63" s="4">
        <f t="shared" si="156"/>
        <v>2019</v>
      </c>
      <c r="I63" s="4">
        <f t="shared" si="156"/>
        <v>2020</v>
      </c>
      <c r="J63" s="4">
        <f t="shared" si="156"/>
        <v>2021</v>
      </c>
      <c r="K63" s="4">
        <f t="shared" si="156"/>
        <v>2030</v>
      </c>
      <c r="L63" s="4">
        <f t="shared" si="156"/>
        <v>2040</v>
      </c>
      <c r="M63" s="4">
        <f t="shared" si="156"/>
        <v>2050</v>
      </c>
      <c r="N63" s="34"/>
      <c r="O63" s="4">
        <f>O53</f>
        <v>2015</v>
      </c>
      <c r="P63" s="4">
        <f t="shared" ref="P63:V63" si="157">P53</f>
        <v>2017</v>
      </c>
      <c r="Q63" s="4">
        <f t="shared" si="157"/>
        <v>2019</v>
      </c>
      <c r="R63" s="4">
        <f t="shared" si="157"/>
        <v>2020</v>
      </c>
      <c r="S63" s="4">
        <f t="shared" si="157"/>
        <v>2021</v>
      </c>
      <c r="T63" s="4">
        <f t="shared" si="157"/>
        <v>2030</v>
      </c>
      <c r="U63" s="4">
        <f t="shared" si="157"/>
        <v>2040</v>
      </c>
      <c r="V63" s="4">
        <f t="shared" si="157"/>
        <v>2050</v>
      </c>
      <c r="X63" s="260">
        <f>X$12</f>
        <v>2015</v>
      </c>
      <c r="Y63" s="260">
        <f t="shared" ref="Y63:AE63" si="158">Y$12</f>
        <v>2017</v>
      </c>
      <c r="Z63" s="260">
        <f t="shared" si="158"/>
        <v>2019</v>
      </c>
      <c r="AA63" s="260">
        <f t="shared" si="158"/>
        <v>2020</v>
      </c>
      <c r="AB63" s="260">
        <f t="shared" si="158"/>
        <v>2021</v>
      </c>
      <c r="AC63" s="260">
        <f t="shared" si="158"/>
        <v>2030</v>
      </c>
      <c r="AD63" s="260">
        <f t="shared" si="158"/>
        <v>2040</v>
      </c>
      <c r="AE63" s="260">
        <f t="shared" si="158"/>
        <v>2050</v>
      </c>
    </row>
    <row r="64" spans="1:47">
      <c r="A64" t="s">
        <v>16</v>
      </c>
      <c r="C64" s="19" t="s">
        <v>168</v>
      </c>
      <c r="D64" t="s">
        <v>169</v>
      </c>
      <c r="E64" s="55">
        <f>[2]Calib_1011!$H$96*[2]Calib_1011!$H$97</f>
        <v>330</v>
      </c>
      <c r="F64" s="52">
        <f>IF($D$4,X64,O64)</f>
        <v>330</v>
      </c>
      <c r="G64" s="52">
        <f t="shared" ref="G64:M64" si="159">IF($D$4,Y64,P64)</f>
        <v>330</v>
      </c>
      <c r="H64" s="52">
        <f t="shared" si="159"/>
        <v>330</v>
      </c>
      <c r="I64" s="52">
        <f t="shared" si="159"/>
        <v>330</v>
      </c>
      <c r="J64" s="52">
        <f t="shared" si="159"/>
        <v>330</v>
      </c>
      <c r="K64" s="52">
        <f t="shared" si="159"/>
        <v>330</v>
      </c>
      <c r="L64" s="52">
        <f t="shared" si="159"/>
        <v>330</v>
      </c>
      <c r="M64" s="52">
        <f t="shared" si="159"/>
        <v>330</v>
      </c>
      <c r="N64" s="34"/>
      <c r="O64" s="63">
        <f>E64</f>
        <v>330</v>
      </c>
      <c r="P64" s="63">
        <f>O64</f>
        <v>330</v>
      </c>
      <c r="Q64" s="63">
        <f>P64</f>
        <v>330</v>
      </c>
      <c r="R64" s="3">
        <f t="shared" ref="R64:V64" si="160">Q64</f>
        <v>330</v>
      </c>
      <c r="S64" s="3">
        <f t="shared" si="160"/>
        <v>330</v>
      </c>
      <c r="T64" s="51">
        <f t="shared" si="160"/>
        <v>330</v>
      </c>
      <c r="U64" s="51">
        <f t="shared" si="160"/>
        <v>330</v>
      </c>
      <c r="V64" s="51">
        <f t="shared" si="160"/>
        <v>330</v>
      </c>
      <c r="X64" s="63">
        <f>O64</f>
        <v>330</v>
      </c>
      <c r="Y64" s="63">
        <f t="shared" ref="Y64:AB64" si="161">P64</f>
        <v>330</v>
      </c>
      <c r="Z64" s="63">
        <f t="shared" si="161"/>
        <v>330</v>
      </c>
      <c r="AA64" s="63">
        <f t="shared" si="161"/>
        <v>330</v>
      </c>
      <c r="AB64" s="63">
        <f t="shared" si="161"/>
        <v>330</v>
      </c>
      <c r="AC64" s="51">
        <f>AA64</f>
        <v>330</v>
      </c>
      <c r="AD64" s="51">
        <f>AC64</f>
        <v>330</v>
      </c>
      <c r="AE64" s="51">
        <f>AD64</f>
        <v>330</v>
      </c>
    </row>
    <row r="65" spans="1:47">
      <c r="A65" t="s">
        <v>16</v>
      </c>
      <c r="C65" s="19"/>
      <c r="L65"/>
      <c r="N65" s="34"/>
      <c r="O65" s="5"/>
      <c r="P65" s="5"/>
      <c r="Q65" s="5"/>
    </row>
    <row r="66" spans="1:47" ht="15.75" thickBot="1">
      <c r="A66" t="s">
        <v>16</v>
      </c>
      <c r="C66" s="14" t="s">
        <v>178</v>
      </c>
      <c r="L66"/>
      <c r="N66" s="34"/>
      <c r="O66">
        <f t="shared" ref="O66:V66" si="162">O53</f>
        <v>2015</v>
      </c>
      <c r="P66">
        <f t="shared" si="162"/>
        <v>2017</v>
      </c>
      <c r="Q66">
        <f t="shared" si="162"/>
        <v>2019</v>
      </c>
      <c r="R66">
        <f t="shared" si="162"/>
        <v>2020</v>
      </c>
      <c r="S66">
        <f t="shared" si="162"/>
        <v>2021</v>
      </c>
      <c r="T66">
        <f t="shared" si="162"/>
        <v>2030</v>
      </c>
      <c r="U66">
        <f t="shared" si="162"/>
        <v>2040</v>
      </c>
      <c r="V66">
        <f t="shared" si="162"/>
        <v>2050</v>
      </c>
    </row>
    <row r="67" spans="1:47">
      <c r="A67" t="s">
        <v>16</v>
      </c>
      <c r="C67" s="19" t="s">
        <v>179</v>
      </c>
      <c r="D67" t="s">
        <v>170</v>
      </c>
      <c r="E67" s="178">
        <f>[2]Calib_1011!$H$102</f>
        <v>33.5</v>
      </c>
      <c r="F67" s="63">
        <f t="shared" ref="F67:F70" si="163">IF($D$4,X67,O67)</f>
        <v>33.5</v>
      </c>
      <c r="G67" s="63">
        <f t="shared" ref="G67:G70" si="164">IF($D$4,Y67,P67)</f>
        <v>33.5</v>
      </c>
      <c r="H67" s="63">
        <f t="shared" ref="H67:H70" si="165">IF($D$4,Z67,Q67)</f>
        <v>33.5</v>
      </c>
      <c r="I67" s="63">
        <f t="shared" ref="I67:I70" si="166">IF($D$4,AA67,R67)</f>
        <v>33.5</v>
      </c>
      <c r="J67" s="63">
        <f t="shared" ref="J67:J70" si="167">IF($D$4,AB67,S67)</f>
        <v>33.5</v>
      </c>
      <c r="K67" s="63">
        <f t="shared" ref="K67:K70" si="168">IF($D$4,AC67,T67)</f>
        <v>33.5</v>
      </c>
      <c r="L67" s="63">
        <f t="shared" ref="L67:L70" si="169">IF($D$4,AD67,U67)</f>
        <v>33.5</v>
      </c>
      <c r="M67" s="63">
        <f t="shared" ref="M67:M70" si="170">IF($D$4,AE67,V67)</f>
        <v>33.5</v>
      </c>
      <c r="N67" s="34"/>
      <c r="O67" s="63">
        <f>E67</f>
        <v>33.5</v>
      </c>
      <c r="P67" s="62">
        <f>O67</f>
        <v>33.5</v>
      </c>
      <c r="Q67" s="63">
        <f t="shared" ref="Q67:V67" si="171">P67</f>
        <v>33.5</v>
      </c>
      <c r="R67" s="3">
        <f t="shared" si="171"/>
        <v>33.5</v>
      </c>
      <c r="S67" s="3">
        <f t="shared" si="171"/>
        <v>33.5</v>
      </c>
      <c r="T67" s="51">
        <f t="shared" si="171"/>
        <v>33.5</v>
      </c>
      <c r="U67" s="51">
        <f t="shared" si="171"/>
        <v>33.5</v>
      </c>
      <c r="V67" s="51">
        <f t="shared" si="171"/>
        <v>33.5</v>
      </c>
      <c r="X67" s="63">
        <f>O67</f>
        <v>33.5</v>
      </c>
      <c r="Y67" s="63">
        <f t="shared" ref="Y67:AB67" si="172">P67</f>
        <v>33.5</v>
      </c>
      <c r="Z67" s="63">
        <f t="shared" si="172"/>
        <v>33.5</v>
      </c>
      <c r="AA67" s="63">
        <f t="shared" si="172"/>
        <v>33.5</v>
      </c>
      <c r="AB67" s="63">
        <f t="shared" si="172"/>
        <v>33.5</v>
      </c>
      <c r="AC67" s="51">
        <f>AA67</f>
        <v>33.5</v>
      </c>
      <c r="AD67" s="51">
        <f>AC67</f>
        <v>33.5</v>
      </c>
      <c r="AE67" s="51">
        <f>AD67</f>
        <v>33.5</v>
      </c>
    </row>
    <row r="68" spans="1:47">
      <c r="A68" t="s">
        <v>16</v>
      </c>
      <c r="C68" s="19" t="s">
        <v>63</v>
      </c>
      <c r="D68" t="s">
        <v>170</v>
      </c>
      <c r="E68" s="51">
        <f>E70*1.5</f>
        <v>32.25</v>
      </c>
      <c r="F68" s="63">
        <f t="shared" si="163"/>
        <v>32.25</v>
      </c>
      <c r="G68" s="63">
        <f t="shared" si="164"/>
        <v>32.25</v>
      </c>
      <c r="H68" s="63">
        <f t="shared" si="165"/>
        <v>32.25</v>
      </c>
      <c r="I68" s="63">
        <f t="shared" si="166"/>
        <v>32.25</v>
      </c>
      <c r="J68" s="63">
        <f t="shared" si="167"/>
        <v>32.25</v>
      </c>
      <c r="K68" s="63">
        <f t="shared" si="168"/>
        <v>32.25</v>
      </c>
      <c r="L68" s="63">
        <f t="shared" si="169"/>
        <v>32.25</v>
      </c>
      <c r="M68" s="63">
        <f t="shared" si="170"/>
        <v>32.25</v>
      </c>
      <c r="N68" s="34"/>
      <c r="O68" s="63">
        <f t="shared" ref="O68:O69" si="173">E68</f>
        <v>32.25</v>
      </c>
      <c r="P68" s="63">
        <f t="shared" ref="P68:V68" si="174">O68</f>
        <v>32.25</v>
      </c>
      <c r="Q68" s="63">
        <f t="shared" si="174"/>
        <v>32.25</v>
      </c>
      <c r="R68" s="3">
        <f t="shared" si="174"/>
        <v>32.25</v>
      </c>
      <c r="S68" s="3">
        <f t="shared" si="174"/>
        <v>32.25</v>
      </c>
      <c r="T68" s="51">
        <f t="shared" si="174"/>
        <v>32.25</v>
      </c>
      <c r="U68" s="51">
        <f t="shared" si="174"/>
        <v>32.25</v>
      </c>
      <c r="V68" s="51">
        <f t="shared" si="174"/>
        <v>32.25</v>
      </c>
      <c r="X68" s="63">
        <f t="shared" ref="X68:X70" si="175">O68</f>
        <v>32.25</v>
      </c>
      <c r="Y68" s="63">
        <f t="shared" ref="Y68:Y70" si="176">P68</f>
        <v>32.25</v>
      </c>
      <c r="Z68" s="63">
        <f t="shared" ref="Z68:Z70" si="177">Q68</f>
        <v>32.25</v>
      </c>
      <c r="AA68" s="63">
        <f t="shared" ref="AA68:AA70" si="178">R68</f>
        <v>32.25</v>
      </c>
      <c r="AB68" s="63">
        <f t="shared" ref="AB68:AB70" si="179">S68</f>
        <v>32.25</v>
      </c>
      <c r="AC68" s="51">
        <f>AC70*1.5</f>
        <v>28.5</v>
      </c>
      <c r="AD68" s="51">
        <f>AD70*1.5</f>
        <v>28.5</v>
      </c>
      <c r="AE68" s="51">
        <f>AE70*1.5</f>
        <v>28.5</v>
      </c>
    </row>
    <row r="69" spans="1:47">
      <c r="A69" t="s">
        <v>16</v>
      </c>
      <c r="C69" s="19" t="s">
        <v>82</v>
      </c>
      <c r="D69" t="s">
        <v>170</v>
      </c>
      <c r="E69" s="51">
        <f>E70*2</f>
        <v>43</v>
      </c>
      <c r="F69" s="63">
        <f t="shared" si="163"/>
        <v>43</v>
      </c>
      <c r="G69" s="63">
        <f t="shared" si="164"/>
        <v>43</v>
      </c>
      <c r="H69" s="63">
        <f t="shared" si="165"/>
        <v>43</v>
      </c>
      <c r="I69" s="63">
        <f t="shared" si="166"/>
        <v>43</v>
      </c>
      <c r="J69" s="63">
        <f t="shared" si="167"/>
        <v>43</v>
      </c>
      <c r="K69" s="63">
        <f t="shared" si="168"/>
        <v>43</v>
      </c>
      <c r="L69" s="63">
        <f t="shared" si="169"/>
        <v>43</v>
      </c>
      <c r="M69" s="63">
        <f t="shared" si="170"/>
        <v>43</v>
      </c>
      <c r="N69" s="34"/>
      <c r="O69" s="63">
        <f t="shared" si="173"/>
        <v>43</v>
      </c>
      <c r="P69" s="63">
        <f t="shared" ref="P69:V69" si="180">O69</f>
        <v>43</v>
      </c>
      <c r="Q69" s="63">
        <f t="shared" si="180"/>
        <v>43</v>
      </c>
      <c r="R69" s="3">
        <f t="shared" si="180"/>
        <v>43</v>
      </c>
      <c r="S69" s="3">
        <f t="shared" si="180"/>
        <v>43</v>
      </c>
      <c r="T69" s="51">
        <f t="shared" si="180"/>
        <v>43</v>
      </c>
      <c r="U69" s="51">
        <f t="shared" si="180"/>
        <v>43</v>
      </c>
      <c r="V69" s="51">
        <f t="shared" si="180"/>
        <v>43</v>
      </c>
      <c r="X69" s="63">
        <f t="shared" si="175"/>
        <v>43</v>
      </c>
      <c r="Y69" s="63">
        <f t="shared" si="176"/>
        <v>43</v>
      </c>
      <c r="Z69" s="63">
        <f t="shared" si="177"/>
        <v>43</v>
      </c>
      <c r="AA69" s="63">
        <f t="shared" si="178"/>
        <v>43</v>
      </c>
      <c r="AB69" s="63">
        <f t="shared" si="179"/>
        <v>43</v>
      </c>
      <c r="AC69" s="51">
        <f>AC70*2</f>
        <v>38</v>
      </c>
      <c r="AD69" s="51">
        <f>AD70*2</f>
        <v>38</v>
      </c>
      <c r="AE69" s="51">
        <f>AE70*2</f>
        <v>38</v>
      </c>
    </row>
    <row r="70" spans="1:47">
      <c r="A70" t="s">
        <v>16</v>
      </c>
      <c r="C70" s="19" t="s">
        <v>180</v>
      </c>
      <c r="D70" t="s">
        <v>170</v>
      </c>
      <c r="E70" s="178">
        <f>[2]Calib_1011!$H$101</f>
        <v>21.5</v>
      </c>
      <c r="F70" s="63">
        <f t="shared" si="163"/>
        <v>21</v>
      </c>
      <c r="G70" s="63">
        <f t="shared" si="164"/>
        <v>19</v>
      </c>
      <c r="H70" s="63">
        <f t="shared" si="165"/>
        <v>19</v>
      </c>
      <c r="I70" s="63">
        <f t="shared" si="166"/>
        <v>19</v>
      </c>
      <c r="J70" s="63">
        <f t="shared" si="167"/>
        <v>19</v>
      </c>
      <c r="K70" s="63">
        <f t="shared" si="168"/>
        <v>19</v>
      </c>
      <c r="L70" s="63">
        <f t="shared" si="169"/>
        <v>19</v>
      </c>
      <c r="M70" s="63">
        <f t="shared" si="170"/>
        <v>19</v>
      </c>
      <c r="N70" s="34"/>
      <c r="O70" s="62">
        <v>21</v>
      </c>
      <c r="P70" s="280">
        <v>19</v>
      </c>
      <c r="Q70" s="62">
        <f t="shared" ref="Q70:V70" si="181">P70</f>
        <v>19</v>
      </c>
      <c r="R70" s="3">
        <f t="shared" si="181"/>
        <v>19</v>
      </c>
      <c r="S70" s="3">
        <f t="shared" si="181"/>
        <v>19</v>
      </c>
      <c r="T70" s="279">
        <f t="shared" si="181"/>
        <v>19</v>
      </c>
      <c r="U70" s="279">
        <f t="shared" si="181"/>
        <v>19</v>
      </c>
      <c r="V70" s="279">
        <f t="shared" si="181"/>
        <v>19</v>
      </c>
      <c r="X70" s="63">
        <f t="shared" si="175"/>
        <v>21</v>
      </c>
      <c r="Y70" s="62">
        <f t="shared" si="176"/>
        <v>19</v>
      </c>
      <c r="Z70" s="63">
        <f t="shared" si="177"/>
        <v>19</v>
      </c>
      <c r="AA70" s="63">
        <f t="shared" si="178"/>
        <v>19</v>
      </c>
      <c r="AB70" s="63">
        <f t="shared" si="179"/>
        <v>19</v>
      </c>
      <c r="AC70" s="51">
        <f>AA70</f>
        <v>19</v>
      </c>
      <c r="AD70" s="51">
        <f>AC70</f>
        <v>19</v>
      </c>
      <c r="AE70" s="51">
        <f>AD70</f>
        <v>19</v>
      </c>
    </row>
    <row r="71" spans="1:47">
      <c r="A71" t="s">
        <v>16</v>
      </c>
      <c r="C71" s="232" t="s">
        <v>628</v>
      </c>
      <c r="L71"/>
      <c r="N71" s="34"/>
    </row>
    <row r="72" spans="1:47" ht="15.75" thickBot="1">
      <c r="A72" t="s">
        <v>16</v>
      </c>
      <c r="C72" s="14" t="s">
        <v>177</v>
      </c>
      <c r="L72"/>
      <c r="N72" s="34"/>
      <c r="O72" s="254">
        <f>O$12</f>
        <v>2015</v>
      </c>
      <c r="P72" s="254">
        <f t="shared" ref="P72:V113" si="182">P$12</f>
        <v>2017</v>
      </c>
      <c r="Q72" s="254">
        <f t="shared" si="182"/>
        <v>2019</v>
      </c>
      <c r="R72" s="254">
        <f t="shared" si="182"/>
        <v>2020</v>
      </c>
      <c r="S72" s="254">
        <f t="shared" si="182"/>
        <v>2021</v>
      </c>
      <c r="T72" s="254">
        <f t="shared" si="182"/>
        <v>2030</v>
      </c>
      <c r="U72" s="254">
        <f t="shared" si="182"/>
        <v>2040</v>
      </c>
      <c r="V72" s="254">
        <f t="shared" si="182"/>
        <v>2050</v>
      </c>
    </row>
    <row r="73" spans="1:47">
      <c r="A73" t="s">
        <v>16</v>
      </c>
      <c r="C73" s="19" t="s">
        <v>181</v>
      </c>
      <c r="E73" s="203">
        <f>[2]Calib_1011!$H$100</f>
        <v>0.55000000000000004</v>
      </c>
      <c r="F73" s="52">
        <f>IF($D$4,X73,O73)</f>
        <v>0.55000000000000004</v>
      </c>
      <c r="G73" s="52">
        <f t="shared" ref="G73:M73" si="183">IF($D$4,Y73,P73)</f>
        <v>0.55000000000000004</v>
      </c>
      <c r="H73" s="52">
        <f t="shared" si="183"/>
        <v>0.55000000000000004</v>
      </c>
      <c r="I73" s="52">
        <f t="shared" si="183"/>
        <v>0.55000000000000004</v>
      </c>
      <c r="J73" s="52">
        <f t="shared" si="183"/>
        <v>0.55000000000000004</v>
      </c>
      <c r="K73" s="52">
        <f t="shared" si="183"/>
        <v>0.55000000000000004</v>
      </c>
      <c r="L73" s="52">
        <f t="shared" si="183"/>
        <v>0.55000000000000004</v>
      </c>
      <c r="M73" s="52">
        <f t="shared" si="183"/>
        <v>0.55000000000000004</v>
      </c>
      <c r="N73" s="34"/>
      <c r="O73" s="204">
        <f>E73</f>
        <v>0.55000000000000004</v>
      </c>
      <c r="P73" s="204">
        <f t="shared" ref="P73:R73" si="184">F73</f>
        <v>0.55000000000000004</v>
      </c>
      <c r="Q73" s="204">
        <f t="shared" si="184"/>
        <v>0.55000000000000004</v>
      </c>
      <c r="R73" s="3">
        <f t="shared" si="184"/>
        <v>0.55000000000000004</v>
      </c>
      <c r="S73" s="3">
        <f t="shared" ref="S73" si="185">I73</f>
        <v>0.55000000000000004</v>
      </c>
      <c r="T73" s="28">
        <f t="shared" ref="T73:U73" si="186">J73</f>
        <v>0.55000000000000004</v>
      </c>
      <c r="U73" s="28">
        <f t="shared" si="186"/>
        <v>0.55000000000000004</v>
      </c>
      <c r="V73" s="28">
        <f t="shared" ref="V73" si="187">L73</f>
        <v>0.55000000000000004</v>
      </c>
      <c r="X73" s="204">
        <f>O73</f>
        <v>0.55000000000000004</v>
      </c>
      <c r="Y73" s="204">
        <f t="shared" ref="Y73:AB73" si="188">P73</f>
        <v>0.55000000000000004</v>
      </c>
      <c r="Z73" s="204">
        <f t="shared" si="188"/>
        <v>0.55000000000000004</v>
      </c>
      <c r="AA73" s="204">
        <f t="shared" si="188"/>
        <v>0.55000000000000004</v>
      </c>
      <c r="AB73" s="204">
        <f t="shared" si="188"/>
        <v>0.55000000000000004</v>
      </c>
      <c r="AC73" s="28">
        <f>AA73</f>
        <v>0.55000000000000004</v>
      </c>
      <c r="AD73" s="28">
        <f>AC73</f>
        <v>0.55000000000000004</v>
      </c>
      <c r="AE73" s="28">
        <f>AD73</f>
        <v>0.55000000000000004</v>
      </c>
    </row>
    <row r="74" spans="1:47">
      <c r="A74" t="s">
        <v>16</v>
      </c>
      <c r="C74" s="58" t="s">
        <v>192</v>
      </c>
      <c r="E74" s="4"/>
      <c r="F74" s="4"/>
      <c r="G74" s="4"/>
      <c r="I74" s="4"/>
      <c r="K74" s="4"/>
      <c r="L74" s="4"/>
      <c r="M74" s="4"/>
      <c r="N74" s="34"/>
      <c r="X74" t="s">
        <v>203</v>
      </c>
    </row>
    <row r="75" spans="1:47">
      <c r="A75" t="s">
        <v>16</v>
      </c>
      <c r="C75" s="32" t="str">
        <f>C54</f>
        <v>Low Income</v>
      </c>
      <c r="D75" t="s">
        <v>191</v>
      </c>
      <c r="E75" s="3">
        <f>E$25*E$13</f>
        <v>0.52325432882070078</v>
      </c>
      <c r="F75" s="52">
        <f>IF($D$4,X75,O75)</f>
        <v>0.51352953330264561</v>
      </c>
      <c r="G75" s="52">
        <f t="shared" ref="G75:M75" si="189">IF($D$4,Y75,P75)</f>
        <v>0.51510723782285484</v>
      </c>
      <c r="H75" s="52">
        <f t="shared" si="189"/>
        <v>0.51893420171073767</v>
      </c>
      <c r="I75" s="52">
        <f t="shared" si="189"/>
        <v>0.5399653125395153</v>
      </c>
      <c r="J75" s="52">
        <f t="shared" si="189"/>
        <v>0.62684673706810157</v>
      </c>
      <c r="K75" s="52">
        <f t="shared" si="189"/>
        <v>0.59373153648209975</v>
      </c>
      <c r="L75" s="52">
        <f t="shared" si="189"/>
        <v>0.51267315374038769</v>
      </c>
      <c r="M75" s="52">
        <f t="shared" si="189"/>
        <v>0.44471754669419183</v>
      </c>
      <c r="N75" s="34"/>
      <c r="O75" s="3">
        <f t="shared" ref="O75:V75" si="190">O25*O13</f>
        <v>0.51352953330264561</v>
      </c>
      <c r="P75" s="3">
        <f t="shared" si="190"/>
        <v>0.51510723782285484</v>
      </c>
      <c r="Q75" s="3">
        <f>Q25*Q13</f>
        <v>0.51893420171073767</v>
      </c>
      <c r="R75" s="3">
        <f t="shared" si="190"/>
        <v>0.5399653125395153</v>
      </c>
      <c r="S75" s="3">
        <f t="shared" si="190"/>
        <v>0.62684673706810157</v>
      </c>
      <c r="T75" s="3">
        <f t="shared" si="190"/>
        <v>0.59373153648209975</v>
      </c>
      <c r="U75" s="3">
        <f t="shared" si="190"/>
        <v>0.51267315374038769</v>
      </c>
      <c r="V75" s="3">
        <f t="shared" si="190"/>
        <v>0.44471754669419183</v>
      </c>
      <c r="X75" s="3">
        <f>O75</f>
        <v>0.51352953330264561</v>
      </c>
      <c r="Y75" s="3">
        <f t="shared" ref="Y75:AB75" si="191">P75</f>
        <v>0.51510723782285484</v>
      </c>
      <c r="Z75" s="3">
        <f t="shared" si="191"/>
        <v>0.51893420171073767</v>
      </c>
      <c r="AA75" s="3">
        <f t="shared" si="191"/>
        <v>0.5399653125395153</v>
      </c>
      <c r="AB75" s="3">
        <f t="shared" si="191"/>
        <v>0.62684673706810157</v>
      </c>
      <c r="AC75" s="3">
        <f>AC25*AC13</f>
        <v>1.4843288412052493</v>
      </c>
      <c r="AD75" s="3">
        <f>AD25*AD13</f>
        <v>1.0253463074807754</v>
      </c>
      <c r="AE75" s="3">
        <f>AE25*AE13</f>
        <v>0.88943509338838367</v>
      </c>
    </row>
    <row r="76" spans="1:47">
      <c r="A76" t="s">
        <v>16</v>
      </c>
      <c r="C76" s="32"/>
      <c r="E76" s="3"/>
      <c r="F76" s="3"/>
      <c r="G76" s="3"/>
      <c r="I76" s="3"/>
      <c r="K76" s="3"/>
      <c r="L76" s="3"/>
      <c r="M76" s="3"/>
      <c r="N76" s="34"/>
      <c r="O76" s="260">
        <f>O$12</f>
        <v>2015</v>
      </c>
      <c r="P76" s="260">
        <f t="shared" ref="P76:V76" si="192">P$12</f>
        <v>2017</v>
      </c>
      <c r="Q76" s="260">
        <f t="shared" si="192"/>
        <v>2019</v>
      </c>
      <c r="R76" s="260">
        <f t="shared" si="192"/>
        <v>2020</v>
      </c>
      <c r="S76" s="260">
        <f t="shared" si="192"/>
        <v>2021</v>
      </c>
      <c r="T76" s="260">
        <f t="shared" si="192"/>
        <v>2030</v>
      </c>
      <c r="U76" s="260">
        <f t="shared" si="192"/>
        <v>2040</v>
      </c>
      <c r="V76" s="260">
        <f t="shared" si="192"/>
        <v>2050</v>
      </c>
      <c r="X76" s="260">
        <f>X$12</f>
        <v>2015</v>
      </c>
      <c r="Y76" s="260">
        <f t="shared" ref="Y76:AE76" si="193">Y$12</f>
        <v>2017</v>
      </c>
      <c r="Z76" s="260">
        <f t="shared" si="193"/>
        <v>2019</v>
      </c>
      <c r="AA76" s="260">
        <f t="shared" si="193"/>
        <v>2020</v>
      </c>
      <c r="AB76" s="260">
        <f t="shared" si="193"/>
        <v>2021</v>
      </c>
      <c r="AC76" s="260">
        <f t="shared" si="193"/>
        <v>2030</v>
      </c>
      <c r="AD76" s="260">
        <f t="shared" si="193"/>
        <v>2040</v>
      </c>
      <c r="AE76" s="260">
        <f t="shared" si="193"/>
        <v>2050</v>
      </c>
    </row>
    <row r="77" spans="1:47">
      <c r="A77" t="s">
        <v>16</v>
      </c>
      <c r="C77" t="s">
        <v>83</v>
      </c>
      <c r="D77" t="s">
        <v>48</v>
      </c>
      <c r="E77" s="203">
        <f>[2]Calib_1011!$H$92</f>
        <v>2.035E-2</v>
      </c>
      <c r="F77" s="53">
        <f t="shared" ref="F77:F89" si="194">IF($D$4,X77,O77)</f>
        <v>0.23381516587677725</v>
      </c>
      <c r="G77" s="53">
        <f t="shared" ref="G77:G79" si="195">IF($D$4,Y77,P77)</f>
        <v>0.23381516587677725</v>
      </c>
      <c r="H77" s="53">
        <f t="shared" ref="H77:H79" si="196">IF($D$4,Z77,Q77)</f>
        <v>0.23381516587677725</v>
      </c>
      <c r="I77" s="53">
        <f t="shared" ref="I77:I79" si="197">IF($D$4,AA77,R77)</f>
        <v>0.23381516587677725</v>
      </c>
      <c r="J77" s="53">
        <f t="shared" ref="J77:J79" si="198">IF($D$4,AB77,S77)</f>
        <v>0.23381516587677725</v>
      </c>
      <c r="K77" s="53">
        <f t="shared" ref="K77:K79" si="199">IF($D$4,AC77,T77)</f>
        <v>0.23381516587677725</v>
      </c>
      <c r="L77" s="53">
        <f t="shared" ref="L77:L79" si="200">IF($D$4,AD77,U77)</f>
        <v>0.23381516587677725</v>
      </c>
      <c r="M77" s="53">
        <f t="shared" ref="M77:M79" si="201">IF($D$4,AE77,V77)</f>
        <v>0.23381516587677725</v>
      </c>
      <c r="N77" s="213"/>
      <c r="O77" s="53">
        <f>O$41*1000*O$35*O$30/O$67/O$64</f>
        <v>0.23381516587677725</v>
      </c>
      <c r="P77" s="53">
        <f t="shared" ref="P77:V77" si="202">P$41*1000*P$35*P$30/P$67/P$64</f>
        <v>0.23381516587677725</v>
      </c>
      <c r="Q77" s="53">
        <f t="shared" si="202"/>
        <v>0.23381516587677725</v>
      </c>
      <c r="R77" s="3">
        <f t="shared" si="202"/>
        <v>0.23381516587677725</v>
      </c>
      <c r="S77" s="3">
        <f t="shared" si="202"/>
        <v>0.23381516587677725</v>
      </c>
      <c r="T77" s="247">
        <f t="shared" si="202"/>
        <v>0.23381516587677725</v>
      </c>
      <c r="U77" s="247">
        <f t="shared" si="202"/>
        <v>0.23381516587677725</v>
      </c>
      <c r="V77" s="247">
        <f t="shared" si="202"/>
        <v>0.23381516587677725</v>
      </c>
      <c r="W77" s="212"/>
      <c r="X77" s="53">
        <f>O77</f>
        <v>0.23381516587677725</v>
      </c>
      <c r="Y77" s="53">
        <f t="shared" ref="Y77:AB77" si="203">P77</f>
        <v>0.23381516587677725</v>
      </c>
      <c r="Z77" s="53">
        <f t="shared" si="203"/>
        <v>0.23381516587677725</v>
      </c>
      <c r="AA77" s="53">
        <f t="shared" si="203"/>
        <v>0.23381516587677725</v>
      </c>
      <c r="AB77" s="53">
        <f t="shared" si="203"/>
        <v>0.23381516587677725</v>
      </c>
      <c r="AC77" s="53">
        <f>AC$41*1000*AC$35*AC$30/AC$67/AC$64</f>
        <v>0.21101818720379142</v>
      </c>
      <c r="AD77" s="53">
        <f>AD$41*1000*AD$35*AD$30/AD$67/AD$64</f>
        <v>0.19044391395142174</v>
      </c>
      <c r="AE77" s="53">
        <f>AE$41*1000*AE$35*AE$30/AE$67/AE$64</f>
        <v>0.17187563234115816</v>
      </c>
      <c r="AF77" s="212"/>
      <c r="AG77" s="212"/>
      <c r="AH77" s="212"/>
      <c r="AI77" s="212"/>
      <c r="AJ77" s="212"/>
      <c r="AK77" s="212"/>
      <c r="AL77" s="212"/>
      <c r="AM77" s="212"/>
      <c r="AN77" s="212"/>
      <c r="AO77" s="212"/>
      <c r="AP77" s="212"/>
      <c r="AQ77" s="212"/>
      <c r="AR77" s="212"/>
      <c r="AS77" s="212"/>
      <c r="AT77" s="212"/>
      <c r="AU77" s="212"/>
    </row>
    <row r="78" spans="1:47">
      <c r="A78" t="s">
        <v>16</v>
      </c>
      <c r="C78" t="s">
        <v>63</v>
      </c>
      <c r="D78" t="s">
        <v>48</v>
      </c>
      <c r="E78" s="250">
        <v>5.0000000000000001E-3</v>
      </c>
      <c r="F78" s="53">
        <f t="shared" si="194"/>
        <v>5.0000000000000001E-3</v>
      </c>
      <c r="G78" s="53">
        <f t="shared" si="195"/>
        <v>5.0000000000000001E-3</v>
      </c>
      <c r="H78" s="53">
        <f t="shared" si="196"/>
        <v>5.0000000000000001E-3</v>
      </c>
      <c r="I78" s="53">
        <f t="shared" si="197"/>
        <v>5.0000000000000001E-3</v>
      </c>
      <c r="J78" s="53">
        <f t="shared" si="198"/>
        <v>2.75E-2</v>
      </c>
      <c r="K78" s="53">
        <f t="shared" si="199"/>
        <v>0.05</v>
      </c>
      <c r="L78" s="53">
        <f t="shared" si="200"/>
        <v>0.1</v>
      </c>
      <c r="M78" s="53">
        <f t="shared" si="201"/>
        <v>0.15</v>
      </c>
      <c r="N78" s="213"/>
      <c r="O78" s="204">
        <f>E78</f>
        <v>5.0000000000000001E-3</v>
      </c>
      <c r="P78" s="204">
        <f>O78</f>
        <v>5.0000000000000001E-3</v>
      </c>
      <c r="Q78" s="204">
        <f>P78</f>
        <v>5.0000000000000001E-3</v>
      </c>
      <c r="R78" s="3">
        <f>Q78</f>
        <v>5.0000000000000001E-3</v>
      </c>
      <c r="S78" s="18">
        <f>AVERAGE(R78,T78)</f>
        <v>2.75E-2</v>
      </c>
      <c r="T78" s="248">
        <v>0.05</v>
      </c>
      <c r="U78" s="28">
        <v>0.1</v>
      </c>
      <c r="V78" s="28">
        <v>0.15</v>
      </c>
      <c r="W78" s="212"/>
      <c r="X78" s="53">
        <f t="shared" ref="X78:X90" si="204">O78</f>
        <v>5.0000000000000001E-3</v>
      </c>
      <c r="Y78" s="53">
        <f t="shared" ref="Y78:Y90" si="205">P78</f>
        <v>5.0000000000000001E-3</v>
      </c>
      <c r="Z78" s="53">
        <f t="shared" ref="Z78:Z90" si="206">Q78</f>
        <v>5.0000000000000001E-3</v>
      </c>
      <c r="AA78" s="53">
        <f t="shared" ref="AA78:AA90" si="207">R78</f>
        <v>5.0000000000000001E-3</v>
      </c>
      <c r="AB78" s="122">
        <f t="shared" ref="AB78:AB90" si="208">S78</f>
        <v>2.75E-2</v>
      </c>
      <c r="AC78" s="59">
        <v>7.0000000000000007E-2</v>
      </c>
      <c r="AD78" s="59">
        <v>0.15</v>
      </c>
      <c r="AE78" s="59">
        <v>0.25</v>
      </c>
      <c r="AF78" s="212"/>
      <c r="AG78" s="212"/>
      <c r="AH78" s="212"/>
      <c r="AI78" s="212"/>
      <c r="AJ78" s="212"/>
      <c r="AK78" s="212"/>
      <c r="AL78" s="212"/>
      <c r="AM78" s="212"/>
      <c r="AN78" s="212"/>
      <c r="AO78" s="212"/>
      <c r="AP78" s="212"/>
      <c r="AQ78" s="212"/>
      <c r="AR78" s="212"/>
      <c r="AS78" s="212"/>
      <c r="AT78" s="212"/>
      <c r="AU78" s="212"/>
    </row>
    <row r="79" spans="1:47">
      <c r="A79" t="s">
        <v>16</v>
      </c>
      <c r="C79" t="s">
        <v>82</v>
      </c>
      <c r="D79" t="s">
        <v>48</v>
      </c>
      <c r="E79" s="250">
        <v>0</v>
      </c>
      <c r="F79" s="53">
        <f t="shared" si="194"/>
        <v>0</v>
      </c>
      <c r="G79" s="53">
        <f t="shared" si="195"/>
        <v>0</v>
      </c>
      <c r="H79" s="53">
        <f t="shared" si="196"/>
        <v>5.0000000000000001E-3</v>
      </c>
      <c r="I79" s="53">
        <f t="shared" si="197"/>
        <v>5.0000000000000001E-3</v>
      </c>
      <c r="J79" s="53">
        <f t="shared" si="198"/>
        <v>5.0000000000000001E-3</v>
      </c>
      <c r="K79" s="53">
        <f t="shared" si="199"/>
        <v>5.0000000000000001E-3</v>
      </c>
      <c r="L79" s="53">
        <f t="shared" si="200"/>
        <v>5.0000000000000001E-3</v>
      </c>
      <c r="M79" s="53">
        <f t="shared" si="201"/>
        <v>5.0000000000000001E-3</v>
      </c>
      <c r="N79" s="213"/>
      <c r="O79" s="204">
        <f>E79</f>
        <v>0</v>
      </c>
      <c r="P79" s="204">
        <f>O79</f>
        <v>0</v>
      </c>
      <c r="Q79" s="204">
        <v>5.0000000000000001E-3</v>
      </c>
      <c r="R79" s="3">
        <v>5.0000000000000001E-3</v>
      </c>
      <c r="S79" s="3">
        <v>5.0000000000000001E-3</v>
      </c>
      <c r="T79" s="248">
        <v>5.0000000000000001E-3</v>
      </c>
      <c r="U79" s="248">
        <v>5.0000000000000001E-3</v>
      </c>
      <c r="V79" s="248">
        <v>5.0000000000000001E-3</v>
      </c>
      <c r="W79" s="212"/>
      <c r="X79" s="53">
        <f t="shared" si="204"/>
        <v>0</v>
      </c>
      <c r="Y79" s="53">
        <f t="shared" si="205"/>
        <v>0</v>
      </c>
      <c r="Z79" s="53">
        <f t="shared" si="206"/>
        <v>5.0000000000000001E-3</v>
      </c>
      <c r="AA79" s="53">
        <f t="shared" si="207"/>
        <v>5.0000000000000001E-3</v>
      </c>
      <c r="AB79" s="53">
        <f t="shared" si="208"/>
        <v>5.0000000000000001E-3</v>
      </c>
      <c r="AC79" s="28">
        <v>0</v>
      </c>
      <c r="AD79" s="28">
        <v>0</v>
      </c>
      <c r="AE79" s="28">
        <v>0</v>
      </c>
      <c r="AF79" s="212"/>
      <c r="AG79" s="212"/>
      <c r="AH79" s="212"/>
      <c r="AI79" s="212"/>
      <c r="AJ79" s="212"/>
      <c r="AK79" s="212"/>
      <c r="AL79" s="212"/>
      <c r="AM79" s="212"/>
      <c r="AN79" s="212"/>
      <c r="AO79" s="212"/>
      <c r="AP79" s="212"/>
      <c r="AQ79" s="212"/>
      <c r="AR79" s="212"/>
      <c r="AS79" s="212"/>
      <c r="AT79" s="212"/>
      <c r="AU79" s="212"/>
    </row>
    <row r="80" spans="1:47">
      <c r="A80" t="s">
        <v>16</v>
      </c>
      <c r="C80" t="s">
        <v>81</v>
      </c>
      <c r="D80" t="s">
        <v>48</v>
      </c>
      <c r="E80" s="27">
        <f>1-SUM(E77:E79)</f>
        <v>0.97465000000000002</v>
      </c>
      <c r="F80" s="27">
        <f t="shared" ref="F80:M80" si="209">1-SUM(F77:F79)</f>
        <v>0.7611848341232228</v>
      </c>
      <c r="G80" s="27">
        <f t="shared" si="209"/>
        <v>0.7611848341232228</v>
      </c>
      <c r="H80" s="27">
        <f t="shared" si="209"/>
        <v>0.75618483412322268</v>
      </c>
      <c r="I80" s="27">
        <f t="shared" si="209"/>
        <v>0.75618483412322268</v>
      </c>
      <c r="J80" s="27">
        <f t="shared" si="209"/>
        <v>0.73368483412322272</v>
      </c>
      <c r="K80" s="27">
        <f t="shared" si="209"/>
        <v>0.71118483412322275</v>
      </c>
      <c r="L80" s="27">
        <f t="shared" si="209"/>
        <v>0.66118483412322271</v>
      </c>
      <c r="M80" s="27">
        <f t="shared" si="209"/>
        <v>0.61118483412322278</v>
      </c>
      <c r="N80" s="213"/>
      <c r="O80" s="27">
        <f>1-SUM(O77:O79)</f>
        <v>0.7611848341232228</v>
      </c>
      <c r="P80" s="27">
        <f t="shared" ref="P80:R80" si="210">1-SUM(P77:P79)</f>
        <v>0.7611848341232228</v>
      </c>
      <c r="Q80" s="27">
        <f t="shared" si="210"/>
        <v>0.75618483412322268</v>
      </c>
      <c r="R80" s="27">
        <f t="shared" si="210"/>
        <v>0.75618483412322268</v>
      </c>
      <c r="S80" s="27">
        <f t="shared" ref="S80" si="211">1-SUM(S77:S79)</f>
        <v>0.73368483412322272</v>
      </c>
      <c r="T80" s="27">
        <f t="shared" ref="T80:U80" si="212">1-SUM(T77:T79)</f>
        <v>0.71118483412322275</v>
      </c>
      <c r="U80" s="27">
        <f t="shared" si="212"/>
        <v>0.66118483412322271</v>
      </c>
      <c r="V80" s="27">
        <f t="shared" ref="V80" si="213">1-SUM(V77:V79)</f>
        <v>0.61118483412322278</v>
      </c>
      <c r="W80" s="212"/>
      <c r="X80" s="53">
        <f t="shared" si="204"/>
        <v>0.7611848341232228</v>
      </c>
      <c r="Y80" s="53">
        <f t="shared" si="205"/>
        <v>0.7611848341232228</v>
      </c>
      <c r="Z80" s="53">
        <f t="shared" si="206"/>
        <v>0.75618483412322268</v>
      </c>
      <c r="AA80" s="53">
        <f t="shared" si="207"/>
        <v>0.75618483412322268</v>
      </c>
      <c r="AB80" s="53">
        <f t="shared" si="208"/>
        <v>0.73368483412322272</v>
      </c>
      <c r="AC80" s="27">
        <f>1-SUM(AC77:AC79)</f>
        <v>0.71898181279620854</v>
      </c>
      <c r="AD80" s="27">
        <f>1-SUM(AD77:AD79)</f>
        <v>0.65955608604857829</v>
      </c>
      <c r="AE80" s="27">
        <f>1-SUM(AE77:AE79)</f>
        <v>0.5781243676588419</v>
      </c>
      <c r="AF80" s="212"/>
      <c r="AG80" s="212"/>
      <c r="AH80" s="212"/>
      <c r="AI80" s="212"/>
      <c r="AJ80" s="212"/>
      <c r="AK80" s="212"/>
      <c r="AL80" s="212"/>
      <c r="AM80" s="212"/>
      <c r="AN80" s="212"/>
      <c r="AO80" s="212"/>
      <c r="AP80" s="212"/>
      <c r="AQ80" s="212"/>
      <c r="AR80" s="212"/>
      <c r="AS80" s="212"/>
      <c r="AT80" s="212"/>
      <c r="AU80" s="212"/>
    </row>
    <row r="81" spans="1:47">
      <c r="A81" t="s">
        <v>16</v>
      </c>
      <c r="C81" s="32" t="str">
        <f>C55</f>
        <v>Middle Income</v>
      </c>
      <c r="D81" t="s">
        <v>191</v>
      </c>
      <c r="E81" s="3">
        <f t="shared" ref="E81" si="214">E$26*E$14</f>
        <v>8.3197438282491429</v>
      </c>
      <c r="F81" s="3">
        <f t="shared" si="194"/>
        <v>8.826358475322154</v>
      </c>
      <c r="G81" s="3">
        <f t="shared" ref="G81:G84" si="215">IF($D$4,Y81,P81)</f>
        <v>9.2340547486185294</v>
      </c>
      <c r="H81" s="3">
        <f t="shared" ref="H81:H84" si="216">IF($D$4,Z81,Q81)</f>
        <v>9.7394791998722337</v>
      </c>
      <c r="I81" s="3">
        <f t="shared" ref="I81:I84" si="217">IF($D$4,AA81,R81)</f>
        <v>10.234967504004217</v>
      </c>
      <c r="J81" s="3">
        <f t="shared" ref="J81:J84" si="218">IF($D$4,AB81,S81)</f>
        <v>8.8955688109654698</v>
      </c>
      <c r="K81" s="3">
        <f t="shared" ref="K81:K84" si="219">IF($D$4,AC81,T81)</f>
        <v>11.073291506683971</v>
      </c>
      <c r="L81" s="3">
        <f t="shared" ref="L81:L84" si="220">IF($D$4,AD81,U81)</f>
        <v>12.904654467339871</v>
      </c>
      <c r="M81" s="3">
        <f t="shared" ref="M81:M84" si="221">IF($D$4,AE81,V81)</f>
        <v>14.293312096199974</v>
      </c>
      <c r="N81" s="34"/>
      <c r="O81" s="3">
        <f>O$26*O$14</f>
        <v>8.826358475322154</v>
      </c>
      <c r="P81" s="3">
        <f t="shared" ref="P81:V81" si="222">P$26*P$14</f>
        <v>9.2340547486185294</v>
      </c>
      <c r="Q81" s="3">
        <f t="shared" si="222"/>
        <v>9.7394791998722337</v>
      </c>
      <c r="R81" s="3">
        <f t="shared" si="222"/>
        <v>10.234967504004217</v>
      </c>
      <c r="S81" s="3">
        <f t="shared" si="222"/>
        <v>8.8955688109654698</v>
      </c>
      <c r="T81" s="249">
        <f t="shared" si="222"/>
        <v>11.073291506683971</v>
      </c>
      <c r="U81" s="249">
        <f t="shared" si="222"/>
        <v>12.904654467339871</v>
      </c>
      <c r="V81" s="249">
        <f t="shared" si="222"/>
        <v>14.293312096199974</v>
      </c>
      <c r="X81" s="53">
        <f t="shared" si="204"/>
        <v>8.826358475322154</v>
      </c>
      <c r="Y81" s="53">
        <f t="shared" si="205"/>
        <v>9.2340547486185294</v>
      </c>
      <c r="Z81" s="53">
        <f t="shared" si="206"/>
        <v>9.7394791998722337</v>
      </c>
      <c r="AA81" s="53">
        <f t="shared" si="207"/>
        <v>10.234967504004217</v>
      </c>
      <c r="AB81" s="53">
        <f t="shared" si="208"/>
        <v>8.8955688109654698</v>
      </c>
      <c r="AC81" s="3">
        <f>AC$26*AC$14</f>
        <v>10.519626931349771</v>
      </c>
      <c r="AD81" s="3">
        <f>AD$26*AD$14</f>
        <v>11.646450656774231</v>
      </c>
      <c r="AE81" s="3">
        <f>AE$26*AE$14</f>
        <v>12.25472845847945</v>
      </c>
    </row>
    <row r="82" spans="1:47">
      <c r="A82" t="s">
        <v>16</v>
      </c>
      <c r="C82" t="str">
        <f>C77</f>
        <v>Priv.veh.</v>
      </c>
      <c r="D82" t="s">
        <v>48</v>
      </c>
      <c r="E82" s="53">
        <f t="shared" ref="E82" si="223">E$42*1000*E$36*E$31/E$67/E$64</f>
        <v>0.53206565737051803</v>
      </c>
      <c r="F82" s="53">
        <f t="shared" si="194"/>
        <v>0.48950040478087659</v>
      </c>
      <c r="G82" s="53">
        <f t="shared" si="215"/>
        <v>0.48950040478087659</v>
      </c>
      <c r="H82" s="53">
        <f t="shared" si="216"/>
        <v>0.48950040478087659</v>
      </c>
      <c r="I82" s="53">
        <f t="shared" si="217"/>
        <v>0.48950040478087659</v>
      </c>
      <c r="J82" s="53">
        <f t="shared" si="218"/>
        <v>0.48950040478087659</v>
      </c>
      <c r="K82" s="53">
        <f t="shared" si="219"/>
        <v>0.48950040478087659</v>
      </c>
      <c r="L82" s="53">
        <f t="shared" si="220"/>
        <v>0.48950040478087659</v>
      </c>
      <c r="M82" s="53">
        <f t="shared" si="221"/>
        <v>0.48950040478087659</v>
      </c>
      <c r="N82" s="213"/>
      <c r="O82" s="53">
        <f>O$42*1000*O$36*O$31/O$67/O$64</f>
        <v>0.48950040478087659</v>
      </c>
      <c r="P82" s="53">
        <f t="shared" ref="P82:V82" si="224">P$42*1000*P$36*P$31/P$67/P$64</f>
        <v>0.48950040478087659</v>
      </c>
      <c r="Q82" s="53">
        <f t="shared" si="224"/>
        <v>0.48950040478087659</v>
      </c>
      <c r="R82" s="3">
        <f t="shared" si="224"/>
        <v>0.48950040478087659</v>
      </c>
      <c r="S82" s="3">
        <f t="shared" si="224"/>
        <v>0.48950040478087659</v>
      </c>
      <c r="T82" s="247">
        <f t="shared" si="224"/>
        <v>0.48950040478087659</v>
      </c>
      <c r="U82" s="247">
        <f t="shared" si="224"/>
        <v>0.48950040478087659</v>
      </c>
      <c r="V82" s="247">
        <f t="shared" si="224"/>
        <v>0.48950040478087659</v>
      </c>
      <c r="W82" s="212"/>
      <c r="X82" s="53">
        <f t="shared" si="204"/>
        <v>0.48950040478087659</v>
      </c>
      <c r="Y82" s="53">
        <f t="shared" si="205"/>
        <v>0.48950040478087659</v>
      </c>
      <c r="Z82" s="53">
        <f t="shared" si="206"/>
        <v>0.48950040478087659</v>
      </c>
      <c r="AA82" s="53">
        <f t="shared" si="207"/>
        <v>0.48950040478087659</v>
      </c>
      <c r="AB82" s="53">
        <f t="shared" si="208"/>
        <v>0.48950040478087659</v>
      </c>
      <c r="AC82" s="53">
        <f>AC$42*1000*AC$36*AC$31/AC$67/AC$64</f>
        <v>0.44177411531474098</v>
      </c>
      <c r="AD82" s="53">
        <f>AD$42*1000*AD$36*AD$31/AD$67/AD$64</f>
        <v>0.4196854095490038</v>
      </c>
      <c r="AE82" s="53">
        <f>AE$42*1000*AE$36*AE$31/AE$67/AE$64</f>
        <v>0.37876608211797597</v>
      </c>
      <c r="AF82" s="212"/>
      <c r="AG82" s="212"/>
      <c r="AH82" s="212"/>
      <c r="AI82" s="212"/>
      <c r="AJ82" s="212"/>
      <c r="AK82" s="212"/>
      <c r="AL82" s="212"/>
      <c r="AM82" s="212"/>
      <c r="AN82" s="212"/>
      <c r="AO82" s="212"/>
      <c r="AP82" s="212"/>
      <c r="AQ82" s="212"/>
      <c r="AR82" s="212"/>
      <c r="AS82" s="212"/>
      <c r="AT82" s="212"/>
      <c r="AU82" s="212"/>
    </row>
    <row r="83" spans="1:47">
      <c r="A83" t="s">
        <v>16</v>
      </c>
      <c r="C83" t="str">
        <f>C78</f>
        <v>BRT</v>
      </c>
      <c r="D83" t="s">
        <v>48</v>
      </c>
      <c r="E83" s="250">
        <v>0.01</v>
      </c>
      <c r="F83" s="53">
        <f t="shared" si="194"/>
        <v>0.01</v>
      </c>
      <c r="G83" s="53">
        <f t="shared" si="215"/>
        <v>0.01</v>
      </c>
      <c r="H83" s="53">
        <f t="shared" si="216"/>
        <v>0.01</v>
      </c>
      <c r="I83" s="53">
        <f t="shared" si="217"/>
        <v>0.01</v>
      </c>
      <c r="J83" s="53">
        <f t="shared" si="218"/>
        <v>3.0000000000000002E-2</v>
      </c>
      <c r="K83" s="53">
        <f t="shared" si="219"/>
        <v>0.05</v>
      </c>
      <c r="L83" s="53">
        <f t="shared" si="220"/>
        <v>0.1</v>
      </c>
      <c r="M83" s="53">
        <f t="shared" si="221"/>
        <v>0.15</v>
      </c>
      <c r="N83" s="213"/>
      <c r="O83" s="214">
        <f>E83</f>
        <v>0.01</v>
      </c>
      <c r="P83" s="214">
        <f>O83</f>
        <v>0.01</v>
      </c>
      <c r="Q83" s="214">
        <f t="shared" ref="Q83:U84" si="225">P83</f>
        <v>0.01</v>
      </c>
      <c r="R83" s="3">
        <f>Q83</f>
        <v>0.01</v>
      </c>
      <c r="S83" s="3">
        <f>AVERAGE(R83,T83)</f>
        <v>3.0000000000000002E-2</v>
      </c>
      <c r="T83" s="248">
        <v>0.05</v>
      </c>
      <c r="U83" s="28">
        <v>0.1</v>
      </c>
      <c r="V83" s="28">
        <v>0.15</v>
      </c>
      <c r="W83" s="212"/>
      <c r="X83" s="53">
        <f t="shared" si="204"/>
        <v>0.01</v>
      </c>
      <c r="Y83" s="53">
        <f t="shared" si="205"/>
        <v>0.01</v>
      </c>
      <c r="Z83" s="53">
        <f t="shared" si="206"/>
        <v>0.01</v>
      </c>
      <c r="AA83" s="53">
        <f t="shared" si="207"/>
        <v>0.01</v>
      </c>
      <c r="AB83" s="53">
        <f t="shared" si="208"/>
        <v>3.0000000000000002E-2</v>
      </c>
      <c r="AC83" s="59">
        <v>7.0000000000000007E-2</v>
      </c>
      <c r="AD83" s="59">
        <v>0.15</v>
      </c>
      <c r="AE83" s="59">
        <v>0.25</v>
      </c>
      <c r="AF83" s="212"/>
      <c r="AG83" s="212"/>
      <c r="AH83" s="212"/>
      <c r="AI83" s="212"/>
      <c r="AJ83" s="212"/>
      <c r="AK83" s="212"/>
      <c r="AL83" s="212"/>
      <c r="AM83" s="212"/>
      <c r="AN83" s="212"/>
      <c r="AO83" s="212"/>
      <c r="AP83" s="212"/>
      <c r="AQ83" s="212"/>
      <c r="AR83" s="212"/>
      <c r="AS83" s="212"/>
      <c r="AT83" s="212"/>
      <c r="AU83" s="212"/>
    </row>
    <row r="84" spans="1:47">
      <c r="A84" t="s">
        <v>16</v>
      </c>
      <c r="C84" t="str">
        <f>C79</f>
        <v>Gautrain</v>
      </c>
      <c r="D84" t="s">
        <v>48</v>
      </c>
      <c r="E84" s="250">
        <v>2E-3</v>
      </c>
      <c r="F84" s="123">
        <f t="shared" si="194"/>
        <v>2E-3</v>
      </c>
      <c r="G84" s="123">
        <f t="shared" si="215"/>
        <v>2E-3</v>
      </c>
      <c r="H84" s="123">
        <f t="shared" si="216"/>
        <v>2E-3</v>
      </c>
      <c r="I84" s="123">
        <f t="shared" si="217"/>
        <v>2E-3</v>
      </c>
      <c r="J84" s="123">
        <f t="shared" si="218"/>
        <v>2E-3</v>
      </c>
      <c r="K84" s="123">
        <f t="shared" si="219"/>
        <v>2E-3</v>
      </c>
      <c r="L84" s="123">
        <f t="shared" si="220"/>
        <v>2E-3</v>
      </c>
      <c r="M84" s="123">
        <f t="shared" si="221"/>
        <v>2E-3</v>
      </c>
      <c r="N84" s="213"/>
      <c r="O84" s="251">
        <f>E84</f>
        <v>2E-3</v>
      </c>
      <c r="P84" s="251">
        <f>O84</f>
        <v>2E-3</v>
      </c>
      <c r="Q84" s="251">
        <f t="shared" si="225"/>
        <v>2E-3</v>
      </c>
      <c r="R84" s="3">
        <f t="shared" si="225"/>
        <v>2E-3</v>
      </c>
      <c r="S84" s="3">
        <f t="shared" si="225"/>
        <v>2E-3</v>
      </c>
      <c r="T84" s="252">
        <f t="shared" si="225"/>
        <v>2E-3</v>
      </c>
      <c r="U84" s="252">
        <f t="shared" si="225"/>
        <v>2E-3</v>
      </c>
      <c r="V84" s="252">
        <f>U84</f>
        <v>2E-3</v>
      </c>
      <c r="W84" s="212"/>
      <c r="X84" s="53">
        <f t="shared" si="204"/>
        <v>2E-3</v>
      </c>
      <c r="Y84" s="53">
        <f t="shared" si="205"/>
        <v>2E-3</v>
      </c>
      <c r="Z84" s="53">
        <f t="shared" si="206"/>
        <v>2E-3</v>
      </c>
      <c r="AA84" s="53">
        <f t="shared" si="207"/>
        <v>2E-3</v>
      </c>
      <c r="AB84" s="53">
        <f t="shared" si="208"/>
        <v>2E-3</v>
      </c>
      <c r="AC84" s="61">
        <v>0.01</v>
      </c>
      <c r="AD84" s="61">
        <v>0.02</v>
      </c>
      <c r="AE84" s="61">
        <v>0.03</v>
      </c>
      <c r="AF84" s="212"/>
      <c r="AG84" s="212"/>
      <c r="AH84" s="212"/>
      <c r="AI84" s="212"/>
      <c r="AJ84" s="212"/>
      <c r="AK84" s="212"/>
      <c r="AL84" s="212"/>
      <c r="AM84" s="212"/>
      <c r="AN84" s="212"/>
      <c r="AO84" s="212"/>
      <c r="AP84" s="212"/>
      <c r="AQ84" s="212"/>
      <c r="AR84" s="212"/>
      <c r="AS84" s="212"/>
      <c r="AT84" s="212"/>
      <c r="AU84" s="212"/>
    </row>
    <row r="85" spans="1:47">
      <c r="A85" t="s">
        <v>16</v>
      </c>
      <c r="C85" t="str">
        <f>C80</f>
        <v>Bus, minibus, metro rail</v>
      </c>
      <c r="D85" t="s">
        <v>48</v>
      </c>
      <c r="E85" s="27">
        <f t="shared" ref="E85" si="226">1-SUM(E82:E84)</f>
        <v>0.45593434262948196</v>
      </c>
      <c r="F85" s="27">
        <f>1-SUM(F82:F84)</f>
        <v>0.49849959521912346</v>
      </c>
      <c r="G85" s="27">
        <f t="shared" ref="G85:M85" si="227">1-SUM(G82:G84)</f>
        <v>0.49849959521912346</v>
      </c>
      <c r="H85" s="27">
        <f t="shared" si="227"/>
        <v>0.49849959521912346</v>
      </c>
      <c r="I85" s="27">
        <f t="shared" si="227"/>
        <v>0.49849959521912346</v>
      </c>
      <c r="J85" s="27">
        <f t="shared" si="227"/>
        <v>0.47849959521912344</v>
      </c>
      <c r="K85" s="27">
        <f t="shared" si="227"/>
        <v>0.45849959521912342</v>
      </c>
      <c r="L85" s="27">
        <f t="shared" si="227"/>
        <v>0.40849959521912338</v>
      </c>
      <c r="M85" s="27">
        <f t="shared" si="227"/>
        <v>0.35849959521912345</v>
      </c>
      <c r="N85" s="213"/>
      <c r="O85" s="27">
        <f>1-SUM(O82:O84)</f>
        <v>0.49849959521912346</v>
      </c>
      <c r="P85" s="27">
        <f t="shared" ref="P85:R85" si="228">1-SUM(P82:P84)</f>
        <v>0.49849959521912346</v>
      </c>
      <c r="Q85" s="27">
        <f t="shared" si="228"/>
        <v>0.49849959521912346</v>
      </c>
      <c r="R85" s="27">
        <f t="shared" si="228"/>
        <v>0.49849959521912346</v>
      </c>
      <c r="S85" s="27">
        <f t="shared" ref="S85" si="229">1-SUM(S82:S84)</f>
        <v>0.47849959521912344</v>
      </c>
      <c r="T85" s="27">
        <f t="shared" ref="T85:U85" si="230">1-SUM(T82:T84)</f>
        <v>0.45849959521912342</v>
      </c>
      <c r="U85" s="27">
        <f t="shared" si="230"/>
        <v>0.40849959521912338</v>
      </c>
      <c r="V85" s="27">
        <f t="shared" ref="V85" si="231">1-SUM(V82:V84)</f>
        <v>0.35849959521912345</v>
      </c>
      <c r="W85" s="212"/>
      <c r="X85" s="53">
        <f t="shared" si="204"/>
        <v>0.49849959521912346</v>
      </c>
      <c r="Y85" s="53">
        <f t="shared" si="205"/>
        <v>0.49849959521912346</v>
      </c>
      <c r="Z85" s="53">
        <f t="shared" si="206"/>
        <v>0.49849959521912346</v>
      </c>
      <c r="AA85" s="53">
        <f t="shared" si="207"/>
        <v>0.49849959521912346</v>
      </c>
      <c r="AB85" s="53">
        <f t="shared" si="208"/>
        <v>0.47849959521912344</v>
      </c>
      <c r="AC85" s="27">
        <f>1-SUM(AC82:AC84)</f>
        <v>0.47822588468525895</v>
      </c>
      <c r="AD85" s="27">
        <f>1-SUM(AD82:AD84)</f>
        <v>0.41031459045099616</v>
      </c>
      <c r="AE85" s="27">
        <f>1-SUM(AE82:AE84)</f>
        <v>0.34123391788202406</v>
      </c>
      <c r="AF85" s="212"/>
      <c r="AG85" s="212"/>
      <c r="AH85" s="212"/>
      <c r="AI85" s="212"/>
      <c r="AJ85" s="212"/>
      <c r="AK85" s="212"/>
      <c r="AL85" s="212"/>
      <c r="AM85" s="212"/>
      <c r="AN85" s="212"/>
      <c r="AO85" s="212"/>
      <c r="AP85" s="212"/>
      <c r="AQ85" s="212"/>
      <c r="AR85" s="212"/>
      <c r="AS85" s="212"/>
      <c r="AT85" s="212"/>
      <c r="AU85" s="212"/>
    </row>
    <row r="86" spans="1:47">
      <c r="A86" t="s">
        <v>16</v>
      </c>
      <c r="C86" s="32" t="str">
        <f>C56</f>
        <v>High Income</v>
      </c>
      <c r="D86" t="s">
        <v>191</v>
      </c>
      <c r="E86" s="3">
        <f t="shared" ref="E86" si="232">E$27*E$15</f>
        <v>8.0383178513969256</v>
      </c>
      <c r="F86" s="3">
        <f t="shared" si="194"/>
        <v>9.5402930821095318</v>
      </c>
      <c r="G86" s="3">
        <f t="shared" ref="G86:G89" si="233">IF($D$4,Y86,P86)</f>
        <v>10.249512727937956</v>
      </c>
      <c r="H86" s="3">
        <f t="shared" ref="H86:H89" si="234">IF($D$4,Z86,Q86)</f>
        <v>10.785581249292237</v>
      </c>
      <c r="I86" s="3">
        <f t="shared" ref="I86:I89" si="235">IF($D$4,AA86,R86)</f>
        <v>9.108764792700967</v>
      </c>
      <c r="J86" s="3">
        <f t="shared" ref="J86:J89" si="236">IF($D$4,AB86,S86)</f>
        <v>9.2415750726126706</v>
      </c>
      <c r="K86" s="3">
        <f t="shared" ref="K86:K89" si="237">IF($D$4,AC86,T86)</f>
        <v>11.985278585956241</v>
      </c>
      <c r="L86" s="3">
        <f t="shared" ref="L86:L89" si="238">IF($D$4,AD86,U86)</f>
        <v>16.398709394569163</v>
      </c>
      <c r="M86" s="3">
        <f t="shared" ref="M86:M89" si="239">IF($D$4,AE86,V86)</f>
        <v>19.906916880852272</v>
      </c>
      <c r="N86" s="34"/>
      <c r="O86" s="3">
        <f>O$27*O$15</f>
        <v>9.5402930821095318</v>
      </c>
      <c r="P86" s="3">
        <f t="shared" ref="P86:V86" si="240">P$27*P$15</f>
        <v>10.249512727937956</v>
      </c>
      <c r="Q86" s="3">
        <f t="shared" si="240"/>
        <v>10.785581249292237</v>
      </c>
      <c r="R86" s="3">
        <f t="shared" si="240"/>
        <v>9.108764792700967</v>
      </c>
      <c r="S86" s="3">
        <f t="shared" si="240"/>
        <v>9.2415750726126706</v>
      </c>
      <c r="T86" s="249">
        <f t="shared" si="240"/>
        <v>11.985278585956241</v>
      </c>
      <c r="U86" s="249">
        <f t="shared" si="240"/>
        <v>16.398709394569163</v>
      </c>
      <c r="V86" s="249">
        <f t="shared" si="240"/>
        <v>19.906916880852272</v>
      </c>
      <c r="X86" s="53">
        <f t="shared" si="204"/>
        <v>9.5402930821095318</v>
      </c>
      <c r="Y86" s="53">
        <f t="shared" si="205"/>
        <v>10.249512727937956</v>
      </c>
      <c r="Z86" s="53">
        <f t="shared" si="206"/>
        <v>10.785581249292237</v>
      </c>
      <c r="AA86" s="53">
        <f t="shared" si="207"/>
        <v>9.108764792700967</v>
      </c>
      <c r="AB86" s="53">
        <f t="shared" si="208"/>
        <v>9.2415750726126706</v>
      </c>
      <c r="AC86" s="3">
        <f>AC$27*AC$15</f>
        <v>11.685646621307335</v>
      </c>
      <c r="AD86" s="3">
        <f>AD$27*AD$15</f>
        <v>15.589023118212308</v>
      </c>
      <c r="AE86" s="3">
        <f>AE$27*AE$15</f>
        <v>18.450912538363685</v>
      </c>
    </row>
    <row r="87" spans="1:47">
      <c r="A87" t="s">
        <v>16</v>
      </c>
      <c r="C87" t="str">
        <f>C82</f>
        <v>Priv.veh.</v>
      </c>
      <c r="D87" t="s">
        <v>48</v>
      </c>
      <c r="E87" s="250">
        <f t="shared" ref="E87" si="241">E$43*1000*E$37*E$32/E$67/E$64</f>
        <v>0.75751090785568587</v>
      </c>
      <c r="F87" s="53">
        <f t="shared" si="194"/>
        <v>0.69691003522723105</v>
      </c>
      <c r="G87" s="53">
        <f t="shared" si="233"/>
        <v>0.69691003522723105</v>
      </c>
      <c r="H87" s="53">
        <f t="shared" si="234"/>
        <v>0.69691003522723105</v>
      </c>
      <c r="I87" s="53">
        <f t="shared" si="235"/>
        <v>0.69677256402828247</v>
      </c>
      <c r="J87" s="53">
        <f t="shared" si="236"/>
        <v>0.72750652160905838</v>
      </c>
      <c r="K87" s="53">
        <f t="shared" si="237"/>
        <v>0.754844499594989</v>
      </c>
      <c r="L87" s="53">
        <f t="shared" si="238"/>
        <v>0.79193459109776665</v>
      </c>
      <c r="M87" s="53">
        <f t="shared" si="239"/>
        <v>0.84625501431385886</v>
      </c>
      <c r="N87" s="213"/>
      <c r="O87" s="53">
        <f>O$43*1000*O$37*O$32/O$67/O$64</f>
        <v>0.69691003522723105</v>
      </c>
      <c r="P87" s="53">
        <f t="shared" ref="P87:U87" si="242">P$43*1000*P$37*P$32/P$67/P$64</f>
        <v>0.69691003522723105</v>
      </c>
      <c r="Q87" s="53">
        <f t="shared" si="242"/>
        <v>0.69691003522723105</v>
      </c>
      <c r="R87" s="3">
        <f t="shared" si="242"/>
        <v>0.69677256402828247</v>
      </c>
      <c r="S87" s="3">
        <f t="shared" si="242"/>
        <v>0.72750652160905838</v>
      </c>
      <c r="T87" s="247">
        <f t="shared" si="242"/>
        <v>0.754844499594989</v>
      </c>
      <c r="U87" s="247">
        <f t="shared" si="242"/>
        <v>0.79193459109776665</v>
      </c>
      <c r="V87" s="247">
        <f>V$43*1000*V$37*V$32/V$67/V$64</f>
        <v>0.84625501431385886</v>
      </c>
      <c r="W87" s="212"/>
      <c r="X87" s="53">
        <f t="shared" si="204"/>
        <v>0.69691003522723105</v>
      </c>
      <c r="Y87" s="53">
        <f t="shared" si="205"/>
        <v>0.69691003522723105</v>
      </c>
      <c r="Z87" s="53">
        <f t="shared" si="206"/>
        <v>0.69691003522723105</v>
      </c>
      <c r="AA87" s="53">
        <f t="shared" si="207"/>
        <v>0.69677256402828247</v>
      </c>
      <c r="AB87" s="53">
        <f t="shared" si="208"/>
        <v>0.72750652160905838</v>
      </c>
      <c r="AC87" s="53">
        <f>AC$43*1000*AC$37*AC$32/AC$67/AC$64</f>
        <v>0.66236941867938581</v>
      </c>
      <c r="AD87" s="53">
        <f>AD$43*1000*AD$37*AD$32/AD$67/AD$64</f>
        <v>0.62966492863209111</v>
      </c>
      <c r="AE87" s="53">
        <f>AE$43*1000*AE$37*AE$32/AE$67/AE$64</f>
        <v>0.5985752227808816</v>
      </c>
      <c r="AF87" s="212"/>
      <c r="AG87" s="212"/>
      <c r="AH87" s="212"/>
      <c r="AI87" s="212"/>
      <c r="AJ87" s="212"/>
      <c r="AK87" s="212"/>
      <c r="AL87" s="212"/>
      <c r="AM87" s="212"/>
      <c r="AN87" s="212"/>
      <c r="AO87" s="212"/>
      <c r="AP87" s="212"/>
      <c r="AQ87" s="212"/>
      <c r="AR87" s="212"/>
      <c r="AS87" s="212"/>
      <c r="AT87" s="212"/>
      <c r="AU87" s="212"/>
    </row>
    <row r="88" spans="1:47">
      <c r="A88" t="s">
        <v>16</v>
      </c>
      <c r="C88" t="str">
        <f>C83</f>
        <v>BRT</v>
      </c>
      <c r="D88" t="s">
        <v>48</v>
      </c>
      <c r="E88" s="250">
        <v>0</v>
      </c>
      <c r="F88" s="53">
        <f t="shared" si="194"/>
        <v>5.0000000000000001E-3</v>
      </c>
      <c r="G88" s="53">
        <f t="shared" si="233"/>
        <v>5.0000000000000001E-3</v>
      </c>
      <c r="H88" s="53">
        <f t="shared" si="234"/>
        <v>5.0000000000000001E-3</v>
      </c>
      <c r="I88" s="53">
        <f t="shared" si="235"/>
        <v>5.0000000000000001E-3</v>
      </c>
      <c r="J88" s="53">
        <f t="shared" si="236"/>
        <v>5.0000000000000001E-3</v>
      </c>
      <c r="K88" s="53">
        <f t="shared" si="237"/>
        <v>0.03</v>
      </c>
      <c r="L88" s="53">
        <f t="shared" si="238"/>
        <v>3.5000000000000003E-2</v>
      </c>
      <c r="M88" s="53">
        <f t="shared" si="239"/>
        <v>0.04</v>
      </c>
      <c r="N88" s="213"/>
      <c r="O88" s="204">
        <f>E89</f>
        <v>5.0000000000000001E-3</v>
      </c>
      <c r="P88" s="204">
        <f>O88</f>
        <v>5.0000000000000001E-3</v>
      </c>
      <c r="Q88" s="204">
        <v>5.0000000000000001E-3</v>
      </c>
      <c r="R88" s="3">
        <v>5.0000000000000001E-3</v>
      </c>
      <c r="S88" s="3">
        <v>5.0000000000000001E-3</v>
      </c>
      <c r="T88" s="28">
        <v>0.03</v>
      </c>
      <c r="U88" s="28">
        <v>3.5000000000000003E-2</v>
      </c>
      <c r="V88" s="28">
        <v>0.04</v>
      </c>
      <c r="W88" s="212"/>
      <c r="X88" s="53">
        <f t="shared" si="204"/>
        <v>5.0000000000000001E-3</v>
      </c>
      <c r="Y88" s="53">
        <f t="shared" si="205"/>
        <v>5.0000000000000001E-3</v>
      </c>
      <c r="Z88" s="53">
        <f t="shared" si="206"/>
        <v>5.0000000000000001E-3</v>
      </c>
      <c r="AA88" s="53">
        <f t="shared" si="207"/>
        <v>5.0000000000000001E-3</v>
      </c>
      <c r="AB88" s="53">
        <f t="shared" si="208"/>
        <v>5.0000000000000001E-3</v>
      </c>
      <c r="AC88" s="59">
        <v>0.03</v>
      </c>
      <c r="AD88" s="59">
        <v>0.05</v>
      </c>
      <c r="AE88" s="59">
        <v>0.1</v>
      </c>
      <c r="AF88" s="212"/>
      <c r="AG88" s="212"/>
      <c r="AH88" s="212"/>
      <c r="AI88" s="212"/>
      <c r="AJ88" s="212"/>
      <c r="AK88" s="212"/>
      <c r="AL88" s="212"/>
      <c r="AM88" s="212"/>
      <c r="AN88" s="212"/>
      <c r="AO88" s="212"/>
      <c r="AP88" s="212"/>
      <c r="AQ88" s="212"/>
      <c r="AR88" s="212"/>
      <c r="AS88" s="212"/>
      <c r="AT88" s="212"/>
      <c r="AU88" s="212"/>
    </row>
    <row r="89" spans="1:47">
      <c r="A89" t="s">
        <v>16</v>
      </c>
      <c r="C89" t="str">
        <f>C84</f>
        <v>Gautrain</v>
      </c>
      <c r="D89" t="s">
        <v>48</v>
      </c>
      <c r="E89" s="250">
        <v>5.0000000000000001E-3</v>
      </c>
      <c r="F89" s="53">
        <f t="shared" si="194"/>
        <v>5.0000000000000001E-3</v>
      </c>
      <c r="G89" s="53">
        <f t="shared" si="233"/>
        <v>5.0000000000000001E-3</v>
      </c>
      <c r="H89" s="53">
        <f t="shared" si="234"/>
        <v>5.0000000000000001E-3</v>
      </c>
      <c r="I89" s="53">
        <f t="shared" si="235"/>
        <v>5.0000000000000001E-3</v>
      </c>
      <c r="J89" s="53">
        <f t="shared" si="236"/>
        <v>5.0000000000000001E-3</v>
      </c>
      <c r="K89" s="53">
        <f t="shared" si="237"/>
        <v>5.0000000000000001E-3</v>
      </c>
      <c r="L89" s="53">
        <f t="shared" si="238"/>
        <v>5.0000000000000001E-3</v>
      </c>
      <c r="M89" s="53">
        <f t="shared" si="239"/>
        <v>5.0000000000000001E-3</v>
      </c>
      <c r="N89" s="213"/>
      <c r="O89" s="204">
        <f>E89</f>
        <v>5.0000000000000001E-3</v>
      </c>
      <c r="P89" s="204">
        <f>O89</f>
        <v>5.0000000000000001E-3</v>
      </c>
      <c r="Q89" s="204">
        <v>5.0000000000000001E-3</v>
      </c>
      <c r="R89" s="3">
        <v>5.0000000000000001E-3</v>
      </c>
      <c r="S89" s="3">
        <v>5.0000000000000001E-3</v>
      </c>
      <c r="T89" s="253">
        <v>5.0000000000000001E-3</v>
      </c>
      <c r="U89" s="253">
        <v>5.0000000000000001E-3</v>
      </c>
      <c r="V89" s="253">
        <v>5.0000000000000001E-3</v>
      </c>
      <c r="W89" s="212"/>
      <c r="X89" s="53">
        <f t="shared" si="204"/>
        <v>5.0000000000000001E-3</v>
      </c>
      <c r="Y89" s="53">
        <f t="shared" si="205"/>
        <v>5.0000000000000001E-3</v>
      </c>
      <c r="Z89" s="53">
        <f t="shared" si="206"/>
        <v>5.0000000000000001E-3</v>
      </c>
      <c r="AA89" s="53">
        <f t="shared" si="207"/>
        <v>5.0000000000000001E-3</v>
      </c>
      <c r="AB89" s="53">
        <f t="shared" si="208"/>
        <v>5.0000000000000001E-3</v>
      </c>
      <c r="AC89" s="61">
        <v>0.01</v>
      </c>
      <c r="AD89" s="61">
        <v>0.03</v>
      </c>
      <c r="AE89" s="61">
        <v>0.05</v>
      </c>
      <c r="AF89" s="212"/>
      <c r="AG89" s="212"/>
      <c r="AH89" s="212"/>
      <c r="AI89" s="212"/>
      <c r="AJ89" s="212"/>
      <c r="AK89" s="212"/>
      <c r="AL89" s="212"/>
      <c r="AM89" s="212"/>
      <c r="AN89" s="212"/>
      <c r="AO89" s="212"/>
      <c r="AP89" s="212"/>
      <c r="AQ89" s="212"/>
      <c r="AR89" s="212"/>
      <c r="AS89" s="212"/>
      <c r="AT89" s="212"/>
      <c r="AU89" s="212"/>
    </row>
    <row r="90" spans="1:47">
      <c r="A90" t="s">
        <v>16</v>
      </c>
      <c r="C90" t="str">
        <f>C85</f>
        <v>Bus, minibus, metro rail</v>
      </c>
      <c r="D90" t="s">
        <v>48</v>
      </c>
      <c r="E90" s="27">
        <f>1-SUM(E87:E89)</f>
        <v>0.23748909214431413</v>
      </c>
      <c r="F90" s="27">
        <f>1-SUM(F87:F89)</f>
        <v>0.29308996477276894</v>
      </c>
      <c r="G90" s="27">
        <f t="shared" ref="G90:M90" si="243">1-SUM(G87:G89)</f>
        <v>0.29308996477276894</v>
      </c>
      <c r="H90" s="27">
        <f t="shared" si="243"/>
        <v>0.29308996477276894</v>
      </c>
      <c r="I90" s="27">
        <f t="shared" si="243"/>
        <v>0.29322743597171752</v>
      </c>
      <c r="J90" s="27">
        <f t="shared" si="243"/>
        <v>0.26249347839094161</v>
      </c>
      <c r="K90" s="27">
        <f t="shared" si="243"/>
        <v>0.21015550040501096</v>
      </c>
      <c r="L90" s="27">
        <f t="shared" si="243"/>
        <v>0.16806540890223332</v>
      </c>
      <c r="M90" s="27">
        <f t="shared" si="243"/>
        <v>0.1087449856861411</v>
      </c>
      <c r="N90" s="213"/>
      <c r="O90" s="27">
        <f t="shared" ref="O90:V90" si="244">1-SUM(O87:O89)</f>
        <v>0.29308996477276894</v>
      </c>
      <c r="P90" s="27">
        <f t="shared" si="244"/>
        <v>0.29308996477276894</v>
      </c>
      <c r="Q90" s="27">
        <f t="shared" si="244"/>
        <v>0.29308996477276894</v>
      </c>
      <c r="R90" s="27">
        <f t="shared" si="244"/>
        <v>0.29322743597171752</v>
      </c>
      <c r="S90" s="27">
        <f t="shared" si="244"/>
        <v>0.26249347839094161</v>
      </c>
      <c r="T90" s="27">
        <f t="shared" si="244"/>
        <v>0.21015550040501096</v>
      </c>
      <c r="U90" s="27">
        <f t="shared" si="244"/>
        <v>0.16806540890223332</v>
      </c>
      <c r="V90" s="27">
        <f t="shared" si="244"/>
        <v>0.1087449856861411</v>
      </c>
      <c r="W90" s="212"/>
      <c r="X90" s="53">
        <f t="shared" si="204"/>
        <v>0.29308996477276894</v>
      </c>
      <c r="Y90" s="53">
        <f t="shared" si="205"/>
        <v>0.29308996477276894</v>
      </c>
      <c r="Z90" s="53">
        <f t="shared" si="206"/>
        <v>0.29308996477276894</v>
      </c>
      <c r="AA90" s="53">
        <f t="shared" si="207"/>
        <v>0.29322743597171752</v>
      </c>
      <c r="AB90" s="53">
        <f t="shared" si="208"/>
        <v>0.26249347839094161</v>
      </c>
      <c r="AC90" s="27">
        <f>1-SUM(AC87:AC89)</f>
        <v>0.29763058132061415</v>
      </c>
      <c r="AD90" s="27">
        <f>1-SUM(AD87:AD89)</f>
        <v>0.29033507136790881</v>
      </c>
      <c r="AE90" s="27">
        <f>1-SUM(AE87:AE89)</f>
        <v>0.25142477721911838</v>
      </c>
      <c r="AF90" s="212"/>
      <c r="AG90" s="212"/>
      <c r="AH90" s="212"/>
      <c r="AI90" s="212"/>
      <c r="AJ90" s="212"/>
      <c r="AK90" s="212"/>
      <c r="AL90" s="212"/>
      <c r="AM90" s="212"/>
      <c r="AN90" s="212"/>
      <c r="AO90" s="212"/>
      <c r="AP90" s="212"/>
      <c r="AQ90" s="212"/>
      <c r="AR90" s="212"/>
      <c r="AS90" s="212"/>
      <c r="AT90" s="212"/>
      <c r="AU90" s="212"/>
    </row>
    <row r="91" spans="1:47">
      <c r="A91" t="s">
        <v>16</v>
      </c>
      <c r="C91" s="19"/>
      <c r="E91" s="205"/>
      <c r="F91" s="205"/>
      <c r="G91" s="205"/>
      <c r="I91" s="205"/>
      <c r="K91" s="205"/>
      <c r="L91" s="205"/>
      <c r="M91" s="205"/>
      <c r="N91" s="34"/>
      <c r="R91" s="205"/>
      <c r="T91" s="205"/>
      <c r="U91" s="205"/>
      <c r="V91" s="205"/>
      <c r="AA91" s="205"/>
      <c r="AC91" s="205"/>
      <c r="AD91" s="205"/>
      <c r="AE91" s="205"/>
    </row>
    <row r="92" spans="1:47">
      <c r="A92" t="s">
        <v>16</v>
      </c>
      <c r="C92" s="58" t="s">
        <v>193</v>
      </c>
      <c r="E92" s="4"/>
      <c r="F92" s="4"/>
      <c r="G92" s="4"/>
      <c r="I92" s="4"/>
      <c r="K92" s="4"/>
      <c r="L92" s="4"/>
      <c r="M92" s="4"/>
      <c r="N92" s="34"/>
      <c r="R92" s="4"/>
      <c r="T92" s="4"/>
      <c r="U92" s="4"/>
      <c r="V92" s="4"/>
      <c r="AA92" s="4"/>
      <c r="AC92" s="4"/>
      <c r="AD92" s="4"/>
      <c r="AE92" s="4"/>
    </row>
    <row r="93" spans="1:47">
      <c r="A93" t="s">
        <v>16</v>
      </c>
      <c r="C93" s="32" t="str">
        <f>C75</f>
        <v>Low Income</v>
      </c>
      <c r="D93" t="s">
        <v>191</v>
      </c>
      <c r="E93" s="3">
        <f t="shared" ref="E93" si="245">(1-E$25)*E$13</f>
        <v>25.639462112214339</v>
      </c>
      <c r="F93" s="3">
        <f t="shared" ref="F93:F103" si="246">IF($D$4,X93,O93)</f>
        <v>25.162947131829636</v>
      </c>
      <c r="G93" s="3">
        <f t="shared" ref="G93:G95" si="247">IF($D$4,Y93,P93)</f>
        <v>25.240254653319884</v>
      </c>
      <c r="H93" s="3">
        <f t="shared" ref="H93:H95" si="248">IF($D$4,Z93,Q93)</f>
        <v>25.427775883826147</v>
      </c>
      <c r="I93" s="3">
        <f t="shared" ref="I93:I95" si="249">IF($D$4,AA93,R93)</f>
        <v>26.458300314436251</v>
      </c>
      <c r="J93" s="3">
        <f t="shared" ref="J93:J95" si="250">IF($D$4,AB93,S93)</f>
        <v>30.715490116336976</v>
      </c>
      <c r="K93" s="3">
        <f t="shared" ref="K93:K95" si="251">IF($D$4,AC93,T93)</f>
        <v>29.092845287622886</v>
      </c>
      <c r="L93" s="3">
        <f t="shared" ref="L93:L95" si="252">IF($D$4,AD93,U93)</f>
        <v>25.120984533279</v>
      </c>
      <c r="M93" s="3">
        <f t="shared" ref="M93:M95" si="253">IF($D$4,AE93,V93)</f>
        <v>21.791159788015399</v>
      </c>
      <c r="N93" s="34"/>
      <c r="O93" s="3">
        <f>(1-O$25)*O$13</f>
        <v>25.162947131829636</v>
      </c>
      <c r="P93" s="3">
        <f>(1-P$25)*P$13</f>
        <v>25.240254653319884</v>
      </c>
      <c r="Q93" s="3">
        <f t="shared" ref="Q93:V93" si="254">(1-Q$25)*Q$13</f>
        <v>25.427775883826147</v>
      </c>
      <c r="R93" s="3">
        <f t="shared" si="254"/>
        <v>26.458300314436251</v>
      </c>
      <c r="S93" s="3">
        <f t="shared" si="254"/>
        <v>30.715490116336976</v>
      </c>
      <c r="T93" s="3">
        <f t="shared" si="254"/>
        <v>29.092845287622886</v>
      </c>
      <c r="U93" s="3">
        <f t="shared" si="254"/>
        <v>25.120984533279</v>
      </c>
      <c r="V93" s="3">
        <f t="shared" si="254"/>
        <v>21.791159788015399</v>
      </c>
      <c r="X93" s="3">
        <f>O93</f>
        <v>25.162947131829636</v>
      </c>
      <c r="Y93" s="3">
        <f t="shared" ref="Y93:AB93" si="255">P93</f>
        <v>25.240254653319884</v>
      </c>
      <c r="Z93" s="3">
        <f t="shared" si="255"/>
        <v>25.427775883826147</v>
      </c>
      <c r="AA93" s="3">
        <f t="shared" si="255"/>
        <v>26.458300314436251</v>
      </c>
      <c r="AB93" s="3">
        <f t="shared" si="255"/>
        <v>30.715490116336976</v>
      </c>
      <c r="AC93" s="3">
        <f>(1-AC$25)*AC$13</f>
        <v>28.202247982899735</v>
      </c>
      <c r="AD93" s="3">
        <f>(1-AD$25)*AD$13</f>
        <v>24.608311379538609</v>
      </c>
      <c r="AE93" s="3">
        <f>(1-AE$25)*AE$13</f>
        <v>21.346442241321206</v>
      </c>
    </row>
    <row r="94" spans="1:47">
      <c r="A94" t="s">
        <v>16</v>
      </c>
      <c r="C94" t="s">
        <v>63</v>
      </c>
      <c r="D94" t="s">
        <v>48</v>
      </c>
      <c r="E94" s="250">
        <v>0</v>
      </c>
      <c r="F94" s="53">
        <f t="shared" si="246"/>
        <v>0</v>
      </c>
      <c r="G94" s="53">
        <f t="shared" si="247"/>
        <v>5.0000000000000001E-3</v>
      </c>
      <c r="H94" s="53">
        <f t="shared" si="248"/>
        <v>0.01</v>
      </c>
      <c r="I94" s="53">
        <f t="shared" si="249"/>
        <v>0.01</v>
      </c>
      <c r="J94" s="53">
        <f t="shared" si="250"/>
        <v>3.0000000000000002E-2</v>
      </c>
      <c r="K94" s="53">
        <f t="shared" si="251"/>
        <v>0.05</v>
      </c>
      <c r="L94" s="53">
        <f t="shared" si="252"/>
        <v>0.1</v>
      </c>
      <c r="M94" s="53">
        <f t="shared" si="253"/>
        <v>0.15</v>
      </c>
      <c r="N94" s="213"/>
      <c r="O94" s="204">
        <f>E94</f>
        <v>0</v>
      </c>
      <c r="P94" s="204">
        <v>5.0000000000000001E-3</v>
      </c>
      <c r="Q94" s="204">
        <v>0.01</v>
      </c>
      <c r="R94" s="204">
        <f>Q94</f>
        <v>0.01</v>
      </c>
      <c r="S94" s="204">
        <f>AVERAGE(R94,T94)</f>
        <v>3.0000000000000002E-2</v>
      </c>
      <c r="T94" s="28">
        <v>0.05</v>
      </c>
      <c r="U94" s="28">
        <v>0.1</v>
      </c>
      <c r="V94" s="28">
        <v>0.15</v>
      </c>
      <c r="W94" s="212"/>
      <c r="X94" s="3">
        <f t="shared" ref="X94:X103" si="256">O94</f>
        <v>0</v>
      </c>
      <c r="Y94" s="3">
        <f t="shared" ref="Y94:Y103" si="257">P94</f>
        <v>5.0000000000000001E-3</v>
      </c>
      <c r="Z94" s="3">
        <f t="shared" ref="Z94:Z103" si="258">Q94</f>
        <v>0.01</v>
      </c>
      <c r="AA94" s="3">
        <f t="shared" ref="AA94:AA103" si="259">R94</f>
        <v>0.01</v>
      </c>
      <c r="AB94" s="3">
        <f t="shared" ref="AB94:AB103" si="260">S94</f>
        <v>3.0000000000000002E-2</v>
      </c>
      <c r="AC94" s="59">
        <f>AC78</f>
        <v>7.0000000000000007E-2</v>
      </c>
      <c r="AD94" s="59">
        <v>0.2</v>
      </c>
      <c r="AE94" s="59">
        <v>0.4</v>
      </c>
      <c r="AF94" s="212"/>
      <c r="AG94" s="212"/>
      <c r="AH94" s="212"/>
      <c r="AI94" s="212"/>
      <c r="AJ94" s="212"/>
      <c r="AK94" s="212"/>
      <c r="AL94" s="212"/>
      <c r="AM94" s="212"/>
      <c r="AN94" s="212"/>
      <c r="AO94" s="212"/>
      <c r="AP94" s="212"/>
      <c r="AQ94" s="212"/>
      <c r="AR94" s="212"/>
      <c r="AS94" s="212"/>
      <c r="AT94" s="212"/>
      <c r="AU94" s="212"/>
    </row>
    <row r="95" spans="1:47">
      <c r="A95" t="s">
        <v>16</v>
      </c>
      <c r="C95" t="s">
        <v>82</v>
      </c>
      <c r="D95" t="s">
        <v>48</v>
      </c>
      <c r="E95" s="250">
        <v>0</v>
      </c>
      <c r="F95" s="53">
        <f t="shared" si="246"/>
        <v>0</v>
      </c>
      <c r="G95" s="53">
        <f t="shared" si="247"/>
        <v>0</v>
      </c>
      <c r="H95" s="53">
        <f t="shared" si="248"/>
        <v>0</v>
      </c>
      <c r="I95" s="53">
        <f t="shared" si="249"/>
        <v>0</v>
      </c>
      <c r="J95" s="53">
        <f t="shared" si="250"/>
        <v>0</v>
      </c>
      <c r="K95" s="53">
        <f t="shared" si="251"/>
        <v>0</v>
      </c>
      <c r="L95" s="53">
        <f t="shared" si="252"/>
        <v>0</v>
      </c>
      <c r="M95" s="53">
        <f t="shared" si="253"/>
        <v>0</v>
      </c>
      <c r="N95" s="213"/>
      <c r="O95" s="204">
        <f>E95</f>
        <v>0</v>
      </c>
      <c r="P95" s="204">
        <f>O95</f>
        <v>0</v>
      </c>
      <c r="Q95" s="204">
        <f>P95</f>
        <v>0</v>
      </c>
      <c r="R95" s="204">
        <f>Q95</f>
        <v>0</v>
      </c>
      <c r="S95" s="204">
        <f t="shared" ref="S95:V95" si="261">R95</f>
        <v>0</v>
      </c>
      <c r="T95" s="28">
        <f t="shared" si="261"/>
        <v>0</v>
      </c>
      <c r="U95" s="28">
        <f t="shared" si="261"/>
        <v>0</v>
      </c>
      <c r="V95" s="28">
        <f t="shared" si="261"/>
        <v>0</v>
      </c>
      <c r="W95" s="212"/>
      <c r="X95" s="3">
        <f t="shared" si="256"/>
        <v>0</v>
      </c>
      <c r="Y95" s="3">
        <f t="shared" si="257"/>
        <v>0</v>
      </c>
      <c r="Z95" s="3">
        <f t="shared" si="258"/>
        <v>0</v>
      </c>
      <c r="AA95" s="3">
        <f t="shared" si="259"/>
        <v>0</v>
      </c>
      <c r="AB95" s="3">
        <f t="shared" si="260"/>
        <v>0</v>
      </c>
      <c r="AC95" s="28">
        <v>0</v>
      </c>
      <c r="AD95" s="28">
        <v>0</v>
      </c>
      <c r="AE95" s="28">
        <v>0</v>
      </c>
      <c r="AF95" s="212"/>
      <c r="AG95" s="212"/>
      <c r="AH95" s="212"/>
      <c r="AI95" s="212"/>
      <c r="AJ95" s="212"/>
      <c r="AK95" s="212"/>
      <c r="AL95" s="212"/>
      <c r="AM95" s="212"/>
      <c r="AN95" s="212"/>
      <c r="AO95" s="212"/>
      <c r="AP95" s="212"/>
      <c r="AQ95" s="212"/>
      <c r="AR95" s="212"/>
      <c r="AS95" s="212"/>
      <c r="AT95" s="212"/>
      <c r="AU95" s="212"/>
    </row>
    <row r="96" spans="1:47">
      <c r="A96" t="s">
        <v>16</v>
      </c>
      <c r="C96" t="s">
        <v>81</v>
      </c>
      <c r="D96" t="s">
        <v>48</v>
      </c>
      <c r="E96" s="27">
        <f>1-SUM(E94:E95)</f>
        <v>1</v>
      </c>
      <c r="F96" s="27">
        <f>1-SUM(F94:F95)</f>
        <v>1</v>
      </c>
      <c r="G96" s="27">
        <f t="shared" ref="G96:M96" si="262">1-SUM(G94:G95)</f>
        <v>0.995</v>
      </c>
      <c r="H96" s="27">
        <f t="shared" si="262"/>
        <v>0.99</v>
      </c>
      <c r="I96" s="27">
        <f t="shared" si="262"/>
        <v>0.99</v>
      </c>
      <c r="J96" s="27">
        <f t="shared" si="262"/>
        <v>0.97</v>
      </c>
      <c r="K96" s="27">
        <f t="shared" si="262"/>
        <v>0.95</v>
      </c>
      <c r="L96" s="27">
        <f t="shared" si="262"/>
        <v>0.9</v>
      </c>
      <c r="M96" s="27">
        <f t="shared" si="262"/>
        <v>0.85</v>
      </c>
      <c r="N96" s="213"/>
      <c r="O96" s="27">
        <f>1-SUM(O94:O95)</f>
        <v>1</v>
      </c>
      <c r="P96" s="27">
        <f t="shared" ref="P96:V96" si="263">1-SUM(P94:P95)</f>
        <v>0.995</v>
      </c>
      <c r="Q96" s="27">
        <f t="shared" si="263"/>
        <v>0.99</v>
      </c>
      <c r="R96" s="27">
        <f t="shared" si="263"/>
        <v>0.99</v>
      </c>
      <c r="S96" s="27">
        <f t="shared" si="263"/>
        <v>0.97</v>
      </c>
      <c r="T96" s="27">
        <f t="shared" si="263"/>
        <v>0.95</v>
      </c>
      <c r="U96" s="27">
        <f t="shared" si="263"/>
        <v>0.9</v>
      </c>
      <c r="V96" s="27">
        <f t="shared" si="263"/>
        <v>0.85</v>
      </c>
      <c r="W96" s="212"/>
      <c r="X96" s="3">
        <f>O96</f>
        <v>1</v>
      </c>
      <c r="Y96" s="3">
        <f t="shared" si="257"/>
        <v>0.995</v>
      </c>
      <c r="Z96" s="3">
        <f t="shared" si="258"/>
        <v>0.99</v>
      </c>
      <c r="AA96" s="3">
        <f t="shared" si="259"/>
        <v>0.99</v>
      </c>
      <c r="AB96" s="3">
        <f t="shared" si="260"/>
        <v>0.97</v>
      </c>
      <c r="AC96" s="27">
        <f>1-SUM(AC94:AC95)</f>
        <v>0.92999999999999994</v>
      </c>
      <c r="AD96" s="27">
        <f>1-SUM(AD94:AD95)</f>
        <v>0.8</v>
      </c>
      <c r="AE96" s="27">
        <f>1-SUM(AE94:AE95)</f>
        <v>0.6</v>
      </c>
      <c r="AF96" s="212"/>
      <c r="AG96" s="212"/>
      <c r="AH96" s="212"/>
      <c r="AI96" s="212"/>
      <c r="AJ96" s="212"/>
      <c r="AK96" s="212"/>
      <c r="AL96" s="212"/>
      <c r="AM96" s="212"/>
      <c r="AN96" s="212"/>
      <c r="AO96" s="212"/>
      <c r="AP96" s="212"/>
      <c r="AQ96" s="212"/>
      <c r="AR96" s="212"/>
      <c r="AS96" s="212"/>
      <c r="AT96" s="212"/>
      <c r="AU96" s="212"/>
    </row>
    <row r="97" spans="1:47">
      <c r="A97" t="s">
        <v>16</v>
      </c>
      <c r="C97" s="32" t="str">
        <f>C81</f>
        <v>Middle Income</v>
      </c>
      <c r="D97" t="s">
        <v>191</v>
      </c>
      <c r="E97" s="3">
        <f t="shared" ref="E97" si="264">(1-E$26)*E$14</f>
        <v>7.3778860363718808</v>
      </c>
      <c r="F97" s="3">
        <f t="shared" si="246"/>
        <v>7.8271480818894563</v>
      </c>
      <c r="G97" s="3">
        <f t="shared" ref="G97:G99" si="265">IF($D$4,Y97,P97)</f>
        <v>8.1886900600956771</v>
      </c>
      <c r="H97" s="3">
        <f t="shared" ref="H97:H99" si="266">IF($D$4,Z97,Q97)</f>
        <v>8.636896648943301</v>
      </c>
      <c r="I97" s="3">
        <f t="shared" ref="I97:I99" si="267">IF($D$4,AA97,R97)</f>
        <v>9.0762919375131723</v>
      </c>
      <c r="J97" s="3">
        <f t="shared" ref="J97:J99" si="268">IF($D$4,AB97,S97)</f>
        <v>7.8885232851957934</v>
      </c>
      <c r="K97" s="3">
        <f t="shared" ref="K97:K99" si="269">IF($D$4,AC97,T97)</f>
        <v>9.819711336115974</v>
      </c>
      <c r="L97" s="3">
        <f t="shared" ref="L97:L99" si="270">IF($D$4,AD97,U97)</f>
        <v>11.443750188018374</v>
      </c>
      <c r="M97" s="3">
        <f t="shared" ref="M97:M99" si="271">IF($D$4,AE97,V97)</f>
        <v>12.675201292856579</v>
      </c>
      <c r="N97" s="34"/>
      <c r="O97" s="3">
        <f>(1-O$26)*O$14</f>
        <v>7.8271480818894563</v>
      </c>
      <c r="P97" s="3">
        <f t="shared" ref="P97:V97" si="272">(1-P$26)*P$14</f>
        <v>8.1886900600956771</v>
      </c>
      <c r="Q97" s="3">
        <f t="shared" si="272"/>
        <v>8.636896648943301</v>
      </c>
      <c r="R97" s="3">
        <f t="shared" si="272"/>
        <v>9.0762919375131723</v>
      </c>
      <c r="S97" s="3">
        <f t="shared" si="272"/>
        <v>7.8885232851957934</v>
      </c>
      <c r="T97" s="3">
        <f t="shared" si="272"/>
        <v>9.819711336115974</v>
      </c>
      <c r="U97" s="3">
        <f t="shared" si="272"/>
        <v>11.443750188018374</v>
      </c>
      <c r="V97" s="3">
        <f t="shared" si="272"/>
        <v>12.675201292856579</v>
      </c>
      <c r="X97" s="3">
        <f t="shared" si="256"/>
        <v>7.8271480818894563</v>
      </c>
      <c r="Y97" s="3">
        <f t="shared" si="257"/>
        <v>8.1886900600956771</v>
      </c>
      <c r="Z97" s="3">
        <f t="shared" si="258"/>
        <v>8.636896648943301</v>
      </c>
      <c r="AA97" s="3">
        <f t="shared" si="259"/>
        <v>9.0762919375131723</v>
      </c>
      <c r="AB97" s="3">
        <f t="shared" si="260"/>
        <v>7.8885232851957934</v>
      </c>
      <c r="AC97" s="3">
        <f>(1-AC$26)*AC$14</f>
        <v>10.373375911450173</v>
      </c>
      <c r="AD97" s="3">
        <f>(1-AD$26)*AD$14</f>
        <v>12.701953998584015</v>
      </c>
      <c r="AE97" s="3">
        <f>(1-AE$26)*AE$14</f>
        <v>14.713784930577104</v>
      </c>
    </row>
    <row r="98" spans="1:47">
      <c r="A98" t="s">
        <v>16</v>
      </c>
      <c r="C98" t="str">
        <f>C94</f>
        <v>BRT</v>
      </c>
      <c r="D98" t="s">
        <v>48</v>
      </c>
      <c r="E98" s="250">
        <v>0</v>
      </c>
      <c r="F98" s="53">
        <f t="shared" si="246"/>
        <v>0</v>
      </c>
      <c r="G98" s="53">
        <f t="shared" si="265"/>
        <v>5.0000000000000001E-3</v>
      </c>
      <c r="H98" s="53">
        <f t="shared" si="266"/>
        <v>0.01</v>
      </c>
      <c r="I98" s="53">
        <f t="shared" si="267"/>
        <v>0.01</v>
      </c>
      <c r="J98" s="53">
        <f t="shared" si="268"/>
        <v>3.0000000000000002E-2</v>
      </c>
      <c r="K98" s="53">
        <f t="shared" si="269"/>
        <v>0.05</v>
      </c>
      <c r="L98" s="53">
        <f t="shared" si="270"/>
        <v>0.1</v>
      </c>
      <c r="M98" s="53">
        <f t="shared" si="271"/>
        <v>0.15</v>
      </c>
      <c r="N98" s="213"/>
      <c r="O98" s="204">
        <f>E98</f>
        <v>0</v>
      </c>
      <c r="P98" s="204">
        <v>5.0000000000000001E-3</v>
      </c>
      <c r="Q98" s="204">
        <v>0.01</v>
      </c>
      <c r="R98" s="204">
        <f>Q98</f>
        <v>0.01</v>
      </c>
      <c r="S98" s="204">
        <f>AVERAGE(R98,T98)</f>
        <v>3.0000000000000002E-2</v>
      </c>
      <c r="T98" s="28">
        <v>0.05</v>
      </c>
      <c r="U98" s="28">
        <v>0.1</v>
      </c>
      <c r="V98" s="28">
        <v>0.15</v>
      </c>
      <c r="W98" s="212"/>
      <c r="X98" s="3">
        <f t="shared" si="256"/>
        <v>0</v>
      </c>
      <c r="Y98" s="3">
        <f t="shared" si="257"/>
        <v>5.0000000000000001E-3</v>
      </c>
      <c r="Z98" s="3">
        <f t="shared" si="258"/>
        <v>0.01</v>
      </c>
      <c r="AA98" s="3">
        <f t="shared" si="259"/>
        <v>0.01</v>
      </c>
      <c r="AB98" s="3">
        <f t="shared" si="260"/>
        <v>3.0000000000000002E-2</v>
      </c>
      <c r="AC98" s="59">
        <f>AC83</f>
        <v>7.0000000000000007E-2</v>
      </c>
      <c r="AD98" s="59">
        <v>0.2</v>
      </c>
      <c r="AE98" s="59">
        <v>0.4</v>
      </c>
      <c r="AF98" s="212"/>
      <c r="AG98" s="212"/>
      <c r="AH98" s="212"/>
      <c r="AI98" s="212"/>
      <c r="AJ98" s="212"/>
      <c r="AK98" s="212"/>
      <c r="AL98" s="212"/>
      <c r="AM98" s="212"/>
      <c r="AN98" s="212"/>
      <c r="AO98" s="212"/>
      <c r="AP98" s="212"/>
      <c r="AQ98" s="212"/>
      <c r="AR98" s="212"/>
      <c r="AS98" s="212"/>
      <c r="AT98" s="212"/>
      <c r="AU98" s="212"/>
    </row>
    <row r="99" spans="1:47">
      <c r="A99" t="s">
        <v>16</v>
      </c>
      <c r="C99" t="str">
        <f>C95</f>
        <v>Gautrain</v>
      </c>
      <c r="D99" t="s">
        <v>48</v>
      </c>
      <c r="E99" s="250">
        <v>2E-3</v>
      </c>
      <c r="F99" s="53">
        <f t="shared" si="246"/>
        <v>2E-3</v>
      </c>
      <c r="G99" s="53">
        <f t="shared" si="265"/>
        <v>2E-3</v>
      </c>
      <c r="H99" s="53">
        <f t="shared" si="266"/>
        <v>2E-3</v>
      </c>
      <c r="I99" s="53">
        <f t="shared" si="267"/>
        <v>2E-3</v>
      </c>
      <c r="J99" s="53">
        <f t="shared" si="268"/>
        <v>2E-3</v>
      </c>
      <c r="K99" s="53">
        <f t="shared" si="269"/>
        <v>2E-3</v>
      </c>
      <c r="L99" s="53">
        <f t="shared" si="270"/>
        <v>2E-3</v>
      </c>
      <c r="M99" s="53">
        <f t="shared" si="271"/>
        <v>2E-3</v>
      </c>
      <c r="N99" s="213"/>
      <c r="O99" s="204">
        <f>E99</f>
        <v>2E-3</v>
      </c>
      <c r="P99" s="204">
        <f>O99</f>
        <v>2E-3</v>
      </c>
      <c r="Q99" s="204">
        <f>P99</f>
        <v>2E-3</v>
      </c>
      <c r="R99" s="204">
        <f>Q99</f>
        <v>2E-3</v>
      </c>
      <c r="S99" s="204">
        <f t="shared" ref="S99:V99" si="273">R99</f>
        <v>2E-3</v>
      </c>
      <c r="T99" s="40">
        <f t="shared" si="273"/>
        <v>2E-3</v>
      </c>
      <c r="U99" s="40">
        <f t="shared" si="273"/>
        <v>2E-3</v>
      </c>
      <c r="V99" s="40">
        <f t="shared" si="273"/>
        <v>2E-3</v>
      </c>
      <c r="W99" s="212"/>
      <c r="X99" s="3">
        <f t="shared" si="256"/>
        <v>2E-3</v>
      </c>
      <c r="Y99" s="3">
        <f t="shared" si="257"/>
        <v>2E-3</v>
      </c>
      <c r="Z99" s="3">
        <f t="shared" si="258"/>
        <v>2E-3</v>
      </c>
      <c r="AA99" s="3">
        <f t="shared" si="259"/>
        <v>2E-3</v>
      </c>
      <c r="AB99" s="3">
        <f t="shared" si="260"/>
        <v>2E-3</v>
      </c>
      <c r="AC99" s="59">
        <f>AC84</f>
        <v>0.01</v>
      </c>
      <c r="AD99" s="59">
        <f>AD84</f>
        <v>0.02</v>
      </c>
      <c r="AE99" s="59">
        <f>AE84</f>
        <v>0.03</v>
      </c>
      <c r="AF99" s="212"/>
      <c r="AG99" s="212"/>
      <c r="AH99" s="212"/>
      <c r="AI99" s="212"/>
      <c r="AJ99" s="212"/>
      <c r="AK99" s="212"/>
      <c r="AL99" s="212"/>
      <c r="AM99" s="212"/>
      <c r="AN99" s="212"/>
      <c r="AO99" s="212"/>
      <c r="AP99" s="212"/>
      <c r="AQ99" s="212"/>
      <c r="AR99" s="212"/>
      <c r="AS99" s="212"/>
      <c r="AT99" s="212"/>
      <c r="AU99" s="212"/>
    </row>
    <row r="100" spans="1:47">
      <c r="A100" t="s">
        <v>16</v>
      </c>
      <c r="C100" t="str">
        <f>C96</f>
        <v>Bus, minibus, metro rail</v>
      </c>
      <c r="D100" t="s">
        <v>48</v>
      </c>
      <c r="E100" s="27">
        <f t="shared" ref="E100" si="274">1-SUM(E98:E99)</f>
        <v>0.998</v>
      </c>
      <c r="F100" s="27">
        <f>1-SUM(F98:F99)</f>
        <v>0.998</v>
      </c>
      <c r="G100" s="27">
        <f t="shared" ref="G100:M100" si="275">1-SUM(G98:G99)</f>
        <v>0.99299999999999999</v>
      </c>
      <c r="H100" s="27">
        <f t="shared" si="275"/>
        <v>0.98799999999999999</v>
      </c>
      <c r="I100" s="27">
        <f t="shared" si="275"/>
        <v>0.98799999999999999</v>
      </c>
      <c r="J100" s="27">
        <f t="shared" si="275"/>
        <v>0.96799999999999997</v>
      </c>
      <c r="K100" s="27">
        <f t="shared" si="275"/>
        <v>0.94799999999999995</v>
      </c>
      <c r="L100" s="27">
        <f t="shared" si="275"/>
        <v>0.89800000000000002</v>
      </c>
      <c r="M100" s="27">
        <f t="shared" si="275"/>
        <v>0.84799999999999998</v>
      </c>
      <c r="N100" s="213"/>
      <c r="O100" s="27">
        <f>1-SUM(O98:O99)</f>
        <v>0.998</v>
      </c>
      <c r="P100" s="27">
        <f t="shared" ref="P100:V100" si="276">1-SUM(P98:P99)</f>
        <v>0.99299999999999999</v>
      </c>
      <c r="Q100" s="27">
        <f t="shared" si="276"/>
        <v>0.98799999999999999</v>
      </c>
      <c r="R100" s="27">
        <f t="shared" si="276"/>
        <v>0.98799999999999999</v>
      </c>
      <c r="S100" s="27">
        <f t="shared" si="276"/>
        <v>0.96799999999999997</v>
      </c>
      <c r="T100" s="27">
        <f t="shared" si="276"/>
        <v>0.94799999999999995</v>
      </c>
      <c r="U100" s="27">
        <f t="shared" si="276"/>
        <v>0.89800000000000002</v>
      </c>
      <c r="V100" s="27">
        <f t="shared" si="276"/>
        <v>0.84799999999999998</v>
      </c>
      <c r="W100" s="212"/>
      <c r="X100" s="3">
        <f t="shared" si="256"/>
        <v>0.998</v>
      </c>
      <c r="Y100" s="3">
        <f t="shared" si="257"/>
        <v>0.99299999999999999</v>
      </c>
      <c r="Z100" s="3">
        <f t="shared" si="258"/>
        <v>0.98799999999999999</v>
      </c>
      <c r="AA100" s="3">
        <f t="shared" si="259"/>
        <v>0.98799999999999999</v>
      </c>
      <c r="AB100" s="3">
        <f t="shared" si="260"/>
        <v>0.96799999999999997</v>
      </c>
      <c r="AC100" s="27">
        <f>1-SUM(AC98:AC99)</f>
        <v>0.92</v>
      </c>
      <c r="AD100" s="27">
        <f>1-SUM(AD98:AD99)</f>
        <v>0.78</v>
      </c>
      <c r="AE100" s="27">
        <f>1-SUM(AE98:AE99)</f>
        <v>0.56999999999999995</v>
      </c>
      <c r="AF100" s="212"/>
      <c r="AG100" s="212"/>
      <c r="AH100" s="212"/>
      <c r="AI100" s="212"/>
      <c r="AJ100" s="212"/>
      <c r="AK100" s="212"/>
      <c r="AL100" s="212"/>
      <c r="AM100" s="212"/>
      <c r="AN100" s="212"/>
      <c r="AO100" s="212"/>
      <c r="AP100" s="212"/>
      <c r="AQ100" s="212"/>
      <c r="AR100" s="212"/>
      <c r="AS100" s="212"/>
      <c r="AT100" s="212"/>
      <c r="AU100" s="212"/>
    </row>
    <row r="101" spans="1:47">
      <c r="A101" t="s">
        <v>16</v>
      </c>
      <c r="C101" s="32" t="str">
        <f>C86</f>
        <v>High Income</v>
      </c>
      <c r="D101" t="s">
        <v>191</v>
      </c>
      <c r="E101" s="3">
        <f t="shared" ref="E101" si="277">(1-E$27)*E$15</f>
        <v>2.4267687250170886</v>
      </c>
      <c r="F101" s="3">
        <f t="shared" si="246"/>
        <v>2.880215152867692</v>
      </c>
      <c r="G101" s="3">
        <f t="shared" ref="G101:G103" si="278">IF($D$4,Y101,P101)</f>
        <v>3.0943286138531914</v>
      </c>
      <c r="H101" s="3">
        <f t="shared" ref="H101:H103" si="279">IF($D$4,Z101,Q101)</f>
        <v>3.2561677381747867</v>
      </c>
      <c r="I101" s="3">
        <f t="shared" ref="I101:I103" si="280">IF($D$4,AA101,R101)</f>
        <v>2.7499367319273165</v>
      </c>
      <c r="J101" s="3">
        <f t="shared" ref="J101:J103" si="281">IF($D$4,AB101,S101)</f>
        <v>2.7900321647789141</v>
      </c>
      <c r="K101" s="3">
        <f t="shared" ref="K101:K103" si="282">IF($D$4,AC101,T101)</f>
        <v>3.618356448539922</v>
      </c>
      <c r="L101" s="3">
        <f t="shared" ref="L101:L103" si="283">IF($D$4,AD101,U101)</f>
        <v>4.9507715202464277</v>
      </c>
      <c r="M101" s="3">
        <f t="shared" ref="M101:M103" si="284">IF($D$4,AE101,V101)</f>
        <v>6.0098996072383031</v>
      </c>
      <c r="N101" s="34"/>
      <c r="O101" s="3">
        <f>(1-O$27)*O$15</f>
        <v>2.880215152867692</v>
      </c>
      <c r="P101" s="3">
        <f t="shared" ref="P101:V101" si="285">(1-P$27)*P$15</f>
        <v>3.0943286138531914</v>
      </c>
      <c r="Q101" s="3">
        <f t="shared" si="285"/>
        <v>3.2561677381747867</v>
      </c>
      <c r="R101" s="3">
        <f t="shared" si="285"/>
        <v>2.7499367319273165</v>
      </c>
      <c r="S101" s="3">
        <f t="shared" si="285"/>
        <v>2.7900321647789141</v>
      </c>
      <c r="T101" s="3">
        <f t="shared" si="285"/>
        <v>3.618356448539922</v>
      </c>
      <c r="U101" s="3">
        <f t="shared" si="285"/>
        <v>4.9507715202464277</v>
      </c>
      <c r="V101" s="3">
        <f t="shared" si="285"/>
        <v>6.0098996072383031</v>
      </c>
      <c r="X101" s="3">
        <f t="shared" si="256"/>
        <v>2.880215152867692</v>
      </c>
      <c r="Y101" s="3">
        <f t="shared" si="257"/>
        <v>3.0943286138531914</v>
      </c>
      <c r="Z101" s="3">
        <f t="shared" si="258"/>
        <v>3.2561677381747867</v>
      </c>
      <c r="AA101" s="3">
        <f t="shared" si="259"/>
        <v>2.7499367319273165</v>
      </c>
      <c r="AB101" s="3">
        <f t="shared" si="260"/>
        <v>2.7900321647789141</v>
      </c>
      <c r="AC101" s="3">
        <f>(1-AC$27)*AC$15</f>
        <v>3.9179884131888287</v>
      </c>
      <c r="AD101" s="3">
        <f>(1-AD$27)*AD$15</f>
        <v>5.7604577966032817</v>
      </c>
      <c r="AE101" s="3">
        <f>(1-AE$27)*AE$15</f>
        <v>7.46590394972689</v>
      </c>
    </row>
    <row r="102" spans="1:47">
      <c r="A102" t="s">
        <v>16</v>
      </c>
      <c r="C102" t="str">
        <f>C98</f>
        <v>BRT</v>
      </c>
      <c r="D102" t="s">
        <v>48</v>
      </c>
      <c r="E102" s="250">
        <v>0.01</v>
      </c>
      <c r="F102" s="53">
        <f t="shared" si="246"/>
        <v>0.01</v>
      </c>
      <c r="G102" s="53">
        <f t="shared" si="278"/>
        <v>5.0000000000000001E-3</v>
      </c>
      <c r="H102" s="53">
        <f t="shared" si="279"/>
        <v>0.01</v>
      </c>
      <c r="I102" s="53">
        <f t="shared" si="280"/>
        <v>0.01</v>
      </c>
      <c r="J102" s="53">
        <f t="shared" si="281"/>
        <v>0.02</v>
      </c>
      <c r="K102" s="53">
        <f t="shared" si="282"/>
        <v>0.03</v>
      </c>
      <c r="L102" s="53">
        <f t="shared" si="283"/>
        <v>0.03</v>
      </c>
      <c r="M102" s="53">
        <f t="shared" si="284"/>
        <v>0.03</v>
      </c>
      <c r="N102" s="213"/>
      <c r="O102" s="204">
        <f>E102</f>
        <v>0.01</v>
      </c>
      <c r="P102" s="204">
        <v>5.0000000000000001E-3</v>
      </c>
      <c r="Q102" s="204">
        <v>0.01</v>
      </c>
      <c r="R102" s="204">
        <f>Q102</f>
        <v>0.01</v>
      </c>
      <c r="S102" s="204">
        <f>AVERAGE(R102,T102)</f>
        <v>0.02</v>
      </c>
      <c r="T102" s="28">
        <v>0.03</v>
      </c>
      <c r="U102" s="28">
        <v>0.03</v>
      </c>
      <c r="V102" s="28">
        <v>0.03</v>
      </c>
      <c r="W102" s="212"/>
      <c r="X102" s="3">
        <f t="shared" si="256"/>
        <v>0.01</v>
      </c>
      <c r="Y102" s="3">
        <f t="shared" si="257"/>
        <v>5.0000000000000001E-3</v>
      </c>
      <c r="Z102" s="3">
        <f t="shared" si="258"/>
        <v>0.01</v>
      </c>
      <c r="AA102" s="3">
        <f t="shared" si="259"/>
        <v>0.01</v>
      </c>
      <c r="AB102" s="3">
        <f t="shared" si="260"/>
        <v>0.02</v>
      </c>
      <c r="AC102" s="59">
        <v>7.0000000000000007E-2</v>
      </c>
      <c r="AD102" s="59">
        <v>0.2</v>
      </c>
      <c r="AE102" s="59">
        <v>0.4</v>
      </c>
      <c r="AF102" s="212"/>
      <c r="AG102" s="212"/>
      <c r="AH102" s="212"/>
      <c r="AI102" s="212"/>
      <c r="AJ102" s="212"/>
      <c r="AK102" s="212"/>
      <c r="AL102" s="212"/>
      <c r="AM102" s="212"/>
      <c r="AN102" s="212"/>
      <c r="AO102" s="212"/>
      <c r="AP102" s="212"/>
      <c r="AQ102" s="212"/>
      <c r="AR102" s="212"/>
      <c r="AS102" s="212"/>
      <c r="AT102" s="212"/>
      <c r="AU102" s="212"/>
    </row>
    <row r="103" spans="1:47">
      <c r="A103" t="s">
        <v>16</v>
      </c>
      <c r="C103" t="str">
        <f>C99</f>
        <v>Gautrain</v>
      </c>
      <c r="D103" t="s">
        <v>48</v>
      </c>
      <c r="E103" s="250">
        <v>5.0000000000000001E-3</v>
      </c>
      <c r="F103" s="122">
        <f t="shared" si="246"/>
        <v>5.0000000000000001E-3</v>
      </c>
      <c r="G103" s="122">
        <f t="shared" si="278"/>
        <v>5.0000000000000001E-3</v>
      </c>
      <c r="H103" s="122">
        <f t="shared" si="279"/>
        <v>5.0000000000000001E-3</v>
      </c>
      <c r="I103" s="122">
        <f t="shared" si="280"/>
        <v>5.0000000000000001E-3</v>
      </c>
      <c r="J103" s="122">
        <f t="shared" si="281"/>
        <v>5.0000000000000001E-3</v>
      </c>
      <c r="K103" s="122">
        <f t="shared" si="282"/>
        <v>5.0000000000000001E-3</v>
      </c>
      <c r="L103" s="122">
        <f t="shared" si="283"/>
        <v>5.0000000000000001E-3</v>
      </c>
      <c r="M103" s="122">
        <f t="shared" si="284"/>
        <v>5.0000000000000001E-3</v>
      </c>
      <c r="N103" s="213"/>
      <c r="O103" s="204">
        <f>E103</f>
        <v>5.0000000000000001E-3</v>
      </c>
      <c r="P103" s="204">
        <f>O103</f>
        <v>5.0000000000000001E-3</v>
      </c>
      <c r="Q103" s="204">
        <f>P103</f>
        <v>5.0000000000000001E-3</v>
      </c>
      <c r="R103" s="204">
        <v>5.0000000000000001E-3</v>
      </c>
      <c r="S103" s="204">
        <f>AVERAGE(R103,T103)</f>
        <v>5.0000000000000001E-3</v>
      </c>
      <c r="T103" s="40">
        <f>R103</f>
        <v>5.0000000000000001E-3</v>
      </c>
      <c r="U103" s="40">
        <f>T103</f>
        <v>5.0000000000000001E-3</v>
      </c>
      <c r="V103" s="40">
        <f>U103</f>
        <v>5.0000000000000001E-3</v>
      </c>
      <c r="W103" s="212"/>
      <c r="X103" s="3">
        <f t="shared" si="256"/>
        <v>5.0000000000000001E-3</v>
      </c>
      <c r="Y103" s="3">
        <f t="shared" si="257"/>
        <v>5.0000000000000001E-3</v>
      </c>
      <c r="Z103" s="3">
        <f t="shared" si="258"/>
        <v>5.0000000000000001E-3</v>
      </c>
      <c r="AA103" s="3">
        <f t="shared" si="259"/>
        <v>5.0000000000000001E-3</v>
      </c>
      <c r="AB103" s="3">
        <f t="shared" si="260"/>
        <v>5.0000000000000001E-3</v>
      </c>
      <c r="AC103" s="59">
        <f>AC89</f>
        <v>0.01</v>
      </c>
      <c r="AD103" s="59">
        <f>AD89</f>
        <v>0.03</v>
      </c>
      <c r="AE103" s="59">
        <f>AE89</f>
        <v>0.05</v>
      </c>
      <c r="AF103" s="212"/>
      <c r="AG103" s="212"/>
      <c r="AH103" s="212"/>
      <c r="AI103" s="212"/>
      <c r="AJ103" s="212"/>
      <c r="AK103" s="212"/>
      <c r="AL103" s="212"/>
      <c r="AM103" s="212"/>
      <c r="AN103" s="212"/>
      <c r="AO103" s="212"/>
      <c r="AP103" s="212"/>
      <c r="AQ103" s="212"/>
      <c r="AR103" s="212"/>
      <c r="AS103" s="212"/>
      <c r="AT103" s="212"/>
      <c r="AU103" s="212"/>
    </row>
    <row r="104" spans="1:47">
      <c r="A104" t="s">
        <v>16</v>
      </c>
      <c r="C104" t="str">
        <f>C100</f>
        <v>Bus, minibus, metro rail</v>
      </c>
      <c r="D104" t="s">
        <v>48</v>
      </c>
      <c r="E104" s="27">
        <f t="shared" ref="E104" si="286">1-SUM(E102:E103)</f>
        <v>0.98499999999999999</v>
      </c>
      <c r="F104" s="27">
        <f>1-SUM(F102:F103)</f>
        <v>0.98499999999999999</v>
      </c>
      <c r="G104" s="27">
        <f t="shared" ref="G104:M104" si="287">1-SUM(G102:G103)</f>
        <v>0.99</v>
      </c>
      <c r="H104" s="27">
        <f t="shared" si="287"/>
        <v>0.98499999999999999</v>
      </c>
      <c r="I104" s="27">
        <f t="shared" si="287"/>
        <v>0.98499999999999999</v>
      </c>
      <c r="J104" s="27">
        <f t="shared" si="287"/>
        <v>0.97499999999999998</v>
      </c>
      <c r="K104" s="27">
        <f t="shared" si="287"/>
        <v>0.96499999999999997</v>
      </c>
      <c r="L104" s="27">
        <f t="shared" si="287"/>
        <v>0.96499999999999997</v>
      </c>
      <c r="M104" s="27">
        <f t="shared" si="287"/>
        <v>0.96499999999999997</v>
      </c>
      <c r="N104" s="213"/>
      <c r="O104" s="27">
        <f>1-SUM(O102:O103)</f>
        <v>0.98499999999999999</v>
      </c>
      <c r="P104" s="27">
        <f t="shared" ref="P104:V104" si="288">1-SUM(P102:P103)</f>
        <v>0.99</v>
      </c>
      <c r="Q104" s="27">
        <f t="shared" si="288"/>
        <v>0.98499999999999999</v>
      </c>
      <c r="R104" s="27">
        <f t="shared" si="288"/>
        <v>0.98499999999999999</v>
      </c>
      <c r="S104" s="27">
        <f t="shared" si="288"/>
        <v>0.97499999999999998</v>
      </c>
      <c r="T104" s="27">
        <f t="shared" si="288"/>
        <v>0.96499999999999997</v>
      </c>
      <c r="U104" s="27">
        <f t="shared" si="288"/>
        <v>0.96499999999999997</v>
      </c>
      <c r="V104" s="27">
        <f t="shared" si="288"/>
        <v>0.96499999999999997</v>
      </c>
      <c r="W104" s="212"/>
      <c r="X104" s="27">
        <f>1-SUM(X102:X103)</f>
        <v>0.98499999999999999</v>
      </c>
      <c r="Y104" s="27">
        <f t="shared" ref="Y104:AB104" si="289">1-SUM(Y102:Y103)</f>
        <v>0.99</v>
      </c>
      <c r="Z104" s="27">
        <f t="shared" si="289"/>
        <v>0.98499999999999999</v>
      </c>
      <c r="AA104" s="27">
        <f t="shared" si="289"/>
        <v>0.98499999999999999</v>
      </c>
      <c r="AB104" s="27">
        <f t="shared" si="289"/>
        <v>0.97499999999999998</v>
      </c>
      <c r="AC104" s="27">
        <f>1-SUM(AC102:AC103)</f>
        <v>0.92</v>
      </c>
      <c r="AD104" s="27">
        <f>1-SUM(AD102:AD103)</f>
        <v>0.77</v>
      </c>
      <c r="AE104" s="27">
        <f>1-SUM(AE102:AE103)</f>
        <v>0.55000000000000004</v>
      </c>
      <c r="AF104" s="212"/>
      <c r="AG104" s="212"/>
      <c r="AH104" s="212"/>
      <c r="AI104" s="212"/>
      <c r="AJ104" s="212"/>
      <c r="AK104" s="212"/>
      <c r="AL104" s="212"/>
      <c r="AM104" s="212"/>
      <c r="AN104" s="212"/>
      <c r="AO104" s="212"/>
      <c r="AP104" s="212"/>
      <c r="AQ104" s="212"/>
      <c r="AR104" s="212"/>
      <c r="AS104" s="212"/>
      <c r="AT104" s="212"/>
      <c r="AU104" s="212"/>
    </row>
    <row r="105" spans="1:47">
      <c r="A105" t="s">
        <v>16</v>
      </c>
      <c r="C105" s="19"/>
      <c r="E105" s="205"/>
      <c r="F105" s="205"/>
      <c r="G105" s="205"/>
      <c r="I105" s="205"/>
      <c r="K105" s="205"/>
      <c r="L105" s="205"/>
      <c r="M105" s="205"/>
      <c r="N105" s="34"/>
    </row>
    <row r="106" spans="1:47" ht="15.75" thickBot="1">
      <c r="A106" t="s">
        <v>16</v>
      </c>
      <c r="C106" s="14" t="s">
        <v>194</v>
      </c>
      <c r="F106" s="205"/>
      <c r="G106" s="205"/>
      <c r="I106" s="205"/>
      <c r="K106" s="205"/>
      <c r="L106" s="205"/>
      <c r="M106" s="205"/>
      <c r="N106" s="34"/>
    </row>
    <row r="107" spans="1:47">
      <c r="A107" t="s">
        <v>16</v>
      </c>
      <c r="C107" s="19" t="str">
        <f>C54</f>
        <v>Low Income</v>
      </c>
      <c r="D107" t="s">
        <v>173</v>
      </c>
      <c r="E107" s="3">
        <f t="shared" ref="E107" si="290">E25*E13*E30*E41</f>
        <v>1.0500945174312</v>
      </c>
      <c r="F107" s="3">
        <f t="shared" ref="F107:F108" si="291">IF($D$4,X107,O107)</f>
        <v>0.94813201981803652</v>
      </c>
      <c r="G107" s="3">
        <f t="shared" ref="G107:G108" si="292">IF($D$4,Y107,P107)</f>
        <v>0.95104494317767596</v>
      </c>
      <c r="H107" s="3">
        <f t="shared" ref="H107:H108" si="293">IF($D$4,Z107,Q107)</f>
        <v>0.95811068480591965</v>
      </c>
      <c r="I107" s="3">
        <f t="shared" ref="I107:I108" si="294">IF($D$4,AA107,R107)</f>
        <v>0.99694052475857964</v>
      </c>
      <c r="J107" s="3">
        <f t="shared" ref="J107:J108" si="295">IF($D$4,AB107,S107)</f>
        <v>1.1573501120965868</v>
      </c>
      <c r="K107" s="3">
        <f t="shared" ref="K107:K108" si="296">IF($D$4,AC107,T107)</f>
        <v>1.0962093597500584</v>
      </c>
      <c r="L107" s="3">
        <f t="shared" ref="L107:L108" si="297">IF($D$4,AD107,U107)</f>
        <v>0.94655088215907357</v>
      </c>
      <c r="M107" s="3">
        <f t="shared" ref="M107:M108" si="298">IF($D$4,AE107,V107)</f>
        <v>0.82108412165496347</v>
      </c>
      <c r="N107" s="34"/>
      <c r="O107" s="3">
        <f t="shared" ref="O107:V109" si="299">O25*O13*O30*O41</f>
        <v>0.94813201981803652</v>
      </c>
      <c r="P107" s="3">
        <f t="shared" si="299"/>
        <v>0.95104494317767596</v>
      </c>
      <c r="Q107" s="3">
        <f t="shared" si="299"/>
        <v>0.95811068480591965</v>
      </c>
      <c r="R107" s="3">
        <f t="shared" si="299"/>
        <v>0.99694052475857964</v>
      </c>
      <c r="S107" s="3">
        <f t="shared" si="299"/>
        <v>1.1573501120965868</v>
      </c>
      <c r="T107" s="261">
        <f t="shared" si="299"/>
        <v>1.0962093597500584</v>
      </c>
      <c r="U107" s="261">
        <f t="shared" si="299"/>
        <v>0.94655088215907357</v>
      </c>
      <c r="V107" s="261">
        <f t="shared" si="299"/>
        <v>0.82108412165496347</v>
      </c>
      <c r="X107" s="3">
        <f>O107</f>
        <v>0.94813201981803652</v>
      </c>
      <c r="Y107" s="3">
        <f t="shared" ref="Y107:AB107" si="300">P107</f>
        <v>0.95104494317767596</v>
      </c>
      <c r="Z107" s="3">
        <f t="shared" si="300"/>
        <v>0.95811068480591965</v>
      </c>
      <c r="AA107" s="3">
        <f t="shared" si="300"/>
        <v>0.99694052475857964</v>
      </c>
      <c r="AB107" s="3">
        <f t="shared" si="300"/>
        <v>1.1573501120965868</v>
      </c>
      <c r="AC107" s="261">
        <f t="shared" ref="AC107:AE109" si="301">AC25*AC13*AC30*AC41</f>
        <v>2.4733223679360692</v>
      </c>
      <c r="AD107" s="261">
        <f t="shared" si="301"/>
        <v>1.5419432189231577</v>
      </c>
      <c r="AE107" s="261">
        <f t="shared" si="301"/>
        <v>1.2071445586990288</v>
      </c>
    </row>
    <row r="108" spans="1:47">
      <c r="A108" t="s">
        <v>16</v>
      </c>
      <c r="C108" s="19" t="str">
        <f>C55</f>
        <v>Middle Income</v>
      </c>
      <c r="D108" t="s">
        <v>173</v>
      </c>
      <c r="E108" s="3">
        <f>E26*E14*E31*E42</f>
        <v>34.954725291964877</v>
      </c>
      <c r="F108" s="3">
        <f t="shared" si="291"/>
        <v>34.116567387912205</v>
      </c>
      <c r="G108" s="3">
        <f t="shared" si="292"/>
        <v>35.69243782424283</v>
      </c>
      <c r="H108" s="3">
        <f t="shared" si="293"/>
        <v>37.646057473717377</v>
      </c>
      <c r="I108" s="3">
        <f t="shared" si="294"/>
        <v>39.561270884220072</v>
      </c>
      <c r="J108" s="3">
        <f t="shared" si="295"/>
        <v>34.384086443082801</v>
      </c>
      <c r="K108" s="3">
        <f t="shared" si="296"/>
        <v>42.8016488283398</v>
      </c>
      <c r="L108" s="3">
        <f t="shared" si="297"/>
        <v>49.880425204082115</v>
      </c>
      <c r="M108" s="3">
        <f t="shared" si="298"/>
        <v>55.248010455259553</v>
      </c>
      <c r="N108" s="34"/>
      <c r="O108" s="3">
        <f t="shared" si="299"/>
        <v>34.116567387912205</v>
      </c>
      <c r="P108" s="3">
        <f t="shared" si="299"/>
        <v>35.69243782424283</v>
      </c>
      <c r="Q108" s="3">
        <f t="shared" si="299"/>
        <v>37.646057473717377</v>
      </c>
      <c r="R108" s="3">
        <f t="shared" si="299"/>
        <v>39.561270884220072</v>
      </c>
      <c r="S108" s="3">
        <f t="shared" si="299"/>
        <v>34.384086443082801</v>
      </c>
      <c r="T108" s="261">
        <f t="shared" si="299"/>
        <v>42.8016488283398</v>
      </c>
      <c r="U108" s="261">
        <f t="shared" si="299"/>
        <v>49.880425204082115</v>
      </c>
      <c r="V108" s="261">
        <f t="shared" si="299"/>
        <v>55.248010455259553</v>
      </c>
      <c r="X108" s="3">
        <f t="shared" ref="X108:X111" si="302">O108</f>
        <v>34.116567387912205</v>
      </c>
      <c r="Y108" s="3">
        <f t="shared" ref="Y108:Y111" si="303">P108</f>
        <v>35.69243782424283</v>
      </c>
      <c r="Z108" s="3">
        <f t="shared" ref="Z108:Z111" si="304">Q108</f>
        <v>37.646057473717377</v>
      </c>
      <c r="AA108" s="3">
        <f t="shared" ref="AA108:AA111" si="305">R108</f>
        <v>39.561270884220072</v>
      </c>
      <c r="AB108" s="3">
        <f t="shared" ref="AB108:AB111" si="306">S108</f>
        <v>34.384086443082801</v>
      </c>
      <c r="AC108" s="261">
        <f t="shared" si="301"/>
        <v>36.697063664197827</v>
      </c>
      <c r="AD108" s="261">
        <f t="shared" si="301"/>
        <v>38.596522177313268</v>
      </c>
      <c r="AE108" s="261">
        <f t="shared" si="301"/>
        <v>36.652658924090893</v>
      </c>
    </row>
    <row r="109" spans="1:47">
      <c r="A109" t="s">
        <v>16</v>
      </c>
      <c r="C109" s="19" t="str">
        <f>C56</f>
        <v>High Income</v>
      </c>
      <c r="D109" t="s">
        <v>173</v>
      </c>
      <c r="E109" s="3">
        <f>E27*E15*E32*E43</f>
        <v>48.082249446867998</v>
      </c>
      <c r="F109" s="3">
        <f t="shared" ref="F109:F111" si="307">IF($D$4,X109,O109)</f>
        <v>52.501189854698488</v>
      </c>
      <c r="G109" s="3">
        <f t="shared" ref="G109:G111" si="308">IF($D$4,Y109,P109)</f>
        <v>56.404096710269307</v>
      </c>
      <c r="H109" s="3">
        <f t="shared" ref="H109:H111" si="309">IF($D$4,Z109,Q109)</f>
        <v>59.354135558397175</v>
      </c>
      <c r="I109" s="3">
        <f t="shared" ref="I109:I111" si="310">IF($D$4,AA109,R109)</f>
        <v>50.116558538667526</v>
      </c>
      <c r="J109" s="3">
        <f t="shared" ref="J109:J111" si="311">IF($D$4,AB109,S109)</f>
        <v>53.090106660970918</v>
      </c>
      <c r="K109" s="3">
        <f t="shared" ref="K109:K111" si="312">IF($D$4,AC109,T109)</f>
        <v>71.439159980620843</v>
      </c>
      <c r="L109" s="3">
        <f t="shared" ref="L109:L111" si="313">IF($D$4,AD109,U109)</f>
        <v>102.54859013939438</v>
      </c>
      <c r="M109" s="3">
        <f t="shared" ref="M109:M111" si="314">IF($D$4,AE109,V109)</f>
        <v>133.02582755864435</v>
      </c>
      <c r="N109" s="34"/>
      <c r="O109" s="3">
        <f t="shared" si="299"/>
        <v>52.501189854698488</v>
      </c>
      <c r="P109" s="3">
        <f t="shared" si="299"/>
        <v>56.404096710269307</v>
      </c>
      <c r="Q109" s="3">
        <f t="shared" si="299"/>
        <v>59.354135558397175</v>
      </c>
      <c r="R109" s="3">
        <f t="shared" si="299"/>
        <v>50.116558538667526</v>
      </c>
      <c r="S109" s="3">
        <f t="shared" si="299"/>
        <v>53.090106660970918</v>
      </c>
      <c r="T109" s="261">
        <f t="shared" si="299"/>
        <v>71.439159980620843</v>
      </c>
      <c r="U109" s="261">
        <f t="shared" si="299"/>
        <v>102.54859013939438</v>
      </c>
      <c r="V109" s="261">
        <f t="shared" si="299"/>
        <v>133.02582755864435</v>
      </c>
      <c r="X109" s="3">
        <f t="shared" si="302"/>
        <v>52.501189854698488</v>
      </c>
      <c r="Y109" s="3">
        <f t="shared" si="303"/>
        <v>56.404096710269307</v>
      </c>
      <c r="Z109" s="3">
        <f t="shared" si="304"/>
        <v>59.354135558397175</v>
      </c>
      <c r="AA109" s="3">
        <f t="shared" si="305"/>
        <v>50.116558538667526</v>
      </c>
      <c r="AB109" s="3">
        <f t="shared" si="306"/>
        <v>53.090106660970918</v>
      </c>
      <c r="AC109" s="261">
        <f t="shared" si="301"/>
        <v>61.120054554784573</v>
      </c>
      <c r="AD109" s="261">
        <f t="shared" si="301"/>
        <v>77.510246273578161</v>
      </c>
      <c r="AE109" s="261">
        <f t="shared" si="301"/>
        <v>87.210202974536813</v>
      </c>
    </row>
    <row r="110" spans="1:47">
      <c r="A110" t="s">
        <v>16</v>
      </c>
      <c r="C110" s="19" t="str">
        <f>C57</f>
        <v>Other (gov/company/car rental)</v>
      </c>
      <c r="D110" t="s">
        <v>173</v>
      </c>
      <c r="E110" s="3">
        <f t="shared" ref="E110" si="315">E50</f>
        <v>6.8311858080285788</v>
      </c>
      <c r="F110" s="3">
        <f t="shared" si="307"/>
        <v>7.0618553137404447</v>
      </c>
      <c r="G110" s="3">
        <f t="shared" si="308"/>
        <v>7.1431116327627917</v>
      </c>
      <c r="H110" s="3">
        <f t="shared" si="309"/>
        <v>7.1987258831010505</v>
      </c>
      <c r="I110" s="3">
        <f t="shared" si="310"/>
        <v>7.0315162847788768</v>
      </c>
      <c r="J110" s="3">
        <f t="shared" si="311"/>
        <v>7.129114148023846</v>
      </c>
      <c r="K110" s="3">
        <f t="shared" si="312"/>
        <v>7.9729954742878641</v>
      </c>
      <c r="L110" s="3">
        <f t="shared" si="313"/>
        <v>9.4096287156953391</v>
      </c>
      <c r="M110" s="3">
        <f t="shared" si="314"/>
        <v>10.443560075102731</v>
      </c>
      <c r="N110" s="36"/>
      <c r="O110" s="3">
        <f>O50</f>
        <v>7.0618553137404447</v>
      </c>
      <c r="P110" s="3">
        <f t="shared" ref="P110:V110" si="316">P50</f>
        <v>7.1431116327627917</v>
      </c>
      <c r="Q110" s="3">
        <f t="shared" si="316"/>
        <v>7.1987258831010505</v>
      </c>
      <c r="R110" s="3">
        <f t="shared" si="316"/>
        <v>7.0315162847788768</v>
      </c>
      <c r="S110" s="3">
        <f t="shared" si="316"/>
        <v>7.129114148023846</v>
      </c>
      <c r="T110" s="261">
        <f t="shared" si="316"/>
        <v>7.9729954742878641</v>
      </c>
      <c r="U110" s="261">
        <f t="shared" si="316"/>
        <v>9.4096287156953391</v>
      </c>
      <c r="V110" s="261">
        <f t="shared" si="316"/>
        <v>10.443560075102731</v>
      </c>
      <c r="X110" s="3">
        <f t="shared" si="302"/>
        <v>7.0618553137404447</v>
      </c>
      <c r="Y110" s="3">
        <f t="shared" si="303"/>
        <v>7.1431116327627917</v>
      </c>
      <c r="Z110" s="3">
        <f t="shared" si="304"/>
        <v>7.1987258831010505</v>
      </c>
      <c r="AA110" s="3">
        <f t="shared" si="305"/>
        <v>7.0315162847788768</v>
      </c>
      <c r="AB110" s="3">
        <f t="shared" si="306"/>
        <v>7.129114148023846</v>
      </c>
      <c r="AC110" s="261">
        <f>AC50</f>
        <v>7.5853208318362526</v>
      </c>
      <c r="AD110" s="261">
        <f>AD50</f>
        <v>8.2448069515323166</v>
      </c>
      <c r="AE110" s="261">
        <f>AE50</f>
        <v>8.3489527323245341</v>
      </c>
    </row>
    <row r="111" spans="1:47">
      <c r="A111" t="s">
        <v>16</v>
      </c>
      <c r="C111" s="19" t="s">
        <v>5</v>
      </c>
      <c r="D111" t="s">
        <v>173</v>
      </c>
      <c r="E111" s="3">
        <f t="shared" ref="E111" si="317">SUM(E107:E110)</f>
        <v>90.918255064292651</v>
      </c>
      <c r="F111" s="3">
        <f t="shared" si="307"/>
        <v>94.627744576169164</v>
      </c>
      <c r="G111" s="3">
        <f t="shared" si="308"/>
        <v>100.19069111045262</v>
      </c>
      <c r="H111" s="3">
        <f t="shared" si="309"/>
        <v>105.15702960002152</v>
      </c>
      <c r="I111" s="3">
        <f t="shared" si="310"/>
        <v>97.706286232425057</v>
      </c>
      <c r="J111" s="3">
        <f t="shared" si="311"/>
        <v>95.760657364174151</v>
      </c>
      <c r="K111" s="3">
        <f t="shared" si="312"/>
        <v>123.31001364299857</v>
      </c>
      <c r="L111" s="3">
        <f t="shared" si="313"/>
        <v>162.7851949413309</v>
      </c>
      <c r="M111" s="3">
        <f t="shared" si="314"/>
        <v>199.53848221066161</v>
      </c>
      <c r="N111" s="34"/>
      <c r="O111" s="3">
        <f>SUM(O107:O110)</f>
        <v>94.627744576169164</v>
      </c>
      <c r="P111" s="3">
        <f t="shared" ref="P111:V111" si="318">SUM(P107:P110)</f>
        <v>100.19069111045262</v>
      </c>
      <c r="Q111" s="3">
        <f t="shared" si="318"/>
        <v>105.15702960002152</v>
      </c>
      <c r="R111" s="3">
        <f t="shared" si="318"/>
        <v>97.706286232425057</v>
      </c>
      <c r="S111" s="3">
        <f t="shared" si="318"/>
        <v>95.760657364174151</v>
      </c>
      <c r="T111" s="261">
        <f t="shared" si="318"/>
        <v>123.31001364299857</v>
      </c>
      <c r="U111" s="261">
        <f t="shared" si="318"/>
        <v>162.7851949413309</v>
      </c>
      <c r="V111" s="261">
        <f t="shared" si="318"/>
        <v>199.53848221066161</v>
      </c>
      <c r="X111" s="3">
        <f t="shared" si="302"/>
        <v>94.627744576169164</v>
      </c>
      <c r="Y111" s="3">
        <f t="shared" si="303"/>
        <v>100.19069111045262</v>
      </c>
      <c r="Z111" s="3">
        <f t="shared" si="304"/>
        <v>105.15702960002152</v>
      </c>
      <c r="AA111" s="3">
        <f t="shared" si="305"/>
        <v>97.706286232425057</v>
      </c>
      <c r="AB111" s="3">
        <f t="shared" si="306"/>
        <v>95.760657364174151</v>
      </c>
      <c r="AC111" s="261">
        <f>SUM(AC107:AC110)</f>
        <v>107.87576141875472</v>
      </c>
      <c r="AD111" s="261">
        <f>SUM(AD107:AD110)</f>
        <v>125.8935186213469</v>
      </c>
      <c r="AE111" s="261">
        <f>SUM(AE107:AE110)</f>
        <v>133.41895918965128</v>
      </c>
    </row>
    <row r="112" spans="1:47">
      <c r="A112" t="s">
        <v>16</v>
      </c>
      <c r="C112" s="19"/>
      <c r="E112" s="206">
        <f>SUM(E149:E151)</f>
        <v>90.918255064292637</v>
      </c>
      <c r="F112" s="206">
        <f t="shared" ref="F112:L112" si="319">SUM(F149:F151)</f>
        <v>96.867586282761309</v>
      </c>
      <c r="G112" s="206">
        <f t="shared" si="319"/>
        <v>100.19069111045262</v>
      </c>
      <c r="H112" s="206">
        <f t="shared" si="319"/>
        <v>105.15702960002152</v>
      </c>
      <c r="I112" s="206">
        <f t="shared" si="319"/>
        <v>97.706286232425057</v>
      </c>
      <c r="J112" s="206">
        <f t="shared" si="319"/>
        <v>95.760657364174136</v>
      </c>
      <c r="K112" s="206">
        <f t="shared" si="319"/>
        <v>123.31001364299857</v>
      </c>
      <c r="L112" s="206">
        <f t="shared" si="319"/>
        <v>162.7851949413309</v>
      </c>
      <c r="M112" s="206">
        <f>SUM(M149:M151)</f>
        <v>199.53848221066161</v>
      </c>
      <c r="N112" s="34"/>
    </row>
    <row r="113" spans="1:47" ht="15.75" thickBot="1">
      <c r="A113" t="s">
        <v>16</v>
      </c>
      <c r="C113" s="14" t="s">
        <v>182</v>
      </c>
      <c r="F113" s="254">
        <f>F$12</f>
        <v>2015</v>
      </c>
      <c r="G113" s="254">
        <f t="shared" ref="G113:M113" si="320">G$12</f>
        <v>2017</v>
      </c>
      <c r="H113" s="254">
        <f t="shared" si="320"/>
        <v>2019</v>
      </c>
      <c r="I113" s="254">
        <f t="shared" si="320"/>
        <v>2020</v>
      </c>
      <c r="J113" s="254">
        <f t="shared" si="320"/>
        <v>2021</v>
      </c>
      <c r="K113" s="254">
        <f t="shared" si="320"/>
        <v>2030</v>
      </c>
      <c r="L113" s="254">
        <f t="shared" si="320"/>
        <v>2040</v>
      </c>
      <c r="M113" s="254">
        <f t="shared" si="320"/>
        <v>2050</v>
      </c>
      <c r="N113" s="34"/>
      <c r="O113" s="254">
        <f>O$12</f>
        <v>2015</v>
      </c>
      <c r="P113" s="254">
        <f t="shared" si="182"/>
        <v>2017</v>
      </c>
      <c r="Q113" s="254">
        <f t="shared" si="182"/>
        <v>2019</v>
      </c>
      <c r="R113" s="254">
        <f t="shared" si="182"/>
        <v>2020</v>
      </c>
      <c r="S113" s="254">
        <f t="shared" si="182"/>
        <v>2021</v>
      </c>
      <c r="T113" s="254">
        <f t="shared" si="182"/>
        <v>2030</v>
      </c>
      <c r="U113" s="254">
        <f t="shared" si="182"/>
        <v>2040</v>
      </c>
      <c r="V113" s="254">
        <f t="shared" si="182"/>
        <v>2050</v>
      </c>
    </row>
    <row r="114" spans="1:47">
      <c r="A114" t="s">
        <v>16</v>
      </c>
      <c r="C114" s="32" t="str">
        <f>C93</f>
        <v>Low Income</v>
      </c>
      <c r="E114" s="3"/>
      <c r="F114" s="3"/>
      <c r="G114" s="3"/>
      <c r="H114" s="3"/>
      <c r="I114" s="3"/>
      <c r="J114" s="3"/>
      <c r="K114" s="3"/>
      <c r="L114" s="3"/>
      <c r="M114" s="3"/>
      <c r="N114" s="34"/>
    </row>
    <row r="115" spans="1:47">
      <c r="A115" t="s">
        <v>16</v>
      </c>
      <c r="C115" t="s">
        <v>63</v>
      </c>
      <c r="D115" t="s">
        <v>136</v>
      </c>
      <c r="E115" s="3">
        <f t="shared" ref="E115:G115" si="321">E$64*(1-E$73)*E68*(E75*E78+E93*E94)/1000</f>
        <v>1.2529651937567192E-2</v>
      </c>
      <c r="F115" s="3">
        <f t="shared" si="321"/>
        <v>1.2296785630890161E-2</v>
      </c>
      <c r="G115" s="3">
        <f t="shared" si="321"/>
        <v>0.61672823758459472</v>
      </c>
      <c r="H115" s="3">
        <f t="shared" ref="H115:J115" si="322">H$64*(1-H$73)*H68*(H75*H78+H93*H94)/1000</f>
        <v>1.2301941755901284</v>
      </c>
      <c r="I115" s="3">
        <f t="shared" si="322"/>
        <v>1.2800508818208238</v>
      </c>
      <c r="J115" s="3">
        <f t="shared" si="322"/>
        <v>4.4955659510427539</v>
      </c>
      <c r="K115" s="3">
        <f>K$64*(1-K$73)*K68*(K75*K78+K93*K94)/1000</f>
        <v>7.108636361637088</v>
      </c>
      <c r="L115" s="3">
        <f>L$64*(1-L$73)*L68*(L75*L78+L93*L94)/1000</f>
        <v>12.276279087034668</v>
      </c>
      <c r="M115" s="3">
        <f>M$64*(1-M$73)*M68*(M75*M78+M93*M94)/1000</f>
        <v>15.973559406088656</v>
      </c>
      <c r="N115" s="213"/>
      <c r="O115" s="3">
        <f>O$64*(1-O$73)*O68*(O75*O78+O93*O94)/1000</f>
        <v>1.2296785630890161E-2</v>
      </c>
      <c r="P115" s="3">
        <f t="shared" ref="P115:S115" si="323">P$64*(1-P$73)*P68*(P75*P78+P93*P94)/1000</f>
        <v>0.61672823758459472</v>
      </c>
      <c r="Q115" s="3">
        <f t="shared" si="323"/>
        <v>1.2301941755901284</v>
      </c>
      <c r="R115" s="3">
        <f t="shared" si="323"/>
        <v>1.2800508818208238</v>
      </c>
      <c r="S115" s="3">
        <f t="shared" si="323"/>
        <v>4.4955659510427539</v>
      </c>
      <c r="T115" s="261">
        <f>T$64*(1-T$73)*T68*(T75*T78+T93*T94)/1000</f>
        <v>7.108636361637088</v>
      </c>
      <c r="U115" s="261">
        <f>U$64*(1-U$73)*U68*(U75*U78+U93*U94)/1000</f>
        <v>12.276279087034668</v>
      </c>
      <c r="V115" s="261">
        <f>V$64*(1-V$73)*V68*(V75*V78+V93*V94)/1000</f>
        <v>15.973559406088656</v>
      </c>
      <c r="W115" s="212"/>
      <c r="X115" s="3">
        <f>O115</f>
        <v>1.2296785630890161E-2</v>
      </c>
      <c r="Y115" s="3">
        <f t="shared" ref="Y115:AB117" si="324">P115</f>
        <v>0.61672823758459472</v>
      </c>
      <c r="Z115" s="3">
        <f t="shared" si="324"/>
        <v>1.2301941755901284</v>
      </c>
      <c r="AA115" s="3">
        <f t="shared" si="324"/>
        <v>1.2800508818208238</v>
      </c>
      <c r="AB115" s="3">
        <f t="shared" si="324"/>
        <v>4.4955659510427539</v>
      </c>
      <c r="AC115" s="261">
        <f>AC$64*(1-AC$73)*AC68*(AC75*AC78+AC93*AC94)/1000</f>
        <v>8.7948710334672811</v>
      </c>
      <c r="AD115" s="261">
        <f>AD$64*(1-AD$73)*AD68*(AD75*AD78+AD93*AD94)/1000</f>
        <v>21.48063345368578</v>
      </c>
      <c r="AE115" s="261">
        <f>AE$64*(1-AE$73)*AE68*(AE75*AE78+AE93*AE94)/1000</f>
        <v>37.078469988830911</v>
      </c>
      <c r="AF115" s="212"/>
      <c r="AG115" s="212"/>
      <c r="AH115" s="212"/>
      <c r="AI115" s="212"/>
      <c r="AJ115" s="212"/>
      <c r="AK115" s="212"/>
      <c r="AL115" s="212"/>
      <c r="AM115" s="212"/>
      <c r="AN115" s="212"/>
      <c r="AO115" s="212"/>
      <c r="AP115" s="212"/>
      <c r="AQ115" s="212"/>
      <c r="AR115" s="212"/>
      <c r="AS115" s="212"/>
      <c r="AT115" s="212"/>
      <c r="AU115" s="212"/>
    </row>
    <row r="116" spans="1:47">
      <c r="A116" t="s">
        <v>16</v>
      </c>
      <c r="C116" t="s">
        <v>82</v>
      </c>
      <c r="D116" t="s">
        <v>136</v>
      </c>
      <c r="E116" s="3">
        <f t="shared" ref="E116:G116" si="325">E$64*(1-E$73)*E69*(E75*E79+E93*E95)/1000</f>
        <v>0</v>
      </c>
      <c r="F116" s="3">
        <f t="shared" si="325"/>
        <v>0</v>
      </c>
      <c r="G116" s="3">
        <f t="shared" si="325"/>
        <v>0</v>
      </c>
      <c r="H116" s="3">
        <f t="shared" ref="H116:J116" si="326">H$64*(1-H$73)*H69*(H75*H79+H93*H95)/1000</f>
        <v>1.6568271725119574E-2</v>
      </c>
      <c r="I116" s="3">
        <f t="shared" si="326"/>
        <v>1.7239742516105373E-2</v>
      </c>
      <c r="J116" s="3">
        <f t="shared" si="326"/>
        <v>2.001364919774181E-2</v>
      </c>
      <c r="K116" s="3">
        <f>K$64*(1-K$73)*K69*(K75*K79+K93*K95)/1000</f>
        <v>1.8956363631032237E-2</v>
      </c>
      <c r="L116" s="3">
        <f>L$64*(1-L$73)*L69*(L75*L79+L93*L95)/1000</f>
        <v>1.6368372116046227E-2</v>
      </c>
      <c r="M116" s="3">
        <f>M$64*(1-M$73)*M69*(M75*M79+M93*M95)/1000</f>
        <v>1.4198719472078809E-2</v>
      </c>
      <c r="N116" s="213"/>
      <c r="O116" s="3">
        <f>O$64*(1-O$73)*O69*(O75*O79+O93*O95)/1000</f>
        <v>0</v>
      </c>
      <c r="P116" s="3">
        <f t="shared" ref="P116:S116" si="327">P$64*(1-P$73)*P69*(P75*P79+P93*P95)/1000</f>
        <v>0</v>
      </c>
      <c r="Q116" s="3">
        <f t="shared" si="327"/>
        <v>1.6568271725119574E-2</v>
      </c>
      <c r="R116" s="3">
        <f t="shared" si="327"/>
        <v>1.7239742516105373E-2</v>
      </c>
      <c r="S116" s="3">
        <f t="shared" si="327"/>
        <v>2.001364919774181E-2</v>
      </c>
      <c r="T116" s="261">
        <f>T$64*(1-T$73)*T69*(T75*T79+T93*T95)/1000</f>
        <v>1.8956363631032237E-2</v>
      </c>
      <c r="U116" s="261">
        <f>U$64*(1-U$73)*U69*(U75*U79+U93*U95)/1000</f>
        <v>1.6368372116046227E-2</v>
      </c>
      <c r="V116" s="261">
        <f>V$64*(1-V$73)*V69*(V75*V79+V93*V95)/1000</f>
        <v>1.4198719472078809E-2</v>
      </c>
      <c r="W116" s="212"/>
      <c r="X116" s="3">
        <f t="shared" ref="X116:X117" si="328">O116</f>
        <v>0</v>
      </c>
      <c r="Y116" s="3">
        <f t="shared" si="324"/>
        <v>0</v>
      </c>
      <c r="Z116" s="3">
        <f t="shared" si="324"/>
        <v>1.6568271725119574E-2</v>
      </c>
      <c r="AA116" s="3">
        <f t="shared" si="324"/>
        <v>1.7239742516105373E-2</v>
      </c>
      <c r="AB116" s="3">
        <f t="shared" si="324"/>
        <v>2.001364919774181E-2</v>
      </c>
      <c r="AC116" s="261">
        <f>AC$64*(1-AC$73)*AC69*(AC75*AC79+AC93*AC95)/1000</f>
        <v>0</v>
      </c>
      <c r="AD116" s="261">
        <f>AD$64*(1-AD$73)*AD69*(AD75*AD79+AD93*AD95)/1000</f>
        <v>0</v>
      </c>
      <c r="AE116" s="261">
        <f>AE$64*(1-AE$73)*AE69*(AE75*AE79+AE93*AE95)/1000</f>
        <v>0</v>
      </c>
      <c r="AF116" s="212"/>
      <c r="AG116" s="212"/>
      <c r="AH116" s="212"/>
      <c r="AI116" s="212"/>
      <c r="AJ116" s="212"/>
      <c r="AK116" s="212"/>
      <c r="AL116" s="212"/>
      <c r="AM116" s="212"/>
      <c r="AN116" s="212"/>
      <c r="AO116" s="212"/>
      <c r="AP116" s="212"/>
      <c r="AQ116" s="212"/>
      <c r="AR116" s="212"/>
      <c r="AS116" s="212"/>
      <c r="AT116" s="212"/>
      <c r="AU116" s="212"/>
    </row>
    <row r="117" spans="1:47">
      <c r="A117" t="s">
        <v>16</v>
      </c>
      <c r="C117" t="s">
        <v>81</v>
      </c>
      <c r="D117" t="s">
        <v>136</v>
      </c>
      <c r="E117" s="3">
        <f>E$64*(1-E$73)*E70*(E75*E80+E93*E96)/1000</f>
        <v>83.488662693565644</v>
      </c>
      <c r="F117" s="3">
        <f t="shared" ref="F117:G117" si="329">F$64*(1-F$73)*F70*(F75*F80+F93*F96)/1000</f>
        <v>79.689643879259748</v>
      </c>
      <c r="G117" s="3">
        <f t="shared" si="329"/>
        <v>71.965588674551967</v>
      </c>
      <c r="H117" s="3">
        <f t="shared" ref="H117:J117" si="330">H$64*(1-H$73)*H70*(H75*H80+H93*H96)/1000</f>
        <v>72.134210263454193</v>
      </c>
      <c r="I117" s="3">
        <f t="shared" si="330"/>
        <v>75.057630160612362</v>
      </c>
      <c r="J117" s="3">
        <f t="shared" si="330"/>
        <v>85.361472967208186</v>
      </c>
      <c r="K117" s="3">
        <f>K$64*(1-K$73)*K70*(K75*K80+K93*K96)/1000</f>
        <v>79.172576286661609</v>
      </c>
      <c r="L117" s="3">
        <f>L$64*(1-L$73)*L70*(L75*L80+L93*L96)/1000</f>
        <v>64.747380765958255</v>
      </c>
      <c r="M117" s="3">
        <f>M$64*(1-M$73)*M70*(M75*M80+M93*M96)/1000</f>
        <v>53.028090475955125</v>
      </c>
      <c r="N117" s="213"/>
      <c r="O117" s="3">
        <f>O$64*(1-O$73)*O70*(O75*O80+O93*O96)/1000</f>
        <v>79.689643879259748</v>
      </c>
      <c r="P117" s="3">
        <f t="shared" ref="P117:S117" si="331">P$64*(1-P$73)*P70*(P75*P80+P93*P96)/1000</f>
        <v>71.965588674551967</v>
      </c>
      <c r="Q117" s="3">
        <f t="shared" si="331"/>
        <v>72.134210263454193</v>
      </c>
      <c r="R117" s="3">
        <f t="shared" si="331"/>
        <v>75.057630160612362</v>
      </c>
      <c r="S117" s="3">
        <f t="shared" si="331"/>
        <v>85.361472967208186</v>
      </c>
      <c r="T117" s="261">
        <f>T$64*(1-T$73)*T70*(T75*T80+T93*T96)/1000</f>
        <v>79.172576286661609</v>
      </c>
      <c r="U117" s="261">
        <f>U$64*(1-U$73)*U70*(U75*U80+U93*U96)/1000</f>
        <v>64.747380765958255</v>
      </c>
      <c r="V117" s="261">
        <f>V$64*(1-V$73)*V70*(V75*V80+V93*V96)/1000</f>
        <v>53.028090475955125</v>
      </c>
      <c r="W117" s="212"/>
      <c r="X117" s="3">
        <f t="shared" si="328"/>
        <v>79.689643879259748</v>
      </c>
      <c r="Y117" s="3">
        <f t="shared" si="324"/>
        <v>71.965588674551967</v>
      </c>
      <c r="Z117" s="3">
        <f t="shared" si="324"/>
        <v>72.134210263454193</v>
      </c>
      <c r="AA117" s="3">
        <f t="shared" si="324"/>
        <v>75.057630160612362</v>
      </c>
      <c r="AB117" s="3">
        <f t="shared" si="324"/>
        <v>85.361472967208186</v>
      </c>
      <c r="AC117" s="261">
        <f>AC$64*(1-AC$73)*AC70*(AC75*AC80+AC93*AC96)/1000</f>
        <v>77.013677847770481</v>
      </c>
      <c r="AD117" s="261">
        <f>AD$64*(1-AD$73)*AD70*(AD75*AD80+AD93*AD96)/1000</f>
        <v>57.453985836676651</v>
      </c>
      <c r="AE117" s="261">
        <f>AE$64*(1-AE$73)*AE70*(AE75*AE80+AE93*AE96)/1000</f>
        <v>37.588218941131331</v>
      </c>
      <c r="AF117" s="212"/>
      <c r="AG117" s="212"/>
      <c r="AH117" s="212"/>
      <c r="AI117" s="212"/>
      <c r="AJ117" s="212"/>
      <c r="AK117" s="212"/>
      <c r="AL117" s="212"/>
      <c r="AM117" s="212"/>
      <c r="AN117" s="212"/>
      <c r="AO117" s="212"/>
      <c r="AP117" s="212"/>
      <c r="AQ117" s="212"/>
      <c r="AR117" s="212"/>
      <c r="AS117" s="212"/>
      <c r="AT117" s="212"/>
      <c r="AU117" s="212"/>
    </row>
    <row r="118" spans="1:47">
      <c r="A118" t="s">
        <v>16</v>
      </c>
      <c r="C118" s="32" t="str">
        <f>C97</f>
        <v>Middle Income</v>
      </c>
      <c r="E118" s="3"/>
      <c r="F118" s="3"/>
      <c r="G118" s="3"/>
      <c r="H118" s="3"/>
      <c r="I118" s="3"/>
      <c r="J118" s="3"/>
      <c r="K118" s="3"/>
      <c r="L118" s="3"/>
      <c r="M118" s="3"/>
      <c r="N118" s="34"/>
      <c r="O118" s="3"/>
      <c r="P118" s="3"/>
      <c r="Q118" s="3"/>
      <c r="R118" s="3"/>
      <c r="S118" s="3"/>
      <c r="T118" s="3"/>
      <c r="U118" s="3"/>
      <c r="V118" s="3"/>
      <c r="X118" s="3"/>
      <c r="AA118" s="3"/>
      <c r="AC118" s="3"/>
      <c r="AD118" s="3"/>
      <c r="AE118" s="3"/>
    </row>
    <row r="119" spans="1:47">
      <c r="A119" t="s">
        <v>16</v>
      </c>
      <c r="C119" t="str">
        <f>C115</f>
        <v>BRT</v>
      </c>
      <c r="D119" t="s">
        <v>136</v>
      </c>
      <c r="E119" s="3">
        <f t="shared" ref="E119:G119" si="332">E$64*(1-E$73)*E68*(E81*E83+E97*E98)/1000</f>
        <v>0.39844293161463668</v>
      </c>
      <c r="F119" s="3">
        <f t="shared" si="332"/>
        <v>0.42270534033127205</v>
      </c>
      <c r="G119" s="3">
        <f t="shared" si="332"/>
        <v>0.63831372590005553</v>
      </c>
      <c r="H119" s="3">
        <f t="shared" ref="H119:J119" si="333">H$64*(1-H$73)*H68*(H81*H83+H97*H98)/1000</f>
        <v>0.88006760986958676</v>
      </c>
      <c r="I119" s="3">
        <f t="shared" si="333"/>
        <v>0.92484035372856965</v>
      </c>
      <c r="J119" s="3">
        <f t="shared" si="333"/>
        <v>2.4114334518008489</v>
      </c>
      <c r="K119" s="3">
        <f>K$64*(1-K$73)*K68*(K81*K83+K97*K98)/1000</f>
        <v>5.0029601119762139</v>
      </c>
      <c r="L119" s="3">
        <f>L$64*(1-L$73)*L68*(L81*L83+L97*L98)/1000</f>
        <v>11.660755344509253</v>
      </c>
      <c r="M119" s="3">
        <f>M$64*(1-M$73)*M68*(M81*M83+M97*M98)/1000</f>
        <v>19.37333725265481</v>
      </c>
      <c r="N119" s="213"/>
      <c r="O119" s="3">
        <f>O$64*(1-O$73)*O68*(O81*O83+O97*O98)/1000</f>
        <v>0.42270534033127205</v>
      </c>
      <c r="P119" s="3">
        <f t="shared" ref="P119:S119" si="334">P$64*(1-P$73)*P68*(P81*P83+P97*P98)/1000</f>
        <v>0.63831372590005553</v>
      </c>
      <c r="Q119" s="3">
        <f t="shared" si="334"/>
        <v>0.88006760986958676</v>
      </c>
      <c r="R119" s="3">
        <f t="shared" si="334"/>
        <v>0.92484035372856965</v>
      </c>
      <c r="S119" s="3">
        <f t="shared" si="334"/>
        <v>2.4114334518008489</v>
      </c>
      <c r="T119" s="261">
        <f>T$64*(1-T$73)*T68*(T81*T83+T97*T98)/1000</f>
        <v>5.0029601119762139</v>
      </c>
      <c r="U119" s="261">
        <f>U$64*(1-U$73)*U68*(U81*U83+U97*U98)/1000</f>
        <v>11.660755344509253</v>
      </c>
      <c r="V119" s="261">
        <f>V$64*(1-V$73)*V68*(V81*V83+V97*V98)/1000</f>
        <v>19.37333725265481</v>
      </c>
      <c r="W119" s="212"/>
      <c r="X119" s="3">
        <f>O119</f>
        <v>0.42270534033127205</v>
      </c>
      <c r="Y119" s="3">
        <f t="shared" ref="Y119:AB119" si="335">P119</f>
        <v>0.63831372590005553</v>
      </c>
      <c r="Z119" s="3">
        <f t="shared" si="335"/>
        <v>0.88006760986958676</v>
      </c>
      <c r="AA119" s="3">
        <f t="shared" si="335"/>
        <v>0.92484035372856965</v>
      </c>
      <c r="AB119" s="3">
        <f t="shared" si="335"/>
        <v>2.4114334518008489</v>
      </c>
      <c r="AC119" s="261">
        <f>AC$64*(1-AC$73)*AC68*(AC81*AC83+AC97*AC98)/1000</f>
        <v>6.1897087897008038</v>
      </c>
      <c r="AD119" s="261">
        <f>AD$64*(1-AD$73)*AD68*(AD81*AD83+AD97*AD98)/1000</f>
        <v>18.145172580921347</v>
      </c>
      <c r="AE119" s="261">
        <f>AE$64*(1-AE$73)*AE68*(AE81*AE83+AE97*AE98)/1000</f>
        <v>37.875235138573885</v>
      </c>
      <c r="AF119" s="212"/>
      <c r="AG119" s="212"/>
      <c r="AH119" s="212"/>
      <c r="AI119" s="212"/>
      <c r="AJ119" s="212"/>
      <c r="AK119" s="212"/>
      <c r="AL119" s="212"/>
      <c r="AM119" s="212"/>
      <c r="AN119" s="212"/>
      <c r="AO119" s="212"/>
      <c r="AP119" s="212"/>
      <c r="AQ119" s="212"/>
      <c r="AR119" s="212"/>
      <c r="AS119" s="212"/>
      <c r="AT119" s="212"/>
      <c r="AU119" s="212"/>
    </row>
    <row r="120" spans="1:47">
      <c r="A120" t="s">
        <v>16</v>
      </c>
      <c r="C120" t="str">
        <f>C116</f>
        <v>Gautrain</v>
      </c>
      <c r="D120" t="s">
        <v>136</v>
      </c>
      <c r="E120" s="3">
        <f t="shared" ref="E120:G120" si="336">E$64*(1-E$73)*E69*(E81*E84+E97*E99)/1000</f>
        <v>0.20047443100107509</v>
      </c>
      <c r="F120" s="3">
        <f t="shared" si="336"/>
        <v>0.21268193224214943</v>
      </c>
      <c r="G120" s="3">
        <f t="shared" si="336"/>
        <v>0.22250587395208909</v>
      </c>
      <c r="H120" s="3">
        <f t="shared" ref="H120:J120" si="337">H$64*(1-H$73)*H69*(H81*H84+H97*H99)/1000</f>
        <v>0.23468469596522318</v>
      </c>
      <c r="I120" s="3">
        <f t="shared" si="337"/>
        <v>0.24662409432761853</v>
      </c>
      <c r="J120" s="3">
        <f t="shared" si="337"/>
        <v>0.21434964016007546</v>
      </c>
      <c r="K120" s="3">
        <f>K$64*(1-K$73)*K69*(K81*K84+K97*K99)/1000</f>
        <v>0.26682453930539807</v>
      </c>
      <c r="L120" s="3">
        <f>L$64*(1-L$73)*L69*(L81*L84+L97*L99)/1000</f>
        <v>0.31095347585358007</v>
      </c>
      <c r="M120" s="3">
        <f>M$64*(1-M$73)*M69*(M81*M84+M97*M99)/1000</f>
        <v>0.3444148844916412</v>
      </c>
      <c r="N120" s="213"/>
      <c r="O120" s="3">
        <f>O$64*(1-O$73)*O69*(O81*O84+O97*O99)/1000</f>
        <v>0.21268193224214943</v>
      </c>
      <c r="P120" s="3">
        <f t="shared" ref="P120:S120" si="338">P$64*(1-P$73)*P69*(P81*P84+P97*P99)/1000</f>
        <v>0.22250587395208909</v>
      </c>
      <c r="Q120" s="3">
        <f t="shared" si="338"/>
        <v>0.23468469596522318</v>
      </c>
      <c r="R120" s="3">
        <f t="shared" si="338"/>
        <v>0.24662409432761853</v>
      </c>
      <c r="S120" s="3">
        <f t="shared" si="338"/>
        <v>0.21434964016007546</v>
      </c>
      <c r="T120" s="261">
        <f>T$64*(1-T$73)*T69*(T81*T84+T97*T99)/1000</f>
        <v>0.26682453930539807</v>
      </c>
      <c r="U120" s="261">
        <f>U$64*(1-U$73)*U69*(U81*U84+U97*U99)/1000</f>
        <v>0.31095347585358007</v>
      </c>
      <c r="V120" s="261">
        <f>V$64*(1-V$73)*V69*(V81*V84+V97*V99)/1000</f>
        <v>0.3444148844916412</v>
      </c>
      <c r="W120" s="212"/>
      <c r="X120" s="3">
        <f t="shared" ref="X120:X121" si="339">O120</f>
        <v>0.21268193224214943</v>
      </c>
      <c r="Y120" s="3">
        <f t="shared" ref="Y120:Y121" si="340">P120</f>
        <v>0.22250587395208909</v>
      </c>
      <c r="Z120" s="3">
        <f t="shared" ref="Z120:Z121" si="341">Q120</f>
        <v>0.23468469596522318</v>
      </c>
      <c r="AA120" s="3">
        <f t="shared" ref="AA120:AA121" si="342">R120</f>
        <v>0.24662409432761853</v>
      </c>
      <c r="AB120" s="3">
        <f t="shared" ref="AB120:AB121" si="343">S120</f>
        <v>0.21434964016007546</v>
      </c>
      <c r="AC120" s="261">
        <f>AC$64*(1-AC$73)*AC69*(AC81*AC84+AC97*AC99)/1000</f>
        <v>1.1789921504192007</v>
      </c>
      <c r="AD120" s="261">
        <f>AD$64*(1-AD$73)*AD69*(AD81*AD84+AD97*AD99)/1000</f>
        <v>2.7479609494037311</v>
      </c>
      <c r="AE120" s="261">
        <f>AE$64*(1-AE$73)*AE69*(AE81*AE84+AE97*AE99)/1000</f>
        <v>4.5654996316333829</v>
      </c>
      <c r="AF120" s="212"/>
      <c r="AG120" s="212"/>
      <c r="AH120" s="212"/>
      <c r="AI120" s="212"/>
      <c r="AJ120" s="212"/>
      <c r="AK120" s="212"/>
      <c r="AL120" s="212"/>
      <c r="AM120" s="212"/>
      <c r="AN120" s="212"/>
      <c r="AO120" s="212"/>
      <c r="AP120" s="212"/>
      <c r="AQ120" s="212"/>
      <c r="AR120" s="212"/>
      <c r="AS120" s="212"/>
      <c r="AT120" s="212"/>
      <c r="AU120" s="212"/>
    </row>
    <row r="121" spans="1:47">
      <c r="A121" t="s">
        <v>16</v>
      </c>
      <c r="C121" t="str">
        <f>C117</f>
        <v>Bus, minibus, metro rail</v>
      </c>
      <c r="D121" t="s">
        <v>136</v>
      </c>
      <c r="E121" s="3">
        <f t="shared" ref="E121:G121" si="344">E$64*(1-E$73)*E70*(E81*E85+E97*E100)/1000</f>
        <v>35.619555224746598</v>
      </c>
      <c r="F121" s="3">
        <f t="shared" si="344"/>
        <v>38.081344183480468</v>
      </c>
      <c r="G121" s="3">
        <f t="shared" si="344"/>
        <v>35.930509643817174</v>
      </c>
      <c r="H121" s="3">
        <f t="shared" ref="H121:J121" si="345">H$64*(1-H$73)*H70*(H81*H85+H97*H100)/1000</f>
        <v>37.775315095275261</v>
      </c>
      <c r="I121" s="3">
        <f t="shared" si="345"/>
        <v>39.697104385081929</v>
      </c>
      <c r="J121" s="3">
        <f t="shared" si="345"/>
        <v>33.555017780239261</v>
      </c>
      <c r="K121" s="3">
        <f>K$64*(1-K$73)*K70*(K81*K85+K97*K100)/1000</f>
        <v>40.590623855982727</v>
      </c>
      <c r="L121" s="3">
        <f>L$64*(1-L$73)*L70*(L81*L85+L97*L100)/1000</f>
        <v>43.868777353132785</v>
      </c>
      <c r="M121" s="3">
        <f>M$64*(1-M$73)*M70*(M81*M85+M97*M100)/1000</f>
        <v>44.78487185396704</v>
      </c>
      <c r="N121" s="213"/>
      <c r="O121" s="3">
        <f>O$64*(1-O$73)*O70*(O81*O85+O97*O100)/1000</f>
        <v>38.081344183480468</v>
      </c>
      <c r="P121" s="3">
        <f t="shared" ref="P121:S121" si="346">P$64*(1-P$73)*P70*(P81*P85+P97*P100)/1000</f>
        <v>35.930509643817174</v>
      </c>
      <c r="Q121" s="3">
        <f t="shared" si="346"/>
        <v>37.775315095275261</v>
      </c>
      <c r="R121" s="3">
        <f t="shared" si="346"/>
        <v>39.697104385081929</v>
      </c>
      <c r="S121" s="3">
        <f t="shared" si="346"/>
        <v>33.555017780239261</v>
      </c>
      <c r="T121" s="261">
        <f>T$64*(1-T$73)*T70*(T81*T85+T97*T100)/1000</f>
        <v>40.590623855982727</v>
      </c>
      <c r="U121" s="261">
        <f>U$64*(1-U$73)*U70*(U81*U85+U97*U100)/1000</f>
        <v>43.868777353132785</v>
      </c>
      <c r="V121" s="261">
        <f>V$64*(1-V$73)*V70*(V81*V85+V97*V100)/1000</f>
        <v>44.78487185396704</v>
      </c>
      <c r="W121" s="212"/>
      <c r="X121" s="3">
        <f t="shared" si="339"/>
        <v>38.081344183480468</v>
      </c>
      <c r="Y121" s="3">
        <f t="shared" si="340"/>
        <v>35.930509643817174</v>
      </c>
      <c r="Z121" s="3">
        <f t="shared" si="341"/>
        <v>37.775315095275261</v>
      </c>
      <c r="AA121" s="3">
        <f t="shared" si="342"/>
        <v>39.697104385081929</v>
      </c>
      <c r="AB121" s="3">
        <f t="shared" si="343"/>
        <v>33.555017780239261</v>
      </c>
      <c r="AC121" s="261">
        <f>AC$64*(1-AC$73)*AC70*(AC81*AC85+AC97*AC100)/1000</f>
        <v>41.121285126434046</v>
      </c>
      <c r="AD121" s="261">
        <f>AD$64*(1-AD$73)*AD70*(AD81*AD85+AD97*AD100)/1000</f>
        <v>41.437205705077488</v>
      </c>
      <c r="AE121" s="261">
        <f>AE$64*(1-AE$73)*AE70*(AE81*AE85+AE97*AE100)/1000</f>
        <v>35.462266569629698</v>
      </c>
      <c r="AF121" s="212"/>
      <c r="AG121" s="212"/>
      <c r="AH121" s="212"/>
      <c r="AI121" s="212"/>
      <c r="AJ121" s="212"/>
      <c r="AK121" s="212"/>
      <c r="AL121" s="212"/>
      <c r="AM121" s="212"/>
      <c r="AN121" s="212"/>
      <c r="AO121" s="212"/>
      <c r="AP121" s="212"/>
      <c r="AQ121" s="212"/>
      <c r="AR121" s="212"/>
      <c r="AS121" s="212"/>
      <c r="AT121" s="212"/>
      <c r="AU121" s="212"/>
    </row>
    <row r="122" spans="1:47">
      <c r="A122" t="s">
        <v>16</v>
      </c>
      <c r="C122" s="32" t="str">
        <f>C101</f>
        <v>High Income</v>
      </c>
      <c r="E122" s="3"/>
      <c r="F122" s="3"/>
      <c r="G122" s="3"/>
      <c r="H122" s="3"/>
      <c r="I122" s="3"/>
      <c r="J122" s="3"/>
      <c r="K122" s="3"/>
      <c r="L122" s="3"/>
      <c r="M122" s="3"/>
      <c r="N122" s="34"/>
      <c r="O122" s="3"/>
      <c r="P122" s="3"/>
      <c r="Q122" s="3"/>
      <c r="R122" s="3"/>
      <c r="S122" s="3"/>
      <c r="T122" s="3"/>
      <c r="U122" s="3"/>
      <c r="V122" s="3"/>
      <c r="X122" s="3"/>
      <c r="AA122" s="3"/>
      <c r="AC122" s="3"/>
      <c r="AD122" s="3"/>
      <c r="AE122" s="3"/>
    </row>
    <row r="123" spans="1:47">
      <c r="A123" t="s">
        <v>16</v>
      </c>
      <c r="C123" t="str">
        <f>C119</f>
        <v>BRT</v>
      </c>
      <c r="D123" t="s">
        <v>136</v>
      </c>
      <c r="E123" s="3">
        <f t="shared" ref="E123:G123" si="347">E$64*(1-E$73)*E68*(E86*E88+E101*E102)/1000</f>
        <v>0.11622098770197462</v>
      </c>
      <c r="F123" s="3">
        <f t="shared" si="347"/>
        <v>0.36638538447406388</v>
      </c>
      <c r="G123" s="3">
        <f t="shared" si="347"/>
        <v>0.31952662083002764</v>
      </c>
      <c r="H123" s="3">
        <f t="shared" ref="H123:J123" si="348">H$64*(1-H$73)*H68*(H86*H88+H101*H102)/1000</f>
        <v>0.41420942719344656</v>
      </c>
      <c r="I123" s="3">
        <f t="shared" si="348"/>
        <v>0.34981297345213413</v>
      </c>
      <c r="J123" s="3">
        <f t="shared" si="348"/>
        <v>0.48853154692106704</v>
      </c>
      <c r="K123" s="3">
        <f>K$64*(1-K$73)*K68*(K86*K88+K101*K102)/1000</f>
        <v>2.2418327590374423</v>
      </c>
      <c r="L123" s="3">
        <f>L$64*(1-L$73)*L68*(L86*L88+L101*L102)/1000</f>
        <v>3.4600373292313162</v>
      </c>
      <c r="M123" s="3">
        <f>M$64*(1-M$73)*M68*(M86*M88+M101*M102)/1000</f>
        <v>4.676933345975919</v>
      </c>
      <c r="N123" s="213"/>
      <c r="O123" s="3">
        <f>O$64*(1-O$73)*O68*(O86*O88+O101*O102)/1000</f>
        <v>0.36638538447406388</v>
      </c>
      <c r="P123" s="3">
        <f t="shared" ref="P123:S123" si="349">P$64*(1-P$73)*P68*(P86*P88+P101*P102)/1000</f>
        <v>0.31952662083002764</v>
      </c>
      <c r="Q123" s="3">
        <f t="shared" si="349"/>
        <v>0.41420942719344656</v>
      </c>
      <c r="R123" s="3">
        <f t="shared" si="349"/>
        <v>0.34981297345213413</v>
      </c>
      <c r="S123" s="3">
        <f t="shared" si="349"/>
        <v>0.48853154692106704</v>
      </c>
      <c r="T123" s="261">
        <f>T$64*(1-T$73)*T68*(T86*T88+T101*T102)/1000</f>
        <v>2.2418327590374423</v>
      </c>
      <c r="U123" s="261">
        <f>U$64*(1-U$73)*U68*(U86*U88+U101*U102)/1000</f>
        <v>3.4600373292313162</v>
      </c>
      <c r="V123" s="261">
        <f>V$64*(1-V$73)*V68*(V86*V88+V101*V102)/1000</f>
        <v>4.676933345975919</v>
      </c>
      <c r="W123" s="212"/>
      <c r="X123" s="3">
        <f>O123</f>
        <v>0.36638538447406388</v>
      </c>
      <c r="Y123" s="3">
        <f t="shared" ref="Y123:AB123" si="350">P123</f>
        <v>0.31952662083002764</v>
      </c>
      <c r="Z123" s="3">
        <f t="shared" si="350"/>
        <v>0.41420942719344656</v>
      </c>
      <c r="AA123" s="3">
        <f t="shared" si="350"/>
        <v>0.34981297345213413</v>
      </c>
      <c r="AB123" s="3">
        <f t="shared" si="350"/>
        <v>0.48853154692106704</v>
      </c>
      <c r="AC123" s="261">
        <f>AC$64*(1-AC$73)*AC68*(AC86*AC88+AC101*AC102)/1000</f>
        <v>2.6444307897111279</v>
      </c>
      <c r="AD123" s="261">
        <f>AD$64*(1-AD$73)*AD68*(AD86*AD88+AD101*AD102)/1000</f>
        <v>8.1747716565375477</v>
      </c>
      <c r="AE123" s="261">
        <f>AE$64*(1-AE$73)*AE68*(AE86*AE88+AE101*AE102)/1000</f>
        <v>20.447916255541621</v>
      </c>
      <c r="AF123" s="212"/>
      <c r="AG123" s="212"/>
      <c r="AH123" s="212"/>
      <c r="AI123" s="212"/>
      <c r="AJ123" s="212"/>
      <c r="AK123" s="212"/>
      <c r="AL123" s="212"/>
      <c r="AM123" s="212"/>
      <c r="AN123" s="212"/>
      <c r="AO123" s="212"/>
      <c r="AP123" s="212"/>
      <c r="AQ123" s="212"/>
      <c r="AR123" s="212"/>
      <c r="AS123" s="212"/>
      <c r="AT123" s="212"/>
      <c r="AU123" s="212"/>
    </row>
    <row r="124" spans="1:47">
      <c r="A124" t="s">
        <v>16</v>
      </c>
      <c r="C124" t="str">
        <f>C120</f>
        <v>Gautrain</v>
      </c>
      <c r="D124" t="s">
        <v>136</v>
      </c>
      <c r="E124" s="3">
        <f t="shared" ref="E124:G124" si="351">E$64*(1-E$73)*E69*(E86*E89+E101*E103)/1000</f>
        <v>0.33412405166845843</v>
      </c>
      <c r="F124" s="3">
        <f t="shared" si="351"/>
        <v>0.39655577667223524</v>
      </c>
      <c r="G124" s="3">
        <f t="shared" si="351"/>
        <v>0.42603549444003685</v>
      </c>
      <c r="H124" s="3">
        <f t="shared" ref="H124:J124" si="352">H$64*(1-H$73)*H69*(H86*H89+H101*H103)/1000</f>
        <v>0.44831794079735332</v>
      </c>
      <c r="I124" s="3">
        <f t="shared" si="352"/>
        <v>0.37861869292756944</v>
      </c>
      <c r="J124" s="3">
        <f t="shared" si="352"/>
        <v>0.38413914007181971</v>
      </c>
      <c r="K124" s="3">
        <f>K$64*(1-K$73)*K69*(K86*K89+K101*K103)/1000</f>
        <v>0.49818505756387615</v>
      </c>
      <c r="L124" s="3">
        <f>L$64*(1-L$73)*L69*(L86*L89+L101*L103)/1000</f>
        <v>0.68163555190777469</v>
      </c>
      <c r="M124" s="3">
        <f>M$64*(1-M$73)*M69*(M86*M89+M101*M103)/1000</f>
        <v>0.82745915842351181</v>
      </c>
      <c r="N124" s="213"/>
      <c r="O124" s="3">
        <f>O$64*(1-O$73)*O69*(O86*O89+O101*O103)/1000</f>
        <v>0.39655577667223524</v>
      </c>
      <c r="P124" s="3">
        <f t="shared" ref="P124:S124" si="353">P$64*(1-P$73)*P69*(P86*P89+P101*P103)/1000</f>
        <v>0.42603549444003685</v>
      </c>
      <c r="Q124" s="3">
        <f t="shared" si="353"/>
        <v>0.44831794079735332</v>
      </c>
      <c r="R124" s="3">
        <f t="shared" si="353"/>
        <v>0.37861869292756944</v>
      </c>
      <c r="S124" s="3">
        <f t="shared" si="353"/>
        <v>0.38413914007181971</v>
      </c>
      <c r="T124" s="261">
        <f>T$64*(1-T$73)*T69*(T86*T89+T101*T103)/1000</f>
        <v>0.49818505756387615</v>
      </c>
      <c r="U124" s="261">
        <f>U$64*(1-U$73)*U69*(U86*U89+U101*U103)/1000</f>
        <v>0.68163555190777469</v>
      </c>
      <c r="V124" s="261">
        <f>V$64*(1-V$73)*V69*(V86*V89+V101*V103)/1000</f>
        <v>0.82745915842351181</v>
      </c>
      <c r="W124" s="212"/>
      <c r="X124" s="3">
        <f t="shared" ref="X124:X125" si="354">O124</f>
        <v>0.39655577667223524</v>
      </c>
      <c r="Y124" s="3">
        <f t="shared" ref="Y124:Y125" si="355">P124</f>
        <v>0.42603549444003685</v>
      </c>
      <c r="Z124" s="3">
        <f t="shared" ref="Z124:Z125" si="356">Q124</f>
        <v>0.44831794079735332</v>
      </c>
      <c r="AA124" s="3">
        <f t="shared" ref="AA124:AA125" si="357">R124</f>
        <v>0.37861869292756944</v>
      </c>
      <c r="AB124" s="3">
        <f t="shared" ref="AB124:AB125" si="358">S124</f>
        <v>0.38413914007181971</v>
      </c>
      <c r="AC124" s="261">
        <f>AC$64*(1-AC$73)*AC69*(AC86*AC89+AC101*AC103)/1000</f>
        <v>0.88051312499661838</v>
      </c>
      <c r="AD124" s="261">
        <f>AD$64*(1-AD$73)*AD69*(AD86*AD89+AD101*AD103)/1000</f>
        <v>3.6142536240691303</v>
      </c>
      <c r="AE124" s="261">
        <f>AE$64*(1-AE$73)*AE69*(AE86*AE89+AE101*AE103)/1000</f>
        <v>7.3124297721147542</v>
      </c>
      <c r="AF124" s="212"/>
      <c r="AG124" s="212"/>
      <c r="AH124" s="212"/>
      <c r="AI124" s="212"/>
      <c r="AJ124" s="212"/>
      <c r="AK124" s="212"/>
      <c r="AL124" s="212"/>
      <c r="AM124" s="212"/>
      <c r="AN124" s="212"/>
      <c r="AO124" s="212"/>
      <c r="AP124" s="212"/>
      <c r="AQ124" s="212"/>
      <c r="AR124" s="212"/>
      <c r="AS124" s="212"/>
      <c r="AT124" s="212"/>
      <c r="AU124" s="212"/>
    </row>
    <row r="125" spans="1:47">
      <c r="A125" t="s">
        <v>16</v>
      </c>
      <c r="C125" t="str">
        <f>C121</f>
        <v>Bus, minibus, metro rail</v>
      </c>
      <c r="D125" t="s">
        <v>136</v>
      </c>
      <c r="E125" s="3">
        <f t="shared" ref="E125:G125" si="359">E$64*(1-E$73)*E70*(E86*E90+E101*E104)/1000</f>
        <v>13.726845504698046</v>
      </c>
      <c r="F125" s="3">
        <f t="shared" si="359"/>
        <v>17.567059633334598</v>
      </c>
      <c r="G125" s="3">
        <f t="shared" si="359"/>
        <v>17.11921044085512</v>
      </c>
      <c r="H125" s="3">
        <f t="shared" ref="H125:J125" si="360">H$64*(1-H$73)*H70*(H86*H90+H101*H104)/1000</f>
        <v>17.968640504716966</v>
      </c>
      <c r="I125" s="3">
        <f t="shared" si="360"/>
        <v>15.17861878240698</v>
      </c>
      <c r="J125" s="3">
        <f t="shared" si="360"/>
        <v>14.519818625152098</v>
      </c>
      <c r="K125" s="3">
        <f>K$64*(1-K$73)*K70*(K86*K90+K101*K104)/1000</f>
        <v>16.958586789503805</v>
      </c>
      <c r="L125" s="3">
        <f>L$64*(1-L$73)*L70*(L86*L90+L101*L104)/1000</f>
        <v>21.255912219147355</v>
      </c>
      <c r="M125" s="3">
        <f>M$64*(1-M$73)*M70*(M86*M90+M101*M104)/1000</f>
        <v>22.471358540308977</v>
      </c>
      <c r="N125" s="213"/>
      <c r="O125" s="3">
        <f>O$64*(1-O$73)*O70*(O86*O90+O101*O104)/1000</f>
        <v>17.567059633334598</v>
      </c>
      <c r="P125" s="3">
        <f t="shared" ref="P125:S125" si="361">P$64*(1-P$73)*P70*(P86*P90+P101*P104)/1000</f>
        <v>17.11921044085512</v>
      </c>
      <c r="Q125" s="3">
        <f t="shared" si="361"/>
        <v>17.968640504716966</v>
      </c>
      <c r="R125" s="3">
        <f t="shared" si="361"/>
        <v>15.17861878240698</v>
      </c>
      <c r="S125" s="3">
        <f t="shared" si="361"/>
        <v>14.519818625152098</v>
      </c>
      <c r="T125" s="261">
        <f>T$64*(1-T$73)*T70*(T86*T90+T101*T104)/1000</f>
        <v>16.958586789503805</v>
      </c>
      <c r="U125" s="261">
        <f>U$64*(1-U$73)*U70*(U86*U90+U101*U104)/1000</f>
        <v>21.255912219147355</v>
      </c>
      <c r="V125" s="261">
        <f>V$64*(1-V$73)*V70*(V86*V90+V101*V104)/1000</f>
        <v>22.471358540308977</v>
      </c>
      <c r="W125" s="212"/>
      <c r="X125" s="3">
        <f t="shared" si="354"/>
        <v>17.567059633334598</v>
      </c>
      <c r="Y125" s="3">
        <f t="shared" si="355"/>
        <v>17.11921044085512</v>
      </c>
      <c r="Z125" s="3">
        <f t="shared" si="356"/>
        <v>17.968640504716966</v>
      </c>
      <c r="AA125" s="3">
        <f t="shared" si="357"/>
        <v>15.17861878240698</v>
      </c>
      <c r="AB125" s="3">
        <f t="shared" si="358"/>
        <v>14.519818625152098</v>
      </c>
      <c r="AC125" s="261">
        <f>AC$64*(1-AC$73)*AC70*(AC86*AC90+AC101*AC104)/1000</f>
        <v>19.983429319442468</v>
      </c>
      <c r="AD125" s="261">
        <f>AD$64*(1-AD$73)*AD70*(AD86*AD90+AD101*AD104)/1000</f>
        <v>25.285133642130482</v>
      </c>
      <c r="AE125" s="261">
        <f>AE$64*(1-AE$73)*AE70*(AE86*AE90+AE101*AE104)/1000</f>
        <v>24.674761661588626</v>
      </c>
      <c r="AF125" s="212"/>
      <c r="AG125" s="212"/>
      <c r="AH125" s="212"/>
      <c r="AI125" s="212"/>
      <c r="AJ125" s="212"/>
      <c r="AK125" s="212"/>
      <c r="AL125" s="212"/>
      <c r="AM125" s="212"/>
      <c r="AN125" s="212"/>
      <c r="AO125" s="212"/>
      <c r="AP125" s="212"/>
      <c r="AQ125" s="212"/>
      <c r="AR125" s="212"/>
      <c r="AS125" s="212"/>
      <c r="AT125" s="212"/>
      <c r="AU125" s="212"/>
    </row>
    <row r="126" spans="1:47">
      <c r="A126" t="s">
        <v>16</v>
      </c>
      <c r="C126" s="32" t="s">
        <v>5</v>
      </c>
      <c r="E126" s="3"/>
      <c r="F126" s="3"/>
      <c r="G126" s="3"/>
      <c r="H126" s="3"/>
      <c r="I126" s="3"/>
      <c r="J126" s="3"/>
      <c r="K126" s="3"/>
      <c r="L126" s="3"/>
      <c r="M126" s="3"/>
      <c r="N126" s="34"/>
      <c r="O126" s="3"/>
      <c r="P126" s="3"/>
      <c r="Q126" s="3"/>
      <c r="R126" s="3"/>
      <c r="S126" s="3"/>
      <c r="T126" s="3"/>
      <c r="U126" s="3"/>
      <c r="V126" s="3"/>
      <c r="X126" s="3"/>
      <c r="AA126" s="3"/>
      <c r="AC126" s="3"/>
      <c r="AD126" s="3"/>
      <c r="AE126" s="3"/>
    </row>
    <row r="127" spans="1:47">
      <c r="A127" t="s">
        <v>16</v>
      </c>
      <c r="C127" t="str">
        <f>C123</f>
        <v>BRT</v>
      </c>
      <c r="D127" t="s">
        <v>136</v>
      </c>
      <c r="E127" s="3">
        <f t="shared" ref="E127:G129" si="362">E115+E119+E123</f>
        <v>0.52719357125417843</v>
      </c>
      <c r="F127" s="3">
        <f t="shared" si="362"/>
        <v>0.80138751043622602</v>
      </c>
      <c r="G127" s="3">
        <f t="shared" si="362"/>
        <v>1.5745685843146777</v>
      </c>
      <c r="H127" s="3">
        <f t="shared" ref="H127:J127" si="363">H115+H119+H123</f>
        <v>2.5244712126531619</v>
      </c>
      <c r="I127" s="3">
        <f t="shared" si="363"/>
        <v>2.5547042090015273</v>
      </c>
      <c r="J127" s="3">
        <f t="shared" si="363"/>
        <v>7.3955309497646695</v>
      </c>
      <c r="K127" s="3">
        <f t="shared" ref="K127:M129" si="364">K115+K119+K123</f>
        <v>14.353429232650743</v>
      </c>
      <c r="L127" s="3">
        <f t="shared" si="364"/>
        <v>27.397071760775237</v>
      </c>
      <c r="M127" s="3">
        <f t="shared" si="364"/>
        <v>40.023830004719386</v>
      </c>
      <c r="N127" s="213"/>
      <c r="O127" s="3">
        <f t="shared" ref="O127:S129" si="365">O115+O119+O123</f>
        <v>0.80138751043622602</v>
      </c>
      <c r="P127" s="3">
        <f t="shared" si="365"/>
        <v>1.5745685843146777</v>
      </c>
      <c r="Q127" s="3">
        <f t="shared" si="365"/>
        <v>2.5244712126531619</v>
      </c>
      <c r="R127" s="3">
        <f t="shared" si="365"/>
        <v>2.5547042090015273</v>
      </c>
      <c r="S127" s="3">
        <f t="shared" si="365"/>
        <v>7.3955309497646695</v>
      </c>
      <c r="T127" s="261">
        <f t="shared" ref="T127:V129" si="366">T115+T119+T123</f>
        <v>14.353429232650743</v>
      </c>
      <c r="U127" s="261">
        <f t="shared" si="366"/>
        <v>27.397071760775237</v>
      </c>
      <c r="V127" s="261">
        <f t="shared" si="366"/>
        <v>40.023830004719386</v>
      </c>
      <c r="W127" s="212"/>
      <c r="X127" s="3">
        <f>O127</f>
        <v>0.80138751043622602</v>
      </c>
      <c r="Y127" s="3">
        <f t="shared" ref="Y127:AB127" si="367">P127</f>
        <v>1.5745685843146777</v>
      </c>
      <c r="Z127" s="3">
        <f t="shared" si="367"/>
        <v>2.5244712126531619</v>
      </c>
      <c r="AA127" s="3">
        <f t="shared" si="367"/>
        <v>2.5547042090015273</v>
      </c>
      <c r="AB127" s="3">
        <f t="shared" si="367"/>
        <v>7.3955309497646695</v>
      </c>
      <c r="AC127" s="261">
        <f t="shared" ref="AC127:AE129" si="368">AC115+AC119+AC123</f>
        <v>17.629010612879213</v>
      </c>
      <c r="AD127" s="261">
        <f t="shared" si="368"/>
        <v>47.800577691144667</v>
      </c>
      <c r="AE127" s="261">
        <f t="shared" si="368"/>
        <v>95.401621382946416</v>
      </c>
      <c r="AF127" s="212"/>
      <c r="AG127" s="212"/>
      <c r="AH127" s="212"/>
      <c r="AI127" s="212"/>
      <c r="AJ127" s="212"/>
      <c r="AK127" s="212"/>
      <c r="AL127" s="212"/>
      <c r="AM127" s="212"/>
      <c r="AN127" s="212"/>
      <c r="AO127" s="212"/>
      <c r="AP127" s="212"/>
      <c r="AQ127" s="212"/>
      <c r="AR127" s="212"/>
      <c r="AS127" s="212"/>
      <c r="AT127" s="212"/>
      <c r="AU127" s="212"/>
    </row>
    <row r="128" spans="1:47">
      <c r="A128" t="s">
        <v>16</v>
      </c>
      <c r="C128" t="str">
        <f>C124</f>
        <v>Gautrain</v>
      </c>
      <c r="D128" t="s">
        <v>136</v>
      </c>
      <c r="E128" s="3">
        <f t="shared" si="362"/>
        <v>0.53459848266953358</v>
      </c>
      <c r="F128" s="3">
        <f t="shared" si="362"/>
        <v>0.60923770891438467</v>
      </c>
      <c r="G128" s="3">
        <f t="shared" si="362"/>
        <v>0.64854136839212595</v>
      </c>
      <c r="H128" s="3">
        <f t="shared" ref="H128:J128" si="369">H116+H120+H124</f>
        <v>0.6995709084876961</v>
      </c>
      <c r="I128" s="3">
        <f t="shared" si="369"/>
        <v>0.64248252977129328</v>
      </c>
      <c r="J128" s="3">
        <f t="shared" si="369"/>
        <v>0.61850242942963696</v>
      </c>
      <c r="K128" s="3">
        <f t="shared" si="364"/>
        <v>0.78396596050030642</v>
      </c>
      <c r="L128" s="3">
        <f t="shared" si="364"/>
        <v>1.0089573998774011</v>
      </c>
      <c r="M128" s="3">
        <f t="shared" si="364"/>
        <v>1.1860727623872318</v>
      </c>
      <c r="N128" s="213"/>
      <c r="O128" s="3">
        <f t="shared" si="365"/>
        <v>0.60923770891438467</v>
      </c>
      <c r="P128" s="3">
        <f t="shared" si="365"/>
        <v>0.64854136839212595</v>
      </c>
      <c r="Q128" s="3">
        <f t="shared" si="365"/>
        <v>0.6995709084876961</v>
      </c>
      <c r="R128" s="3">
        <f t="shared" si="365"/>
        <v>0.64248252977129328</v>
      </c>
      <c r="S128" s="3">
        <f t="shared" si="365"/>
        <v>0.61850242942963696</v>
      </c>
      <c r="T128" s="261">
        <f t="shared" si="366"/>
        <v>0.78396596050030642</v>
      </c>
      <c r="U128" s="261">
        <f t="shared" si="366"/>
        <v>1.0089573998774011</v>
      </c>
      <c r="V128" s="261">
        <f t="shared" si="366"/>
        <v>1.1860727623872318</v>
      </c>
      <c r="W128" s="212"/>
      <c r="X128" s="3">
        <f>O128</f>
        <v>0.60923770891438467</v>
      </c>
      <c r="Y128" s="3">
        <f t="shared" ref="Y128" si="370">P128</f>
        <v>0.64854136839212595</v>
      </c>
      <c r="Z128" s="3">
        <f t="shared" ref="Z128" si="371">Q128</f>
        <v>0.6995709084876961</v>
      </c>
      <c r="AA128" s="3">
        <f t="shared" ref="AA128" si="372">R128</f>
        <v>0.64248252977129328</v>
      </c>
      <c r="AB128" s="3">
        <f t="shared" ref="AB128" si="373">S128</f>
        <v>0.61850242942963696</v>
      </c>
      <c r="AC128" s="261">
        <f t="shared" si="368"/>
        <v>2.0595052754158192</v>
      </c>
      <c r="AD128" s="261">
        <f t="shared" si="368"/>
        <v>6.3622145734728619</v>
      </c>
      <c r="AE128" s="261">
        <f t="shared" si="368"/>
        <v>11.877929403748137</v>
      </c>
      <c r="AF128" s="212"/>
      <c r="AG128" s="212"/>
      <c r="AH128" s="212"/>
      <c r="AI128" s="212"/>
      <c r="AJ128" s="212"/>
      <c r="AK128" s="212"/>
      <c r="AL128" s="212"/>
      <c r="AM128" s="212"/>
      <c r="AN128" s="212"/>
      <c r="AO128" s="212"/>
      <c r="AP128" s="212"/>
      <c r="AQ128" s="212"/>
      <c r="AR128" s="212"/>
      <c r="AS128" s="212"/>
      <c r="AT128" s="212"/>
      <c r="AU128" s="212"/>
    </row>
    <row r="129" spans="1:47">
      <c r="A129" t="s">
        <v>16</v>
      </c>
      <c r="C129" t="str">
        <f>C125</f>
        <v>Bus, minibus, metro rail</v>
      </c>
      <c r="D129" t="s">
        <v>136</v>
      </c>
      <c r="E129" s="3">
        <f t="shared" si="362"/>
        <v>132.8350634230103</v>
      </c>
      <c r="F129" s="3">
        <f t="shared" si="362"/>
        <v>135.33804769607482</v>
      </c>
      <c r="G129" s="3">
        <f t="shared" si="362"/>
        <v>125.01530875922427</v>
      </c>
      <c r="H129" s="3">
        <f t="shared" ref="H129:J129" si="374">H117+H121+H125</f>
        <v>127.87816586344641</v>
      </c>
      <c r="I129" s="3">
        <f t="shared" si="374"/>
        <v>129.93335332810128</v>
      </c>
      <c r="J129" s="3">
        <f t="shared" si="374"/>
        <v>133.43630937259957</v>
      </c>
      <c r="K129" s="3">
        <f t="shared" si="364"/>
        <v>136.72178693214815</v>
      </c>
      <c r="L129" s="3">
        <f t="shared" si="364"/>
        <v>129.87207033823839</v>
      </c>
      <c r="M129" s="3">
        <f t="shared" si="364"/>
        <v>120.28432087023114</v>
      </c>
      <c r="N129" s="213"/>
      <c r="O129" s="3">
        <f t="shared" si="365"/>
        <v>135.33804769607482</v>
      </c>
      <c r="P129" s="3">
        <f t="shared" si="365"/>
        <v>125.01530875922427</v>
      </c>
      <c r="Q129" s="3">
        <f t="shared" si="365"/>
        <v>127.87816586344641</v>
      </c>
      <c r="R129" s="3">
        <f t="shared" si="365"/>
        <v>129.93335332810128</v>
      </c>
      <c r="S129" s="3">
        <f t="shared" si="365"/>
        <v>133.43630937259957</v>
      </c>
      <c r="T129" s="261">
        <f t="shared" si="366"/>
        <v>136.72178693214815</v>
      </c>
      <c r="U129" s="261">
        <f t="shared" si="366"/>
        <v>129.87207033823839</v>
      </c>
      <c r="V129" s="261">
        <f t="shared" si="366"/>
        <v>120.28432087023114</v>
      </c>
      <c r="W129" s="212"/>
      <c r="X129" s="3">
        <f>X117+X121+X125</f>
        <v>135.33804769607482</v>
      </c>
      <c r="Y129" s="3">
        <f t="shared" ref="Y129:AB129" si="375">Y117+Y121+Y125</f>
        <v>125.01530875922427</v>
      </c>
      <c r="Z129" s="3">
        <f t="shared" si="375"/>
        <v>127.87816586344641</v>
      </c>
      <c r="AA129" s="3">
        <f t="shared" si="375"/>
        <v>129.93335332810128</v>
      </c>
      <c r="AB129" s="3">
        <f t="shared" si="375"/>
        <v>133.43630937259957</v>
      </c>
      <c r="AC129" s="261">
        <f t="shared" si="368"/>
        <v>138.11839229364699</v>
      </c>
      <c r="AD129" s="261">
        <f t="shared" si="368"/>
        <v>124.17632518388461</v>
      </c>
      <c r="AE129" s="261">
        <f t="shared" si="368"/>
        <v>97.725247172349668</v>
      </c>
      <c r="AF129" s="212"/>
      <c r="AG129" s="212"/>
      <c r="AH129" s="212"/>
      <c r="AI129" s="212"/>
      <c r="AJ129" s="212"/>
      <c r="AK129" s="212"/>
      <c r="AL129" s="212"/>
      <c r="AM129" s="212"/>
      <c r="AN129" s="212"/>
      <c r="AO129" s="212"/>
      <c r="AP129" s="212"/>
      <c r="AQ129" s="212"/>
      <c r="AR129" s="212"/>
      <c r="AS129" s="212"/>
      <c r="AT129" s="212"/>
      <c r="AU129" s="212"/>
    </row>
    <row r="130" spans="1:47">
      <c r="A130" t="s">
        <v>16</v>
      </c>
      <c r="L130"/>
      <c r="N130" s="34"/>
    </row>
    <row r="131" spans="1:47" ht="15.75" thickBot="1">
      <c r="A131" t="s">
        <v>16</v>
      </c>
      <c r="C131" s="14" t="s">
        <v>175</v>
      </c>
      <c r="E131" s="205"/>
      <c r="F131" s="254">
        <f>F$12</f>
        <v>2015</v>
      </c>
      <c r="G131" s="254">
        <f t="shared" ref="G131:M131" si="376">G$12</f>
        <v>2017</v>
      </c>
      <c r="H131" s="254">
        <f t="shared" si="376"/>
        <v>2019</v>
      </c>
      <c r="I131" s="254">
        <f t="shared" si="376"/>
        <v>2020</v>
      </c>
      <c r="J131" s="254">
        <f t="shared" si="376"/>
        <v>2021</v>
      </c>
      <c r="K131" s="254">
        <f t="shared" si="376"/>
        <v>2030</v>
      </c>
      <c r="L131" s="254">
        <f t="shared" si="376"/>
        <v>2040</v>
      </c>
      <c r="M131" s="254">
        <f t="shared" si="376"/>
        <v>2050</v>
      </c>
      <c r="N131" s="34"/>
      <c r="O131" s="254">
        <f>O$12</f>
        <v>2015</v>
      </c>
      <c r="P131" s="254">
        <f t="shared" ref="P131:V131" si="377">P$12</f>
        <v>2017</v>
      </c>
      <c r="Q131" s="254">
        <f t="shared" si="377"/>
        <v>2019</v>
      </c>
      <c r="R131" s="254">
        <f t="shared" si="377"/>
        <v>2020</v>
      </c>
      <c r="S131" s="254">
        <f t="shared" si="377"/>
        <v>2021</v>
      </c>
      <c r="T131" s="254">
        <f t="shared" si="377"/>
        <v>2030</v>
      </c>
      <c r="U131" s="254">
        <f t="shared" si="377"/>
        <v>2040</v>
      </c>
      <c r="V131" s="254">
        <f t="shared" si="377"/>
        <v>2050</v>
      </c>
      <c r="X131" t="s">
        <v>205</v>
      </c>
    </row>
    <row r="132" spans="1:47">
      <c r="A132" t="s">
        <v>16</v>
      </c>
      <c r="C132" s="19" t="s">
        <v>100</v>
      </c>
      <c r="E132" s="56">
        <f>[2]Calib_1011!M77</f>
        <v>0.8536700316236453</v>
      </c>
      <c r="F132" s="3">
        <f>IF($D$4,X132,O132)</f>
        <v>0.8536700316236453</v>
      </c>
      <c r="G132" s="3">
        <f t="shared" ref="G132:M134" si="378">IF($D$4,Y132,P132)</f>
        <v>0.79999999999999993</v>
      </c>
      <c r="H132" s="3">
        <f t="shared" si="378"/>
        <v>0.79999999999999993</v>
      </c>
      <c r="I132" s="3">
        <f t="shared" si="378"/>
        <v>0.79999999999999993</v>
      </c>
      <c r="J132" s="3">
        <f t="shared" si="378"/>
        <v>0.79999999999999993</v>
      </c>
      <c r="K132" s="3">
        <f t="shared" si="378"/>
        <v>0.79999999999999993</v>
      </c>
      <c r="L132" s="3">
        <f t="shared" si="378"/>
        <v>0.79999999999999993</v>
      </c>
      <c r="M132" s="3">
        <f t="shared" si="378"/>
        <v>0.79999999999999993</v>
      </c>
      <c r="N132" s="34"/>
      <c r="O132" s="204">
        <f>E132</f>
        <v>0.8536700316236453</v>
      </c>
      <c r="P132" s="204">
        <f t="shared" ref="P132" si="379">1-P133-P134</f>
        <v>0.79999999999999993</v>
      </c>
      <c r="Q132" s="204">
        <f t="shared" ref="Q132:V132" si="380">1-Q133-Q134</f>
        <v>0.79999999999999993</v>
      </c>
      <c r="R132" s="204">
        <f t="shared" si="380"/>
        <v>0.79999999999999993</v>
      </c>
      <c r="S132" s="204">
        <f t="shared" si="380"/>
        <v>0.79999999999999993</v>
      </c>
      <c r="T132" s="57">
        <f t="shared" si="380"/>
        <v>0.79999999999999993</v>
      </c>
      <c r="U132" s="57">
        <f t="shared" si="380"/>
        <v>0.79999999999999993</v>
      </c>
      <c r="V132" s="57">
        <f t="shared" si="380"/>
        <v>0.79999999999999993</v>
      </c>
      <c r="X132" s="204">
        <f>O132</f>
        <v>0.8536700316236453</v>
      </c>
      <c r="Y132" s="204">
        <f t="shared" ref="Y132:AB132" si="381">P132</f>
        <v>0.79999999999999993</v>
      </c>
      <c r="Z132" s="204">
        <f t="shared" si="381"/>
        <v>0.79999999999999993</v>
      </c>
      <c r="AA132" s="204">
        <f t="shared" si="381"/>
        <v>0.79999999999999993</v>
      </c>
      <c r="AB132" s="204">
        <f t="shared" si="381"/>
        <v>0.79999999999999993</v>
      </c>
      <c r="AC132" s="57">
        <f>1-AC133-AC134</f>
        <v>0.88</v>
      </c>
      <c r="AD132" s="57">
        <f>1-AD133-AD134</f>
        <v>0.89</v>
      </c>
      <c r="AE132" s="57">
        <f>1-AE133-AE134</f>
        <v>0.89</v>
      </c>
    </row>
    <row r="133" spans="1:47">
      <c r="A133" t="s">
        <v>16</v>
      </c>
      <c r="C133" s="19" t="s">
        <v>99</v>
      </c>
      <c r="E133" s="56">
        <f>[2]Calib_1011!M78</f>
        <v>0.10932215622366152</v>
      </c>
      <c r="F133" s="3">
        <f t="shared" ref="F133:F134" si="382">IF($D$4,X133,O133)</f>
        <v>0.14000000000000001</v>
      </c>
      <c r="G133" s="3">
        <f t="shared" si="378"/>
        <v>0.17</v>
      </c>
      <c r="H133" s="3">
        <f t="shared" si="378"/>
        <v>0.17</v>
      </c>
      <c r="I133" s="3">
        <f t="shared" si="378"/>
        <v>0.17</v>
      </c>
      <c r="J133" s="3">
        <f t="shared" si="378"/>
        <v>0.17</v>
      </c>
      <c r="K133" s="3">
        <f t="shared" si="378"/>
        <v>0.17</v>
      </c>
      <c r="L133" s="3">
        <f t="shared" si="378"/>
        <v>0.17</v>
      </c>
      <c r="M133" s="3">
        <f t="shared" si="378"/>
        <v>0.17</v>
      </c>
      <c r="N133" s="34"/>
      <c r="O133" s="296">
        <v>0.14000000000000001</v>
      </c>
      <c r="P133" s="296">
        <v>0.17</v>
      </c>
      <c r="Q133" s="204">
        <f t="shared" ref="Q133:V133" si="383">P133</f>
        <v>0.17</v>
      </c>
      <c r="R133" s="204">
        <f t="shared" si="383"/>
        <v>0.17</v>
      </c>
      <c r="S133" s="204">
        <f t="shared" si="383"/>
        <v>0.17</v>
      </c>
      <c r="T133" s="57">
        <f t="shared" si="383"/>
        <v>0.17</v>
      </c>
      <c r="U133" s="57">
        <f t="shared" si="383"/>
        <v>0.17</v>
      </c>
      <c r="V133" s="57">
        <f t="shared" si="383"/>
        <v>0.17</v>
      </c>
      <c r="X133" s="204">
        <f t="shared" ref="X133:X134" si="384">O133</f>
        <v>0.14000000000000001</v>
      </c>
      <c r="Y133" s="204">
        <f t="shared" ref="Y133:Y134" si="385">P133</f>
        <v>0.17</v>
      </c>
      <c r="Z133" s="204">
        <f t="shared" ref="Z133:Z134" si="386">Q133</f>
        <v>0.17</v>
      </c>
      <c r="AA133" s="204">
        <f t="shared" ref="AA133:AA134" si="387">R133</f>
        <v>0.17</v>
      </c>
      <c r="AB133" s="204">
        <f t="shared" ref="AB133:AB134" si="388">S133</f>
        <v>0.17</v>
      </c>
      <c r="AC133" s="64">
        <v>0.09</v>
      </c>
      <c r="AD133" s="64">
        <v>0.08</v>
      </c>
      <c r="AE133" s="57">
        <f>AD133</f>
        <v>0.08</v>
      </c>
    </row>
    <row r="134" spans="1:47">
      <c r="A134" t="s">
        <v>16</v>
      </c>
      <c r="C134" s="19" t="s">
        <v>176</v>
      </c>
      <c r="E134" s="277">
        <f>[2]Calib_1011!M79</f>
        <v>3.7007812152693054E-2</v>
      </c>
      <c r="F134" s="97">
        <f t="shared" si="382"/>
        <v>0.03</v>
      </c>
      <c r="G134" s="97">
        <f t="shared" si="378"/>
        <v>0.03</v>
      </c>
      <c r="H134" s="97">
        <f t="shared" si="378"/>
        <v>0.03</v>
      </c>
      <c r="I134" s="97">
        <f t="shared" si="378"/>
        <v>0.03</v>
      </c>
      <c r="J134" s="97">
        <f t="shared" si="378"/>
        <v>0.03</v>
      </c>
      <c r="K134" s="97">
        <f t="shared" si="378"/>
        <v>0.03</v>
      </c>
      <c r="L134" s="97">
        <f t="shared" si="378"/>
        <v>0.03</v>
      </c>
      <c r="M134" s="97">
        <f>IF($D$4,AE134,V134)</f>
        <v>0.03</v>
      </c>
      <c r="N134" s="34"/>
      <c r="O134" s="278">
        <v>0.03</v>
      </c>
      <c r="P134" s="278">
        <f>O134</f>
        <v>0.03</v>
      </c>
      <c r="Q134" s="204">
        <f t="shared" ref="Q134:V134" si="389">P134</f>
        <v>0.03</v>
      </c>
      <c r="R134" s="204">
        <f t="shared" si="389"/>
        <v>0.03</v>
      </c>
      <c r="S134" s="204">
        <f t="shared" si="389"/>
        <v>0.03</v>
      </c>
      <c r="T134" s="57">
        <f t="shared" si="389"/>
        <v>0.03</v>
      </c>
      <c r="U134" s="57">
        <f t="shared" si="389"/>
        <v>0.03</v>
      </c>
      <c r="V134" s="57">
        <f t="shared" si="389"/>
        <v>0.03</v>
      </c>
      <c r="X134" s="204">
        <f t="shared" si="384"/>
        <v>0.03</v>
      </c>
      <c r="Y134" s="204">
        <f t="shared" si="385"/>
        <v>0.03</v>
      </c>
      <c r="Z134" s="204">
        <f t="shared" si="386"/>
        <v>0.03</v>
      </c>
      <c r="AA134" s="204">
        <f t="shared" si="387"/>
        <v>0.03</v>
      </c>
      <c r="AB134" s="204">
        <f t="shared" si="388"/>
        <v>0.03</v>
      </c>
      <c r="AC134" s="57">
        <f>AA134</f>
        <v>0.03</v>
      </c>
      <c r="AD134" s="57">
        <f>AC134</f>
        <v>0.03</v>
      </c>
      <c r="AE134" s="57">
        <f>AD134</f>
        <v>0.03</v>
      </c>
    </row>
    <row r="135" spans="1:47">
      <c r="A135" t="s">
        <v>16</v>
      </c>
      <c r="C135" s="19"/>
      <c r="E135" s="205"/>
      <c r="F135" s="205"/>
      <c r="G135" s="205"/>
      <c r="I135" s="205"/>
      <c r="K135" s="205"/>
      <c r="L135" s="205"/>
      <c r="M135" s="205"/>
      <c r="N135" s="34"/>
    </row>
    <row r="136" spans="1:47" ht="15.75" thickBot="1">
      <c r="A136" t="s">
        <v>16</v>
      </c>
      <c r="C136" s="14" t="s">
        <v>185</v>
      </c>
      <c r="E136" s="205"/>
      <c r="F136" s="205"/>
      <c r="G136" s="205"/>
      <c r="I136" s="205"/>
      <c r="K136" s="205"/>
      <c r="L136" s="205"/>
      <c r="M136" s="205"/>
      <c r="N136" s="34"/>
    </row>
    <row r="137" spans="1:47">
      <c r="A137" t="s">
        <v>16</v>
      </c>
      <c r="C137" s="19" t="s">
        <v>62</v>
      </c>
      <c r="E137" s="56">
        <f>[2]Calib_1011!M71</f>
        <v>0.26825764964934912</v>
      </c>
      <c r="F137" s="3">
        <f t="shared" ref="F137:F139" si="390">IF($D$4,X137,O137)</f>
        <v>0.20812882482467454</v>
      </c>
      <c r="G137" s="3">
        <f t="shared" ref="G137:G139" si="391">IF($D$4,Y137,P137)</f>
        <v>0.14799999999999999</v>
      </c>
      <c r="H137" s="3">
        <f t="shared" ref="H137:H139" si="392">IF($D$4,Z137,Q137)</f>
        <v>0.14799999999999999</v>
      </c>
      <c r="I137" s="3">
        <f t="shared" ref="I137:I139" si="393">IF($D$4,AA137,R137)</f>
        <v>0.14799999999999999</v>
      </c>
      <c r="J137" s="3">
        <f t="shared" ref="J137:J139" si="394">IF($D$4,AB137,S137)</f>
        <v>0.14799999999999999</v>
      </c>
      <c r="K137" s="3">
        <f t="shared" ref="K137:K139" si="395">IF($D$4,AC137,T137)</f>
        <v>0.14800000000000002</v>
      </c>
      <c r="L137" s="3">
        <f t="shared" ref="L137:L139" si="396">IF($D$4,AD137,U137)</f>
        <v>0.14800000000000002</v>
      </c>
      <c r="M137" s="3">
        <f t="shared" ref="M137:M138" si="397">IF($D$4,AE137,V137)</f>
        <v>0.14800000000000002</v>
      </c>
      <c r="N137" s="34"/>
      <c r="O137" s="204">
        <f>AVERAGE(E137,P137)</f>
        <v>0.20812882482467454</v>
      </c>
      <c r="P137" s="204">
        <v>0.14799999999999999</v>
      </c>
      <c r="Q137" s="204">
        <f t="shared" ref="Q137:S139" si="398">P137</f>
        <v>0.14799999999999999</v>
      </c>
      <c r="R137" s="204">
        <f t="shared" si="398"/>
        <v>0.14799999999999999</v>
      </c>
      <c r="S137" s="204">
        <f t="shared" si="398"/>
        <v>0.14799999999999999</v>
      </c>
      <c r="T137" s="57">
        <f>1-T138-T139</f>
        <v>0.14800000000000002</v>
      </c>
      <c r="U137" s="57">
        <f>1-U138-U139</f>
        <v>0.14800000000000002</v>
      </c>
      <c r="V137" s="57">
        <f>1-V138-V139</f>
        <v>0.14800000000000002</v>
      </c>
      <c r="X137" s="204">
        <f>O137</f>
        <v>0.20812882482467454</v>
      </c>
      <c r="Y137" s="204">
        <f t="shared" ref="Y137:AB137" si="399">P137</f>
        <v>0.14799999999999999</v>
      </c>
      <c r="Z137" s="204">
        <f t="shared" si="399"/>
        <v>0.14799999999999999</v>
      </c>
      <c r="AA137" s="204">
        <f t="shared" si="399"/>
        <v>0.14799999999999999</v>
      </c>
      <c r="AB137" s="204">
        <f t="shared" si="399"/>
        <v>0.14799999999999999</v>
      </c>
      <c r="AC137" s="57">
        <f>1-AC138-AC139</f>
        <v>0.12199999999999997</v>
      </c>
      <c r="AD137" s="57">
        <f>1-AD138-AD139</f>
        <v>0.10199999999999997</v>
      </c>
      <c r="AE137" s="57">
        <f>1-AE138-AE139</f>
        <v>9.2591348397452117E-2</v>
      </c>
    </row>
    <row r="138" spans="1:47">
      <c r="A138" t="s">
        <v>16</v>
      </c>
      <c r="C138" s="19" t="s">
        <v>184</v>
      </c>
      <c r="E138" s="56">
        <f>[2]Calib_1011!M72</f>
        <v>0.61864357616651655</v>
      </c>
      <c r="F138" s="3">
        <f t="shared" si="390"/>
        <v>0.70082178808325835</v>
      </c>
      <c r="G138" s="3">
        <f t="shared" si="391"/>
        <v>0.78300000000000003</v>
      </c>
      <c r="H138" s="3">
        <f t="shared" si="392"/>
        <v>0.78300000000000003</v>
      </c>
      <c r="I138" s="3">
        <f t="shared" si="393"/>
        <v>0.78300000000000003</v>
      </c>
      <c r="J138" s="3">
        <f t="shared" si="394"/>
        <v>0.78300000000000003</v>
      </c>
      <c r="K138" s="3">
        <f t="shared" si="395"/>
        <v>0.78300000000000003</v>
      </c>
      <c r="L138" s="3">
        <f t="shared" si="396"/>
        <v>0.78300000000000003</v>
      </c>
      <c r="M138" s="3">
        <f t="shared" si="397"/>
        <v>0.78300000000000003</v>
      </c>
      <c r="N138" s="34"/>
      <c r="O138" s="204">
        <f t="shared" ref="O138" si="400">AVERAGE(E138,P138)</f>
        <v>0.70082178808325835</v>
      </c>
      <c r="P138" s="204">
        <v>0.78300000000000003</v>
      </c>
      <c r="Q138" s="204">
        <f t="shared" si="398"/>
        <v>0.78300000000000003</v>
      </c>
      <c r="R138" s="204">
        <f t="shared" si="398"/>
        <v>0.78300000000000003</v>
      </c>
      <c r="S138" s="204">
        <f t="shared" si="398"/>
        <v>0.78300000000000003</v>
      </c>
      <c r="T138" s="57">
        <f>R138</f>
        <v>0.78300000000000003</v>
      </c>
      <c r="U138" s="57">
        <f>T138</f>
        <v>0.78300000000000003</v>
      </c>
      <c r="V138" s="57">
        <f>U138</f>
        <v>0.78300000000000003</v>
      </c>
      <c r="X138" s="204">
        <f t="shared" ref="X138:X139" si="401">O138</f>
        <v>0.70082178808325835</v>
      </c>
      <c r="Y138" s="204">
        <f t="shared" ref="Y138:Y139" si="402">P138</f>
        <v>0.78300000000000003</v>
      </c>
      <c r="Z138" s="204">
        <f t="shared" ref="Z138:Z139" si="403">Q138</f>
        <v>0.78300000000000003</v>
      </c>
      <c r="AA138" s="204">
        <f t="shared" ref="AA138:AA139" si="404">R138</f>
        <v>0.78300000000000003</v>
      </c>
      <c r="AB138" s="204">
        <f t="shared" ref="AB138:AB139" si="405">S138</f>
        <v>0.78300000000000003</v>
      </c>
      <c r="AC138" s="57">
        <f>AA138</f>
        <v>0.78300000000000003</v>
      </c>
      <c r="AD138" s="57">
        <f>AC138</f>
        <v>0.78300000000000003</v>
      </c>
      <c r="AE138" s="57">
        <f>AD138</f>
        <v>0.78300000000000003</v>
      </c>
    </row>
    <row r="139" spans="1:47">
      <c r="A139" t="s">
        <v>16</v>
      </c>
      <c r="C139" s="19" t="s">
        <v>186</v>
      </c>
      <c r="E139" s="56">
        <f>[2]Calib_1011!M73</f>
        <v>0.1130987741841344</v>
      </c>
      <c r="F139" s="3">
        <f t="shared" si="390"/>
        <v>9.1049387092067169E-2</v>
      </c>
      <c r="G139" s="3">
        <f t="shared" si="391"/>
        <v>6.899999999999995E-2</v>
      </c>
      <c r="H139" s="3">
        <f t="shared" si="392"/>
        <v>6.899999999999995E-2</v>
      </c>
      <c r="I139" s="3">
        <f t="shared" si="393"/>
        <v>6.899999999999995E-2</v>
      </c>
      <c r="J139" s="3">
        <f t="shared" si="394"/>
        <v>6.899999999999995E-2</v>
      </c>
      <c r="K139" s="3">
        <f t="shared" si="395"/>
        <v>6.899999999999995E-2</v>
      </c>
      <c r="L139" s="3">
        <f t="shared" si="396"/>
        <v>6.899999999999995E-2</v>
      </c>
      <c r="M139" s="3">
        <f>IF($D$4,AE139,V139)</f>
        <v>6.899999999999995E-2</v>
      </c>
      <c r="N139" s="34"/>
      <c r="O139" s="204">
        <f>AVERAGE(E139,P139)</f>
        <v>9.1049387092067169E-2</v>
      </c>
      <c r="P139" s="204">
        <f>1-SUM(R137:R138)</f>
        <v>6.899999999999995E-2</v>
      </c>
      <c r="Q139" s="204">
        <f t="shared" si="398"/>
        <v>6.899999999999995E-2</v>
      </c>
      <c r="R139" s="204">
        <f t="shared" si="398"/>
        <v>6.899999999999995E-2</v>
      </c>
      <c r="S139" s="204">
        <f t="shared" si="398"/>
        <v>6.899999999999995E-2</v>
      </c>
      <c r="T139" s="57">
        <f>R139</f>
        <v>6.899999999999995E-2</v>
      </c>
      <c r="U139" s="57">
        <f>T139</f>
        <v>6.899999999999995E-2</v>
      </c>
      <c r="V139" s="57">
        <f>U139</f>
        <v>6.899999999999995E-2</v>
      </c>
      <c r="X139" s="204">
        <f t="shared" si="401"/>
        <v>9.1049387092067169E-2</v>
      </c>
      <c r="Y139" s="204">
        <f t="shared" si="402"/>
        <v>6.899999999999995E-2</v>
      </c>
      <c r="Z139" s="204">
        <f t="shared" si="403"/>
        <v>6.899999999999995E-2</v>
      </c>
      <c r="AA139" s="204">
        <f t="shared" si="404"/>
        <v>6.899999999999995E-2</v>
      </c>
      <c r="AB139" s="204">
        <f t="shared" si="405"/>
        <v>6.899999999999995E-2</v>
      </c>
      <c r="AC139" s="57">
        <v>9.5000000000000001E-2</v>
      </c>
      <c r="AD139" s="57">
        <v>0.115</v>
      </c>
      <c r="AE139" s="64">
        <f>E139*1.1</f>
        <v>0.12440865160254785</v>
      </c>
    </row>
    <row r="140" spans="1:47">
      <c r="A140" t="s">
        <v>16</v>
      </c>
      <c r="C140" s="19"/>
      <c r="E140" s="205"/>
      <c r="F140" s="205"/>
      <c r="G140" s="205"/>
      <c r="I140" s="205"/>
      <c r="K140" s="205"/>
      <c r="L140" s="205"/>
      <c r="M140" s="205"/>
      <c r="N140" s="34"/>
    </row>
    <row r="141" spans="1:47" ht="15.75" thickBot="1">
      <c r="A141" t="s">
        <v>16</v>
      </c>
      <c r="C141" s="14" t="s">
        <v>196</v>
      </c>
      <c r="D141" s="222">
        <f>INDEX($BI$4:$BI$7,MATCH($D$3,$BB$4:$BB$7,0))</f>
        <v>0</v>
      </c>
      <c r="E141" s="205"/>
      <c r="F141" s="205"/>
      <c r="G141" s="205"/>
      <c r="I141" s="205"/>
      <c r="K141" s="205"/>
      <c r="L141" s="205"/>
      <c r="M141" s="205"/>
      <c r="N141" s="34"/>
      <c r="X141" t="s">
        <v>206</v>
      </c>
    </row>
    <row r="142" spans="1:47">
      <c r="A142" t="s">
        <v>16</v>
      </c>
      <c r="C142" t="s">
        <v>62</v>
      </c>
      <c r="D142" t="s">
        <v>96</v>
      </c>
      <c r="E142" s="215">
        <f>[2]Calib_1011!$K$71</f>
        <v>25</v>
      </c>
      <c r="F142" s="3">
        <f t="shared" ref="F142:F144" si="406">IF($D$4,X142,O142)</f>
        <v>25</v>
      </c>
      <c r="G142" s="3">
        <f t="shared" ref="G142:G144" si="407">IF($D$4,Y142,P142)</f>
        <v>25</v>
      </c>
      <c r="H142" s="3">
        <f t="shared" ref="H142:H144" si="408">IF($D$4,Z142,Q142)</f>
        <v>25</v>
      </c>
      <c r="I142" s="3">
        <f t="shared" ref="I142:I144" si="409">IF($D$4,AA142,R142)</f>
        <v>25</v>
      </c>
      <c r="J142" s="3">
        <f t="shared" ref="J142:J144" si="410">IF($D$4,AB142,S142)</f>
        <v>25</v>
      </c>
      <c r="K142" s="3">
        <f t="shared" ref="K142:K144" si="411">IF($D$4,AC142,T142)</f>
        <v>25</v>
      </c>
      <c r="L142" s="3">
        <f t="shared" ref="L142:L144" si="412">IF($D$4,AD142,U142)</f>
        <v>25</v>
      </c>
      <c r="M142" s="3">
        <f t="shared" ref="M142:M143" si="413">IF($D$4,AE142,V142)</f>
        <v>25</v>
      </c>
      <c r="N142" s="216"/>
      <c r="O142" s="217">
        <f>E142</f>
        <v>25</v>
      </c>
      <c r="P142" s="217">
        <f t="shared" ref="P142:Q143" si="414">O142</f>
        <v>25</v>
      </c>
      <c r="Q142" s="217">
        <f>P142</f>
        <v>25</v>
      </c>
      <c r="R142" s="217">
        <f t="shared" ref="R142:V142" si="415">Q142</f>
        <v>25</v>
      </c>
      <c r="S142" s="217">
        <f t="shared" si="415"/>
        <v>25</v>
      </c>
      <c r="T142" s="51">
        <f t="shared" si="415"/>
        <v>25</v>
      </c>
      <c r="U142" s="51">
        <f t="shared" si="415"/>
        <v>25</v>
      </c>
      <c r="V142" s="51">
        <f t="shared" si="415"/>
        <v>25</v>
      </c>
      <c r="W142" s="218"/>
      <c r="X142" s="217">
        <f>O142</f>
        <v>25</v>
      </c>
      <c r="Y142" s="217">
        <f t="shared" ref="Y142:AB142" si="416">P142</f>
        <v>25</v>
      </c>
      <c r="Z142" s="217">
        <f t="shared" si="416"/>
        <v>25</v>
      </c>
      <c r="AA142" s="217">
        <f t="shared" si="416"/>
        <v>25</v>
      </c>
      <c r="AB142" s="217">
        <f t="shared" si="416"/>
        <v>25</v>
      </c>
      <c r="AC142" s="65">
        <f>AA142*(1+$D$141)</f>
        <v>25</v>
      </c>
      <c r="AD142" s="65">
        <f>AC142*(1+$D$141)</f>
        <v>25</v>
      </c>
      <c r="AE142" s="65">
        <f>AD142*(1+$D$141)</f>
        <v>25</v>
      </c>
      <c r="AF142" s="218"/>
      <c r="AG142" s="218"/>
      <c r="AH142" s="218"/>
      <c r="AI142" s="218"/>
      <c r="AJ142" s="218"/>
      <c r="AK142" s="218"/>
      <c r="AL142" s="218"/>
      <c r="AM142" s="218"/>
      <c r="AN142" s="218"/>
      <c r="AO142" s="218"/>
      <c r="AP142" s="218"/>
      <c r="AQ142" s="218"/>
      <c r="AR142" s="218"/>
      <c r="AS142" s="218"/>
      <c r="AT142" s="218"/>
      <c r="AU142" s="218"/>
    </row>
    <row r="143" spans="1:47">
      <c r="A143" t="s">
        <v>16</v>
      </c>
      <c r="C143" t="s">
        <v>184</v>
      </c>
      <c r="D143" t="s">
        <v>96</v>
      </c>
      <c r="E143" s="215">
        <f>[2]Calib_1011!$K$72</f>
        <v>14</v>
      </c>
      <c r="F143" s="3">
        <f t="shared" si="406"/>
        <v>14</v>
      </c>
      <c r="G143" s="3">
        <f t="shared" si="407"/>
        <v>14</v>
      </c>
      <c r="H143" s="3">
        <f t="shared" si="408"/>
        <v>14</v>
      </c>
      <c r="I143" s="3">
        <f t="shared" si="409"/>
        <v>14</v>
      </c>
      <c r="J143" s="3">
        <f t="shared" si="410"/>
        <v>14</v>
      </c>
      <c r="K143" s="3">
        <f t="shared" si="411"/>
        <v>14</v>
      </c>
      <c r="L143" s="3">
        <f t="shared" si="412"/>
        <v>14</v>
      </c>
      <c r="M143" s="3">
        <f t="shared" si="413"/>
        <v>14</v>
      </c>
      <c r="N143" s="216"/>
      <c r="O143" s="217">
        <f>E143</f>
        <v>14</v>
      </c>
      <c r="P143" s="217">
        <f t="shared" si="414"/>
        <v>14</v>
      </c>
      <c r="Q143" s="217">
        <f t="shared" si="414"/>
        <v>14</v>
      </c>
      <c r="R143" s="217">
        <f t="shared" ref="R143:V143" si="417">Q143</f>
        <v>14</v>
      </c>
      <c r="S143" s="217">
        <f t="shared" si="417"/>
        <v>14</v>
      </c>
      <c r="T143" s="51">
        <f t="shared" si="417"/>
        <v>14</v>
      </c>
      <c r="U143" s="51">
        <f t="shared" si="417"/>
        <v>14</v>
      </c>
      <c r="V143" s="51">
        <f t="shared" si="417"/>
        <v>14</v>
      </c>
      <c r="W143" s="218"/>
      <c r="X143" s="217">
        <f t="shared" ref="X143:X144" si="418">O143</f>
        <v>14</v>
      </c>
      <c r="Y143" s="217">
        <f t="shared" ref="Y143:Y144" si="419">P143</f>
        <v>14</v>
      </c>
      <c r="Z143" s="217">
        <f t="shared" ref="Z143:Z144" si="420">Q143</f>
        <v>14</v>
      </c>
      <c r="AA143" s="217">
        <f t="shared" ref="AA143:AA144" si="421">R143</f>
        <v>14</v>
      </c>
      <c r="AB143" s="217">
        <f t="shared" ref="AB143:AB144" si="422">S143</f>
        <v>14</v>
      </c>
      <c r="AC143" s="65">
        <f>AA143</f>
        <v>14</v>
      </c>
      <c r="AD143" s="65">
        <f>AC143</f>
        <v>14</v>
      </c>
      <c r="AE143" s="65">
        <f>AD143</f>
        <v>14</v>
      </c>
      <c r="AF143" s="218"/>
      <c r="AG143" s="218"/>
      <c r="AH143" s="218"/>
      <c r="AI143" s="218"/>
      <c r="AJ143" s="218"/>
      <c r="AK143" s="218"/>
      <c r="AL143" s="218"/>
      <c r="AM143" s="218"/>
      <c r="AN143" s="218"/>
      <c r="AO143" s="218"/>
      <c r="AP143" s="218"/>
      <c r="AQ143" s="218"/>
      <c r="AR143" s="218"/>
      <c r="AS143" s="218"/>
      <c r="AT143" s="218"/>
      <c r="AU143" s="218"/>
    </row>
    <row r="144" spans="1:47">
      <c r="A144" t="s">
        <v>16</v>
      </c>
      <c r="C144" t="s">
        <v>63</v>
      </c>
      <c r="D144" t="s">
        <v>96</v>
      </c>
      <c r="E144" s="215">
        <f>E142</f>
        <v>25</v>
      </c>
      <c r="F144" s="3">
        <f t="shared" si="406"/>
        <v>25</v>
      </c>
      <c r="G144" s="3">
        <f t="shared" si="407"/>
        <v>25</v>
      </c>
      <c r="H144" s="3">
        <f t="shared" si="408"/>
        <v>25</v>
      </c>
      <c r="I144" s="3">
        <f t="shared" si="409"/>
        <v>25</v>
      </c>
      <c r="J144" s="3">
        <f t="shared" si="410"/>
        <v>25</v>
      </c>
      <c r="K144" s="3">
        <f t="shared" si="411"/>
        <v>25</v>
      </c>
      <c r="L144" s="3">
        <f t="shared" si="412"/>
        <v>25</v>
      </c>
      <c r="M144" s="3">
        <f>IF($D$4,AE144,V144)</f>
        <v>25</v>
      </c>
      <c r="N144" s="216"/>
      <c r="O144" s="217">
        <f>E144</f>
        <v>25</v>
      </c>
      <c r="P144" s="217">
        <f>O144</f>
        <v>25</v>
      </c>
      <c r="Q144" s="217">
        <f t="shared" ref="Q144:V144" si="423">P144</f>
        <v>25</v>
      </c>
      <c r="R144" s="217">
        <f t="shared" si="423"/>
        <v>25</v>
      </c>
      <c r="S144" s="217">
        <f t="shared" si="423"/>
        <v>25</v>
      </c>
      <c r="T144" s="51">
        <f t="shared" si="423"/>
        <v>25</v>
      </c>
      <c r="U144" s="51">
        <f t="shared" si="423"/>
        <v>25</v>
      </c>
      <c r="V144" s="51">
        <f t="shared" si="423"/>
        <v>25</v>
      </c>
      <c r="W144" s="218"/>
      <c r="X144" s="217">
        <f t="shared" si="418"/>
        <v>25</v>
      </c>
      <c r="Y144" s="217">
        <f t="shared" si="419"/>
        <v>25</v>
      </c>
      <c r="Z144" s="217">
        <f t="shared" si="420"/>
        <v>25</v>
      </c>
      <c r="AA144" s="217">
        <f t="shared" si="421"/>
        <v>25</v>
      </c>
      <c r="AB144" s="217">
        <f t="shared" si="422"/>
        <v>25</v>
      </c>
      <c r="AC144" s="65">
        <f>AA144*(1+$D$141)</f>
        <v>25</v>
      </c>
      <c r="AD144" s="65">
        <f>AC144*(1+$D$141)</f>
        <v>25</v>
      </c>
      <c r="AE144" s="65">
        <f>AD144*(1+$D$141)</f>
        <v>25</v>
      </c>
      <c r="AF144" s="218"/>
      <c r="AG144" s="218"/>
      <c r="AH144" s="218"/>
      <c r="AI144" s="218"/>
      <c r="AJ144" s="218"/>
      <c r="AK144" s="218"/>
      <c r="AL144" s="218"/>
      <c r="AM144" s="218"/>
      <c r="AN144" s="218"/>
      <c r="AO144" s="218"/>
      <c r="AP144" s="218"/>
      <c r="AQ144" s="218"/>
      <c r="AR144" s="218"/>
      <c r="AS144" s="218"/>
      <c r="AT144" s="218"/>
      <c r="AU144" s="218"/>
    </row>
    <row r="145" spans="1:47">
      <c r="A145" t="s">
        <v>16</v>
      </c>
      <c r="C145" s="19"/>
      <c r="E145" s="205"/>
      <c r="F145" s="205"/>
      <c r="G145" s="205"/>
      <c r="I145" s="205"/>
      <c r="K145" s="205"/>
      <c r="L145" s="205"/>
      <c r="M145" s="205"/>
      <c r="N145" s="34"/>
    </row>
    <row r="146" spans="1:47">
      <c r="A146" t="s">
        <v>16</v>
      </c>
      <c r="L146"/>
      <c r="N146" s="34"/>
    </row>
    <row r="147" spans="1:47">
      <c r="A147" t="s">
        <v>16</v>
      </c>
      <c r="E147" s="24"/>
      <c r="F147" s="24"/>
      <c r="G147" s="24"/>
      <c r="I147" s="24"/>
      <c r="K147" s="24"/>
      <c r="L147" s="24"/>
      <c r="M147" s="24"/>
      <c r="N147" s="216"/>
      <c r="O147" s="218" t="str">
        <f>O11</f>
        <v>Reference</v>
      </c>
      <c r="R147" s="218"/>
      <c r="T147" s="218"/>
      <c r="U147" s="218"/>
      <c r="V147" s="218"/>
      <c r="W147" s="218"/>
      <c r="X147" s="218" t="str">
        <f>X11</f>
        <v>Scenario</v>
      </c>
      <c r="AA147" s="218"/>
      <c r="AB147" s="218"/>
      <c r="AD147" s="218"/>
      <c r="AE147" s="218"/>
      <c r="AF147" s="218"/>
      <c r="AN147" s="218"/>
      <c r="AO147" s="218"/>
      <c r="AP147" s="218"/>
      <c r="AQ147" s="218"/>
      <c r="AR147" s="218"/>
      <c r="AS147" s="218"/>
      <c r="AT147" s="218"/>
      <c r="AU147" s="218"/>
    </row>
    <row r="148" spans="1:47" ht="15.75" thickBot="1">
      <c r="A148" t="s">
        <v>16</v>
      </c>
      <c r="C148" s="14" t="s">
        <v>142</v>
      </c>
      <c r="D148" s="14"/>
      <c r="E148" s="4">
        <v>2012</v>
      </c>
      <c r="F148" s="4">
        <f>F4</f>
        <v>2015</v>
      </c>
      <c r="G148" s="4">
        <f t="shared" ref="G148:M148" si="424">G4</f>
        <v>2017</v>
      </c>
      <c r="H148" s="4">
        <f t="shared" si="424"/>
        <v>2019</v>
      </c>
      <c r="I148" s="4">
        <f t="shared" si="424"/>
        <v>2020</v>
      </c>
      <c r="J148" s="4">
        <f t="shared" si="424"/>
        <v>2021</v>
      </c>
      <c r="K148" s="4">
        <f t="shared" si="424"/>
        <v>2030</v>
      </c>
      <c r="L148" s="4">
        <f t="shared" si="424"/>
        <v>2040</v>
      </c>
      <c r="M148" s="4">
        <f t="shared" si="424"/>
        <v>2050</v>
      </c>
      <c r="N148" s="216"/>
      <c r="O148" s="254">
        <f>O$12</f>
        <v>2015</v>
      </c>
      <c r="P148" s="254">
        <f t="shared" ref="P148:V148" si="425">P$12</f>
        <v>2017</v>
      </c>
      <c r="Q148" s="254">
        <f t="shared" si="425"/>
        <v>2019</v>
      </c>
      <c r="R148" s="254">
        <f t="shared" si="425"/>
        <v>2020</v>
      </c>
      <c r="S148" s="254">
        <f t="shared" si="425"/>
        <v>2021</v>
      </c>
      <c r="T148" s="254">
        <f t="shared" si="425"/>
        <v>2030</v>
      </c>
      <c r="U148" s="254">
        <f t="shared" si="425"/>
        <v>2040</v>
      </c>
      <c r="V148" s="254">
        <f t="shared" si="425"/>
        <v>2050</v>
      </c>
      <c r="W148" s="218"/>
      <c r="X148" s="254">
        <f>X$12</f>
        <v>2015</v>
      </c>
      <c r="Y148" s="254">
        <f t="shared" ref="Y148:AE148" si="426">Y$12</f>
        <v>2017</v>
      </c>
      <c r="Z148" s="254">
        <f t="shared" si="426"/>
        <v>2019</v>
      </c>
      <c r="AA148" s="254">
        <f t="shared" si="426"/>
        <v>2020</v>
      </c>
      <c r="AB148" s="254">
        <f t="shared" si="426"/>
        <v>2021</v>
      </c>
      <c r="AC148" s="254">
        <f t="shared" si="426"/>
        <v>2030</v>
      </c>
      <c r="AD148" s="254">
        <f t="shared" si="426"/>
        <v>2040</v>
      </c>
      <c r="AE148" s="254">
        <f t="shared" si="426"/>
        <v>2050</v>
      </c>
      <c r="AF148" s="218"/>
      <c r="AN148" s="218"/>
      <c r="AO148" s="218"/>
      <c r="AP148" s="218"/>
      <c r="AQ148" s="218"/>
      <c r="AR148" s="218"/>
      <c r="AS148" s="218"/>
      <c r="AT148" s="218"/>
      <c r="AU148" s="218"/>
    </row>
    <row r="149" spans="1:47">
      <c r="A149" t="s">
        <v>16</v>
      </c>
      <c r="B149" t="s">
        <v>128</v>
      </c>
      <c r="C149" t="s">
        <v>102</v>
      </c>
      <c r="D149" t="s">
        <v>86</v>
      </c>
      <c r="E149" s="256">
        <f t="shared" ref="E149" si="427">E132*E$111</f>
        <v>77.614189675901358</v>
      </c>
      <c r="F149" s="42">
        <f t="shared" ref="F149:F156" si="428">IF($D$4,X149,O149)</f>
        <v>80.780869704812559</v>
      </c>
      <c r="G149" s="42">
        <f t="shared" ref="G149:G156" si="429">IF($D$4,Y149,P149)</f>
        <v>80.152552888362095</v>
      </c>
      <c r="H149" s="42">
        <f t="shared" ref="H149:H156" si="430">IF($D$4,Z149,Q149)</f>
        <v>84.125623680017213</v>
      </c>
      <c r="I149" s="42">
        <f t="shared" ref="I149:I156" si="431">IF($D$4,AA149,R149)</f>
        <v>78.16502898594004</v>
      </c>
      <c r="J149" s="42">
        <f t="shared" ref="J149:J156" si="432">IF($D$4,AB149,S149)</f>
        <v>76.608525891339312</v>
      </c>
      <c r="K149" s="42">
        <f t="shared" ref="K149:K156" si="433">IF($D$4,AC149,T149)</f>
        <v>98.648010914398853</v>
      </c>
      <c r="L149" s="42">
        <f t="shared" ref="L149:L156" si="434">IF($D$4,AD149,U149)</f>
        <v>130.22815595306471</v>
      </c>
      <c r="M149" s="42">
        <f t="shared" ref="M149:M156" si="435">IF($D$4,AE149,V149)</f>
        <v>159.63078576852928</v>
      </c>
      <c r="N149" s="219" t="str">
        <f t="shared" ref="N149:N156" si="436">C149</f>
        <v>Car Priv.Veh. Vehicle km</v>
      </c>
      <c r="O149" s="202">
        <f>O132*O$111</f>
        <v>80.780869704812559</v>
      </c>
      <c r="P149" s="206">
        <f t="shared" ref="P149:S149" si="437">P132*P$111</f>
        <v>80.152552888362095</v>
      </c>
      <c r="Q149" s="206">
        <f>Q132*Q$111</f>
        <v>84.125623680017213</v>
      </c>
      <c r="R149" s="206">
        <f t="shared" si="437"/>
        <v>78.16502898594004</v>
      </c>
      <c r="S149" s="206">
        <f t="shared" si="437"/>
        <v>76.608525891339312</v>
      </c>
      <c r="T149" s="262">
        <f t="shared" ref="T149:V151" si="438">T132*T$111</f>
        <v>98.648010914398853</v>
      </c>
      <c r="U149" s="262">
        <f t="shared" si="438"/>
        <v>130.22815595306471</v>
      </c>
      <c r="V149" s="262">
        <f t="shared" si="438"/>
        <v>159.63078576852928</v>
      </c>
      <c r="W149" s="206"/>
      <c r="X149" s="206">
        <f>O149</f>
        <v>80.780869704812559</v>
      </c>
      <c r="Y149" s="206">
        <f t="shared" ref="Y149:AB149" si="439">P149</f>
        <v>80.152552888362095</v>
      </c>
      <c r="Z149" s="206">
        <f t="shared" si="439"/>
        <v>84.125623680017213</v>
      </c>
      <c r="AA149" s="206">
        <f t="shared" si="439"/>
        <v>78.16502898594004</v>
      </c>
      <c r="AB149" s="206">
        <f t="shared" si="439"/>
        <v>76.608525891339312</v>
      </c>
      <c r="AC149" s="206" t="e">
        <f t="shared" ref="AC149:AE151" si="440">AC161/AC$36</f>
        <v>#N/A</v>
      </c>
      <c r="AD149" s="206" t="e">
        <f t="shared" si="440"/>
        <v>#N/A</v>
      </c>
      <c r="AE149" s="206" t="e">
        <f t="shared" si="440"/>
        <v>#N/A</v>
      </c>
      <c r="AF149" s="206"/>
      <c r="AG149" s="206"/>
      <c r="AH149" s="206"/>
      <c r="AN149" s="206"/>
      <c r="AO149" s="206"/>
      <c r="AP149" s="206"/>
      <c r="AQ149" s="206"/>
      <c r="AR149" s="206"/>
      <c r="AS149" s="206"/>
      <c r="AT149" s="206"/>
      <c r="AU149" s="206"/>
    </row>
    <row r="150" spans="1:47">
      <c r="A150" t="s">
        <v>16</v>
      </c>
      <c r="B150" t="s">
        <v>127</v>
      </c>
      <c r="C150" t="s">
        <v>101</v>
      </c>
      <c r="D150" t="s">
        <v>86</v>
      </c>
      <c r="E150" s="256">
        <f t="shared" ref="E150" si="441">E133*E$111</f>
        <v>9.939379683721306</v>
      </c>
      <c r="F150" s="297">
        <f t="shared" si="428"/>
        <v>13.247884240663684</v>
      </c>
      <c r="G150" s="42">
        <f t="shared" si="429"/>
        <v>17.032417488776947</v>
      </c>
      <c r="H150" s="42">
        <f t="shared" si="430"/>
        <v>17.87669503200366</v>
      </c>
      <c r="I150" s="42">
        <f t="shared" si="431"/>
        <v>16.610068659512262</v>
      </c>
      <c r="J150" s="42">
        <f t="shared" si="432"/>
        <v>16.279311751909606</v>
      </c>
      <c r="K150" s="42">
        <f t="shared" si="433"/>
        <v>20.962702319309759</v>
      </c>
      <c r="L150" s="42">
        <f t="shared" si="434"/>
        <v>27.673483140026256</v>
      </c>
      <c r="M150" s="42">
        <f t="shared" si="435"/>
        <v>33.921541975812474</v>
      </c>
      <c r="N150" s="219" t="str">
        <f t="shared" si="436"/>
        <v>SUV Priv.Veh. Vehicle km</v>
      </c>
      <c r="O150" s="206">
        <f>O133*O$111</f>
        <v>13.247884240663684</v>
      </c>
      <c r="P150" s="206">
        <f t="shared" ref="P150:S150" si="442">P133*P$111</f>
        <v>17.032417488776947</v>
      </c>
      <c r="Q150" s="206">
        <f t="shared" si="442"/>
        <v>17.87669503200366</v>
      </c>
      <c r="R150" s="206">
        <f t="shared" si="442"/>
        <v>16.610068659512262</v>
      </c>
      <c r="S150" s="206">
        <f t="shared" si="442"/>
        <v>16.279311751909606</v>
      </c>
      <c r="T150" s="262">
        <f t="shared" si="438"/>
        <v>20.962702319309759</v>
      </c>
      <c r="U150" s="262">
        <f t="shared" si="438"/>
        <v>27.673483140026256</v>
      </c>
      <c r="V150" s="262">
        <f t="shared" si="438"/>
        <v>33.921541975812474</v>
      </c>
      <c r="W150" s="206"/>
      <c r="X150" s="206">
        <f t="shared" ref="X150:X156" si="443">O150</f>
        <v>13.247884240663684</v>
      </c>
      <c r="Y150" s="206">
        <f t="shared" ref="Y150:Y156" si="444">P150</f>
        <v>17.032417488776947</v>
      </c>
      <c r="Z150" s="206">
        <f t="shared" ref="Z150:Z156" si="445">Q150</f>
        <v>17.87669503200366</v>
      </c>
      <c r="AA150" s="206">
        <f t="shared" ref="AA150:AA156" si="446">R150</f>
        <v>16.610068659512262</v>
      </c>
      <c r="AB150" s="206">
        <f t="shared" ref="AB150:AB156" si="447">S150</f>
        <v>16.279311751909606</v>
      </c>
      <c r="AC150" s="206" t="e">
        <f t="shared" si="440"/>
        <v>#N/A</v>
      </c>
      <c r="AD150" s="206" t="e">
        <f t="shared" si="440"/>
        <v>#N/A</v>
      </c>
      <c r="AE150" s="206" t="e">
        <f t="shared" si="440"/>
        <v>#N/A</v>
      </c>
      <c r="AF150" s="212"/>
      <c r="AN150" s="206"/>
      <c r="AO150" s="206"/>
      <c r="AP150" s="206"/>
      <c r="AQ150" s="206"/>
      <c r="AR150" s="206"/>
      <c r="AS150" s="206"/>
      <c r="AT150" s="206"/>
      <c r="AU150" s="206"/>
    </row>
    <row r="151" spans="1:47">
      <c r="A151" t="s">
        <v>16</v>
      </c>
      <c r="B151" t="s">
        <v>183</v>
      </c>
      <c r="C151" t="s">
        <v>187</v>
      </c>
      <c r="D151" t="s">
        <v>86</v>
      </c>
      <c r="E151" s="256">
        <f>E134*E$111</f>
        <v>3.3646857046699763</v>
      </c>
      <c r="F151" s="42">
        <f t="shared" si="428"/>
        <v>2.838832337285075</v>
      </c>
      <c r="G151" s="42">
        <f t="shared" si="429"/>
        <v>3.0057207333135785</v>
      </c>
      <c r="H151" s="42">
        <f t="shared" si="430"/>
        <v>3.1547108880006456</v>
      </c>
      <c r="I151" s="42">
        <f t="shared" si="431"/>
        <v>2.9311885869727514</v>
      </c>
      <c r="J151" s="42">
        <f t="shared" si="432"/>
        <v>2.8728197209252242</v>
      </c>
      <c r="K151" s="42">
        <f t="shared" si="433"/>
        <v>3.6993004092899571</v>
      </c>
      <c r="L151" s="42">
        <f t="shared" si="434"/>
        <v>4.8835558482399266</v>
      </c>
      <c r="M151" s="42">
        <f t="shared" si="435"/>
        <v>5.9861544663198485</v>
      </c>
      <c r="N151" s="219" t="str">
        <f t="shared" si="436"/>
        <v>Motorbikes Priv.Veh. Vehicle km</v>
      </c>
      <c r="O151" s="206">
        <f>O134*O$111</f>
        <v>2.838832337285075</v>
      </c>
      <c r="P151" s="206">
        <f t="shared" ref="P151:S151" si="448">P134*P$111</f>
        <v>3.0057207333135785</v>
      </c>
      <c r="Q151" s="206">
        <f t="shared" si="448"/>
        <v>3.1547108880006456</v>
      </c>
      <c r="R151" s="206">
        <f t="shared" si="448"/>
        <v>2.9311885869727514</v>
      </c>
      <c r="S151" s="206">
        <f t="shared" si="448"/>
        <v>2.8728197209252242</v>
      </c>
      <c r="T151" s="262">
        <f t="shared" si="438"/>
        <v>3.6993004092899571</v>
      </c>
      <c r="U151" s="262">
        <f t="shared" si="438"/>
        <v>4.8835558482399266</v>
      </c>
      <c r="V151" s="262">
        <f t="shared" si="438"/>
        <v>5.9861544663198485</v>
      </c>
      <c r="W151" s="206"/>
      <c r="X151" s="206">
        <f t="shared" si="443"/>
        <v>2.838832337285075</v>
      </c>
      <c r="Y151" s="206">
        <f t="shared" si="444"/>
        <v>3.0057207333135785</v>
      </c>
      <c r="Z151" s="206">
        <f t="shared" si="445"/>
        <v>3.1547108880006456</v>
      </c>
      <c r="AA151" s="206">
        <f t="shared" si="446"/>
        <v>2.9311885869727514</v>
      </c>
      <c r="AB151" s="206">
        <f t="shared" si="447"/>
        <v>2.8728197209252242</v>
      </c>
      <c r="AC151" s="206" t="e">
        <f t="shared" si="440"/>
        <v>#N/A</v>
      </c>
      <c r="AD151" s="206" t="e">
        <f t="shared" si="440"/>
        <v>#N/A</v>
      </c>
      <c r="AE151" s="206" t="e">
        <f t="shared" si="440"/>
        <v>#N/A</v>
      </c>
      <c r="AF151" s="206"/>
      <c r="AG151" s="206"/>
      <c r="AH151" s="206"/>
      <c r="AJ151" s="218"/>
      <c r="AK151" s="206"/>
      <c r="AL151" s="206"/>
      <c r="AM151" s="206"/>
      <c r="AN151" s="206"/>
      <c r="AO151" s="206"/>
      <c r="AP151" s="206"/>
      <c r="AQ151" s="206"/>
      <c r="AR151" s="206"/>
      <c r="AS151" s="206"/>
      <c r="AT151" s="206"/>
      <c r="AU151" s="206"/>
    </row>
    <row r="152" spans="1:47">
      <c r="A152" t="s">
        <v>16</v>
      </c>
      <c r="B152" t="s">
        <v>129</v>
      </c>
      <c r="C152" t="s">
        <v>87</v>
      </c>
      <c r="D152" t="s">
        <v>86</v>
      </c>
      <c r="E152" s="256">
        <v>0.61799148971758899</v>
      </c>
      <c r="F152" s="42">
        <f t="shared" si="428"/>
        <v>1.1267099528419922</v>
      </c>
      <c r="G152" s="42">
        <f t="shared" si="429"/>
        <v>0.74009062785460766</v>
      </c>
      <c r="H152" s="42">
        <f t="shared" si="430"/>
        <v>0.7570387419116027</v>
      </c>
      <c r="I152" s="42">
        <f t="shared" si="431"/>
        <v>0.76920545170235954</v>
      </c>
      <c r="J152" s="42">
        <f t="shared" si="432"/>
        <v>0.78994295148578941</v>
      </c>
      <c r="K152" s="42">
        <f t="shared" si="433"/>
        <v>0.80939297863831716</v>
      </c>
      <c r="L152" s="42">
        <f t="shared" si="434"/>
        <v>0.76884265640237137</v>
      </c>
      <c r="M152" s="42">
        <f t="shared" si="435"/>
        <v>0.71208317955176847</v>
      </c>
      <c r="N152" s="219" t="str">
        <f t="shared" si="436"/>
        <v>Bus vehicle km</v>
      </c>
      <c r="O152" s="206">
        <f>O137*O$129/O142</f>
        <v>1.1267099528419922</v>
      </c>
      <c r="P152" s="206">
        <f t="shared" ref="P152:S152" si="449">P137*P$129/P142</f>
        <v>0.74009062785460766</v>
      </c>
      <c r="Q152" s="206">
        <f t="shared" si="449"/>
        <v>0.7570387419116027</v>
      </c>
      <c r="R152" s="206">
        <f t="shared" si="449"/>
        <v>0.76920545170235954</v>
      </c>
      <c r="S152" s="206">
        <f t="shared" si="449"/>
        <v>0.78994295148578941</v>
      </c>
      <c r="T152" s="262">
        <f t="shared" ref="T152:V153" si="450">T137*T$129/T142</f>
        <v>0.80939297863831716</v>
      </c>
      <c r="U152" s="262">
        <f t="shared" si="450"/>
        <v>0.76884265640237137</v>
      </c>
      <c r="V152" s="262">
        <f t="shared" si="450"/>
        <v>0.71208317955176847</v>
      </c>
      <c r="W152" s="206"/>
      <c r="X152" s="206">
        <f t="shared" si="443"/>
        <v>1.1267099528419922</v>
      </c>
      <c r="Y152" s="206">
        <f t="shared" si="444"/>
        <v>0.74009062785460766</v>
      </c>
      <c r="Z152" s="206">
        <f t="shared" si="445"/>
        <v>0.7570387419116027</v>
      </c>
      <c r="AA152" s="206">
        <f t="shared" si="446"/>
        <v>0.76920545170235954</v>
      </c>
      <c r="AB152" s="206">
        <f t="shared" si="447"/>
        <v>0.78994295148578941</v>
      </c>
      <c r="AC152" s="206" t="e">
        <f>AC164/AC142</f>
        <v>#N/A</v>
      </c>
      <c r="AD152" s="206" t="e">
        <f t="shared" ref="AD152:AE152" si="451">AD164/AD142</f>
        <v>#N/A</v>
      </c>
      <c r="AE152" s="206" t="e">
        <f t="shared" si="451"/>
        <v>#N/A</v>
      </c>
      <c r="AF152" s="206"/>
      <c r="AG152" s="206"/>
      <c r="AH152" s="206"/>
      <c r="AJ152" s="218"/>
      <c r="AK152" s="206"/>
      <c r="AL152" s="206"/>
      <c r="AM152" s="206"/>
      <c r="AN152" s="206"/>
      <c r="AO152" s="206"/>
      <c r="AP152" s="206"/>
      <c r="AQ152" s="206"/>
      <c r="AR152" s="206"/>
      <c r="AS152" s="206"/>
      <c r="AT152" s="206"/>
      <c r="AU152" s="206"/>
    </row>
    <row r="153" spans="1:47">
      <c r="A153" t="s">
        <v>16</v>
      </c>
      <c r="B153" t="s">
        <v>130</v>
      </c>
      <c r="C153" t="s">
        <v>88</v>
      </c>
      <c r="D153" t="s">
        <v>86</v>
      </c>
      <c r="E153" s="256">
        <f t="shared" ref="E153" si="452">E138*E$129/E143</f>
        <v>5.8698256197369378</v>
      </c>
      <c r="F153" s="42">
        <f t="shared" si="428"/>
        <v>6.7748466130043186</v>
      </c>
      <c r="G153" s="281">
        <f t="shared" si="429"/>
        <v>6.9919276256051859</v>
      </c>
      <c r="H153" s="281">
        <f t="shared" si="430"/>
        <v>7.1520431336484673</v>
      </c>
      <c r="I153" s="42">
        <f t="shared" si="431"/>
        <v>7.2669868325645215</v>
      </c>
      <c r="J153" s="42">
        <f t="shared" si="432"/>
        <v>7.4629021599103904</v>
      </c>
      <c r="K153" s="42">
        <f t="shared" si="433"/>
        <v>7.6466542262765724</v>
      </c>
      <c r="L153" s="42">
        <f t="shared" si="434"/>
        <v>7.2635593624886186</v>
      </c>
      <c r="M153" s="42">
        <f t="shared" si="435"/>
        <v>6.7273302315279278</v>
      </c>
      <c r="N153" s="219" t="str">
        <f t="shared" si="436"/>
        <v>Minibus vehicle km</v>
      </c>
      <c r="O153" s="206">
        <f>O138*O$129/O143</f>
        <v>6.7748466130043186</v>
      </c>
      <c r="P153" s="206">
        <f t="shared" ref="P153:S153" si="453">P138*P$129/P143</f>
        <v>6.9919276256051859</v>
      </c>
      <c r="Q153" s="206">
        <f t="shared" si="453"/>
        <v>7.1520431336484673</v>
      </c>
      <c r="R153" s="206">
        <f t="shared" si="453"/>
        <v>7.2669868325645215</v>
      </c>
      <c r="S153" s="206">
        <f t="shared" si="453"/>
        <v>7.4629021599103904</v>
      </c>
      <c r="T153" s="262">
        <f t="shared" si="450"/>
        <v>7.6466542262765724</v>
      </c>
      <c r="U153" s="262">
        <f t="shared" si="450"/>
        <v>7.2635593624886186</v>
      </c>
      <c r="V153" s="262">
        <f t="shared" si="450"/>
        <v>6.7273302315279278</v>
      </c>
      <c r="W153" s="206"/>
      <c r="X153" s="206">
        <f t="shared" si="443"/>
        <v>6.7748466130043186</v>
      </c>
      <c r="Y153" s="206">
        <f t="shared" si="444"/>
        <v>6.9919276256051859</v>
      </c>
      <c r="Z153" s="206">
        <f t="shared" si="445"/>
        <v>7.1520431336484673</v>
      </c>
      <c r="AA153" s="206">
        <f t="shared" si="446"/>
        <v>7.2669868325645215</v>
      </c>
      <c r="AB153" s="206">
        <f t="shared" si="447"/>
        <v>7.4629021599103904</v>
      </c>
      <c r="AC153" s="206" t="e">
        <f>AC165/AC143</f>
        <v>#N/A</v>
      </c>
      <c r="AD153" s="206" t="e">
        <f t="shared" ref="AD153:AE153" si="454">AD165/AD143</f>
        <v>#N/A</v>
      </c>
      <c r="AE153" s="206" t="e">
        <f t="shared" si="454"/>
        <v>#N/A</v>
      </c>
      <c r="AF153" s="206"/>
      <c r="AG153" s="206"/>
      <c r="AH153" s="206"/>
      <c r="AJ153" s="206"/>
      <c r="AK153" s="206"/>
      <c r="AL153" s="206"/>
      <c r="AM153" s="206"/>
      <c r="AN153" s="206"/>
      <c r="AO153" s="206"/>
      <c r="AP153" s="206"/>
      <c r="AQ153" s="206"/>
      <c r="AR153" s="206"/>
      <c r="AS153" s="206"/>
      <c r="AT153" s="206"/>
      <c r="AU153" s="206"/>
    </row>
    <row r="154" spans="1:47">
      <c r="A154" t="s">
        <v>16</v>
      </c>
      <c r="B154" t="s">
        <v>131</v>
      </c>
      <c r="C154" t="s">
        <v>89</v>
      </c>
      <c r="D154" t="s">
        <v>86</v>
      </c>
      <c r="E154" s="256">
        <f t="shared" ref="E154" si="455">E$127/E144</f>
        <v>2.1087742850167138E-2</v>
      </c>
      <c r="F154" s="42">
        <f t="shared" si="428"/>
        <v>3.2055500417449041E-2</v>
      </c>
      <c r="G154" s="42">
        <f t="shared" si="429"/>
        <v>6.2982743372587108E-2</v>
      </c>
      <c r="H154" s="42">
        <f t="shared" si="430"/>
        <v>0.10097884850612647</v>
      </c>
      <c r="I154" s="42">
        <f t="shared" si="431"/>
        <v>0.10218816836006109</v>
      </c>
      <c r="J154" s="42">
        <f t="shared" si="432"/>
        <v>0.29582123799058679</v>
      </c>
      <c r="K154" s="42">
        <f t="shared" si="433"/>
        <v>0.57413716930602976</v>
      </c>
      <c r="L154" s="42">
        <f t="shared" si="434"/>
        <v>1.0958828704310095</v>
      </c>
      <c r="M154" s="42">
        <f t="shared" si="435"/>
        <v>1.6009532001887754</v>
      </c>
      <c r="N154" s="219" t="str">
        <f t="shared" si="436"/>
        <v>BRT vehicle km</v>
      </c>
      <c r="O154" s="206">
        <f>O$127/O144</f>
        <v>3.2055500417449041E-2</v>
      </c>
      <c r="P154" s="206">
        <f t="shared" ref="P154:S154" si="456">P$127/P144</f>
        <v>6.2982743372587108E-2</v>
      </c>
      <c r="Q154" s="206">
        <f t="shared" si="456"/>
        <v>0.10097884850612647</v>
      </c>
      <c r="R154" s="206">
        <f t="shared" si="456"/>
        <v>0.10218816836006109</v>
      </c>
      <c r="S154" s="206">
        <f t="shared" si="456"/>
        <v>0.29582123799058679</v>
      </c>
      <c r="T154" s="262">
        <f>T$127/T144</f>
        <v>0.57413716930602976</v>
      </c>
      <c r="U154" s="262">
        <f>U$127/U144</f>
        <v>1.0958828704310095</v>
      </c>
      <c r="V154" s="262">
        <f>V$127/V144</f>
        <v>1.6009532001887754</v>
      </c>
      <c r="W154" s="206"/>
      <c r="X154" s="206">
        <f t="shared" si="443"/>
        <v>3.2055500417449041E-2</v>
      </c>
      <c r="Y154" s="206">
        <f t="shared" si="444"/>
        <v>6.2982743372587108E-2</v>
      </c>
      <c r="Z154" s="206">
        <f t="shared" si="445"/>
        <v>0.10097884850612647</v>
      </c>
      <c r="AA154" s="206">
        <f t="shared" si="446"/>
        <v>0.10218816836006109</v>
      </c>
      <c r="AB154" s="206">
        <f t="shared" si="447"/>
        <v>0.29582123799058679</v>
      </c>
      <c r="AC154" s="206" t="e">
        <f>AC166/AC144</f>
        <v>#N/A</v>
      </c>
      <c r="AD154" s="206" t="e">
        <f t="shared" ref="AD154" si="457">AD166/AD144</f>
        <v>#N/A</v>
      </c>
      <c r="AE154" s="206" t="e">
        <f>AE166/AE144</f>
        <v>#N/A</v>
      </c>
      <c r="AF154" s="206"/>
      <c r="AG154" s="206"/>
      <c r="AH154" s="206"/>
      <c r="AJ154" s="206"/>
      <c r="AK154" s="206"/>
      <c r="AL154" s="206"/>
      <c r="AM154" s="206"/>
      <c r="AN154" s="206"/>
      <c r="AO154" s="206"/>
      <c r="AP154" s="206"/>
      <c r="AQ154" s="206"/>
      <c r="AR154" s="206"/>
      <c r="AS154" s="206"/>
      <c r="AT154" s="206"/>
      <c r="AU154" s="206"/>
    </row>
    <row r="155" spans="1:47">
      <c r="A155" t="s">
        <v>16</v>
      </c>
      <c r="B155" t="s">
        <v>132</v>
      </c>
      <c r="C155" t="s">
        <v>90</v>
      </c>
      <c r="D155" t="str">
        <f>D154</f>
        <v>billion</v>
      </c>
      <c r="E155" s="256">
        <f>E139*E$129</f>
        <v>15.023482841814213</v>
      </c>
      <c r="F155" s="42">
        <f t="shared" si="428"/>
        <v>12.322446292964566</v>
      </c>
      <c r="G155" s="42">
        <f t="shared" si="429"/>
        <v>8.6260563043864682</v>
      </c>
      <c r="H155" s="42">
        <f t="shared" si="430"/>
        <v>8.8235934445777957</v>
      </c>
      <c r="I155" s="42">
        <f t="shared" si="431"/>
        <v>8.9654013796389815</v>
      </c>
      <c r="J155" s="42">
        <f t="shared" si="432"/>
        <v>9.2071053467093638</v>
      </c>
      <c r="K155" s="42">
        <f t="shared" si="433"/>
        <v>9.4338032983182156</v>
      </c>
      <c r="L155" s="42">
        <f t="shared" si="434"/>
        <v>8.9611728533384429</v>
      </c>
      <c r="M155" s="42">
        <f t="shared" si="435"/>
        <v>8.2996181400459434</v>
      </c>
      <c r="N155" s="219" t="str">
        <f t="shared" si="436"/>
        <v>Metro Rail pkm</v>
      </c>
      <c r="O155" s="206">
        <f>O139*O$129</f>
        <v>12.322446292964566</v>
      </c>
      <c r="P155" s="206">
        <f t="shared" ref="P155:S155" si="458">P139*P$129</f>
        <v>8.6260563043864682</v>
      </c>
      <c r="Q155" s="206">
        <f t="shared" si="458"/>
        <v>8.8235934445777957</v>
      </c>
      <c r="R155" s="206">
        <f t="shared" si="458"/>
        <v>8.9654013796389815</v>
      </c>
      <c r="S155" s="206">
        <f t="shared" si="458"/>
        <v>9.2071053467093638</v>
      </c>
      <c r="T155" s="262">
        <f>T139*T$129</f>
        <v>9.4338032983182156</v>
      </c>
      <c r="U155" s="262">
        <f>U139*U$129</f>
        <v>8.9611728533384429</v>
      </c>
      <c r="V155" s="262">
        <f>V139*V$129</f>
        <v>8.2996181400459434</v>
      </c>
      <c r="W155" s="206"/>
      <c r="X155" s="206">
        <f t="shared" si="443"/>
        <v>12.322446292964566</v>
      </c>
      <c r="Y155" s="206">
        <f t="shared" si="444"/>
        <v>8.6260563043864682</v>
      </c>
      <c r="Z155" s="206">
        <f t="shared" si="445"/>
        <v>8.8235934445777957</v>
      </c>
      <c r="AA155" s="206">
        <f t="shared" si="446"/>
        <v>8.9654013796389815</v>
      </c>
      <c r="AB155" s="206">
        <f t="shared" si="447"/>
        <v>9.2071053467093638</v>
      </c>
      <c r="AC155" s="206" t="e">
        <f t="shared" ref="AC155:AE156" si="459">AC167</f>
        <v>#N/A</v>
      </c>
      <c r="AD155" s="206" t="e">
        <f t="shared" si="459"/>
        <v>#N/A</v>
      </c>
      <c r="AE155" s="206" t="e">
        <f t="shared" si="459"/>
        <v>#N/A</v>
      </c>
      <c r="AF155" s="206"/>
      <c r="AG155" s="206"/>
      <c r="AH155" s="206"/>
      <c r="AJ155" s="206"/>
      <c r="AK155" s="206"/>
      <c r="AL155" s="206"/>
      <c r="AM155" s="206"/>
      <c r="AN155" s="206"/>
      <c r="AO155" s="206"/>
      <c r="AP155" s="206"/>
      <c r="AQ155" s="206"/>
      <c r="AR155" s="206"/>
      <c r="AS155" s="206"/>
      <c r="AT155" s="206"/>
      <c r="AU155" s="206"/>
    </row>
    <row r="156" spans="1:47">
      <c r="A156" t="s">
        <v>16</v>
      </c>
      <c r="B156" t="s">
        <v>133</v>
      </c>
      <c r="C156" t="s">
        <v>91</v>
      </c>
      <c r="D156" t="s">
        <v>86</v>
      </c>
      <c r="E156" s="256">
        <f t="shared" ref="E156" si="460">E128</f>
        <v>0.53459848266953358</v>
      </c>
      <c r="F156" s="42">
        <f t="shared" si="428"/>
        <v>0.60923770891438467</v>
      </c>
      <c r="G156" s="42">
        <f t="shared" si="429"/>
        <v>0.64854136839212595</v>
      </c>
      <c r="H156" s="42">
        <f t="shared" si="430"/>
        <v>0.6995709084876961</v>
      </c>
      <c r="I156" s="42">
        <f t="shared" si="431"/>
        <v>0.64248252977129328</v>
      </c>
      <c r="J156" s="42">
        <f t="shared" si="432"/>
        <v>0.61850242942963696</v>
      </c>
      <c r="K156" s="42">
        <f t="shared" si="433"/>
        <v>0.78396596050030642</v>
      </c>
      <c r="L156" s="42">
        <f t="shared" si="434"/>
        <v>1.0089573998774011</v>
      </c>
      <c r="M156" s="42">
        <f t="shared" si="435"/>
        <v>1.1860727623872318</v>
      </c>
      <c r="N156" s="219" t="str">
        <f t="shared" si="436"/>
        <v>Gautrain pkm</v>
      </c>
      <c r="O156" s="206">
        <f>O128</f>
        <v>0.60923770891438467</v>
      </c>
      <c r="P156" s="206">
        <f t="shared" ref="P156:S156" si="461">P128</f>
        <v>0.64854136839212595</v>
      </c>
      <c r="Q156" s="206">
        <f t="shared" si="461"/>
        <v>0.6995709084876961</v>
      </c>
      <c r="R156" s="206">
        <f t="shared" si="461"/>
        <v>0.64248252977129328</v>
      </c>
      <c r="S156" s="206">
        <f t="shared" si="461"/>
        <v>0.61850242942963696</v>
      </c>
      <c r="T156" s="262">
        <f>T128</f>
        <v>0.78396596050030642</v>
      </c>
      <c r="U156" s="262">
        <f>U128</f>
        <v>1.0089573998774011</v>
      </c>
      <c r="V156" s="262">
        <f>V128</f>
        <v>1.1860727623872318</v>
      </c>
      <c r="W156" s="206"/>
      <c r="X156" s="206">
        <f t="shared" si="443"/>
        <v>0.60923770891438467</v>
      </c>
      <c r="Y156" s="206">
        <f t="shared" si="444"/>
        <v>0.64854136839212595</v>
      </c>
      <c r="Z156" s="206">
        <f t="shared" si="445"/>
        <v>0.6995709084876961</v>
      </c>
      <c r="AA156" s="206">
        <f t="shared" si="446"/>
        <v>0.64248252977129328</v>
      </c>
      <c r="AB156" s="206">
        <f t="shared" si="447"/>
        <v>0.61850242942963696</v>
      </c>
      <c r="AC156" s="206" t="e">
        <f t="shared" si="459"/>
        <v>#N/A</v>
      </c>
      <c r="AD156" s="206" t="e">
        <f t="shared" si="459"/>
        <v>#N/A</v>
      </c>
      <c r="AE156" s="206" t="e">
        <f t="shared" si="459"/>
        <v>#N/A</v>
      </c>
      <c r="AF156" s="206"/>
      <c r="AG156" s="206"/>
      <c r="AH156" s="206"/>
      <c r="AJ156" s="206"/>
      <c r="AK156" s="206"/>
      <c r="AL156" s="206"/>
      <c r="AM156" s="206"/>
      <c r="AN156" s="206"/>
      <c r="AO156" s="206"/>
      <c r="AP156" s="206"/>
      <c r="AQ156" s="206"/>
      <c r="AR156" s="206"/>
      <c r="AS156" s="206"/>
      <c r="AT156" s="206"/>
      <c r="AU156" s="206"/>
    </row>
    <row r="157" spans="1:47">
      <c r="A157" t="s">
        <v>16</v>
      </c>
      <c r="L157"/>
      <c r="N157" s="34"/>
      <c r="AI157" t="s">
        <v>624</v>
      </c>
    </row>
    <row r="158" spans="1:47">
      <c r="A158" t="s">
        <v>16</v>
      </c>
      <c r="L158"/>
      <c r="N158" s="34"/>
      <c r="AI158" t="s">
        <v>614</v>
      </c>
      <c r="AM158" t="s">
        <v>619</v>
      </c>
      <c r="AQ158" t="s">
        <v>620</v>
      </c>
    </row>
    <row r="159" spans="1:47" ht="15.75" thickBot="1">
      <c r="A159" t="s">
        <v>16</v>
      </c>
      <c r="E159" s="218"/>
      <c r="L159"/>
      <c r="N159" s="34"/>
      <c r="O159" t="s">
        <v>41</v>
      </c>
      <c r="T159" s="6"/>
      <c r="X159" t="s">
        <v>197</v>
      </c>
      <c r="AB159" s="6"/>
      <c r="AI159" s="14">
        <v>1</v>
      </c>
      <c r="AJ159" s="14">
        <v>1</v>
      </c>
      <c r="AK159" s="14">
        <v>1</v>
      </c>
      <c r="AL159" s="14"/>
      <c r="AM159" s="14">
        <v>2</v>
      </c>
      <c r="AN159" s="14">
        <v>2</v>
      </c>
      <c r="AO159" s="14">
        <v>2</v>
      </c>
      <c r="AQ159" s="14">
        <v>3</v>
      </c>
      <c r="AR159" s="14">
        <v>3</v>
      </c>
      <c r="AS159" s="14">
        <v>3</v>
      </c>
    </row>
    <row r="160" spans="1:47" ht="15.75" thickBot="1">
      <c r="A160" t="s">
        <v>16</v>
      </c>
      <c r="C160" s="14" t="s">
        <v>141</v>
      </c>
      <c r="D160" s="14"/>
      <c r="E160" s="4">
        <v>2012</v>
      </c>
      <c r="F160" s="4">
        <f>F4</f>
        <v>2015</v>
      </c>
      <c r="G160" s="4">
        <f t="shared" ref="G160:M160" si="462">G4</f>
        <v>2017</v>
      </c>
      <c r="H160" s="4">
        <f t="shared" si="462"/>
        <v>2019</v>
      </c>
      <c r="I160" s="4">
        <f t="shared" si="462"/>
        <v>2020</v>
      </c>
      <c r="J160" s="4">
        <f t="shared" si="462"/>
        <v>2021</v>
      </c>
      <c r="K160" s="4">
        <f t="shared" si="462"/>
        <v>2030</v>
      </c>
      <c r="L160" s="4">
        <f t="shared" si="462"/>
        <v>2040</v>
      </c>
      <c r="M160" s="4">
        <f t="shared" si="462"/>
        <v>2050</v>
      </c>
      <c r="O160" s="254">
        <f>O$12</f>
        <v>2015</v>
      </c>
      <c r="P160" s="254">
        <f t="shared" ref="P160:V160" si="463">P$12</f>
        <v>2017</v>
      </c>
      <c r="Q160" s="254">
        <f t="shared" si="463"/>
        <v>2019</v>
      </c>
      <c r="R160" s="254">
        <f t="shared" si="463"/>
        <v>2020</v>
      </c>
      <c r="S160" s="254">
        <f t="shared" si="463"/>
        <v>2021</v>
      </c>
      <c r="T160" s="254">
        <f t="shared" si="463"/>
        <v>2030</v>
      </c>
      <c r="U160" s="254">
        <f t="shared" si="463"/>
        <v>2040</v>
      </c>
      <c r="V160" s="254">
        <f t="shared" si="463"/>
        <v>2050</v>
      </c>
      <c r="X160" s="254">
        <f>X$12</f>
        <v>2015</v>
      </c>
      <c r="Y160" s="254">
        <f t="shared" ref="Y160:AE160" si="464">Y$12</f>
        <v>2017</v>
      </c>
      <c r="Z160" s="254">
        <f t="shared" si="464"/>
        <v>2019</v>
      </c>
      <c r="AA160" s="254">
        <f t="shared" si="464"/>
        <v>2020</v>
      </c>
      <c r="AB160" s="254">
        <f t="shared" si="464"/>
        <v>2021</v>
      </c>
      <c r="AC160" s="254">
        <f t="shared" si="464"/>
        <v>2030</v>
      </c>
      <c r="AD160" s="254">
        <f t="shared" si="464"/>
        <v>2040</v>
      </c>
      <c r="AE160" s="254">
        <f t="shared" si="464"/>
        <v>2050</v>
      </c>
      <c r="AI160" s="14">
        <v>2030</v>
      </c>
      <c r="AJ160" s="14">
        <v>2040</v>
      </c>
      <c r="AK160" s="14">
        <v>2050</v>
      </c>
      <c r="AL160" s="14"/>
      <c r="AM160" s="14">
        <v>2030</v>
      </c>
      <c r="AN160" s="14">
        <v>2040</v>
      </c>
      <c r="AO160" s="14">
        <v>2050</v>
      </c>
      <c r="AQ160" s="14">
        <v>2030</v>
      </c>
      <c r="AR160" s="14">
        <v>2040</v>
      </c>
      <c r="AS160" s="14">
        <v>2050</v>
      </c>
    </row>
    <row r="161" spans="1:46">
      <c r="A161" t="s">
        <v>16</v>
      </c>
      <c r="B161" t="s">
        <v>128</v>
      </c>
      <c r="C161" t="s">
        <v>100</v>
      </c>
      <c r="D161" t="s">
        <v>86</v>
      </c>
      <c r="E161" s="256">
        <f>SUMPRODUCT(E$35:E$38,E$41:E$44,E$54:E$57)*E132</f>
        <v>108.6598655462619</v>
      </c>
      <c r="F161" s="42">
        <f t="shared" ref="F161:F168" si="465">IF($D$4,X161,O161)</f>
        <v>113.09321758673757</v>
      </c>
      <c r="G161" s="42">
        <f t="shared" ref="G161:G168" si="466">IF($D$4,Y161,P161)</f>
        <v>112.21357404370687</v>
      </c>
      <c r="H161" s="42">
        <f t="shared" ref="H161:H168" si="467">IF($D$4,Z161,Q161)</f>
        <v>117.77587315202406</v>
      </c>
      <c r="I161" s="42">
        <f t="shared" ref="I161:I168" si="468">IF($D$4,AA161,R161)</f>
        <v>109.43104058031604</v>
      </c>
      <c r="J161" s="42">
        <f t="shared" ref="J161:J168" si="469">IF($D$4,AB161,S161)</f>
        <v>107.25193624787502</v>
      </c>
      <c r="K161" s="42">
        <f t="shared" ref="K161:K168" si="470">IF($D$4,AC161,T161)</f>
        <v>138.10721528015836</v>
      </c>
      <c r="L161" s="42">
        <f t="shared" ref="L161:L168" si="471">IF($D$4,AD161,U161)</f>
        <v>182.31941833429059</v>
      </c>
      <c r="M161" s="42">
        <f t="shared" ref="M161:M168" si="472">IF($D$4,AE161,V161)</f>
        <v>223.48310007594094</v>
      </c>
      <c r="N161" t="str">
        <f t="shared" ref="N161:N168" si="473">C161</f>
        <v>Car</v>
      </c>
      <c r="O161" s="6">
        <f>SUMPRODUCT(O$35:O$38,O$41:O$44,O$54:O$57)*O132</f>
        <v>113.09321758673757</v>
      </c>
      <c r="P161" s="6">
        <f t="shared" ref="P161:S161" si="474">SUMPRODUCT(P$35:P$38,P$41:P$44,P$54:P$57)*P132</f>
        <v>112.21357404370687</v>
      </c>
      <c r="Q161" s="6">
        <f t="shared" si="474"/>
        <v>117.77587315202406</v>
      </c>
      <c r="R161" s="6">
        <f t="shared" si="474"/>
        <v>109.43104058031604</v>
      </c>
      <c r="S161" s="6">
        <f t="shared" si="474"/>
        <v>107.25193624787502</v>
      </c>
      <c r="T161" s="263">
        <f t="shared" ref="T161:V163" si="475">SUMPRODUCT(T$35:T$38,T$41:T$44,T$54:T$57)*T132</f>
        <v>138.10721528015836</v>
      </c>
      <c r="U161" s="263">
        <f t="shared" si="475"/>
        <v>182.31941833429059</v>
      </c>
      <c r="V161" s="263">
        <f t="shared" si="475"/>
        <v>223.48310007594094</v>
      </c>
      <c r="X161" s="6">
        <f>O161</f>
        <v>113.09321758673757</v>
      </c>
      <c r="Y161" s="6">
        <f t="shared" ref="Y161:AB161" si="476">P161</f>
        <v>112.21357404370687</v>
      </c>
      <c r="Z161" s="6">
        <f t="shared" si="476"/>
        <v>117.77587315202406</v>
      </c>
      <c r="AA161" s="6">
        <f t="shared" si="476"/>
        <v>109.43104058031604</v>
      </c>
      <c r="AB161" s="6">
        <f t="shared" si="476"/>
        <v>107.25193624787502</v>
      </c>
      <c r="AC161" s="267" t="e" cm="1">
        <f t="array" ref="AC161">T161*INDEX($AI$161:$AS$168,MATCH($C161,$C$161:$C$168,0),MATCH(AC$160&amp;$D$3,$AI$160:$AS$160&amp;$AI$159:$AS$159,0))</f>
        <v>#N/A</v>
      </c>
      <c r="AD161" s="267" t="e">
        <f t="array" ref="AD161">U161*INDEX($AI$161:$AS$168,MATCH($C161,$C$161:$C$168,0),MATCH(AD$160&amp;$D$3,$AI$160:$AS$160&amp;$AI$159:$AS$159,0))</f>
        <v>#N/A</v>
      </c>
      <c r="AE161" s="267" t="e" cm="1">
        <f t="array" ref="AE161">V161*INDEX($AI$161:$AS$168,MATCH($C161,$C$161:$C$168,0),MATCH(AE$160&amp;$D$3,$AI$160:$AS$160&amp;$AI$159:$AS$159,0))</f>
        <v>#N/A</v>
      </c>
      <c r="AI161" s="206">
        <v>0.8</v>
      </c>
      <c r="AJ161" s="206">
        <f>AVERAGE(AI161,AK161)</f>
        <v>0.8</v>
      </c>
      <c r="AK161" s="206">
        <v>0.8</v>
      </c>
      <c r="AL161" s="218"/>
      <c r="AM161" s="206">
        <f>AVERAGE(1,1,AO161)</f>
        <v>0.93333333333333324</v>
      </c>
      <c r="AN161" s="206">
        <f>AVERAGE(AM161,AO161)</f>
        <v>0.8666666666666667</v>
      </c>
      <c r="AO161" s="206">
        <v>0.8</v>
      </c>
      <c r="AQ161" s="206">
        <v>0.8</v>
      </c>
      <c r="AR161" s="206">
        <f>AVERAGE(AS161,AQ161)</f>
        <v>0.75</v>
      </c>
      <c r="AS161" s="206">
        <v>0.7</v>
      </c>
    </row>
    <row r="162" spans="1:46">
      <c r="A162" t="s">
        <v>16</v>
      </c>
      <c r="B162" t="s">
        <v>127</v>
      </c>
      <c r="C162" t="s">
        <v>99</v>
      </c>
      <c r="D162" t="s">
        <v>86</v>
      </c>
      <c r="E162" s="256">
        <f t="shared" ref="E162:E163" si="477">SUMPRODUCT(E$35:E$38,E$41:E$44,E$54:E$57)*E133</f>
        <v>13.915131557209829</v>
      </c>
      <c r="F162" s="42">
        <f t="shared" si="465"/>
        <v>18.547037936929154</v>
      </c>
      <c r="G162" s="42">
        <f t="shared" si="466"/>
        <v>23.845384484287713</v>
      </c>
      <c r="H162" s="42">
        <f t="shared" si="467"/>
        <v>25.027373044805117</v>
      </c>
      <c r="I162" s="42">
        <f t="shared" si="468"/>
        <v>23.254096123317161</v>
      </c>
      <c r="J162" s="42">
        <f t="shared" si="469"/>
        <v>22.791036452673445</v>
      </c>
      <c r="K162" s="42">
        <f t="shared" si="470"/>
        <v>29.347783247033657</v>
      </c>
      <c r="L162" s="42">
        <f t="shared" si="471"/>
        <v>38.742876396036756</v>
      </c>
      <c r="M162" s="42">
        <f t="shared" si="472"/>
        <v>47.490158766137455</v>
      </c>
      <c r="N162" t="str">
        <f t="shared" si="473"/>
        <v>SUV</v>
      </c>
      <c r="O162" s="6">
        <f>SUMPRODUCT(O$35:O$38,O$41:O$44,O$54:O$57)*O133</f>
        <v>18.547037936929154</v>
      </c>
      <c r="P162" s="6">
        <f t="shared" ref="P162:S162" si="478">SUMPRODUCT(P$35:P$38,P$41:P$44,P$54:P$57)*P133</f>
        <v>23.845384484287713</v>
      </c>
      <c r="Q162" s="6">
        <f t="shared" si="478"/>
        <v>25.027373044805117</v>
      </c>
      <c r="R162" s="6">
        <f t="shared" si="478"/>
        <v>23.254096123317161</v>
      </c>
      <c r="S162" s="6">
        <f t="shared" si="478"/>
        <v>22.791036452673445</v>
      </c>
      <c r="T162" s="263">
        <f t="shared" si="475"/>
        <v>29.347783247033657</v>
      </c>
      <c r="U162" s="263">
        <f t="shared" si="475"/>
        <v>38.742876396036756</v>
      </c>
      <c r="V162" s="263">
        <f>SUMPRODUCT(V$35:V$38,V$41:V$44,V$54:V$57)*V133</f>
        <v>47.490158766137455</v>
      </c>
      <c r="X162" s="6">
        <f t="shared" ref="X162:X168" si="479">O162</f>
        <v>18.547037936929154</v>
      </c>
      <c r="Y162" s="6">
        <f t="shared" ref="Y162:Y168" si="480">P162</f>
        <v>23.845384484287713</v>
      </c>
      <c r="Z162" s="6">
        <f t="shared" ref="Z162:Z168" si="481">Q162</f>
        <v>25.027373044805117</v>
      </c>
      <c r="AA162" s="6">
        <f t="shared" ref="AA162:AA168" si="482">R162</f>
        <v>23.254096123317161</v>
      </c>
      <c r="AB162" s="6">
        <f t="shared" ref="AB162:AB168" si="483">S162</f>
        <v>22.791036452673445</v>
      </c>
      <c r="AC162" s="267" t="e">
        <f t="array" ref="AC162">T162*INDEX($AI$161:$AS$168,MATCH($C162,$C$161:$C$168,0),MATCH(AC$160&amp;$D$3,$AI$160:$AS$160&amp;$AI$159:$AS$159,0))</f>
        <v>#N/A</v>
      </c>
      <c r="AD162" s="267" t="e">
        <f t="array" ref="AD162">U162*INDEX($AI$161:$AS$168,MATCH($C162,$C$161:$C$168,0),MATCH(AD$160&amp;$D$3,$AI$160:$AS$160&amp;$AI$159:$AS$159,0))</f>
        <v>#N/A</v>
      </c>
      <c r="AE162" s="267" t="e">
        <f t="array" ref="AE162">V162*INDEX($AI$161:$AS$168,MATCH($C162,$C$161:$C$168,0),MATCH(AE$160&amp;$D$3,$AI$160:$AS$160&amp;$AI$159:$AS$159,0))</f>
        <v>#N/A</v>
      </c>
      <c r="AI162" s="206">
        <f>AI161</f>
        <v>0.8</v>
      </c>
      <c r="AJ162" s="206">
        <f t="shared" ref="AJ162:AK162" si="484">AJ161</f>
        <v>0.8</v>
      </c>
      <c r="AK162" s="206">
        <f t="shared" si="484"/>
        <v>0.8</v>
      </c>
      <c r="AL162" s="218"/>
      <c r="AM162" s="206">
        <f>AM161</f>
        <v>0.93333333333333324</v>
      </c>
      <c r="AN162" s="206">
        <f t="shared" ref="AN162:AO162" si="485">AN161</f>
        <v>0.8666666666666667</v>
      </c>
      <c r="AO162" s="206">
        <f t="shared" si="485"/>
        <v>0.8</v>
      </c>
      <c r="AQ162" s="206">
        <f>AQ161</f>
        <v>0.8</v>
      </c>
      <c r="AR162" s="206">
        <f t="shared" ref="AR162:AS162" si="486">AR161</f>
        <v>0.75</v>
      </c>
      <c r="AS162" s="206">
        <f t="shared" si="486"/>
        <v>0.7</v>
      </c>
    </row>
    <row r="163" spans="1:46">
      <c r="A163" t="s">
        <v>16</v>
      </c>
      <c r="B163" t="s">
        <v>183</v>
      </c>
      <c r="C163" t="s">
        <v>212</v>
      </c>
      <c r="D163" t="s">
        <v>86</v>
      </c>
      <c r="E163" s="256">
        <f t="shared" si="477"/>
        <v>4.7105599865379668</v>
      </c>
      <c r="F163" s="42">
        <f t="shared" si="465"/>
        <v>3.9743652721991038</v>
      </c>
      <c r="G163" s="42">
        <f t="shared" si="466"/>
        <v>4.208009026639008</v>
      </c>
      <c r="H163" s="42">
        <f t="shared" si="467"/>
        <v>4.4165952432009021</v>
      </c>
      <c r="I163" s="42">
        <f t="shared" si="468"/>
        <v>4.1036640217618512</v>
      </c>
      <c r="J163" s="42">
        <f t="shared" si="469"/>
        <v>4.0219476092953137</v>
      </c>
      <c r="K163" s="42">
        <f t="shared" si="470"/>
        <v>5.1790205730059391</v>
      </c>
      <c r="L163" s="42">
        <f t="shared" si="471"/>
        <v>6.8369781875358973</v>
      </c>
      <c r="M163" s="42">
        <f t="shared" si="472"/>
        <v>8.3806162528477852</v>
      </c>
      <c r="N163" t="str">
        <f t="shared" si="473"/>
        <v>Motorbike</v>
      </c>
      <c r="O163" s="6">
        <f>SUMPRODUCT(O$35:O$38,O$41:O$44,O$54:O$57)*O134</f>
        <v>3.9743652721991038</v>
      </c>
      <c r="P163" s="6">
        <f t="shared" ref="P163:S163" si="487">SUMPRODUCT(P$35:P$38,P$41:P$44,P$54:P$57)*P134</f>
        <v>4.208009026639008</v>
      </c>
      <c r="Q163" s="6">
        <f t="shared" si="487"/>
        <v>4.4165952432009021</v>
      </c>
      <c r="R163" s="6">
        <f t="shared" si="487"/>
        <v>4.1036640217618512</v>
      </c>
      <c r="S163" s="6">
        <f t="shared" si="487"/>
        <v>4.0219476092953137</v>
      </c>
      <c r="T163" s="263">
        <f t="shared" si="475"/>
        <v>5.1790205730059391</v>
      </c>
      <c r="U163" s="263">
        <f t="shared" si="475"/>
        <v>6.8369781875358973</v>
      </c>
      <c r="V163" s="263">
        <f t="shared" si="475"/>
        <v>8.3806162528477852</v>
      </c>
      <c r="X163" s="6">
        <f t="shared" si="479"/>
        <v>3.9743652721991038</v>
      </c>
      <c r="Y163" s="6">
        <f t="shared" si="480"/>
        <v>4.208009026639008</v>
      </c>
      <c r="Z163" s="6">
        <f t="shared" si="481"/>
        <v>4.4165952432009021</v>
      </c>
      <c r="AA163" s="6">
        <f t="shared" si="482"/>
        <v>4.1036640217618512</v>
      </c>
      <c r="AB163" s="6">
        <f t="shared" si="483"/>
        <v>4.0219476092953137</v>
      </c>
      <c r="AC163" s="267" t="e">
        <f t="array" ref="AC163">T163*INDEX($AI$161:$AS$168,MATCH($C163,$C$161:$C$168,0),MATCH(AC$160&amp;$D$3,$AI$160:$AS$160&amp;$AI$159:$AS$159,0))</f>
        <v>#N/A</v>
      </c>
      <c r="AD163" s="267" t="e">
        <f t="array" ref="AD163">U163*INDEX($AI$161:$AS$168,MATCH($C163,$C$161:$C$168,0),MATCH(AD$160&amp;$D$3,$AI$160:$AS$160&amp;$AI$159:$AS$159,0))</f>
        <v>#N/A</v>
      </c>
      <c r="AE163" s="267" t="e">
        <f t="array" ref="AE163">V163*INDEX($AI$161:$AS$168,MATCH($C163,$C$161:$C$168,0),MATCH(AE$160&amp;$D$3,$AI$160:$AS$160&amp;$AI$159:$AS$159,0))</f>
        <v>#N/A</v>
      </c>
      <c r="AI163" s="218">
        <v>1</v>
      </c>
      <c r="AJ163" s="218">
        <v>1</v>
      </c>
      <c r="AK163" s="218">
        <v>1</v>
      </c>
      <c r="AL163" s="218"/>
      <c r="AM163" s="218">
        <v>1</v>
      </c>
      <c r="AN163" s="218">
        <v>1</v>
      </c>
      <c r="AO163" s="218">
        <v>1</v>
      </c>
      <c r="AP163" s="218"/>
      <c r="AQ163" s="218">
        <v>1</v>
      </c>
      <c r="AR163" s="218">
        <v>1</v>
      </c>
      <c r="AS163" s="218">
        <v>1</v>
      </c>
    </row>
    <row r="164" spans="1:46">
      <c r="A164" t="s">
        <v>16</v>
      </c>
      <c r="B164" t="s">
        <v>129</v>
      </c>
      <c r="C164" t="s">
        <v>62</v>
      </c>
      <c r="D164" t="s">
        <v>86</v>
      </c>
      <c r="E164" s="256">
        <f t="shared" ref="E164:E166" si="488">E152*E142</f>
        <v>15.449787242939724</v>
      </c>
      <c r="F164" s="42">
        <f t="shared" si="465"/>
        <v>28.167748821049805</v>
      </c>
      <c r="G164" s="42">
        <f t="shared" si="466"/>
        <v>18.502265696365193</v>
      </c>
      <c r="H164" s="42">
        <f t="shared" si="467"/>
        <v>18.925968547790067</v>
      </c>
      <c r="I164" s="42">
        <f t="shared" si="468"/>
        <v>19.230136292558988</v>
      </c>
      <c r="J164" s="42">
        <f t="shared" si="469"/>
        <v>19.748573787144736</v>
      </c>
      <c r="K164" s="42">
        <f t="shared" si="470"/>
        <v>20.234824465957928</v>
      </c>
      <c r="L164" s="42">
        <f t="shared" si="471"/>
        <v>19.221066410059283</v>
      </c>
      <c r="M164" s="42">
        <f t="shared" si="472"/>
        <v>17.802079488794213</v>
      </c>
      <c r="N164" t="str">
        <f t="shared" si="473"/>
        <v>Bus</v>
      </c>
      <c r="O164" s="6">
        <f>O152*O142</f>
        <v>28.167748821049805</v>
      </c>
      <c r="P164" s="6">
        <f t="shared" ref="P164:S164" si="489">P152*P142</f>
        <v>18.502265696365193</v>
      </c>
      <c r="Q164" s="6">
        <f t="shared" si="489"/>
        <v>18.925968547790067</v>
      </c>
      <c r="R164" s="6">
        <f t="shared" si="489"/>
        <v>19.230136292558988</v>
      </c>
      <c r="S164" s="6">
        <f t="shared" si="489"/>
        <v>19.748573787144736</v>
      </c>
      <c r="T164" s="263">
        <f t="shared" ref="T164:V166" si="490">T152*T142</f>
        <v>20.234824465957928</v>
      </c>
      <c r="U164" s="263">
        <f t="shared" si="490"/>
        <v>19.221066410059283</v>
      </c>
      <c r="V164" s="263">
        <f t="shared" si="490"/>
        <v>17.802079488794213</v>
      </c>
      <c r="X164" s="6">
        <f t="shared" si="479"/>
        <v>28.167748821049805</v>
      </c>
      <c r="Y164" s="6">
        <f t="shared" si="480"/>
        <v>18.502265696365193</v>
      </c>
      <c r="Z164" s="6">
        <f t="shared" si="481"/>
        <v>18.925968547790067</v>
      </c>
      <c r="AA164" s="6">
        <f t="shared" si="482"/>
        <v>19.230136292558988</v>
      </c>
      <c r="AB164" s="6">
        <f t="shared" si="483"/>
        <v>19.748573787144736</v>
      </c>
      <c r="AC164" s="267" t="e">
        <f t="array" ref="AC164">T164+INDEX($AI$161:$AS$168,MATCH($C164,$C$161:$C$168,0),MATCH(AC$160&amp;$D$3,$AI$160:$AS$160&amp;$AI$159:$AS$159,0))</f>
        <v>#N/A</v>
      </c>
      <c r="AD164" s="267" t="e">
        <f t="array" ref="AD164">U164+INDEX($AI$161:$AS$168,MATCH($C164,$C$161:$C$168,0),MATCH(AD$160&amp;$D$3,$AI$160:$AS$160&amp;$AI$159:$AS$159,0))</f>
        <v>#N/A</v>
      </c>
      <c r="AE164" s="267" t="e">
        <f t="array" ref="AE164">V164+INDEX($AI$161:$AS$168,MATCH($C164,$C$161:$C$168,0),MATCH(AE$160&amp;$D$3,$AI$160:$AS$160&amp;$AI$159:$AS$159,0))</f>
        <v>#N/A</v>
      </c>
      <c r="AI164" s="6">
        <f t="shared" ref="AI164:AK168" si="491">SUM(T$161:T$162)*(1-AI$161) *AI175</f>
        <v>4.4625849470849657</v>
      </c>
      <c r="AJ164" s="6">
        <f t="shared" si="491"/>
        <v>5.8911903347658248</v>
      </c>
      <c r="AK164" s="6">
        <f t="shared" si="491"/>
        <v>7.2212904756907319</v>
      </c>
      <c r="AL164" s="6"/>
      <c r="AM164" s="6">
        <f t="shared" ref="AM164:AO168" si="492">SUM(T$161:T$162)*(1-AM$161) *AM175</f>
        <v>1.487528315694991</v>
      </c>
      <c r="AN164" s="6">
        <f t="shared" si="492"/>
        <v>3.9274602231772167</v>
      </c>
      <c r="AO164" s="6">
        <f t="shared" si="492"/>
        <v>7.2212904756907319</v>
      </c>
      <c r="AP164" s="6"/>
      <c r="AQ164" s="6">
        <f t="shared" ref="AQ164:AS168" si="493">SUM(T$161:T$162)*(1-AQ$161) *AQ175</f>
        <v>4.4625849470849657</v>
      </c>
      <c r="AR164" s="6">
        <f t="shared" si="493"/>
        <v>7.3639879184572825</v>
      </c>
      <c r="AS164" s="6">
        <f t="shared" si="493"/>
        <v>10.831935713536101</v>
      </c>
    </row>
    <row r="165" spans="1:46">
      <c r="A165" t="s">
        <v>16</v>
      </c>
      <c r="B165" t="s">
        <v>130</v>
      </c>
      <c r="C165" t="s">
        <v>61</v>
      </c>
      <c r="D165" t="s">
        <v>86</v>
      </c>
      <c r="E165" s="256">
        <f t="shared" si="488"/>
        <v>82.177558676317133</v>
      </c>
      <c r="F165" s="42">
        <f t="shared" si="465"/>
        <v>94.847852582060455</v>
      </c>
      <c r="G165" s="42">
        <f t="shared" si="466"/>
        <v>97.886986758472602</v>
      </c>
      <c r="H165" s="42">
        <f t="shared" si="467"/>
        <v>100.12860387107854</v>
      </c>
      <c r="I165" s="42">
        <f t="shared" si="468"/>
        <v>101.7378156559033</v>
      </c>
      <c r="J165" s="42">
        <f t="shared" si="469"/>
        <v>104.48063023874546</v>
      </c>
      <c r="K165" s="42">
        <f t="shared" si="470"/>
        <v>107.05315916787201</v>
      </c>
      <c r="L165" s="42">
        <f t="shared" si="471"/>
        <v>101.68983107484065</v>
      </c>
      <c r="M165" s="42">
        <f t="shared" si="472"/>
        <v>94.182623241390985</v>
      </c>
      <c r="N165" t="str">
        <f t="shared" si="473"/>
        <v>Minibus</v>
      </c>
      <c r="O165" s="6">
        <f>O153*O143</f>
        <v>94.847852582060455</v>
      </c>
      <c r="P165" s="6">
        <f t="shared" ref="P165:S165" si="494">P153*P143</f>
        <v>97.886986758472602</v>
      </c>
      <c r="Q165" s="6">
        <f t="shared" si="494"/>
        <v>100.12860387107854</v>
      </c>
      <c r="R165" s="6">
        <f t="shared" si="494"/>
        <v>101.7378156559033</v>
      </c>
      <c r="S165" s="6">
        <f t="shared" si="494"/>
        <v>104.48063023874546</v>
      </c>
      <c r="T165" s="263">
        <f t="shared" si="490"/>
        <v>107.05315916787201</v>
      </c>
      <c r="U165" s="263">
        <f t="shared" si="490"/>
        <v>101.68983107484065</v>
      </c>
      <c r="V165" s="263">
        <f t="shared" si="490"/>
        <v>94.182623241390985</v>
      </c>
      <c r="X165" s="6">
        <f t="shared" si="479"/>
        <v>94.847852582060455</v>
      </c>
      <c r="Y165" s="6">
        <f t="shared" si="480"/>
        <v>97.886986758472602</v>
      </c>
      <c r="Z165" s="6">
        <f t="shared" si="481"/>
        <v>100.12860387107854</v>
      </c>
      <c r="AA165" s="6">
        <f t="shared" si="482"/>
        <v>101.7378156559033</v>
      </c>
      <c r="AB165" s="6">
        <f t="shared" si="483"/>
        <v>104.48063023874546</v>
      </c>
      <c r="AC165" s="267" t="e">
        <f t="array" ref="AC165">T165+INDEX($AI$161:$AS$168,MATCH($C165,$C$161:$C$168,0),MATCH(AC$160&amp;$D$3,$AI$160:$AS$160&amp;$AI$159:$AS$159,0))</f>
        <v>#N/A</v>
      </c>
      <c r="AD165" s="267" t="e">
        <f t="array" ref="AD165">U165+INDEX($AI$161:$AS$168,MATCH($C165,$C$161:$C$168,0),MATCH(AD$160&amp;$D$3,$AI$160:$AS$160&amp;$AI$159:$AS$159,0))</f>
        <v>#N/A</v>
      </c>
      <c r="AE165" s="267" t="e" cm="1">
        <f t="array" ref="AE165">V165+INDEX($AI$161:$AS$168,MATCH($C165,$C$161:$C$168,0),MATCH(AE$160&amp;$D$3,$AI$160:$AS$160&amp;$AI$159:$AS$159,0))</f>
        <v>#N/A</v>
      </c>
      <c r="AI165" s="6">
        <f t="shared" si="491"/>
        <v>23.609486578158972</v>
      </c>
      <c r="AJ165" s="6">
        <f t="shared" si="491"/>
        <v>31.167581298119195</v>
      </c>
      <c r="AK165" s="6">
        <f t="shared" si="491"/>
        <v>38.204530016661103</v>
      </c>
      <c r="AL165" s="6"/>
      <c r="AM165" s="6">
        <f t="shared" si="492"/>
        <v>7.8698288593863381</v>
      </c>
      <c r="AN165" s="6">
        <f t="shared" si="492"/>
        <v>20.778387532079464</v>
      </c>
      <c r="AO165" s="6">
        <f t="shared" si="492"/>
        <v>38.204530016661103</v>
      </c>
      <c r="AP165" s="6"/>
      <c r="AQ165" s="6">
        <f t="shared" si="493"/>
        <v>23.609486578158972</v>
      </c>
      <c r="AR165" s="6">
        <f t="shared" si="493"/>
        <v>38.959476622648999</v>
      </c>
      <c r="AS165" s="6">
        <f t="shared" si="493"/>
        <v>57.306795024991672</v>
      </c>
    </row>
    <row r="166" spans="1:46">
      <c r="A166" t="s">
        <v>16</v>
      </c>
      <c r="B166" t="s">
        <v>131</v>
      </c>
      <c r="C166" t="s">
        <v>63</v>
      </c>
      <c r="D166" t="s">
        <v>86</v>
      </c>
      <c r="E166" s="256">
        <f t="shared" si="488"/>
        <v>0.52719357125417843</v>
      </c>
      <c r="F166" s="42">
        <f t="shared" si="465"/>
        <v>0.80138751043622602</v>
      </c>
      <c r="G166" s="42">
        <f t="shared" si="466"/>
        <v>1.5745685843146777</v>
      </c>
      <c r="H166" s="42">
        <f t="shared" si="467"/>
        <v>2.5244712126531619</v>
      </c>
      <c r="I166" s="42">
        <f t="shared" si="468"/>
        <v>2.5547042090015273</v>
      </c>
      <c r="J166" s="42">
        <f t="shared" si="469"/>
        <v>7.3955309497646695</v>
      </c>
      <c r="K166" s="42">
        <f t="shared" si="470"/>
        <v>14.353429232650743</v>
      </c>
      <c r="L166" s="42">
        <f t="shared" si="471"/>
        <v>27.397071760775237</v>
      </c>
      <c r="M166" s="42">
        <f t="shared" si="472"/>
        <v>40.023830004719386</v>
      </c>
      <c r="N166" t="str">
        <f t="shared" si="473"/>
        <v>BRT</v>
      </c>
      <c r="O166" s="6">
        <f>O154*O144</f>
        <v>0.80138751043622602</v>
      </c>
      <c r="P166" s="6">
        <f t="shared" ref="P166:S166" si="495">P154*P144</f>
        <v>1.5745685843146777</v>
      </c>
      <c r="Q166" s="6">
        <f t="shared" si="495"/>
        <v>2.5244712126531619</v>
      </c>
      <c r="R166" s="6">
        <f t="shared" si="495"/>
        <v>2.5547042090015273</v>
      </c>
      <c r="S166" s="6">
        <f t="shared" si="495"/>
        <v>7.3955309497646695</v>
      </c>
      <c r="T166" s="263">
        <f t="shared" si="490"/>
        <v>14.353429232650743</v>
      </c>
      <c r="U166" s="263">
        <f t="shared" si="490"/>
        <v>27.397071760775237</v>
      </c>
      <c r="V166" s="263">
        <f t="shared" si="490"/>
        <v>40.023830004719386</v>
      </c>
      <c r="X166" s="6">
        <f t="shared" si="479"/>
        <v>0.80138751043622602</v>
      </c>
      <c r="Y166" s="6">
        <f t="shared" si="480"/>
        <v>1.5745685843146777</v>
      </c>
      <c r="Z166" s="6">
        <f t="shared" si="481"/>
        <v>2.5244712126531619</v>
      </c>
      <c r="AA166" s="6">
        <f t="shared" si="482"/>
        <v>2.5547042090015273</v>
      </c>
      <c r="AB166" s="6">
        <f t="shared" si="483"/>
        <v>7.3955309497646695</v>
      </c>
      <c r="AC166" s="267" t="e">
        <f t="array" ref="AC166">T166+INDEX($AI$161:$AS$168,MATCH($C166,$C$161:$C$168,0),MATCH(AC$160&amp;$D$3,$AI$160:$AS$160&amp;$AI$159:$AS$159,0))</f>
        <v>#N/A</v>
      </c>
      <c r="AD166" s="267" t="e">
        <f t="array" ref="AD166">U166+INDEX($AI$161:$AS$168,MATCH($C166,$C$161:$C$168,0),MATCH(AD$160&amp;$D$3,$AI$160:$AS$160&amp;$AI$159:$AS$159,0))</f>
        <v>#N/A</v>
      </c>
      <c r="AE166" s="267" t="e">
        <f t="array" ref="AE166">V166+INDEX($AI$161:$AS$168,MATCH($C166,$C$161:$C$168,0),MATCH(AE$160&amp;$D$3,$AI$160:$AS$160&amp;$AI$159:$AS$159,0))</f>
        <v>#N/A</v>
      </c>
      <c r="AI166" s="6">
        <f t="shared" si="491"/>
        <v>3.1655029842456401</v>
      </c>
      <c r="AJ166" s="6">
        <f t="shared" si="491"/>
        <v>4.1788740845464138</v>
      </c>
      <c r="AK166" s="6">
        <f t="shared" si="491"/>
        <v>5.1223711866449779</v>
      </c>
      <c r="AL166" s="6"/>
      <c r="AM166" s="6">
        <f t="shared" si="492"/>
        <v>1.0551676614152152</v>
      </c>
      <c r="AN166" s="6">
        <f t="shared" si="492"/>
        <v>2.7859160563642758</v>
      </c>
      <c r="AO166" s="6">
        <f t="shared" si="492"/>
        <v>5.1223711866449779</v>
      </c>
      <c r="AP166" s="6"/>
      <c r="AQ166" s="6">
        <f t="shared" si="493"/>
        <v>3.1655029842456401</v>
      </c>
      <c r="AR166" s="6">
        <f t="shared" si="493"/>
        <v>5.2235926056830184</v>
      </c>
      <c r="AS166" s="6">
        <f t="shared" si="493"/>
        <v>7.6835567799674696</v>
      </c>
    </row>
    <row r="167" spans="1:46">
      <c r="A167" t="s">
        <v>16</v>
      </c>
      <c r="B167" t="s">
        <v>132</v>
      </c>
      <c r="C167" t="s">
        <v>85</v>
      </c>
      <c r="D167" t="str">
        <f>D166</f>
        <v>billion</v>
      </c>
      <c r="E167" s="256">
        <f t="shared" ref="E167:E168" si="496">E155</f>
        <v>15.023482841814213</v>
      </c>
      <c r="F167" s="42">
        <f t="shared" si="465"/>
        <v>12.322446292964566</v>
      </c>
      <c r="G167" s="42">
        <f t="shared" si="466"/>
        <v>8.6260563043864682</v>
      </c>
      <c r="H167" s="42">
        <f t="shared" si="467"/>
        <v>8.8235934445777957</v>
      </c>
      <c r="I167" s="42">
        <f t="shared" si="468"/>
        <v>8.9654013796389815</v>
      </c>
      <c r="J167" s="42">
        <f t="shared" si="469"/>
        <v>9.2071053467093638</v>
      </c>
      <c r="K167" s="42">
        <f t="shared" si="470"/>
        <v>9.4338032983182156</v>
      </c>
      <c r="L167" s="42">
        <f t="shared" si="471"/>
        <v>8.9611728533384429</v>
      </c>
      <c r="M167" s="42">
        <f t="shared" si="472"/>
        <v>8.2996181400459434</v>
      </c>
      <c r="N167" t="str">
        <f t="shared" si="473"/>
        <v>Metro Rail</v>
      </c>
      <c r="O167" s="6">
        <f>O155</f>
        <v>12.322446292964566</v>
      </c>
      <c r="P167" s="6">
        <f t="shared" ref="P167:S167" si="497">P155</f>
        <v>8.6260563043864682</v>
      </c>
      <c r="Q167" s="6">
        <f t="shared" si="497"/>
        <v>8.8235934445777957</v>
      </c>
      <c r="R167" s="6">
        <f t="shared" si="497"/>
        <v>8.9654013796389815</v>
      </c>
      <c r="S167" s="6">
        <f t="shared" si="497"/>
        <v>9.2071053467093638</v>
      </c>
      <c r="T167" s="263">
        <f t="shared" ref="T167:V168" si="498">T155</f>
        <v>9.4338032983182156</v>
      </c>
      <c r="U167" s="263">
        <f t="shared" si="498"/>
        <v>8.9611728533384429</v>
      </c>
      <c r="V167" s="263">
        <f t="shared" si="498"/>
        <v>8.2996181400459434</v>
      </c>
      <c r="X167" s="6">
        <f t="shared" si="479"/>
        <v>12.322446292964566</v>
      </c>
      <c r="Y167" s="6">
        <f t="shared" si="480"/>
        <v>8.6260563043864682</v>
      </c>
      <c r="Z167" s="6">
        <f t="shared" si="481"/>
        <v>8.8235934445777957</v>
      </c>
      <c r="AA167" s="6">
        <f t="shared" si="482"/>
        <v>8.9654013796389815</v>
      </c>
      <c r="AB167" s="6">
        <f t="shared" si="483"/>
        <v>9.2071053467093638</v>
      </c>
      <c r="AC167" s="267" t="e">
        <f t="array" ref="AC167">T167+INDEX($AI$161:$AS$168,MATCH($C167,$C$161:$C$168,0),MATCH(AC$160&amp;$D$3,$AI$160:$AS$160&amp;$AI$159:$AS$159,0))</f>
        <v>#N/A</v>
      </c>
      <c r="AD167" s="267" t="e">
        <f t="array" ref="AD167">U167+INDEX($AI$161:$AS$168,MATCH($C167,$C$161:$C$168,0),MATCH(AD$160&amp;$D$3,$AI$160:$AS$160&amp;$AI$159:$AS$159,0))</f>
        <v>#N/A</v>
      </c>
      <c r="AE167" s="267" t="e">
        <f t="array" ref="AE167">V167+INDEX($AI$161:$AS$168,MATCH($C167,$C$161:$C$168,0),MATCH(AE$160&amp;$D$3,$AI$160:$AS$160&amp;$AI$159:$AS$159,0))</f>
        <v>#N/A</v>
      </c>
      <c r="AI167" s="6">
        <f t="shared" si="491"/>
        <v>2.0805294685733942</v>
      </c>
      <c r="AJ167" s="6">
        <f t="shared" si="491"/>
        <v>2.7465684668840646</v>
      </c>
      <c r="AK167" s="6">
        <f t="shared" si="491"/>
        <v>3.3666827217747302</v>
      </c>
      <c r="AL167" s="6"/>
      <c r="AM167" s="6">
        <f t="shared" si="492"/>
        <v>0.69350982285779939</v>
      </c>
      <c r="AN167" s="6">
        <f t="shared" si="492"/>
        <v>1.8310456445893766</v>
      </c>
      <c r="AO167" s="6">
        <f t="shared" si="492"/>
        <v>3.3666827217747302</v>
      </c>
      <c r="AP167" s="6"/>
      <c r="AQ167" s="6">
        <f t="shared" si="493"/>
        <v>2.0805294685733942</v>
      </c>
      <c r="AR167" s="6">
        <f t="shared" si="493"/>
        <v>3.4332105836050819</v>
      </c>
      <c r="AS167" s="6">
        <f t="shared" si="493"/>
        <v>5.0500240826620972</v>
      </c>
    </row>
    <row r="168" spans="1:46">
      <c r="A168" t="s">
        <v>16</v>
      </c>
      <c r="B168" t="s">
        <v>133</v>
      </c>
      <c r="C168" t="s">
        <v>82</v>
      </c>
      <c r="D168" t="s">
        <v>86</v>
      </c>
      <c r="E168" s="256">
        <f t="shared" si="496"/>
        <v>0.53459848266953358</v>
      </c>
      <c r="F168" s="42">
        <f t="shared" si="465"/>
        <v>0.60923770891438467</v>
      </c>
      <c r="G168" s="42">
        <f t="shared" si="466"/>
        <v>0.64854136839212595</v>
      </c>
      <c r="H168" s="42">
        <f t="shared" si="467"/>
        <v>0.6995709084876961</v>
      </c>
      <c r="I168" s="42">
        <f t="shared" si="468"/>
        <v>0.64248252977129328</v>
      </c>
      <c r="J168" s="42">
        <f t="shared" si="469"/>
        <v>0.61850242942963696</v>
      </c>
      <c r="K168" s="42">
        <f t="shared" si="470"/>
        <v>0.78396596050030642</v>
      </c>
      <c r="L168" s="42">
        <f t="shared" si="471"/>
        <v>1.0089573998774011</v>
      </c>
      <c r="M168" s="42">
        <f t="shared" si="472"/>
        <v>1.1860727623872318</v>
      </c>
      <c r="N168" t="str">
        <f t="shared" si="473"/>
        <v>Gautrain</v>
      </c>
      <c r="O168" s="6">
        <f>O156</f>
        <v>0.60923770891438467</v>
      </c>
      <c r="P168" s="6">
        <f t="shared" ref="P168:S168" si="499">P156</f>
        <v>0.64854136839212595</v>
      </c>
      <c r="Q168" s="6">
        <f t="shared" si="499"/>
        <v>0.6995709084876961</v>
      </c>
      <c r="R168" s="6">
        <f t="shared" si="499"/>
        <v>0.64248252977129328</v>
      </c>
      <c r="S168" s="6">
        <f t="shared" si="499"/>
        <v>0.61850242942963696</v>
      </c>
      <c r="T168" s="263">
        <f t="shared" si="498"/>
        <v>0.78396596050030642</v>
      </c>
      <c r="U168" s="263">
        <f t="shared" si="498"/>
        <v>1.0089573998774011</v>
      </c>
      <c r="V168" s="263">
        <f t="shared" si="498"/>
        <v>1.1860727623872318</v>
      </c>
      <c r="X168" s="6">
        <f t="shared" si="479"/>
        <v>0.60923770891438467</v>
      </c>
      <c r="Y168" s="6">
        <f t="shared" si="480"/>
        <v>0.64854136839212595</v>
      </c>
      <c r="Z168" s="6">
        <f t="shared" si="481"/>
        <v>0.6995709084876961</v>
      </c>
      <c r="AA168" s="6">
        <f t="shared" si="482"/>
        <v>0.64248252977129328</v>
      </c>
      <c r="AB168" s="6">
        <f t="shared" si="483"/>
        <v>0.61850242942963696</v>
      </c>
      <c r="AC168" s="267" t="e">
        <f t="array" ref="AC168">T168+INDEX($AI$161:$AS$168,MATCH($C168,$C$161:$C$168,0),MATCH(AC$160&amp;$D$3,$AI$160:$AS$160&amp;$AI$159:$AS$159,0))</f>
        <v>#N/A</v>
      </c>
      <c r="AD168" s="267" t="e">
        <f t="array" ref="AD168">U168+INDEX($AI$161:$AS$168,MATCH($C168,$C$161:$C$168,0),MATCH(AD$160&amp;$D$3,$AI$160:$AS$160&amp;$AI$159:$AS$159,0))</f>
        <v>#N/A</v>
      </c>
      <c r="AE168" s="267" t="e">
        <f t="array" ref="AE168">V168+INDEX($AI$161:$AS$168,MATCH($C168,$C$161:$C$168,0),MATCH(AE$160&amp;$D$3,$AI$160:$AS$160&amp;$AI$159:$AS$159,0))</f>
        <v>#N/A</v>
      </c>
      <c r="AI168" s="6">
        <f t="shared" si="491"/>
        <v>0.17289572737541672</v>
      </c>
      <c r="AJ168" s="6">
        <f t="shared" si="491"/>
        <v>0.22824476174995917</v>
      </c>
      <c r="AK168" s="6">
        <f t="shared" si="491"/>
        <v>0.2797773676441227</v>
      </c>
      <c r="AL168" s="6"/>
      <c r="AM168" s="6">
        <f t="shared" si="492"/>
        <v>5.7631909125139005E-2</v>
      </c>
      <c r="AN168" s="6">
        <f t="shared" si="492"/>
        <v>0.15216317449997277</v>
      </c>
      <c r="AO168" s="6">
        <f t="shared" si="492"/>
        <v>0.2797773676441227</v>
      </c>
      <c r="AP168" s="6"/>
      <c r="AQ168" s="6">
        <f t="shared" si="493"/>
        <v>0.17289572737541672</v>
      </c>
      <c r="AR168" s="6">
        <f t="shared" si="493"/>
        <v>0.28530595218744903</v>
      </c>
      <c r="AS168" s="6">
        <f t="shared" si="493"/>
        <v>0.41966605146618419</v>
      </c>
    </row>
    <row r="169" spans="1:46">
      <c r="A169" t="s">
        <v>16</v>
      </c>
      <c r="C169" s="2" t="s">
        <v>5</v>
      </c>
      <c r="E169" s="6">
        <f t="shared" ref="E169:M169" si="500">SUM(E161:E168)</f>
        <v>240.9981779050045</v>
      </c>
      <c r="F169" s="6">
        <f t="shared" si="500"/>
        <v>272.36329371129125</v>
      </c>
      <c r="G169" s="6">
        <f t="shared" si="500"/>
        <v>267.50538626656464</v>
      </c>
      <c r="H169" s="6">
        <f t="shared" si="500"/>
        <v>278.32204942461738</v>
      </c>
      <c r="I169" s="6">
        <f t="shared" si="500"/>
        <v>269.91934079226917</v>
      </c>
      <c r="J169" s="6">
        <f t="shared" si="500"/>
        <v>275.5152630616376</v>
      </c>
      <c r="K169" s="6">
        <f t="shared" si="500"/>
        <v>324.49320122549716</v>
      </c>
      <c r="L169" s="6">
        <f t="shared" si="500"/>
        <v>386.17737241675422</v>
      </c>
      <c r="M169" s="6">
        <f t="shared" si="500"/>
        <v>440.84809873226402</v>
      </c>
      <c r="N169" s="33"/>
      <c r="O169" s="6">
        <f>SUM(O161:O168)</f>
        <v>272.36329371129125</v>
      </c>
      <c r="P169" s="6">
        <f t="shared" ref="P169:S169" si="501">SUM(P161:P168)</f>
        <v>267.50538626656464</v>
      </c>
      <c r="Q169" s="6">
        <f t="shared" si="501"/>
        <v>278.32204942461738</v>
      </c>
      <c r="R169" s="6">
        <f t="shared" si="501"/>
        <v>269.91934079226917</v>
      </c>
      <c r="S169" s="6">
        <f t="shared" si="501"/>
        <v>275.5152630616376</v>
      </c>
      <c r="T169" s="6">
        <f>SUM(T161:T168)</f>
        <v>324.49320122549716</v>
      </c>
      <c r="U169" s="6">
        <f>SUM(U161:U168)</f>
        <v>386.17737241675422</v>
      </c>
      <c r="V169" s="6">
        <f>SUM(V161:V168)</f>
        <v>440.84809873226402</v>
      </c>
      <c r="X169" s="6">
        <f>SUM(X161:X168)</f>
        <v>272.36329371129125</v>
      </c>
      <c r="Y169" s="6">
        <f t="shared" ref="Y169:AB169" si="502">SUM(Y161:Y168)</f>
        <v>267.50538626656464</v>
      </c>
      <c r="Z169" s="6">
        <f t="shared" si="502"/>
        <v>278.32204942461738</v>
      </c>
      <c r="AA169" s="6">
        <f t="shared" si="502"/>
        <v>269.91934079226917</v>
      </c>
      <c r="AB169" s="6">
        <f t="shared" si="502"/>
        <v>275.5152630616376</v>
      </c>
      <c r="AC169" s="6" t="e">
        <f>SUM(AC161:AC168)</f>
        <v>#N/A</v>
      </c>
      <c r="AD169" s="6" t="e">
        <f>SUM(AD161:AD168)</f>
        <v>#N/A</v>
      </c>
      <c r="AE169" s="6" t="e">
        <f>SUM(AE161:AE168)</f>
        <v>#N/A</v>
      </c>
      <c r="AQ169" t="s">
        <v>620</v>
      </c>
    </row>
    <row r="170" spans="1:46" ht="15.75" thickBot="1">
      <c r="A170" t="s">
        <v>16</v>
      </c>
      <c r="L170"/>
      <c r="N170" s="34"/>
      <c r="AE170" s="112"/>
      <c r="AI170" s="14">
        <v>1</v>
      </c>
      <c r="AJ170" s="14">
        <v>1</v>
      </c>
      <c r="AK170" s="14">
        <v>1</v>
      </c>
      <c r="AL170" s="14"/>
      <c r="AM170" s="14">
        <v>2</v>
      </c>
      <c r="AN170" s="14">
        <v>2</v>
      </c>
      <c r="AO170" s="14">
        <v>2</v>
      </c>
      <c r="AQ170" s="14">
        <v>2</v>
      </c>
      <c r="AR170" s="14">
        <v>2</v>
      </c>
      <c r="AS170" s="14">
        <v>2</v>
      </c>
    </row>
    <row r="171" spans="1:46" ht="15.75" thickBot="1">
      <c r="A171" t="s">
        <v>16</v>
      </c>
      <c r="C171" s="14" t="s">
        <v>143</v>
      </c>
      <c r="D171" s="14"/>
      <c r="E171" s="14">
        <v>2012</v>
      </c>
      <c r="F171" s="14">
        <f>F4</f>
        <v>2015</v>
      </c>
      <c r="G171" s="14">
        <f>G4</f>
        <v>2017</v>
      </c>
      <c r="H171" s="14">
        <f t="shared" ref="H171:J171" si="503">H4</f>
        <v>2019</v>
      </c>
      <c r="I171" s="14">
        <f t="shared" si="503"/>
        <v>2020</v>
      </c>
      <c r="J171" s="14">
        <f t="shared" si="503"/>
        <v>2021</v>
      </c>
      <c r="K171" s="14">
        <v>2030</v>
      </c>
      <c r="L171" s="14">
        <v>2040</v>
      </c>
      <c r="M171" s="14">
        <v>2050</v>
      </c>
      <c r="N171" s="14"/>
      <c r="O171" s="255">
        <f>O160</f>
        <v>2015</v>
      </c>
      <c r="P171" s="255">
        <f t="shared" ref="P171:V171" si="504">P160</f>
        <v>2017</v>
      </c>
      <c r="Q171" s="255">
        <f t="shared" si="504"/>
        <v>2019</v>
      </c>
      <c r="R171" s="255">
        <f t="shared" si="504"/>
        <v>2020</v>
      </c>
      <c r="S171" s="255">
        <f t="shared" si="504"/>
        <v>2021</v>
      </c>
      <c r="T171" s="255">
        <f t="shared" si="504"/>
        <v>2030</v>
      </c>
      <c r="U171" s="255">
        <f t="shared" si="504"/>
        <v>2040</v>
      </c>
      <c r="V171" s="255">
        <f t="shared" si="504"/>
        <v>2050</v>
      </c>
      <c r="X171" s="255">
        <f>X160</f>
        <v>2015</v>
      </c>
      <c r="Y171" s="255">
        <f t="shared" ref="Y171:AE171" si="505">Y160</f>
        <v>2017</v>
      </c>
      <c r="Z171" s="255">
        <f t="shared" si="505"/>
        <v>2019</v>
      </c>
      <c r="AA171" s="255">
        <f t="shared" si="505"/>
        <v>2020</v>
      </c>
      <c r="AB171" s="255">
        <f t="shared" si="505"/>
        <v>2021</v>
      </c>
      <c r="AC171" s="255">
        <f t="shared" si="505"/>
        <v>2030</v>
      </c>
      <c r="AD171" s="255">
        <f t="shared" si="505"/>
        <v>2040</v>
      </c>
      <c r="AE171" s="255">
        <f t="shared" si="505"/>
        <v>2050</v>
      </c>
      <c r="AF171" s="14"/>
      <c r="AI171" s="14">
        <v>2030</v>
      </c>
      <c r="AJ171" s="14">
        <v>2040</v>
      </c>
      <c r="AK171" s="14">
        <v>2050</v>
      </c>
      <c r="AL171" s="14"/>
      <c r="AM171" s="14">
        <v>2030</v>
      </c>
      <c r="AN171" s="14">
        <v>2040</v>
      </c>
      <c r="AO171" s="14">
        <v>2050</v>
      </c>
      <c r="AP171" s="14"/>
      <c r="AQ171" s="14">
        <v>2030</v>
      </c>
      <c r="AR171" s="14">
        <v>2040</v>
      </c>
      <c r="AS171" s="14">
        <v>2050</v>
      </c>
      <c r="AT171" s="14"/>
    </row>
    <row r="172" spans="1:46">
      <c r="A172" t="s">
        <v>16</v>
      </c>
      <c r="B172" t="str">
        <f t="shared" ref="B172:C179" si="506">B161</f>
        <v>TPPRCAR</v>
      </c>
      <c r="C172" t="str">
        <f t="shared" si="506"/>
        <v>Car</v>
      </c>
      <c r="E172" s="212">
        <f t="shared" ref="E172:G179" si="507">E161/E$169</f>
        <v>0.45087422025693868</v>
      </c>
      <c r="F172" s="212">
        <f>F161/F$169</f>
        <v>0.41522929189796737</v>
      </c>
      <c r="G172" s="212">
        <f t="shared" si="507"/>
        <v>0.41948154992246744</v>
      </c>
      <c r="H172" s="212">
        <f>H161/H$169</f>
        <v>0.42316400513543673</v>
      </c>
      <c r="I172" s="212">
        <f t="shared" ref="I172:J172" si="508">I161/I$169</f>
        <v>0.40542126495683217</v>
      </c>
      <c r="J172" s="212">
        <f t="shared" si="508"/>
        <v>0.3892776576369959</v>
      </c>
      <c r="K172" s="212">
        <f t="shared" ref="K172:M179" si="509">K161/K$169</f>
        <v>0.42560896425125638</v>
      </c>
      <c r="L172" s="212">
        <f t="shared" si="509"/>
        <v>0.47211315669095039</v>
      </c>
      <c r="M172" s="212">
        <f t="shared" si="509"/>
        <v>0.50693901304917899</v>
      </c>
      <c r="N172" s="34" t="str">
        <f>C172</f>
        <v>Car</v>
      </c>
      <c r="O172" s="212">
        <f t="shared" ref="O172:O179" si="510">O161/O$169</f>
        <v>0.41522929189796737</v>
      </c>
      <c r="P172" s="212">
        <f t="shared" ref="P172:S172" si="511">P161/P$169</f>
        <v>0.41948154992246744</v>
      </c>
      <c r="Q172" s="212">
        <f t="shared" si="511"/>
        <v>0.42316400513543673</v>
      </c>
      <c r="R172" s="212">
        <f t="shared" si="511"/>
        <v>0.40542126495683217</v>
      </c>
      <c r="S172" s="212">
        <f t="shared" si="511"/>
        <v>0.3892776576369959</v>
      </c>
      <c r="T172" s="264">
        <f t="shared" ref="T172:V179" si="512">T161/T$169</f>
        <v>0.42560896425125638</v>
      </c>
      <c r="U172" s="264">
        <f t="shared" si="512"/>
        <v>0.47211315669095039</v>
      </c>
      <c r="V172" s="264">
        <f t="shared" si="512"/>
        <v>0.50693901304917899</v>
      </c>
      <c r="X172" s="212">
        <f>O172</f>
        <v>0.41522929189796737</v>
      </c>
      <c r="Y172" s="212">
        <f t="shared" ref="Y172:AB172" si="513">P172</f>
        <v>0.41948154992246744</v>
      </c>
      <c r="Z172" s="212">
        <f t="shared" si="513"/>
        <v>0.42316400513543673</v>
      </c>
      <c r="AA172" s="212">
        <f t="shared" si="513"/>
        <v>0.40542126495683217</v>
      </c>
      <c r="AB172" s="212">
        <f t="shared" si="513"/>
        <v>0.3892776576369959</v>
      </c>
      <c r="AC172" s="212" t="e">
        <f t="shared" ref="AC172:AE179" si="514">AC161/AC$169</f>
        <v>#N/A</v>
      </c>
      <c r="AD172" s="212" t="e">
        <f t="shared" si="514"/>
        <v>#N/A</v>
      </c>
      <c r="AE172" s="212" t="e">
        <f t="shared" si="514"/>
        <v>#N/A</v>
      </c>
      <c r="AI172" s="170"/>
      <c r="AJ172" s="170"/>
      <c r="AK172" s="170"/>
      <c r="AM172" s="170"/>
      <c r="AN172" s="170"/>
      <c r="AO172" s="170"/>
      <c r="AQ172" s="206"/>
      <c r="AR172" s="206"/>
      <c r="AS172" s="206"/>
    </row>
    <row r="173" spans="1:46">
      <c r="A173" t="s">
        <v>16</v>
      </c>
      <c r="B173" t="str">
        <f t="shared" si="506"/>
        <v>TPPRSUV</v>
      </c>
      <c r="C173" t="str">
        <f t="shared" si="506"/>
        <v>SUV</v>
      </c>
      <c r="E173" s="212">
        <f t="shared" si="507"/>
        <v>5.7739571635661201E-2</v>
      </c>
      <c r="F173" s="212">
        <f t="shared" si="507"/>
        <v>6.8096686907411483E-2</v>
      </c>
      <c r="G173" s="212">
        <f t="shared" si="507"/>
        <v>8.9139829358524339E-2</v>
      </c>
      <c r="H173" s="212">
        <f t="shared" ref="H173:J173" si="515">H162/H$169</f>
        <v>8.9922351091280314E-2</v>
      </c>
      <c r="I173" s="212">
        <f t="shared" si="515"/>
        <v>8.6152018803326846E-2</v>
      </c>
      <c r="J173" s="212">
        <f t="shared" si="515"/>
        <v>8.2721502247861636E-2</v>
      </c>
      <c r="K173" s="212">
        <f t="shared" si="509"/>
        <v>9.044190490339199E-2</v>
      </c>
      <c r="L173" s="212">
        <f t="shared" si="509"/>
        <v>0.10032404579682697</v>
      </c>
      <c r="M173" s="212">
        <f t="shared" si="509"/>
        <v>0.10772454027295054</v>
      </c>
      <c r="N173" s="34"/>
      <c r="O173" s="212">
        <f t="shared" si="510"/>
        <v>6.8096686907411483E-2</v>
      </c>
      <c r="P173" s="212">
        <f t="shared" ref="P173:S173" si="516">P162/P$169</f>
        <v>8.9139829358524339E-2</v>
      </c>
      <c r="Q173" s="212">
        <f t="shared" si="516"/>
        <v>8.9922351091280314E-2</v>
      </c>
      <c r="R173" s="212">
        <f t="shared" si="516"/>
        <v>8.6152018803326846E-2</v>
      </c>
      <c r="S173" s="212">
        <f t="shared" si="516"/>
        <v>8.2721502247861636E-2</v>
      </c>
      <c r="T173" s="264">
        <f t="shared" si="512"/>
        <v>9.044190490339199E-2</v>
      </c>
      <c r="U173" s="264">
        <f t="shared" si="512"/>
        <v>0.10032404579682697</v>
      </c>
      <c r="V173" s="264">
        <f t="shared" si="512"/>
        <v>0.10772454027295054</v>
      </c>
      <c r="X173" s="212">
        <f t="shared" ref="X173:X182" si="517">O173</f>
        <v>6.8096686907411483E-2</v>
      </c>
      <c r="Y173" s="212">
        <f t="shared" ref="Y173:Y182" si="518">P173</f>
        <v>8.9139829358524339E-2</v>
      </c>
      <c r="Z173" s="212">
        <f t="shared" ref="Z173:Z182" si="519">Q173</f>
        <v>8.9922351091280314E-2</v>
      </c>
      <c r="AA173" s="212">
        <f t="shared" ref="AA173:AA182" si="520">R173</f>
        <v>8.6152018803326846E-2</v>
      </c>
      <c r="AB173" s="212">
        <f t="shared" ref="AB173:AB182" si="521">S173</f>
        <v>8.2721502247861636E-2</v>
      </c>
      <c r="AC173" s="264" t="e">
        <f t="shared" si="514"/>
        <v>#N/A</v>
      </c>
      <c r="AD173" s="264" t="e">
        <f t="shared" si="514"/>
        <v>#N/A</v>
      </c>
      <c r="AE173" s="264" t="e">
        <f t="shared" si="514"/>
        <v>#N/A</v>
      </c>
      <c r="AI173" s="170"/>
      <c r="AJ173" s="170"/>
      <c r="AK173" s="170"/>
      <c r="AM173" s="170"/>
      <c r="AN173" s="170"/>
      <c r="AO173" s="170"/>
      <c r="AQ173" s="206"/>
      <c r="AR173" s="206"/>
      <c r="AS173" s="206"/>
    </row>
    <row r="174" spans="1:46">
      <c r="A174" t="s">
        <v>16</v>
      </c>
      <c r="B174" t="str">
        <f t="shared" si="506"/>
        <v>TPPRMOT</v>
      </c>
      <c r="C174" t="str">
        <f t="shared" si="506"/>
        <v>Motorbike</v>
      </c>
      <c r="E174" s="212">
        <f t="shared" si="507"/>
        <v>1.9546039839333361E-2</v>
      </c>
      <c r="F174" s="212">
        <f t="shared" si="507"/>
        <v>1.4592147194445316E-2</v>
      </c>
      <c r="G174" s="212">
        <f t="shared" si="507"/>
        <v>1.5730558122092529E-2</v>
      </c>
      <c r="H174" s="212">
        <f t="shared" ref="H174:J174" si="522">H163/H$169</f>
        <v>1.5868650192578878E-2</v>
      </c>
      <c r="I174" s="212">
        <f t="shared" si="522"/>
        <v>1.5203297435881205E-2</v>
      </c>
      <c r="J174" s="212">
        <f t="shared" si="522"/>
        <v>1.4597912161387347E-2</v>
      </c>
      <c r="K174" s="212">
        <f t="shared" si="509"/>
        <v>1.5960336159422116E-2</v>
      </c>
      <c r="L174" s="212">
        <f t="shared" si="509"/>
        <v>1.7704243375910641E-2</v>
      </c>
      <c r="M174" s="212">
        <f t="shared" si="509"/>
        <v>1.9010212989344213E-2</v>
      </c>
      <c r="N174" s="34"/>
      <c r="O174" s="212">
        <f t="shared" si="510"/>
        <v>1.4592147194445316E-2</v>
      </c>
      <c r="P174" s="212">
        <f t="shared" ref="P174:S174" si="523">P163/P$169</f>
        <v>1.5730558122092529E-2</v>
      </c>
      <c r="Q174" s="212">
        <f t="shared" si="523"/>
        <v>1.5868650192578878E-2</v>
      </c>
      <c r="R174" s="212">
        <f t="shared" si="523"/>
        <v>1.5203297435881205E-2</v>
      </c>
      <c r="S174" s="212">
        <f t="shared" si="523"/>
        <v>1.4597912161387347E-2</v>
      </c>
      <c r="T174" s="264">
        <f t="shared" si="512"/>
        <v>1.5960336159422116E-2</v>
      </c>
      <c r="U174" s="264">
        <f t="shared" si="512"/>
        <v>1.7704243375910641E-2</v>
      </c>
      <c r="V174" s="264">
        <f t="shared" si="512"/>
        <v>1.9010212989344213E-2</v>
      </c>
      <c r="X174" s="212">
        <f t="shared" si="517"/>
        <v>1.4592147194445316E-2</v>
      </c>
      <c r="Y174" s="212">
        <f t="shared" si="518"/>
        <v>1.5730558122092529E-2</v>
      </c>
      <c r="Z174" s="212">
        <f t="shared" si="519"/>
        <v>1.5868650192578878E-2</v>
      </c>
      <c r="AA174" s="212">
        <f t="shared" si="520"/>
        <v>1.5203297435881205E-2</v>
      </c>
      <c r="AB174" s="212">
        <f t="shared" si="521"/>
        <v>1.4597912161387347E-2</v>
      </c>
      <c r="AC174" s="264" t="e">
        <f t="shared" si="514"/>
        <v>#N/A</v>
      </c>
      <c r="AD174" s="264" t="e">
        <f t="shared" si="514"/>
        <v>#N/A</v>
      </c>
      <c r="AE174" s="264" t="e">
        <f t="shared" si="514"/>
        <v>#N/A</v>
      </c>
      <c r="AI174" s="170"/>
      <c r="AJ174" s="170"/>
      <c r="AK174" s="170"/>
      <c r="AM174" s="170"/>
      <c r="AN174" s="170"/>
      <c r="AO174" s="170"/>
    </row>
    <row r="175" spans="1:46">
      <c r="A175" t="s">
        <v>16</v>
      </c>
      <c r="B175" t="str">
        <f t="shared" si="506"/>
        <v>TPPUBUS</v>
      </c>
      <c r="C175" t="str">
        <f t="shared" si="506"/>
        <v>Bus</v>
      </c>
      <c r="E175" s="212">
        <f t="shared" si="507"/>
        <v>6.4107485696550143E-2</v>
      </c>
      <c r="F175" s="212">
        <f t="shared" si="507"/>
        <v>0.10341976863779595</v>
      </c>
      <c r="G175" s="212">
        <f t="shared" si="507"/>
        <v>6.9165955701273221E-2</v>
      </c>
      <c r="H175" s="212">
        <f t="shared" ref="H175:J175" si="524">H164/H$169</f>
        <v>6.8000248585824333E-2</v>
      </c>
      <c r="I175" s="212">
        <f t="shared" si="524"/>
        <v>7.1244010288831303E-2</v>
      </c>
      <c r="J175" s="212">
        <f t="shared" si="524"/>
        <v>7.1678692380561987E-2</v>
      </c>
      <c r="K175" s="212">
        <f t="shared" si="509"/>
        <v>6.2358238599570293E-2</v>
      </c>
      <c r="L175" s="212">
        <f t="shared" si="509"/>
        <v>4.9772637608907662E-2</v>
      </c>
      <c r="M175" s="212">
        <f t="shared" si="509"/>
        <v>4.0381436463006674E-2</v>
      </c>
      <c r="N175" s="34"/>
      <c r="O175" s="212">
        <f t="shared" si="510"/>
        <v>0.10341976863779595</v>
      </c>
      <c r="P175" s="212">
        <f t="shared" ref="P175:S175" si="525">P164/P$169</f>
        <v>6.9165955701273221E-2</v>
      </c>
      <c r="Q175" s="212">
        <f t="shared" si="525"/>
        <v>6.8000248585824333E-2</v>
      </c>
      <c r="R175" s="212">
        <f t="shared" si="525"/>
        <v>7.1244010288831303E-2</v>
      </c>
      <c r="S175" s="212">
        <f t="shared" si="525"/>
        <v>7.1678692380561987E-2</v>
      </c>
      <c r="T175" s="264">
        <f t="shared" si="512"/>
        <v>6.2358238599570293E-2</v>
      </c>
      <c r="U175" s="264">
        <f t="shared" si="512"/>
        <v>4.9772637608907662E-2</v>
      </c>
      <c r="V175" s="264">
        <f t="shared" si="512"/>
        <v>4.0381436463006674E-2</v>
      </c>
      <c r="X175" s="212">
        <f t="shared" si="517"/>
        <v>0.10341976863779595</v>
      </c>
      <c r="Y175" s="212">
        <f t="shared" si="518"/>
        <v>6.9165955701273221E-2</v>
      </c>
      <c r="Z175" s="212">
        <f t="shared" si="519"/>
        <v>6.8000248585824333E-2</v>
      </c>
      <c r="AA175" s="212">
        <f t="shared" si="520"/>
        <v>7.1244010288831303E-2</v>
      </c>
      <c r="AB175" s="212">
        <f t="shared" si="521"/>
        <v>7.1678692380561987E-2</v>
      </c>
      <c r="AC175" s="264" t="e">
        <f t="shared" si="514"/>
        <v>#N/A</v>
      </c>
      <c r="AD175" s="264" t="e">
        <f t="shared" si="514"/>
        <v>#N/A</v>
      </c>
      <c r="AE175" s="264" t="e">
        <f t="shared" si="514"/>
        <v>#N/A</v>
      </c>
      <c r="AG175" s="226">
        <f>T175</f>
        <v>6.2358238599570293E-2</v>
      </c>
      <c r="AI175" s="265">
        <f>AG175/$AG$180</f>
        <v>0.13324728990876658</v>
      </c>
      <c r="AJ175" s="265">
        <f>AI175</f>
        <v>0.13324728990876658</v>
      </c>
      <c r="AK175" s="265">
        <f>AJ175</f>
        <v>0.13324728990876658</v>
      </c>
      <c r="AL175" s="266"/>
      <c r="AM175" s="265">
        <f>AI175</f>
        <v>0.13324728990876658</v>
      </c>
      <c r="AN175" s="265">
        <f t="shared" ref="AN175:AO179" si="526">AJ175</f>
        <v>0.13324728990876658</v>
      </c>
      <c r="AO175" s="265">
        <f t="shared" si="526"/>
        <v>0.13324728990876658</v>
      </c>
      <c r="AP175" s="266"/>
      <c r="AQ175" s="265">
        <f>AM175</f>
        <v>0.13324728990876658</v>
      </c>
      <c r="AR175" s="265">
        <f t="shared" ref="AR175:AS179" si="527">AN175</f>
        <v>0.13324728990876658</v>
      </c>
      <c r="AS175" s="265">
        <f t="shared" si="527"/>
        <v>0.13324728990876658</v>
      </c>
    </row>
    <row r="176" spans="1:46">
      <c r="A176" t="s">
        <v>16</v>
      </c>
      <c r="B176" t="str">
        <f t="shared" si="506"/>
        <v>TPPUMBT</v>
      </c>
      <c r="C176" t="str">
        <f t="shared" si="506"/>
        <v>Minibus</v>
      </c>
      <c r="E176" s="212">
        <f t="shared" si="507"/>
        <v>0.34098829871116076</v>
      </c>
      <c r="F176" s="212">
        <f t="shared" si="507"/>
        <v>0.34824021728346571</v>
      </c>
      <c r="G176" s="212">
        <f t="shared" si="507"/>
        <v>0.36592529266281709</v>
      </c>
      <c r="H176" s="212">
        <f t="shared" ref="H176:J176" si="528">H165/H$169</f>
        <v>0.3597580719101382</v>
      </c>
      <c r="I176" s="212">
        <f t="shared" si="528"/>
        <v>0.37691932470374945</v>
      </c>
      <c r="J176" s="212">
        <f t="shared" si="528"/>
        <v>0.37921902793229756</v>
      </c>
      <c r="K176" s="212">
        <f t="shared" si="509"/>
        <v>0.32990878934772661</v>
      </c>
      <c r="L176" s="212">
        <f t="shared" si="509"/>
        <v>0.26332415707955875</v>
      </c>
      <c r="M176" s="212">
        <f t="shared" si="509"/>
        <v>0.21363962669279879</v>
      </c>
      <c r="N176" s="34"/>
      <c r="O176" s="212">
        <f t="shared" si="510"/>
        <v>0.34824021728346571</v>
      </c>
      <c r="P176" s="212">
        <f t="shared" ref="P176:S176" si="529">P165/P$169</f>
        <v>0.36592529266281709</v>
      </c>
      <c r="Q176" s="212">
        <f t="shared" si="529"/>
        <v>0.3597580719101382</v>
      </c>
      <c r="R176" s="212">
        <f t="shared" si="529"/>
        <v>0.37691932470374945</v>
      </c>
      <c r="S176" s="212">
        <f t="shared" si="529"/>
        <v>0.37921902793229756</v>
      </c>
      <c r="T176" s="264">
        <f t="shared" si="512"/>
        <v>0.32990878934772661</v>
      </c>
      <c r="U176" s="264">
        <f t="shared" si="512"/>
        <v>0.26332415707955875</v>
      </c>
      <c r="V176" s="264">
        <f t="shared" si="512"/>
        <v>0.21363962669279879</v>
      </c>
      <c r="X176" s="212">
        <f t="shared" si="517"/>
        <v>0.34824021728346571</v>
      </c>
      <c r="Y176" s="212">
        <f t="shared" si="518"/>
        <v>0.36592529266281709</v>
      </c>
      <c r="Z176" s="212">
        <f t="shared" si="519"/>
        <v>0.3597580719101382</v>
      </c>
      <c r="AA176" s="212">
        <f t="shared" si="520"/>
        <v>0.37691932470374945</v>
      </c>
      <c r="AB176" s="212">
        <f t="shared" si="521"/>
        <v>0.37921902793229756</v>
      </c>
      <c r="AC176" s="264" t="e">
        <f t="shared" si="514"/>
        <v>#N/A</v>
      </c>
      <c r="AD176" s="264" t="e">
        <f t="shared" si="514"/>
        <v>#N/A</v>
      </c>
      <c r="AE176" s="264" t="e">
        <f t="shared" si="514"/>
        <v>#N/A</v>
      </c>
      <c r="AG176" s="226">
        <f>T176</f>
        <v>0.32990878934772661</v>
      </c>
      <c r="AI176" s="265">
        <f>1-SUM(AI177:AI179,AI175)</f>
        <v>0.70495018917948804</v>
      </c>
      <c r="AJ176" s="265">
        <f t="shared" ref="AJ176:AK176" si="530">1-SUM(AJ177:AJ179,AJ175)</f>
        <v>0.70495018917948804</v>
      </c>
      <c r="AK176" s="265">
        <f t="shared" si="530"/>
        <v>0.70495018917948804</v>
      </c>
      <c r="AL176" s="266"/>
      <c r="AM176" s="265">
        <f t="shared" ref="AM176:AM179" si="531">AI176</f>
        <v>0.70495018917948804</v>
      </c>
      <c r="AN176" s="265">
        <f t="shared" si="526"/>
        <v>0.70495018917948804</v>
      </c>
      <c r="AO176" s="265">
        <f t="shared" si="526"/>
        <v>0.70495018917948804</v>
      </c>
      <c r="AP176" s="266"/>
      <c r="AQ176" s="265">
        <f t="shared" ref="AQ176:AQ178" si="532">AM176</f>
        <v>0.70495018917948804</v>
      </c>
      <c r="AR176" s="265">
        <f t="shared" si="527"/>
        <v>0.70495018917948804</v>
      </c>
      <c r="AS176" s="265">
        <f t="shared" si="527"/>
        <v>0.70495018917948804</v>
      </c>
    </row>
    <row r="177" spans="1:47">
      <c r="A177" t="s">
        <v>16</v>
      </c>
      <c r="B177" t="str">
        <f t="shared" si="506"/>
        <v>TPPUBRT</v>
      </c>
      <c r="C177" t="str">
        <f t="shared" si="506"/>
        <v>BRT</v>
      </c>
      <c r="E177" s="212">
        <f t="shared" si="507"/>
        <v>2.1875417309668833E-3</v>
      </c>
      <c r="F177" s="212">
        <f t="shared" si="507"/>
        <v>2.9423476986062138E-3</v>
      </c>
      <c r="G177" s="212">
        <f t="shared" si="507"/>
        <v>5.886119177972912E-3</v>
      </c>
      <c r="H177" s="212">
        <f t="shared" ref="H177:J177" si="533">H166/H$169</f>
        <v>9.0703241725622122E-3</v>
      </c>
      <c r="I177" s="212">
        <f t="shared" si="533"/>
        <v>9.4646949029400466E-3</v>
      </c>
      <c r="J177" s="212">
        <f t="shared" si="533"/>
        <v>2.6842545373285398E-2</v>
      </c>
      <c r="K177" s="212">
        <f t="shared" si="509"/>
        <v>4.4233374315526083E-2</v>
      </c>
      <c r="L177" s="212">
        <f t="shared" si="509"/>
        <v>7.0944269958957903E-2</v>
      </c>
      <c r="M177" s="212">
        <f t="shared" si="509"/>
        <v>9.0788255909041965E-2</v>
      </c>
      <c r="N177" s="34"/>
      <c r="O177" s="212">
        <f t="shared" si="510"/>
        <v>2.9423476986062138E-3</v>
      </c>
      <c r="P177" s="212">
        <f t="shared" ref="P177:S177" si="534">P166/P$169</f>
        <v>5.886119177972912E-3</v>
      </c>
      <c r="Q177" s="212">
        <f t="shared" si="534"/>
        <v>9.0703241725622122E-3</v>
      </c>
      <c r="R177" s="212">
        <f t="shared" si="534"/>
        <v>9.4646949029400466E-3</v>
      </c>
      <c r="S177" s="212">
        <f t="shared" si="534"/>
        <v>2.6842545373285398E-2</v>
      </c>
      <c r="T177" s="264">
        <f t="shared" si="512"/>
        <v>4.4233374315526083E-2</v>
      </c>
      <c r="U177" s="264">
        <f t="shared" si="512"/>
        <v>7.0944269958957903E-2</v>
      </c>
      <c r="V177" s="264">
        <f t="shared" si="512"/>
        <v>9.0788255909041965E-2</v>
      </c>
      <c r="X177" s="212">
        <f t="shared" si="517"/>
        <v>2.9423476986062138E-3</v>
      </c>
      <c r="Y177" s="212">
        <f t="shared" si="518"/>
        <v>5.886119177972912E-3</v>
      </c>
      <c r="Z177" s="212">
        <f t="shared" si="519"/>
        <v>9.0703241725622122E-3</v>
      </c>
      <c r="AA177" s="212">
        <f t="shared" si="520"/>
        <v>9.4646949029400466E-3</v>
      </c>
      <c r="AB177" s="212">
        <f t="shared" si="521"/>
        <v>2.6842545373285398E-2</v>
      </c>
      <c r="AC177" s="264" t="e">
        <f t="shared" si="514"/>
        <v>#N/A</v>
      </c>
      <c r="AD177" s="264" t="e">
        <f t="shared" si="514"/>
        <v>#N/A</v>
      </c>
      <c r="AE177" s="264" t="e">
        <f t="shared" si="514"/>
        <v>#N/A</v>
      </c>
      <c r="AG177" s="226">
        <f>T177</f>
        <v>4.4233374315526083E-2</v>
      </c>
      <c r="AI177" s="265">
        <f>AG177/$AG$180</f>
        <v>9.4518020127407967E-2</v>
      </c>
      <c r="AJ177" s="265">
        <f t="shared" ref="AJ177:AK177" si="535">AI177</f>
        <v>9.4518020127407967E-2</v>
      </c>
      <c r="AK177" s="265">
        <f t="shared" si="535"/>
        <v>9.4518020127407967E-2</v>
      </c>
      <c r="AL177" s="266"/>
      <c r="AM177" s="265">
        <f t="shared" si="531"/>
        <v>9.4518020127407967E-2</v>
      </c>
      <c r="AN177" s="265">
        <f t="shared" si="526"/>
        <v>9.4518020127407967E-2</v>
      </c>
      <c r="AO177" s="265">
        <f t="shared" si="526"/>
        <v>9.4518020127407967E-2</v>
      </c>
      <c r="AP177" s="266"/>
      <c r="AQ177" s="265">
        <f t="shared" si="532"/>
        <v>9.4518020127407967E-2</v>
      </c>
      <c r="AR177" s="265">
        <f t="shared" si="527"/>
        <v>9.4518020127407967E-2</v>
      </c>
      <c r="AS177" s="265">
        <f t="shared" si="527"/>
        <v>9.4518020127407967E-2</v>
      </c>
    </row>
    <row r="178" spans="1:47">
      <c r="A178" t="s">
        <v>16</v>
      </c>
      <c r="B178" t="str">
        <f t="shared" si="506"/>
        <v>TPPUMER</v>
      </c>
      <c r="C178" t="str">
        <f t="shared" si="506"/>
        <v>Metro Rail</v>
      </c>
      <c r="D178" s="225">
        <f>INDEX($BK$4:$BK$7,MATCH($D$3,$BB$4:$BB$7,0))</f>
        <v>0</v>
      </c>
      <c r="E178" s="212">
        <f t="shared" si="507"/>
        <v>6.2338574392608467E-2</v>
      </c>
      <c r="F178" s="212">
        <f t="shared" si="507"/>
        <v>4.5242683494738922E-2</v>
      </c>
      <c r="G178" s="212">
        <f t="shared" si="507"/>
        <v>3.2246290158026006E-2</v>
      </c>
      <c r="H178" s="212">
        <f t="shared" ref="H178:J178" si="536">H167/H$169</f>
        <v>3.1702818597445108E-2</v>
      </c>
      <c r="I178" s="212">
        <f t="shared" si="536"/>
        <v>3.3215112904928089E-2</v>
      </c>
      <c r="J178" s="212">
        <f t="shared" si="536"/>
        <v>3.3417768744991715E-2</v>
      </c>
      <c r="K178" s="212">
        <f t="shared" si="509"/>
        <v>2.9072422049799641E-2</v>
      </c>
      <c r="L178" s="212">
        <f t="shared" si="509"/>
        <v>2.3204810777125853E-2</v>
      </c>
      <c r="M178" s="212">
        <f t="shared" si="509"/>
        <v>1.8826480513158501E-2</v>
      </c>
      <c r="N178" s="34"/>
      <c r="O178" s="212">
        <f t="shared" si="510"/>
        <v>4.5242683494738922E-2</v>
      </c>
      <c r="P178" s="212">
        <f t="shared" ref="P178:S178" si="537">P167/P$169</f>
        <v>3.2246290158026006E-2</v>
      </c>
      <c r="Q178" s="212">
        <f t="shared" si="537"/>
        <v>3.1702818597445108E-2</v>
      </c>
      <c r="R178" s="212">
        <f t="shared" si="537"/>
        <v>3.3215112904928089E-2</v>
      </c>
      <c r="S178" s="212">
        <f t="shared" si="537"/>
        <v>3.3417768744991715E-2</v>
      </c>
      <c r="T178" s="264">
        <f t="shared" si="512"/>
        <v>2.9072422049799641E-2</v>
      </c>
      <c r="U178" s="264">
        <f t="shared" si="512"/>
        <v>2.3204810777125853E-2</v>
      </c>
      <c r="V178" s="264">
        <f t="shared" si="512"/>
        <v>1.8826480513158501E-2</v>
      </c>
      <c r="X178" s="212">
        <f t="shared" si="517"/>
        <v>4.5242683494738922E-2</v>
      </c>
      <c r="Y178" s="212">
        <f t="shared" si="518"/>
        <v>3.2246290158026006E-2</v>
      </c>
      <c r="Z178" s="212">
        <f t="shared" si="519"/>
        <v>3.1702818597445108E-2</v>
      </c>
      <c r="AA178" s="212">
        <f t="shared" si="520"/>
        <v>3.3215112904928089E-2</v>
      </c>
      <c r="AB178" s="212">
        <f t="shared" si="521"/>
        <v>3.3417768744991715E-2</v>
      </c>
      <c r="AC178" s="264" t="e">
        <f t="shared" si="514"/>
        <v>#N/A</v>
      </c>
      <c r="AD178" s="264" t="e">
        <f t="shared" si="514"/>
        <v>#N/A</v>
      </c>
      <c r="AE178" s="264" t="e">
        <f t="shared" si="514"/>
        <v>#N/A</v>
      </c>
      <c r="AG178" s="226">
        <f>T178</f>
        <v>2.9072422049799641E-2</v>
      </c>
      <c r="AI178" s="265">
        <f>AG178/$AG$180</f>
        <v>6.2122047322330315E-2</v>
      </c>
      <c r="AJ178" s="265">
        <f>AI178*(1+$D$178)</f>
        <v>6.2122047322330315E-2</v>
      </c>
      <c r="AK178" s="265">
        <f>AJ178*(1+$D$178)</f>
        <v>6.2122047322330315E-2</v>
      </c>
      <c r="AL178" s="266"/>
      <c r="AM178" s="265">
        <f>AI178</f>
        <v>6.2122047322330315E-2</v>
      </c>
      <c r="AN178" s="265">
        <f t="shared" si="526"/>
        <v>6.2122047322330315E-2</v>
      </c>
      <c r="AO178" s="265">
        <f>AK178</f>
        <v>6.2122047322330315E-2</v>
      </c>
      <c r="AP178" s="266"/>
      <c r="AQ178" s="265">
        <f t="shared" si="532"/>
        <v>6.2122047322330315E-2</v>
      </c>
      <c r="AR178" s="265">
        <f t="shared" si="527"/>
        <v>6.2122047322330315E-2</v>
      </c>
      <c r="AS178" s="265">
        <f>AO178</f>
        <v>6.2122047322330315E-2</v>
      </c>
    </row>
    <row r="179" spans="1:47">
      <c r="A179" t="s">
        <v>16</v>
      </c>
      <c r="B179" t="str">
        <f t="shared" si="506"/>
        <v>TPPUGAT</v>
      </c>
      <c r="C179" t="str">
        <f t="shared" si="506"/>
        <v>Gautrain</v>
      </c>
      <c r="E179" s="212">
        <f t="shared" si="507"/>
        <v>2.2182677367803961E-3</v>
      </c>
      <c r="F179" s="212">
        <f t="shared" si="507"/>
        <v>2.2368568855691134E-3</v>
      </c>
      <c r="G179" s="212">
        <f t="shared" si="507"/>
        <v>2.4244048968265087E-3</v>
      </c>
      <c r="H179" s="212">
        <f t="shared" ref="H179:J179" si="538">H168/H$169</f>
        <v>2.5135303147340925E-3</v>
      </c>
      <c r="I179" s="212">
        <f t="shared" si="538"/>
        <v>2.3802760035108042E-3</v>
      </c>
      <c r="J179" s="212">
        <f t="shared" si="538"/>
        <v>2.2448935226186259E-3</v>
      </c>
      <c r="K179" s="212">
        <f t="shared" si="509"/>
        <v>2.4159703733068723E-3</v>
      </c>
      <c r="L179" s="212">
        <f t="shared" si="509"/>
        <v>2.6126787117619005E-3</v>
      </c>
      <c r="M179" s="212">
        <f t="shared" si="509"/>
        <v>2.6904341105201358E-3</v>
      </c>
      <c r="N179" s="34"/>
      <c r="O179" s="212">
        <f t="shared" si="510"/>
        <v>2.2368568855691134E-3</v>
      </c>
      <c r="P179" s="212">
        <f t="shared" ref="P179:S179" si="539">P168/P$169</f>
        <v>2.4244048968265087E-3</v>
      </c>
      <c r="Q179" s="212">
        <f t="shared" si="539"/>
        <v>2.5135303147340925E-3</v>
      </c>
      <c r="R179" s="212">
        <f t="shared" si="539"/>
        <v>2.3802760035108042E-3</v>
      </c>
      <c r="S179" s="212">
        <f t="shared" si="539"/>
        <v>2.2448935226186259E-3</v>
      </c>
      <c r="T179" s="264">
        <f t="shared" si="512"/>
        <v>2.4159703733068723E-3</v>
      </c>
      <c r="U179" s="264">
        <f t="shared" si="512"/>
        <v>2.6126787117619005E-3</v>
      </c>
      <c r="V179" s="264">
        <f t="shared" si="512"/>
        <v>2.6904341105201358E-3</v>
      </c>
      <c r="X179" s="212">
        <f t="shared" si="517"/>
        <v>2.2368568855691134E-3</v>
      </c>
      <c r="Y179" s="212">
        <f t="shared" si="518"/>
        <v>2.4244048968265087E-3</v>
      </c>
      <c r="Z179" s="212">
        <f t="shared" si="519"/>
        <v>2.5135303147340925E-3</v>
      </c>
      <c r="AA179" s="212">
        <f t="shared" si="520"/>
        <v>2.3802760035108042E-3</v>
      </c>
      <c r="AB179" s="212">
        <f t="shared" si="521"/>
        <v>2.2448935226186259E-3</v>
      </c>
      <c r="AC179" s="264" t="e">
        <f t="shared" si="514"/>
        <v>#N/A</v>
      </c>
      <c r="AD179" s="264" t="e">
        <f t="shared" si="514"/>
        <v>#N/A</v>
      </c>
      <c r="AE179" s="264" t="e">
        <f t="shared" si="514"/>
        <v>#N/A</v>
      </c>
      <c r="AG179" s="226">
        <f>T179</f>
        <v>2.4159703733068723E-3</v>
      </c>
      <c r="AI179" s="265">
        <f>AG179/$AG$180</f>
        <v>5.1624534620070264E-3</v>
      </c>
      <c r="AJ179" s="265">
        <f t="shared" ref="AJ179:AK179" si="540">AI179</f>
        <v>5.1624534620070264E-3</v>
      </c>
      <c r="AK179" s="265">
        <f t="shared" si="540"/>
        <v>5.1624534620070264E-3</v>
      </c>
      <c r="AL179" s="266"/>
      <c r="AM179" s="265">
        <f t="shared" si="531"/>
        <v>5.1624534620070264E-3</v>
      </c>
      <c r="AN179" s="265">
        <f t="shared" si="526"/>
        <v>5.1624534620070264E-3</v>
      </c>
      <c r="AO179" s="265">
        <f t="shared" si="526"/>
        <v>5.1624534620070264E-3</v>
      </c>
      <c r="AP179" s="266"/>
      <c r="AQ179" s="265">
        <f>AM179</f>
        <v>5.1624534620070264E-3</v>
      </c>
      <c r="AR179" s="265">
        <f t="shared" si="527"/>
        <v>5.1624534620070264E-3</v>
      </c>
      <c r="AS179" s="265">
        <f t="shared" si="527"/>
        <v>5.1624534620070264E-3</v>
      </c>
    </row>
    <row r="180" spans="1:47">
      <c r="A180" t="s">
        <v>16</v>
      </c>
      <c r="L180"/>
      <c r="N180" s="34"/>
      <c r="AG180" s="226">
        <f>SUM(AG175:AG179)</f>
        <v>0.46798879468592952</v>
      </c>
      <c r="AI180" s="27"/>
      <c r="AJ180" s="27"/>
      <c r="AK180" s="27"/>
    </row>
    <row r="181" spans="1:47">
      <c r="A181" t="s">
        <v>16</v>
      </c>
      <c r="C181" t="s">
        <v>145</v>
      </c>
      <c r="E181" s="27">
        <f>SUM(E172:E174)</f>
        <v>0.52815983173193326</v>
      </c>
      <c r="F181" s="27">
        <f t="shared" ref="F181:G181" si="541">SUM(F172:F174)</f>
        <v>0.49791812599982416</v>
      </c>
      <c r="G181" s="27">
        <f t="shared" si="541"/>
        <v>0.52435193740308439</v>
      </c>
      <c r="H181" s="27">
        <f t="shared" ref="H181:J181" si="542">SUM(H172:H174)</f>
        <v>0.52895500641929594</v>
      </c>
      <c r="I181" s="27">
        <f t="shared" si="542"/>
        <v>0.50677658119604019</v>
      </c>
      <c r="J181" s="27">
        <f t="shared" si="542"/>
        <v>0.48659707204624486</v>
      </c>
      <c r="K181" s="27">
        <f>SUM(K172:K174)</f>
        <v>0.53201120531407053</v>
      </c>
      <c r="L181" s="27">
        <f>SUM(L172:L174)</f>
        <v>0.59014144586368789</v>
      </c>
      <c r="M181" s="27">
        <f>SUM(M172:M174)</f>
        <v>0.63367376631147376</v>
      </c>
      <c r="N181" s="34"/>
      <c r="O181" s="27">
        <f>SUM(O172:O174)</f>
        <v>0.49791812599982416</v>
      </c>
      <c r="P181" s="27">
        <f t="shared" ref="P181:S181" si="543">SUM(P172:P174)</f>
        <v>0.52435193740308439</v>
      </c>
      <c r="Q181" s="27">
        <f t="shared" si="543"/>
        <v>0.52895500641929594</v>
      </c>
      <c r="R181" s="27">
        <f t="shared" si="543"/>
        <v>0.50677658119604019</v>
      </c>
      <c r="S181" s="27">
        <f t="shared" si="543"/>
        <v>0.48659707204624486</v>
      </c>
      <c r="T181" s="27">
        <f>SUM(T172:T174)</f>
        <v>0.53201120531407053</v>
      </c>
      <c r="U181" s="27">
        <f>SUM(U172:U174)</f>
        <v>0.59014144586368789</v>
      </c>
      <c r="V181" s="27">
        <f>SUM(V172:V174)</f>
        <v>0.63367376631147376</v>
      </c>
      <c r="X181" s="212">
        <f t="shared" si="517"/>
        <v>0.49791812599982416</v>
      </c>
      <c r="Y181" s="212">
        <f t="shared" si="518"/>
        <v>0.52435193740308439</v>
      </c>
      <c r="Z181" s="212">
        <f t="shared" si="519"/>
        <v>0.52895500641929594</v>
      </c>
      <c r="AA181" s="212">
        <f t="shared" si="520"/>
        <v>0.50677658119604019</v>
      </c>
      <c r="AB181" s="212">
        <f t="shared" si="521"/>
        <v>0.48659707204624486</v>
      </c>
      <c r="AC181" s="264" t="e">
        <f>SUM(AC172:AC174)</f>
        <v>#N/A</v>
      </c>
      <c r="AD181" s="264" t="e">
        <f>SUM(AD172:AD174)</f>
        <v>#N/A</v>
      </c>
      <c r="AE181" s="264" t="e">
        <f>SUM(AE172:AE174)</f>
        <v>#N/A</v>
      </c>
    </row>
    <row r="182" spans="1:47">
      <c r="A182" t="s">
        <v>16</v>
      </c>
      <c r="C182" t="s">
        <v>146</v>
      </c>
      <c r="E182" s="27">
        <f t="shared" ref="E182:G182" si="544">1-E181</f>
        <v>0.47184016826806674</v>
      </c>
      <c r="F182" s="27">
        <f t="shared" si="544"/>
        <v>0.50208187400017579</v>
      </c>
      <c r="G182" s="27">
        <f t="shared" si="544"/>
        <v>0.47564806259691561</v>
      </c>
      <c r="H182" s="27">
        <f t="shared" ref="H182:J182" si="545">1-H181</f>
        <v>0.47104499358070406</v>
      </c>
      <c r="I182" s="27">
        <f t="shared" si="545"/>
        <v>0.49322341880395981</v>
      </c>
      <c r="J182" s="27">
        <f t="shared" si="545"/>
        <v>0.51340292795375508</v>
      </c>
      <c r="K182" s="27">
        <f>1-K181</f>
        <v>0.46798879468592947</v>
      </c>
      <c r="L182" s="27">
        <f>1-L181</f>
        <v>0.40985855413631211</v>
      </c>
      <c r="M182" s="27">
        <f>1-M181</f>
        <v>0.36632623368852624</v>
      </c>
      <c r="N182" s="34"/>
      <c r="O182" s="27">
        <f>1-O181</f>
        <v>0.50208187400017579</v>
      </c>
      <c r="P182" s="27">
        <f t="shared" ref="P182:S182" si="546">1-P181</f>
        <v>0.47564806259691561</v>
      </c>
      <c r="Q182" s="27">
        <f t="shared" si="546"/>
        <v>0.47104499358070406</v>
      </c>
      <c r="R182" s="27">
        <f t="shared" si="546"/>
        <v>0.49322341880395981</v>
      </c>
      <c r="S182" s="27">
        <f t="shared" si="546"/>
        <v>0.51340292795375508</v>
      </c>
      <c r="T182" s="27">
        <f>1-T181</f>
        <v>0.46798879468592947</v>
      </c>
      <c r="U182" s="27">
        <f>1-U181</f>
        <v>0.40985855413631211</v>
      </c>
      <c r="V182" s="27">
        <f>1-V181</f>
        <v>0.36632623368852624</v>
      </c>
      <c r="X182" s="212">
        <f t="shared" si="517"/>
        <v>0.50208187400017579</v>
      </c>
      <c r="Y182" s="212">
        <f t="shared" si="518"/>
        <v>0.47564806259691561</v>
      </c>
      <c r="Z182" s="212">
        <f t="shared" si="519"/>
        <v>0.47104499358070406</v>
      </c>
      <c r="AA182" s="212">
        <f t="shared" si="520"/>
        <v>0.49322341880395981</v>
      </c>
      <c r="AB182" s="212">
        <f t="shared" si="521"/>
        <v>0.51340292795375508</v>
      </c>
      <c r="AC182" s="264" t="e">
        <f>1-AC181</f>
        <v>#N/A</v>
      </c>
      <c r="AD182" s="264" t="e">
        <f>1-AD181</f>
        <v>#N/A</v>
      </c>
      <c r="AE182" s="264" t="e">
        <f>1-AE181</f>
        <v>#N/A</v>
      </c>
    </row>
    <row r="183" spans="1:47">
      <c r="A183" t="s">
        <v>16</v>
      </c>
      <c r="L183"/>
      <c r="N183" s="34"/>
      <c r="X183" s="18">
        <f t="shared" ref="X183:AB183" si="547">SUM(X161:X162)/SUM(O161:O162)</f>
        <v>1</v>
      </c>
      <c r="Y183" s="18">
        <f t="shared" si="547"/>
        <v>1</v>
      </c>
      <c r="Z183" s="18">
        <f t="shared" si="547"/>
        <v>1</v>
      </c>
      <c r="AA183" s="18">
        <f t="shared" si="547"/>
        <v>1</v>
      </c>
      <c r="AB183" s="18">
        <f t="shared" si="547"/>
        <v>1</v>
      </c>
      <c r="AC183" s="18" t="e">
        <f>SUM(AC161:AC162)/SUM(T161:T162)</f>
        <v>#N/A</v>
      </c>
      <c r="AD183" s="18" t="e">
        <f>SUM(AD161:AD162)/SUM(U161:U162)</f>
        <v>#N/A</v>
      </c>
      <c r="AE183" s="18" t="e">
        <f>SUM(AE161:AE162)/SUM(V161:V162)</f>
        <v>#N/A</v>
      </c>
    </row>
    <row r="184" spans="1:47">
      <c r="A184" t="s">
        <v>16</v>
      </c>
      <c r="L184"/>
      <c r="N184" s="34"/>
    </row>
    <row r="185" spans="1:47" ht="15.75" thickBot="1">
      <c r="A185" t="s">
        <v>16</v>
      </c>
      <c r="C185" s="14" t="s">
        <v>204</v>
      </c>
      <c r="E185" s="4">
        <v>2012</v>
      </c>
      <c r="F185" s="4">
        <f>F4</f>
        <v>2015</v>
      </c>
      <c r="G185" s="4">
        <f>G4</f>
        <v>2017</v>
      </c>
      <c r="H185" s="4">
        <f t="shared" ref="H185:J185" si="548">H4</f>
        <v>2019</v>
      </c>
      <c r="I185" s="4">
        <f t="shared" si="548"/>
        <v>2020</v>
      </c>
      <c r="J185" s="4">
        <f t="shared" si="548"/>
        <v>2021</v>
      </c>
      <c r="K185" s="4">
        <v>2030</v>
      </c>
      <c r="L185" s="4">
        <v>2040</v>
      </c>
      <c r="M185" s="4">
        <v>2050</v>
      </c>
      <c r="N185" s="34"/>
      <c r="O185" s="5">
        <f>O171</f>
        <v>2015</v>
      </c>
      <c r="P185" s="5">
        <f t="shared" ref="P185:V185" si="549">P171</f>
        <v>2017</v>
      </c>
      <c r="Q185" s="5">
        <f t="shared" si="549"/>
        <v>2019</v>
      </c>
      <c r="R185" s="5">
        <f t="shared" si="549"/>
        <v>2020</v>
      </c>
      <c r="S185" s="5">
        <f t="shared" si="549"/>
        <v>2021</v>
      </c>
      <c r="T185" s="5">
        <f t="shared" si="549"/>
        <v>2030</v>
      </c>
      <c r="U185" s="5">
        <f t="shared" si="549"/>
        <v>2040</v>
      </c>
      <c r="V185" s="5">
        <f t="shared" si="549"/>
        <v>2050</v>
      </c>
      <c r="W185">
        <f>W4</f>
        <v>0</v>
      </c>
      <c r="X185">
        <f>X4</f>
        <v>0</v>
      </c>
      <c r="Y185">
        <f t="shared" ref="Y185:AR185" si="550">Y4</f>
        <v>0</v>
      </c>
      <c r="Z185">
        <f t="shared" si="550"/>
        <v>0</v>
      </c>
      <c r="AA185">
        <f t="shared" si="550"/>
        <v>0</v>
      </c>
      <c r="AB185">
        <f t="shared" si="550"/>
        <v>0</v>
      </c>
      <c r="AC185">
        <f t="shared" si="550"/>
        <v>0</v>
      </c>
      <c r="AD185">
        <f t="shared" si="550"/>
        <v>0</v>
      </c>
      <c r="AE185">
        <f t="shared" si="550"/>
        <v>0</v>
      </c>
      <c r="AF185">
        <f t="shared" si="550"/>
        <v>0</v>
      </c>
      <c r="AG185">
        <f t="shared" si="550"/>
        <v>0</v>
      </c>
      <c r="AH185">
        <f t="shared" si="550"/>
        <v>0</v>
      </c>
      <c r="AI185">
        <f t="shared" si="550"/>
        <v>0</v>
      </c>
      <c r="AJ185">
        <f t="shared" si="550"/>
        <v>0</v>
      </c>
      <c r="AK185">
        <f t="shared" si="550"/>
        <v>0</v>
      </c>
      <c r="AL185">
        <f t="shared" si="550"/>
        <v>0</v>
      </c>
      <c r="AM185">
        <f t="shared" si="550"/>
        <v>0</v>
      </c>
      <c r="AN185">
        <f t="shared" si="550"/>
        <v>0</v>
      </c>
      <c r="AO185">
        <f t="shared" si="550"/>
        <v>0</v>
      </c>
      <c r="AP185">
        <f t="shared" si="550"/>
        <v>0</v>
      </c>
      <c r="AQ185">
        <f t="shared" si="550"/>
        <v>0</v>
      </c>
      <c r="AR185">
        <f t="shared" si="550"/>
        <v>0</v>
      </c>
    </row>
    <row r="186" spans="1:47">
      <c r="A186" t="s">
        <v>16</v>
      </c>
      <c r="B186" t="str">
        <f>B149</f>
        <v>TPPRCAR</v>
      </c>
      <c r="C186" t="str">
        <f>C149</f>
        <v>Car Priv.Veh. Vehicle km</v>
      </c>
      <c r="E186" s="256">
        <f t="shared" ref="E186:G193" si="551">E149</f>
        <v>77.614189675901358</v>
      </c>
      <c r="F186" s="6">
        <f>F149</f>
        <v>80.780869704812559</v>
      </c>
      <c r="G186" s="3">
        <f>G149</f>
        <v>80.152552888362095</v>
      </c>
      <c r="H186" s="3">
        <f>H149</f>
        <v>84.125623680017213</v>
      </c>
      <c r="I186" s="3">
        <f t="shared" ref="I186:J186" si="552">I149</f>
        <v>78.16502898594004</v>
      </c>
      <c r="J186" s="3">
        <f t="shared" si="552"/>
        <v>76.608525891339312</v>
      </c>
      <c r="K186" s="6">
        <f t="shared" ref="K186:M193" si="553">K149</f>
        <v>98.648010914398853</v>
      </c>
      <c r="L186" s="6">
        <f t="shared" si="553"/>
        <v>130.22815595306471</v>
      </c>
      <c r="M186" s="6">
        <f t="shared" si="553"/>
        <v>159.63078576852928</v>
      </c>
      <c r="N186" s="34"/>
      <c r="O186" s="206">
        <f>IF(O$113&lt;=$I$148,($I186-$F186)/10,IF(AND(O$113&gt;$I$148,O$113&lt;=$K$148),($K186-$I186)/10,IF(AND(O$113&gt;$K$148,O$113&lt;=$L$148),($L186-$K186)/2,($M186-$L186)/2)))+E186</f>
        <v>77.352605604014101</v>
      </c>
      <c r="P186" s="206">
        <f>IF(P$148&lt;=$I$148,($I186-$F186)/10,IF(AND(P$148&gt;$I$148,P$148&lt;=$K$148),($K186-$I186)/10,IF(AND(P$148&gt;$K$148,P$148&lt;=$L$148),($L186-$K186)/2,($M186-$L186)/2)))+O186</f>
        <v>77.091021532126845</v>
      </c>
      <c r="Q186" s="206">
        <f t="shared" ref="Q186:V186" si="554">IF(Q$148&lt;=$I$148,($I186-$F186)/10,IF(AND(Q$148&gt;$I$148,Q$148&lt;=$K$148),($K186-$I186)/10,IF(AND(Q$148&gt;$K$148,Q$148&lt;=$L$148),($L186-$K186)/2,($M186-$L186)/2)))+P186</f>
        <v>76.829437460239589</v>
      </c>
      <c r="R186" s="206">
        <f t="shared" si="554"/>
        <v>76.567853388352333</v>
      </c>
      <c r="S186" s="206">
        <f t="shared" si="554"/>
        <v>78.61615158119821</v>
      </c>
      <c r="T186" s="262">
        <f t="shared" si="554"/>
        <v>80.664449774044087</v>
      </c>
      <c r="U186" s="262">
        <f t="shared" si="554"/>
        <v>96.454522293377011</v>
      </c>
      <c r="V186" s="262">
        <f t="shared" si="554"/>
        <v>111.15583720110929</v>
      </c>
      <c r="W186" s="206">
        <f>E186</f>
        <v>77.614189675901358</v>
      </c>
      <c r="X186" s="206">
        <f t="shared" ref="X186:X187" si="555">IF(X$148&lt;=$I$148,($I186-$F186)/10,IF(AND(X$148&gt;$I$148,X$148&lt;=$K$148),($K186-$I186)/10,IF(AND(X$148&gt;$K$148,X$148&lt;=$L$148),($L186-$K186)/2,($M186-$L186)/2)))+W186</f>
        <v>77.352605604014101</v>
      </c>
      <c r="Y186" s="206">
        <f t="shared" ref="Y186:AR186" si="556">IF(Y$148&lt;=$I$148,($I186-$F186)/10,IF(AND(Y$148&gt;$I$148,Y$148&lt;=$K$148),($K186-$I186)/10,IF(AND(Y$148&gt;$K$148,Y$148&lt;=$L$148),($L186-$K186)/2,($M186-$L186)/2)))+X186</f>
        <v>77.091021532126845</v>
      </c>
      <c r="Z186" s="206">
        <f t="shared" si="556"/>
        <v>76.829437460239589</v>
      </c>
      <c r="AA186" s="206">
        <f t="shared" si="556"/>
        <v>76.567853388352333</v>
      </c>
      <c r="AB186" s="206">
        <f t="shared" si="556"/>
        <v>78.61615158119821</v>
      </c>
      <c r="AC186" s="206">
        <f t="shared" si="556"/>
        <v>80.664449774044087</v>
      </c>
      <c r="AD186" s="206">
        <f t="shared" si="556"/>
        <v>96.454522293377011</v>
      </c>
      <c r="AE186" s="206">
        <f t="shared" si="556"/>
        <v>111.15583720110929</v>
      </c>
      <c r="AF186" s="206">
        <f t="shared" si="556"/>
        <v>110.89425312922204</v>
      </c>
      <c r="AG186" s="206">
        <f t="shared" si="556"/>
        <v>110.63266905733478</v>
      </c>
      <c r="AH186" s="206">
        <f t="shared" si="556"/>
        <v>110.37108498544752</v>
      </c>
      <c r="AI186" s="206">
        <f t="shared" si="556"/>
        <v>110.10950091356027</v>
      </c>
      <c r="AJ186" s="206">
        <f t="shared" si="556"/>
        <v>109.84791684167301</v>
      </c>
      <c r="AK186" s="206">
        <f t="shared" si="556"/>
        <v>109.58633276978576</v>
      </c>
      <c r="AL186" s="206">
        <f t="shared" si="556"/>
        <v>109.3247486978985</v>
      </c>
      <c r="AM186" s="206">
        <f t="shared" si="556"/>
        <v>109.06316462601124</v>
      </c>
      <c r="AN186" s="206">
        <f t="shared" si="556"/>
        <v>108.80158055412399</v>
      </c>
      <c r="AO186" s="206">
        <f t="shared" si="556"/>
        <v>108.53999648223673</v>
      </c>
      <c r="AP186" s="206">
        <f t="shared" si="556"/>
        <v>108.27841241034947</v>
      </c>
      <c r="AQ186" s="206">
        <f t="shared" si="556"/>
        <v>108.01682833846222</v>
      </c>
      <c r="AR186" s="206">
        <f t="shared" si="556"/>
        <v>107.75524426657496</v>
      </c>
      <c r="AS186" s="206"/>
      <c r="AT186" s="206"/>
      <c r="AU186" s="206"/>
    </row>
    <row r="187" spans="1:47">
      <c r="A187" t="s">
        <v>16</v>
      </c>
      <c r="B187" t="str">
        <f t="shared" ref="B187:C193" si="557">B150</f>
        <v>TPPRSUV</v>
      </c>
      <c r="C187" t="str">
        <f t="shared" si="557"/>
        <v>SUV Priv.Veh. Vehicle km</v>
      </c>
      <c r="E187" s="256">
        <f t="shared" si="551"/>
        <v>9.939379683721306</v>
      </c>
      <c r="F187" s="6">
        <f t="shared" si="551"/>
        <v>13.247884240663684</v>
      </c>
      <c r="G187" s="6">
        <f t="shared" si="551"/>
        <v>17.032417488776947</v>
      </c>
      <c r="H187" s="6">
        <f t="shared" ref="H187:J187" si="558">H150</f>
        <v>17.87669503200366</v>
      </c>
      <c r="I187" s="6">
        <f t="shared" si="558"/>
        <v>16.610068659512262</v>
      </c>
      <c r="J187" s="6">
        <f t="shared" si="558"/>
        <v>16.279311751909606</v>
      </c>
      <c r="K187" s="6">
        <f t="shared" si="553"/>
        <v>20.962702319309759</v>
      </c>
      <c r="L187" s="6">
        <f t="shared" si="553"/>
        <v>27.673483140026256</v>
      </c>
      <c r="M187" s="6">
        <f t="shared" si="553"/>
        <v>33.921541975812474</v>
      </c>
      <c r="N187" s="34"/>
      <c r="O187" s="206">
        <f t="shared" ref="O187:O193" si="559">IF(O$113&lt;=$I$148,($I187-$F187)/10,IF(AND(O$113&gt;$I$148,O$113&lt;=$K$148),($K187-$I187)/10,IF(AND(O$113&gt;$K$148,O$113&lt;=$L$148),($L187-$K187)/2,($M187-$L187)/2)))+E187</f>
        <v>10.275598125606164</v>
      </c>
      <c r="P187" s="206">
        <f t="shared" ref="P187:V193" si="560">IF(P$148&lt;=$I$148,($I187-$F187)/10,IF(AND(P$148&gt;$I$148,P$148&lt;=$K$148),($K187-$I187)/10,IF(AND(P$148&gt;$K$148,P$148&lt;=$L$148),($L187-$K187)/2,($M187-$L187)/2)))+O187</f>
        <v>10.611816567491022</v>
      </c>
      <c r="Q187" s="206">
        <f t="shared" si="560"/>
        <v>10.94803500937588</v>
      </c>
      <c r="R187" s="206">
        <f t="shared" si="560"/>
        <v>11.284253451260739</v>
      </c>
      <c r="S187" s="206">
        <f t="shared" si="560"/>
        <v>11.719516817240489</v>
      </c>
      <c r="T187" s="262">
        <f t="shared" si="560"/>
        <v>12.15478018322024</v>
      </c>
      <c r="U187" s="262">
        <f t="shared" si="560"/>
        <v>15.510170593578488</v>
      </c>
      <c r="V187" s="262">
        <f t="shared" si="560"/>
        <v>18.634200011471599</v>
      </c>
      <c r="W187" s="206">
        <f t="shared" ref="W187:W193" si="561">E187</f>
        <v>9.939379683721306</v>
      </c>
      <c r="X187" s="206">
        <f t="shared" si="555"/>
        <v>10.275598125606164</v>
      </c>
      <c r="Y187" s="206">
        <f t="shared" ref="Y187:AR187" si="562">IF(Y$148&lt;=$I$148,($I187-$F187)/10,IF(AND(Y$148&gt;$I$148,Y$148&lt;=$K$148),($K187-$I187)/10,IF(AND(Y$148&gt;$K$148,Y$148&lt;=$L$148),($L187-$K187)/2,($M187-$L187)/2)))+X187</f>
        <v>10.611816567491022</v>
      </c>
      <c r="Z187" s="206">
        <f t="shared" si="562"/>
        <v>10.94803500937588</v>
      </c>
      <c r="AA187" s="206">
        <f t="shared" si="562"/>
        <v>11.284253451260739</v>
      </c>
      <c r="AB187" s="206">
        <f t="shared" si="562"/>
        <v>11.719516817240489</v>
      </c>
      <c r="AC187" s="206">
        <f t="shared" si="562"/>
        <v>12.15478018322024</v>
      </c>
      <c r="AD187" s="206">
        <f t="shared" si="562"/>
        <v>15.510170593578488</v>
      </c>
      <c r="AE187" s="206">
        <f t="shared" si="562"/>
        <v>18.634200011471599</v>
      </c>
      <c r="AF187" s="206">
        <f t="shared" si="562"/>
        <v>18.970418453356455</v>
      </c>
      <c r="AG187" s="206">
        <f t="shared" si="562"/>
        <v>19.306636895241311</v>
      </c>
      <c r="AH187" s="206">
        <f t="shared" si="562"/>
        <v>19.642855337126168</v>
      </c>
      <c r="AI187" s="206">
        <f t="shared" si="562"/>
        <v>19.979073779011024</v>
      </c>
      <c r="AJ187" s="206">
        <f t="shared" si="562"/>
        <v>20.315292220895881</v>
      </c>
      <c r="AK187" s="206">
        <f t="shared" si="562"/>
        <v>20.651510662780737</v>
      </c>
      <c r="AL187" s="206">
        <f t="shared" si="562"/>
        <v>20.987729104665593</v>
      </c>
      <c r="AM187" s="206">
        <f t="shared" si="562"/>
        <v>21.32394754655045</v>
      </c>
      <c r="AN187" s="206">
        <f t="shared" si="562"/>
        <v>21.660165988435306</v>
      </c>
      <c r="AO187" s="206">
        <f t="shared" si="562"/>
        <v>21.996384430320163</v>
      </c>
      <c r="AP187" s="206">
        <f t="shared" si="562"/>
        <v>22.332602872205019</v>
      </c>
      <c r="AQ187" s="206">
        <f t="shared" si="562"/>
        <v>22.668821314089875</v>
      </c>
      <c r="AR187" s="206">
        <f t="shared" si="562"/>
        <v>23.005039755974732</v>
      </c>
      <c r="AS187" s="206"/>
      <c r="AT187" s="206"/>
      <c r="AU187" s="206"/>
    </row>
    <row r="188" spans="1:47">
      <c r="A188" t="s">
        <v>16</v>
      </c>
      <c r="B188" t="str">
        <f t="shared" si="557"/>
        <v>TPPRMOT</v>
      </c>
      <c r="C188" t="str">
        <f t="shared" si="557"/>
        <v>Motorbikes Priv.Veh. Vehicle km</v>
      </c>
      <c r="E188" s="256">
        <f t="shared" si="551"/>
        <v>3.3646857046699763</v>
      </c>
      <c r="F188" s="6">
        <f t="shared" si="551"/>
        <v>2.838832337285075</v>
      </c>
      <c r="G188" s="6">
        <f t="shared" si="551"/>
        <v>3.0057207333135785</v>
      </c>
      <c r="H188" s="6">
        <f t="shared" ref="H188:J188" si="563">H151</f>
        <v>3.1547108880006456</v>
      </c>
      <c r="I188" s="6">
        <f t="shared" si="563"/>
        <v>2.9311885869727514</v>
      </c>
      <c r="J188" s="6">
        <f t="shared" si="563"/>
        <v>2.8728197209252242</v>
      </c>
      <c r="K188" s="6">
        <f t="shared" si="553"/>
        <v>3.6993004092899571</v>
      </c>
      <c r="L188" s="6">
        <f t="shared" si="553"/>
        <v>4.8835558482399266</v>
      </c>
      <c r="M188" s="6">
        <f t="shared" si="553"/>
        <v>5.9861544663198485</v>
      </c>
      <c r="N188" s="34"/>
      <c r="O188" s="206">
        <f t="shared" si="559"/>
        <v>3.373921329638744</v>
      </c>
      <c r="P188" s="206">
        <f t="shared" si="560"/>
        <v>3.3831569546075118</v>
      </c>
      <c r="Q188" s="206">
        <f t="shared" si="560"/>
        <v>3.3923925795762795</v>
      </c>
      <c r="R188" s="206">
        <f t="shared" si="560"/>
        <v>3.4016282045450472</v>
      </c>
      <c r="S188" s="206">
        <f t="shared" si="560"/>
        <v>3.4784393867767678</v>
      </c>
      <c r="T188" s="262">
        <f t="shared" si="560"/>
        <v>3.5552505690084883</v>
      </c>
      <c r="U188" s="262">
        <f t="shared" si="560"/>
        <v>4.1473782884834733</v>
      </c>
      <c r="V188" s="262">
        <f t="shared" si="560"/>
        <v>4.6986775975234343</v>
      </c>
      <c r="W188" s="206">
        <f t="shared" si="561"/>
        <v>3.3646857046699763</v>
      </c>
      <c r="X188" s="206">
        <f t="shared" ref="X188" si="564">IF(X$148&lt;=$I$148,($I188-$F188)/10,IF(AND(X$148&gt;$I$148,X$148&lt;=$K$148),($K188-$I188)/10,IF(AND(X$148&gt;$K$148,X$148&lt;=$L$148),($L188-$K188)/2,($M188-$L188)/2)))+W188</f>
        <v>3.373921329638744</v>
      </c>
      <c r="Y188" s="206">
        <f t="shared" ref="Y188:AR188" si="565">IF(Y$148&lt;=$I$148,($I188-$F188)/10,IF(AND(Y$148&gt;$I$148,Y$148&lt;=$K$148),($K188-$I188)/10,IF(AND(Y$148&gt;$K$148,Y$148&lt;=$L$148),($L188-$K188)/2,($M188-$L188)/2)))+X188</f>
        <v>3.3831569546075118</v>
      </c>
      <c r="Z188" s="206">
        <f t="shared" si="565"/>
        <v>3.3923925795762795</v>
      </c>
      <c r="AA188" s="206">
        <f t="shared" si="565"/>
        <v>3.4016282045450472</v>
      </c>
      <c r="AB188" s="206">
        <f t="shared" si="565"/>
        <v>3.4784393867767678</v>
      </c>
      <c r="AC188" s="206">
        <f t="shared" si="565"/>
        <v>3.5552505690084883</v>
      </c>
      <c r="AD188" s="206">
        <f t="shared" si="565"/>
        <v>4.1473782884834733</v>
      </c>
      <c r="AE188" s="206">
        <f t="shared" si="565"/>
        <v>4.6986775975234343</v>
      </c>
      <c r="AF188" s="206">
        <f t="shared" si="565"/>
        <v>4.707913222492202</v>
      </c>
      <c r="AG188" s="206">
        <f t="shared" si="565"/>
        <v>4.7171488474609697</v>
      </c>
      <c r="AH188" s="206">
        <f t="shared" si="565"/>
        <v>4.7263844724297375</v>
      </c>
      <c r="AI188" s="206">
        <f t="shared" si="565"/>
        <v>4.7356200973985052</v>
      </c>
      <c r="AJ188" s="206">
        <f t="shared" si="565"/>
        <v>4.7448557223672729</v>
      </c>
      <c r="AK188" s="206">
        <f t="shared" si="565"/>
        <v>4.7540913473360407</v>
      </c>
      <c r="AL188" s="206">
        <f t="shared" si="565"/>
        <v>4.7633269723048084</v>
      </c>
      <c r="AM188" s="206">
        <f t="shared" si="565"/>
        <v>4.7725625972735761</v>
      </c>
      <c r="AN188" s="206">
        <f t="shared" si="565"/>
        <v>4.7817982222423439</v>
      </c>
      <c r="AO188" s="206">
        <f t="shared" si="565"/>
        <v>4.7910338472111116</v>
      </c>
      <c r="AP188" s="206">
        <f t="shared" si="565"/>
        <v>4.8002694721798793</v>
      </c>
      <c r="AQ188" s="206">
        <f t="shared" si="565"/>
        <v>4.809505097148647</v>
      </c>
      <c r="AR188" s="206">
        <f t="shared" si="565"/>
        <v>4.8187407221174148</v>
      </c>
      <c r="AS188" s="206"/>
      <c r="AT188" s="206"/>
      <c r="AU188" s="206"/>
    </row>
    <row r="189" spans="1:47">
      <c r="A189" t="s">
        <v>16</v>
      </c>
      <c r="B189" t="str">
        <f t="shared" si="557"/>
        <v>TPPUBUS</v>
      </c>
      <c r="C189" t="str">
        <f t="shared" si="557"/>
        <v>Bus vehicle km</v>
      </c>
      <c r="E189" s="256">
        <f t="shared" si="551"/>
        <v>0.61799148971758899</v>
      </c>
      <c r="F189" s="6">
        <f t="shared" si="551"/>
        <v>1.1267099528419922</v>
      </c>
      <c r="G189" s="6">
        <f t="shared" si="551"/>
        <v>0.74009062785460766</v>
      </c>
      <c r="H189" s="6">
        <f t="shared" ref="H189:J189" si="566">H152</f>
        <v>0.7570387419116027</v>
      </c>
      <c r="I189" s="6">
        <f t="shared" si="566"/>
        <v>0.76920545170235954</v>
      </c>
      <c r="J189" s="6">
        <f t="shared" si="566"/>
        <v>0.78994295148578941</v>
      </c>
      <c r="K189" s="6">
        <f t="shared" si="553"/>
        <v>0.80939297863831716</v>
      </c>
      <c r="L189" s="6">
        <f t="shared" si="553"/>
        <v>0.76884265640237137</v>
      </c>
      <c r="M189" s="6">
        <f t="shared" si="553"/>
        <v>0.71208317955176847</v>
      </c>
      <c r="N189" s="34"/>
      <c r="O189" s="206">
        <f t="shared" si="559"/>
        <v>0.58224103960362572</v>
      </c>
      <c r="P189" s="206">
        <f t="shared" si="560"/>
        <v>0.54649058948966245</v>
      </c>
      <c r="Q189" s="206">
        <f t="shared" si="560"/>
        <v>0.51074013937569918</v>
      </c>
      <c r="R189" s="206">
        <f t="shared" si="560"/>
        <v>0.4749896892617359</v>
      </c>
      <c r="S189" s="206">
        <f t="shared" si="560"/>
        <v>0.47900844195533165</v>
      </c>
      <c r="T189" s="262">
        <f t="shared" si="560"/>
        <v>0.4830271946489274</v>
      </c>
      <c r="U189" s="262">
        <f t="shared" si="560"/>
        <v>0.46275203353095451</v>
      </c>
      <c r="V189" s="262">
        <f t="shared" si="560"/>
        <v>0.43437229510565306</v>
      </c>
      <c r="W189" s="206">
        <f t="shared" si="561"/>
        <v>0.61799148971758899</v>
      </c>
      <c r="X189" s="206">
        <f t="shared" ref="X189" si="567">IF(X$148&lt;=$I$148,($I189-$F189)/10,IF(AND(X$148&gt;$I$148,X$148&lt;=$K$148),($K189-$I189)/10,IF(AND(X$148&gt;$K$148,X$148&lt;=$L$148),($L189-$K189)/2,($M189-$L189)/2)))+W189</f>
        <v>0.58224103960362572</v>
      </c>
      <c r="Y189" s="206">
        <f t="shared" ref="Y189:AR189" si="568">IF(Y$148&lt;=$I$148,($I189-$F189)/10,IF(AND(Y$148&gt;$I$148,Y$148&lt;=$K$148),($K189-$I189)/10,IF(AND(Y$148&gt;$K$148,Y$148&lt;=$L$148),($L189-$K189)/2,($M189-$L189)/2)))+X189</f>
        <v>0.54649058948966245</v>
      </c>
      <c r="Z189" s="206">
        <f t="shared" si="568"/>
        <v>0.51074013937569918</v>
      </c>
      <c r="AA189" s="206">
        <f t="shared" si="568"/>
        <v>0.4749896892617359</v>
      </c>
      <c r="AB189" s="206">
        <f t="shared" si="568"/>
        <v>0.47900844195533165</v>
      </c>
      <c r="AC189" s="206">
        <f t="shared" si="568"/>
        <v>0.4830271946489274</v>
      </c>
      <c r="AD189" s="206">
        <f t="shared" si="568"/>
        <v>0.46275203353095451</v>
      </c>
      <c r="AE189" s="206">
        <f t="shared" si="568"/>
        <v>0.43437229510565306</v>
      </c>
      <c r="AF189" s="206">
        <f t="shared" si="568"/>
        <v>0.39862184499168979</v>
      </c>
      <c r="AG189" s="206">
        <f t="shared" si="568"/>
        <v>0.36287139487772652</v>
      </c>
      <c r="AH189" s="206">
        <f t="shared" si="568"/>
        <v>0.32712094476376324</v>
      </c>
      <c r="AI189" s="206">
        <f t="shared" si="568"/>
        <v>0.29137049464979997</v>
      </c>
      <c r="AJ189" s="206">
        <f t="shared" si="568"/>
        <v>0.2556200445358367</v>
      </c>
      <c r="AK189" s="206">
        <f t="shared" si="568"/>
        <v>0.21986959442187343</v>
      </c>
      <c r="AL189" s="206">
        <f t="shared" si="568"/>
        <v>0.18411914430791015</v>
      </c>
      <c r="AM189" s="206">
        <f t="shared" si="568"/>
        <v>0.14836869419394688</v>
      </c>
      <c r="AN189" s="206">
        <f t="shared" si="568"/>
        <v>0.11261824407998362</v>
      </c>
      <c r="AO189" s="206">
        <f t="shared" si="568"/>
        <v>7.6867793966020365E-2</v>
      </c>
      <c r="AP189" s="206">
        <f t="shared" si="568"/>
        <v>4.1117343852057106E-2</v>
      </c>
      <c r="AQ189" s="206">
        <f t="shared" si="568"/>
        <v>5.3668937380938475E-3</v>
      </c>
      <c r="AR189" s="206">
        <f t="shared" si="568"/>
        <v>-3.0383556375869411E-2</v>
      </c>
      <c r="AS189" s="206"/>
      <c r="AT189" s="206"/>
      <c r="AU189" s="206"/>
    </row>
    <row r="190" spans="1:47">
      <c r="A190" t="s">
        <v>16</v>
      </c>
      <c r="B190" t="str">
        <f t="shared" si="557"/>
        <v>TPPUMBT</v>
      </c>
      <c r="C190" t="str">
        <f t="shared" si="557"/>
        <v>Minibus vehicle km</v>
      </c>
      <c r="E190" s="256">
        <f t="shared" si="551"/>
        <v>5.8698256197369378</v>
      </c>
      <c r="F190" s="6">
        <f t="shared" si="551"/>
        <v>6.7748466130043186</v>
      </c>
      <c r="G190" s="6">
        <f t="shared" si="551"/>
        <v>6.9919276256051859</v>
      </c>
      <c r="H190" s="6">
        <f t="shared" ref="H190:J190" si="569">H153</f>
        <v>7.1520431336484673</v>
      </c>
      <c r="I190" s="6">
        <f t="shared" si="569"/>
        <v>7.2669868325645215</v>
      </c>
      <c r="J190" s="6">
        <f t="shared" si="569"/>
        <v>7.4629021599103904</v>
      </c>
      <c r="K190" s="6">
        <f t="shared" si="553"/>
        <v>7.6466542262765724</v>
      </c>
      <c r="L190" s="6">
        <f t="shared" si="553"/>
        <v>7.2635593624886186</v>
      </c>
      <c r="M190" s="6">
        <f t="shared" si="553"/>
        <v>6.7273302315279278</v>
      </c>
      <c r="N190" s="34"/>
      <c r="O190" s="206">
        <f t="shared" si="559"/>
        <v>5.919039641692958</v>
      </c>
      <c r="P190" s="206">
        <f t="shared" si="560"/>
        <v>5.9682536636489782</v>
      </c>
      <c r="Q190" s="206">
        <f t="shared" si="560"/>
        <v>6.0174676856049985</v>
      </c>
      <c r="R190" s="206">
        <f t="shared" si="560"/>
        <v>6.0666817075610187</v>
      </c>
      <c r="S190" s="206">
        <f t="shared" si="560"/>
        <v>6.1046484469322237</v>
      </c>
      <c r="T190" s="262">
        <f t="shared" si="560"/>
        <v>6.1426151863034288</v>
      </c>
      <c r="U190" s="262">
        <f t="shared" si="560"/>
        <v>5.9510677544094523</v>
      </c>
      <c r="V190" s="262">
        <f t="shared" si="560"/>
        <v>5.6829531889291065</v>
      </c>
      <c r="W190" s="206">
        <f t="shared" si="561"/>
        <v>5.8698256197369378</v>
      </c>
      <c r="X190" s="206">
        <f t="shared" ref="X190" si="570">IF(X$148&lt;=$I$148,($I190-$F190)/10,IF(AND(X$148&gt;$I$148,X$148&lt;=$K$148),($K190-$I190)/10,IF(AND(X$148&gt;$K$148,X$148&lt;=$L$148),($L190-$K190)/2,($M190-$L190)/2)))+W190</f>
        <v>5.919039641692958</v>
      </c>
      <c r="Y190" s="206">
        <f t="shared" ref="Y190:AR190" si="571">IF(Y$148&lt;=$I$148,($I190-$F190)/10,IF(AND(Y$148&gt;$I$148,Y$148&lt;=$K$148),($K190-$I190)/10,IF(AND(Y$148&gt;$K$148,Y$148&lt;=$L$148),($L190-$K190)/2,($M190-$L190)/2)))+X190</f>
        <v>5.9682536636489782</v>
      </c>
      <c r="Z190" s="206">
        <f t="shared" si="571"/>
        <v>6.0174676856049985</v>
      </c>
      <c r="AA190" s="206">
        <f t="shared" si="571"/>
        <v>6.0666817075610187</v>
      </c>
      <c r="AB190" s="206">
        <f t="shared" si="571"/>
        <v>6.1046484469322237</v>
      </c>
      <c r="AC190" s="206">
        <f t="shared" si="571"/>
        <v>6.1426151863034288</v>
      </c>
      <c r="AD190" s="206">
        <f t="shared" si="571"/>
        <v>5.9510677544094523</v>
      </c>
      <c r="AE190" s="206">
        <f t="shared" si="571"/>
        <v>5.6829531889291065</v>
      </c>
      <c r="AF190" s="206">
        <f t="shared" si="571"/>
        <v>5.7321672108851267</v>
      </c>
      <c r="AG190" s="206">
        <f t="shared" si="571"/>
        <v>5.7813812328411469</v>
      </c>
      <c r="AH190" s="206">
        <f t="shared" si="571"/>
        <v>5.8305952547971671</v>
      </c>
      <c r="AI190" s="206">
        <f t="shared" si="571"/>
        <v>5.8798092767531873</v>
      </c>
      <c r="AJ190" s="206">
        <f t="shared" si="571"/>
        <v>5.9290232987092075</v>
      </c>
      <c r="AK190" s="206">
        <f t="shared" si="571"/>
        <v>5.9782373206652277</v>
      </c>
      <c r="AL190" s="206">
        <f t="shared" si="571"/>
        <v>6.0274513426212479</v>
      </c>
      <c r="AM190" s="206">
        <f t="shared" si="571"/>
        <v>6.0766653645772681</v>
      </c>
      <c r="AN190" s="206">
        <f t="shared" si="571"/>
        <v>6.1258793865332883</v>
      </c>
      <c r="AO190" s="206">
        <f t="shared" si="571"/>
        <v>6.1750934084893085</v>
      </c>
      <c r="AP190" s="206">
        <f t="shared" si="571"/>
        <v>6.2243074304453287</v>
      </c>
      <c r="AQ190" s="206">
        <f t="shared" si="571"/>
        <v>6.273521452401349</v>
      </c>
      <c r="AR190" s="206">
        <f t="shared" si="571"/>
        <v>6.3227354743573692</v>
      </c>
      <c r="AS190" s="206"/>
      <c r="AT190" s="206"/>
      <c r="AU190" s="206"/>
    </row>
    <row r="191" spans="1:47">
      <c r="A191" t="s">
        <v>16</v>
      </c>
      <c r="B191" t="str">
        <f t="shared" si="557"/>
        <v>TPPUBRT</v>
      </c>
      <c r="C191" t="str">
        <f t="shared" si="557"/>
        <v>BRT vehicle km</v>
      </c>
      <c r="E191" s="256">
        <f t="shared" si="551"/>
        <v>2.1087742850167138E-2</v>
      </c>
      <c r="F191" s="6">
        <f t="shared" si="551"/>
        <v>3.2055500417449041E-2</v>
      </c>
      <c r="G191" s="6">
        <f t="shared" si="551"/>
        <v>6.2982743372587108E-2</v>
      </c>
      <c r="H191" s="6">
        <f t="shared" ref="H191:J191" si="572">H154</f>
        <v>0.10097884850612647</v>
      </c>
      <c r="I191" s="6">
        <f t="shared" si="572"/>
        <v>0.10218816836006109</v>
      </c>
      <c r="J191" s="6">
        <f t="shared" si="572"/>
        <v>0.29582123799058679</v>
      </c>
      <c r="K191" s="6">
        <f t="shared" si="553"/>
        <v>0.57413716930602976</v>
      </c>
      <c r="L191" s="6">
        <f t="shared" si="553"/>
        <v>1.0958828704310095</v>
      </c>
      <c r="M191" s="6">
        <f t="shared" si="553"/>
        <v>1.6009532001887754</v>
      </c>
      <c r="N191" s="34"/>
      <c r="O191" s="206">
        <f t="shared" si="559"/>
        <v>2.8101009644428344E-2</v>
      </c>
      <c r="P191" s="206">
        <f t="shared" si="560"/>
        <v>3.511427643868955E-2</v>
      </c>
      <c r="Q191" s="206">
        <f t="shared" si="560"/>
        <v>4.2127543232950752E-2</v>
      </c>
      <c r="R191" s="206">
        <f t="shared" si="560"/>
        <v>4.9140810027211955E-2</v>
      </c>
      <c r="S191" s="206">
        <f t="shared" si="560"/>
        <v>9.6335710121808832E-2</v>
      </c>
      <c r="T191" s="262">
        <f t="shared" si="560"/>
        <v>0.1435306102164057</v>
      </c>
      <c r="U191" s="262">
        <f t="shared" si="560"/>
        <v>0.40440346077889555</v>
      </c>
      <c r="V191" s="262">
        <f t="shared" si="560"/>
        <v>0.6569386256577785</v>
      </c>
      <c r="W191" s="206">
        <f t="shared" si="561"/>
        <v>2.1087742850167138E-2</v>
      </c>
      <c r="X191" s="206">
        <f t="shared" ref="X191" si="573">IF(X$148&lt;=$I$148,($I191-$F191)/10,IF(AND(X$148&gt;$I$148,X$148&lt;=$K$148),($K191-$I191)/10,IF(AND(X$148&gt;$K$148,X$148&lt;=$L$148),($L191-$K191)/2,($M191-$L191)/2)))+W191</f>
        <v>2.8101009644428344E-2</v>
      </c>
      <c r="Y191" s="206">
        <f t="shared" ref="Y191:AR191" si="574">IF(Y$148&lt;=$I$148,($I191-$F191)/10,IF(AND(Y$148&gt;$I$148,Y$148&lt;=$K$148),($K191-$I191)/10,IF(AND(Y$148&gt;$K$148,Y$148&lt;=$L$148),($L191-$K191)/2,($M191-$L191)/2)))+X191</f>
        <v>3.511427643868955E-2</v>
      </c>
      <c r="Z191" s="206">
        <f t="shared" si="574"/>
        <v>4.2127543232950752E-2</v>
      </c>
      <c r="AA191" s="206">
        <f t="shared" si="574"/>
        <v>4.9140810027211955E-2</v>
      </c>
      <c r="AB191" s="206">
        <f t="shared" si="574"/>
        <v>9.6335710121808832E-2</v>
      </c>
      <c r="AC191" s="206">
        <f t="shared" si="574"/>
        <v>0.1435306102164057</v>
      </c>
      <c r="AD191" s="206">
        <f t="shared" si="574"/>
        <v>0.40440346077889555</v>
      </c>
      <c r="AE191" s="206">
        <f t="shared" si="574"/>
        <v>0.6569386256577785</v>
      </c>
      <c r="AF191" s="206">
        <f t="shared" si="574"/>
        <v>0.66395189245203967</v>
      </c>
      <c r="AG191" s="206">
        <f t="shared" si="574"/>
        <v>0.67096515924630085</v>
      </c>
      <c r="AH191" s="206">
        <f t="shared" si="574"/>
        <v>0.67797842604056202</v>
      </c>
      <c r="AI191" s="206">
        <f t="shared" si="574"/>
        <v>0.6849916928348232</v>
      </c>
      <c r="AJ191" s="206">
        <f t="shared" si="574"/>
        <v>0.69200495962908437</v>
      </c>
      <c r="AK191" s="206">
        <f t="shared" si="574"/>
        <v>0.69901822642334555</v>
      </c>
      <c r="AL191" s="206">
        <f t="shared" si="574"/>
        <v>0.70603149321760672</v>
      </c>
      <c r="AM191" s="206">
        <f t="shared" si="574"/>
        <v>0.7130447600118679</v>
      </c>
      <c r="AN191" s="206">
        <f t="shared" si="574"/>
        <v>0.72005802680612907</v>
      </c>
      <c r="AO191" s="206">
        <f t="shared" si="574"/>
        <v>0.72707129360039024</v>
      </c>
      <c r="AP191" s="206">
        <f t="shared" si="574"/>
        <v>0.73408456039465142</v>
      </c>
      <c r="AQ191" s="206">
        <f t="shared" si="574"/>
        <v>0.74109782718891259</v>
      </c>
      <c r="AR191" s="206">
        <f t="shared" si="574"/>
        <v>0.74811109398317377</v>
      </c>
      <c r="AS191" s="206"/>
      <c r="AT191" s="206"/>
      <c r="AU191" s="206"/>
    </row>
    <row r="192" spans="1:47">
      <c r="A192" t="s">
        <v>16</v>
      </c>
      <c r="B192" t="str">
        <f t="shared" si="557"/>
        <v>TPPUMER</v>
      </c>
      <c r="C192" t="str">
        <f t="shared" si="557"/>
        <v>Metro Rail pkm</v>
      </c>
      <c r="E192" s="256">
        <f t="shared" si="551"/>
        <v>15.023482841814213</v>
      </c>
      <c r="F192" s="6">
        <f t="shared" si="551"/>
        <v>12.322446292964566</v>
      </c>
      <c r="G192" s="6">
        <f t="shared" si="551"/>
        <v>8.6260563043864682</v>
      </c>
      <c r="H192" s="6">
        <f t="shared" ref="H192:J192" si="575">H155</f>
        <v>8.8235934445777957</v>
      </c>
      <c r="I192" s="6">
        <f t="shared" si="575"/>
        <v>8.9654013796389815</v>
      </c>
      <c r="J192" s="6">
        <f t="shared" si="575"/>
        <v>9.2071053467093638</v>
      </c>
      <c r="K192" s="6">
        <f t="shared" si="553"/>
        <v>9.4338032983182156</v>
      </c>
      <c r="L192" s="6">
        <f t="shared" si="553"/>
        <v>8.9611728533384429</v>
      </c>
      <c r="M192" s="6">
        <f t="shared" si="553"/>
        <v>8.2996181400459434</v>
      </c>
      <c r="N192" s="34"/>
      <c r="O192" s="206">
        <f t="shared" si="559"/>
        <v>14.687778350481654</v>
      </c>
      <c r="P192" s="206">
        <f t="shared" si="560"/>
        <v>14.352073859149096</v>
      </c>
      <c r="Q192" s="206">
        <f t="shared" si="560"/>
        <v>14.016369367816537</v>
      </c>
      <c r="R192" s="206">
        <f t="shared" si="560"/>
        <v>13.680664876483979</v>
      </c>
      <c r="S192" s="206">
        <f t="shared" si="560"/>
        <v>13.727505068351903</v>
      </c>
      <c r="T192" s="262">
        <f t="shared" si="560"/>
        <v>13.774345260219826</v>
      </c>
      <c r="U192" s="262">
        <f t="shared" si="560"/>
        <v>13.538030037729939</v>
      </c>
      <c r="V192" s="262">
        <f t="shared" si="560"/>
        <v>13.207252681083689</v>
      </c>
      <c r="W192" s="206">
        <f t="shared" si="561"/>
        <v>15.023482841814213</v>
      </c>
      <c r="X192" s="206">
        <f t="shared" ref="X192" si="576">IF(X$148&lt;=$I$148,($I192-$F192)/10,IF(AND(X$148&gt;$I$148,X$148&lt;=$K$148),($K192-$I192)/10,IF(AND(X$148&gt;$K$148,X$148&lt;=$L$148),($L192-$K192)/2,($M192-$L192)/2)))+W192</f>
        <v>14.687778350481654</v>
      </c>
      <c r="Y192" s="206">
        <f t="shared" ref="Y192:AR192" si="577">IF(Y$148&lt;=$I$148,($I192-$F192)/10,IF(AND(Y$148&gt;$I$148,Y$148&lt;=$K$148),($K192-$I192)/10,IF(AND(Y$148&gt;$K$148,Y$148&lt;=$L$148),($L192-$K192)/2,($M192-$L192)/2)))+X192</f>
        <v>14.352073859149096</v>
      </c>
      <c r="Z192" s="206">
        <f t="shared" si="577"/>
        <v>14.016369367816537</v>
      </c>
      <c r="AA192" s="206">
        <f t="shared" si="577"/>
        <v>13.680664876483979</v>
      </c>
      <c r="AB192" s="206">
        <f t="shared" si="577"/>
        <v>13.727505068351903</v>
      </c>
      <c r="AC192" s="206">
        <f t="shared" si="577"/>
        <v>13.774345260219826</v>
      </c>
      <c r="AD192" s="206">
        <f t="shared" si="577"/>
        <v>13.538030037729939</v>
      </c>
      <c r="AE192" s="206">
        <f t="shared" si="577"/>
        <v>13.207252681083689</v>
      </c>
      <c r="AF192" s="206">
        <f t="shared" si="577"/>
        <v>12.871548189751131</v>
      </c>
      <c r="AG192" s="206">
        <f t="shared" si="577"/>
        <v>12.535843698418573</v>
      </c>
      <c r="AH192" s="206">
        <f t="shared" si="577"/>
        <v>12.200139207086014</v>
      </c>
      <c r="AI192" s="206">
        <f t="shared" si="577"/>
        <v>11.864434715753456</v>
      </c>
      <c r="AJ192" s="206">
        <f t="shared" si="577"/>
        <v>11.528730224420897</v>
      </c>
      <c r="AK192" s="206">
        <f t="shared" si="577"/>
        <v>11.193025733088339</v>
      </c>
      <c r="AL192" s="206">
        <f t="shared" si="577"/>
        <v>10.857321241755781</v>
      </c>
      <c r="AM192" s="206">
        <f t="shared" si="577"/>
        <v>10.521616750423222</v>
      </c>
      <c r="AN192" s="206">
        <f t="shared" si="577"/>
        <v>10.185912259090664</v>
      </c>
      <c r="AO192" s="206">
        <f t="shared" si="577"/>
        <v>9.8502077677581052</v>
      </c>
      <c r="AP192" s="206">
        <f t="shared" si="577"/>
        <v>9.5145032764255468</v>
      </c>
      <c r="AQ192" s="206">
        <f t="shared" si="577"/>
        <v>9.1787987850929884</v>
      </c>
      <c r="AR192" s="206">
        <f t="shared" si="577"/>
        <v>8.84309429376043</v>
      </c>
      <c r="AS192" s="206"/>
      <c r="AT192" s="206"/>
      <c r="AU192" s="206"/>
    </row>
    <row r="193" spans="1:61">
      <c r="A193" t="s">
        <v>16</v>
      </c>
      <c r="B193" t="str">
        <f t="shared" si="557"/>
        <v>TPPUGAT</v>
      </c>
      <c r="C193" t="str">
        <f t="shared" si="557"/>
        <v>Gautrain pkm</v>
      </c>
      <c r="E193" s="256">
        <f t="shared" si="551"/>
        <v>0.53459848266953358</v>
      </c>
      <c r="F193" s="6">
        <f t="shared" si="551"/>
        <v>0.60923770891438467</v>
      </c>
      <c r="G193" s="6">
        <f t="shared" si="551"/>
        <v>0.64854136839212595</v>
      </c>
      <c r="H193" s="6">
        <f t="shared" ref="H193:J193" si="578">H156</f>
        <v>0.6995709084876961</v>
      </c>
      <c r="I193" s="6">
        <f t="shared" si="578"/>
        <v>0.64248252977129328</v>
      </c>
      <c r="J193" s="6">
        <f t="shared" si="578"/>
        <v>0.61850242942963696</v>
      </c>
      <c r="K193" s="6">
        <f t="shared" si="553"/>
        <v>0.78396596050030642</v>
      </c>
      <c r="L193" s="6">
        <f t="shared" si="553"/>
        <v>1.0089573998774011</v>
      </c>
      <c r="M193" s="6">
        <f t="shared" si="553"/>
        <v>1.1860727623872318</v>
      </c>
      <c r="N193" s="34"/>
      <c r="O193" s="206">
        <f t="shared" si="559"/>
        <v>0.53792296475522439</v>
      </c>
      <c r="P193" s="206">
        <f t="shared" si="560"/>
        <v>0.54124744684091519</v>
      </c>
      <c r="Q193" s="206">
        <f t="shared" si="560"/>
        <v>0.544571928926606</v>
      </c>
      <c r="R193" s="206">
        <f t="shared" si="560"/>
        <v>0.5478964110122968</v>
      </c>
      <c r="S193" s="206">
        <f t="shared" si="560"/>
        <v>0.56204475408519816</v>
      </c>
      <c r="T193" s="262">
        <f t="shared" si="560"/>
        <v>0.57619309715809952</v>
      </c>
      <c r="U193" s="262">
        <f t="shared" si="560"/>
        <v>0.68868881684664685</v>
      </c>
      <c r="V193" s="262">
        <f t="shared" si="560"/>
        <v>0.77724649810156221</v>
      </c>
      <c r="W193" s="206">
        <f t="shared" si="561"/>
        <v>0.53459848266953358</v>
      </c>
      <c r="X193" s="206">
        <f t="shared" ref="X193" si="579">IF(X$148&lt;=$I$148,($I193-$F193)/10,IF(AND(X$148&gt;$I$148,X$148&lt;=$K$148),($K193-$I193)/10,IF(AND(X$148&gt;$K$148,X$148&lt;=$L$148),($L193-$K193)/2,($M193-$L193)/2)))+W193</f>
        <v>0.53792296475522439</v>
      </c>
      <c r="Y193" s="206">
        <f t="shared" ref="Y193:AR193" si="580">IF(Y$148&lt;=$I$148,($I193-$F193)/10,IF(AND(Y$148&gt;$I$148,Y$148&lt;=$K$148),($K193-$I193)/10,IF(AND(Y$148&gt;$K$148,Y$148&lt;=$L$148),($L193-$K193)/2,($M193-$L193)/2)))+X193</f>
        <v>0.54124744684091519</v>
      </c>
      <c r="Z193" s="206">
        <f t="shared" si="580"/>
        <v>0.544571928926606</v>
      </c>
      <c r="AA193" s="206">
        <f t="shared" si="580"/>
        <v>0.5478964110122968</v>
      </c>
      <c r="AB193" s="206">
        <f t="shared" si="580"/>
        <v>0.56204475408519816</v>
      </c>
      <c r="AC193" s="206">
        <f t="shared" si="580"/>
        <v>0.57619309715809952</v>
      </c>
      <c r="AD193" s="206">
        <f t="shared" si="580"/>
        <v>0.68868881684664685</v>
      </c>
      <c r="AE193" s="206">
        <f t="shared" si="580"/>
        <v>0.77724649810156221</v>
      </c>
      <c r="AF193" s="206">
        <f t="shared" si="580"/>
        <v>0.78057098018725313</v>
      </c>
      <c r="AG193" s="206">
        <f t="shared" si="580"/>
        <v>0.78389546227294393</v>
      </c>
      <c r="AH193" s="206">
        <f t="shared" si="580"/>
        <v>0.78721994435863474</v>
      </c>
      <c r="AI193" s="206">
        <f t="shared" si="580"/>
        <v>0.79054442644432554</v>
      </c>
      <c r="AJ193" s="206">
        <f t="shared" si="580"/>
        <v>0.79386890853001635</v>
      </c>
      <c r="AK193" s="206">
        <f t="shared" si="580"/>
        <v>0.79719339061570715</v>
      </c>
      <c r="AL193" s="206">
        <f t="shared" si="580"/>
        <v>0.80051787270139796</v>
      </c>
      <c r="AM193" s="206">
        <f t="shared" si="580"/>
        <v>0.80384235478708876</v>
      </c>
      <c r="AN193" s="206">
        <f t="shared" si="580"/>
        <v>0.80716683687277957</v>
      </c>
      <c r="AO193" s="206">
        <f t="shared" si="580"/>
        <v>0.81049131895847037</v>
      </c>
      <c r="AP193" s="206">
        <f t="shared" si="580"/>
        <v>0.81381580104416118</v>
      </c>
      <c r="AQ193" s="206">
        <f t="shared" si="580"/>
        <v>0.81714028312985199</v>
      </c>
      <c r="AR193" s="206">
        <f t="shared" si="580"/>
        <v>0.82046476521554279</v>
      </c>
      <c r="AS193" s="206"/>
      <c r="AT193" s="206"/>
      <c r="AU193" s="206"/>
    </row>
    <row r="194" spans="1:61">
      <c r="E194" s="6"/>
      <c r="F194" s="6"/>
      <c r="G194" s="6"/>
      <c r="I194" s="6"/>
      <c r="K194" s="6"/>
      <c r="L194" s="6"/>
      <c r="M194" s="6"/>
      <c r="N194" s="34"/>
      <c r="O194" s="206"/>
      <c r="R194" s="206"/>
      <c r="T194" s="206"/>
      <c r="U194" s="206"/>
      <c r="V194" s="206"/>
      <c r="W194" s="206"/>
      <c r="X194" s="206"/>
      <c r="AA194" s="206"/>
      <c r="AB194" s="206"/>
      <c r="AD194" s="206"/>
      <c r="AE194" s="206"/>
      <c r="AF194" s="206"/>
      <c r="AG194" s="206"/>
      <c r="AH194" s="206"/>
      <c r="AI194" s="206"/>
      <c r="AJ194" s="206"/>
      <c r="AK194" s="206"/>
      <c r="AL194" s="206"/>
      <c r="AM194" s="206"/>
      <c r="AN194" s="206"/>
      <c r="AO194" s="206"/>
      <c r="AP194" s="206"/>
      <c r="AQ194" s="206"/>
      <c r="AR194" s="206"/>
      <c r="AS194" s="206"/>
      <c r="AT194" s="206"/>
      <c r="AU194" s="206"/>
    </row>
    <row r="195" spans="1:61" ht="23.25">
      <c r="A195" t="s">
        <v>16</v>
      </c>
      <c r="B195" s="10" t="s">
        <v>18</v>
      </c>
      <c r="C195" s="10" t="s">
        <v>19</v>
      </c>
      <c r="D195" s="10" t="s">
        <v>20</v>
      </c>
      <c r="E195" s="10" t="s">
        <v>21</v>
      </c>
      <c r="F195" s="10" t="s">
        <v>22</v>
      </c>
      <c r="G195" s="10" t="s">
        <v>23</v>
      </c>
      <c r="H195" s="10" t="s">
        <v>24</v>
      </c>
      <c r="I195" s="10" t="s">
        <v>612</v>
      </c>
      <c r="J195" s="10" t="s">
        <v>642</v>
      </c>
      <c r="K195" s="10" t="s">
        <v>643</v>
      </c>
      <c r="L195" s="11" t="s">
        <v>25</v>
      </c>
      <c r="M195" s="12">
        <v>2012</v>
      </c>
      <c r="N195" s="12">
        <f t="shared" ref="N195:AO195" si="581">1+M195</f>
        <v>2013</v>
      </c>
      <c r="O195" s="12">
        <f t="shared" si="581"/>
        <v>2014</v>
      </c>
      <c r="P195" s="12">
        <f>1+O195</f>
        <v>2015</v>
      </c>
      <c r="Q195" s="12">
        <f t="shared" si="581"/>
        <v>2016</v>
      </c>
      <c r="R195" s="12">
        <f t="shared" si="581"/>
        <v>2017</v>
      </c>
      <c r="S195" s="12">
        <f t="shared" si="581"/>
        <v>2018</v>
      </c>
      <c r="T195" s="12">
        <f t="shared" si="581"/>
        <v>2019</v>
      </c>
      <c r="U195" s="12">
        <f t="shared" si="581"/>
        <v>2020</v>
      </c>
      <c r="V195" s="12">
        <f t="shared" si="581"/>
        <v>2021</v>
      </c>
      <c r="W195" s="12">
        <f t="shared" si="581"/>
        <v>2022</v>
      </c>
      <c r="X195" s="12">
        <f t="shared" si="581"/>
        <v>2023</v>
      </c>
      <c r="Y195" s="12">
        <f t="shared" si="581"/>
        <v>2024</v>
      </c>
      <c r="Z195" s="12">
        <f t="shared" si="581"/>
        <v>2025</v>
      </c>
      <c r="AA195" s="12">
        <f t="shared" si="581"/>
        <v>2026</v>
      </c>
      <c r="AB195" s="12">
        <f t="shared" si="581"/>
        <v>2027</v>
      </c>
      <c r="AC195" s="12">
        <f t="shared" si="581"/>
        <v>2028</v>
      </c>
      <c r="AD195" s="12">
        <f t="shared" si="581"/>
        <v>2029</v>
      </c>
      <c r="AE195" s="12">
        <f t="shared" si="581"/>
        <v>2030</v>
      </c>
      <c r="AF195" s="12">
        <f t="shared" si="581"/>
        <v>2031</v>
      </c>
      <c r="AG195" s="12">
        <f t="shared" si="581"/>
        <v>2032</v>
      </c>
      <c r="AH195" s="12">
        <f t="shared" si="581"/>
        <v>2033</v>
      </c>
      <c r="AI195" s="12">
        <f t="shared" si="581"/>
        <v>2034</v>
      </c>
      <c r="AJ195" s="12">
        <f t="shared" si="581"/>
        <v>2035</v>
      </c>
      <c r="AK195" s="12">
        <f t="shared" si="581"/>
        <v>2036</v>
      </c>
      <c r="AL195" s="12">
        <f t="shared" si="581"/>
        <v>2037</v>
      </c>
      <c r="AM195" s="12">
        <f t="shared" si="581"/>
        <v>2038</v>
      </c>
      <c r="AN195" s="12">
        <f t="shared" si="581"/>
        <v>2039</v>
      </c>
      <c r="AO195" s="12">
        <f t="shared" si="581"/>
        <v>2040</v>
      </c>
      <c r="AP195" s="12">
        <v>2045</v>
      </c>
      <c r="AQ195" s="12">
        <v>2050</v>
      </c>
      <c r="AR195" s="12">
        <v>2060</v>
      </c>
      <c r="AS195" s="12">
        <v>2070</v>
      </c>
      <c r="AT195" s="12"/>
      <c r="AW195" s="12"/>
      <c r="AX195" s="12"/>
      <c r="BH195" s="12">
        <v>2012</v>
      </c>
      <c r="BI195" s="12"/>
    </row>
    <row r="196" spans="1:61" s="103" customFormat="1">
      <c r="A196" s="102" t="s">
        <v>16</v>
      </c>
      <c r="B196" s="103" t="s">
        <v>392</v>
      </c>
      <c r="C196" s="103">
        <v>1</v>
      </c>
      <c r="D196" s="103">
        <v>2012</v>
      </c>
      <c r="E196" s="103">
        <v>2015</v>
      </c>
      <c r="F196" s="103">
        <v>2017</v>
      </c>
      <c r="G196" s="103">
        <v>2019</v>
      </c>
      <c r="H196" s="103">
        <v>2020</v>
      </c>
      <c r="I196" s="103">
        <v>2021</v>
      </c>
      <c r="J196" s="103">
        <v>2030</v>
      </c>
      <c r="K196" s="103">
        <v>2040</v>
      </c>
      <c r="L196" s="108">
        <v>2050</v>
      </c>
      <c r="M196" s="102">
        <f t="shared" ref="M196:V197" si="582">MATCH(J$214,$E$185:$M$185,$C196)</f>
        <v>1</v>
      </c>
      <c r="N196" s="102">
        <f t="shared" si="582"/>
        <v>1</v>
      </c>
      <c r="O196" s="102">
        <f t="shared" si="582"/>
        <v>1</v>
      </c>
      <c r="P196" s="102">
        <f t="shared" si="582"/>
        <v>2</v>
      </c>
      <c r="Q196" s="102">
        <f t="shared" si="582"/>
        <v>2</v>
      </c>
      <c r="R196" s="102">
        <f t="shared" si="582"/>
        <v>3</v>
      </c>
      <c r="S196" s="102">
        <f t="shared" si="582"/>
        <v>3</v>
      </c>
      <c r="T196" s="102">
        <f t="shared" si="582"/>
        <v>4</v>
      </c>
      <c r="U196" s="102">
        <f t="shared" si="582"/>
        <v>5</v>
      </c>
      <c r="V196" s="102">
        <f t="shared" si="582"/>
        <v>6</v>
      </c>
      <c r="W196" s="102">
        <f t="shared" ref="W196:AF197" si="583">MATCH(T$214,$E$185:$M$185,$C196)</f>
        <v>6</v>
      </c>
      <c r="X196" s="102">
        <f t="shared" si="583"/>
        <v>6</v>
      </c>
      <c r="Y196" s="102">
        <f t="shared" si="583"/>
        <v>6</v>
      </c>
      <c r="Z196" s="102">
        <f t="shared" si="583"/>
        <v>6</v>
      </c>
      <c r="AA196" s="102">
        <f t="shared" si="583"/>
        <v>6</v>
      </c>
      <c r="AB196" s="102">
        <f t="shared" si="583"/>
        <v>6</v>
      </c>
      <c r="AC196" s="102">
        <f t="shared" si="583"/>
        <v>6</v>
      </c>
      <c r="AD196" s="102">
        <f t="shared" si="583"/>
        <v>6</v>
      </c>
      <c r="AE196" s="102">
        <f t="shared" si="583"/>
        <v>7</v>
      </c>
      <c r="AF196" s="102">
        <f t="shared" si="583"/>
        <v>7</v>
      </c>
      <c r="AG196" s="102">
        <f t="shared" ref="AG196:AP197" si="584">MATCH(AD$214,$E$185:$M$185,$C196)</f>
        <v>7</v>
      </c>
      <c r="AH196" s="102">
        <f t="shared" si="584"/>
        <v>7</v>
      </c>
      <c r="AI196" s="102">
        <f t="shared" si="584"/>
        <v>7</v>
      </c>
      <c r="AJ196" s="102">
        <f t="shared" si="584"/>
        <v>7</v>
      </c>
      <c r="AK196" s="102">
        <f t="shared" si="584"/>
        <v>7</v>
      </c>
      <c r="AL196" s="102">
        <f t="shared" si="584"/>
        <v>7</v>
      </c>
      <c r="AM196" s="102">
        <f t="shared" si="584"/>
        <v>7</v>
      </c>
      <c r="AN196" s="102">
        <f t="shared" si="584"/>
        <v>7</v>
      </c>
      <c r="AO196" s="102">
        <f t="shared" si="584"/>
        <v>8</v>
      </c>
      <c r="AP196" s="102">
        <f t="shared" si="584"/>
        <v>8</v>
      </c>
      <c r="AQ196" s="102">
        <f t="shared" ref="AQ196:AQ197" si="585">MATCH(AN$214,$E$185:$M$185,$C196)</f>
        <v>9</v>
      </c>
      <c r="AR196" s="103">
        <f>MATCH(AO$214,$C$210:$K$210,$C196)</f>
        <v>9</v>
      </c>
      <c r="AS196" s="103">
        <f>MATCH(AP$214,$C$210:$K$210,$C196)</f>
        <v>9</v>
      </c>
      <c r="BH196" s="102">
        <f>MATCH(BE$214,$C$210:$K$210,$C196)</f>
        <v>1</v>
      </c>
    </row>
    <row r="197" spans="1:61">
      <c r="A197" s="34" t="s">
        <v>16</v>
      </c>
      <c r="B197" t="s">
        <v>393</v>
      </c>
      <c r="C197">
        <v>0</v>
      </c>
      <c r="D197" cm="1">
        <f t="array" ref="D197">INDEX($D196:$L196,0,COUNT($D196:$L196)-D198)</f>
        <v>2050</v>
      </c>
      <c r="E197" cm="1">
        <f t="array" ref="E197">INDEX($D196:$L196,0,COUNT($D196:$L196)-E198)</f>
        <v>2040</v>
      </c>
      <c r="F197" cm="1">
        <f t="array" ref="F197">INDEX($D196:$L196,0,COUNT($D196:$L196)-F198)</f>
        <v>2030</v>
      </c>
      <c r="G197" cm="1">
        <f t="array" ref="G197">INDEX($D196:$L196,0,COUNT($D196:$L196)-G198)</f>
        <v>2021</v>
      </c>
      <c r="H197" cm="1">
        <f t="array" ref="H197">INDEX($D196:$L196,0,COUNT($D196:$L196)-H198)</f>
        <v>2020</v>
      </c>
      <c r="I197" cm="1">
        <f t="array" ref="I197">INDEX($D196:$L196,0,COUNT($D196:$L196)-I198)</f>
        <v>2019</v>
      </c>
      <c r="J197" cm="1">
        <f t="array" ref="J197">INDEX($D196:$L196,0,COUNT($D196:$L196)-J198)</f>
        <v>2017</v>
      </c>
      <c r="K197" cm="1">
        <f t="array" ref="K197">INDEX($D196:$L196,0,COUNT($D196:$L196)-K198)</f>
        <v>2015</v>
      </c>
      <c r="L197" cm="1">
        <f t="array" ref="L197">INDEX($D196:$L196,0,COUNT($D196:$L196)-L198)</f>
        <v>2012</v>
      </c>
      <c r="M197" s="34">
        <f t="shared" si="582"/>
        <v>1</v>
      </c>
      <c r="N197" s="34" t="e">
        <f t="shared" si="582"/>
        <v>#N/A</v>
      </c>
      <c r="O197" s="34" t="e">
        <f t="shared" si="582"/>
        <v>#N/A</v>
      </c>
      <c r="P197" s="34">
        <f t="shared" si="582"/>
        <v>2</v>
      </c>
      <c r="Q197" s="34" t="e">
        <f t="shared" si="582"/>
        <v>#N/A</v>
      </c>
      <c r="R197" s="34">
        <f t="shared" si="582"/>
        <v>3</v>
      </c>
      <c r="S197" s="34" t="e">
        <f t="shared" si="582"/>
        <v>#N/A</v>
      </c>
      <c r="T197" s="34">
        <f t="shared" si="582"/>
        <v>4</v>
      </c>
      <c r="U197" s="34">
        <f t="shared" si="582"/>
        <v>5</v>
      </c>
      <c r="V197" s="34">
        <f t="shared" si="582"/>
        <v>6</v>
      </c>
      <c r="W197" s="34" t="e">
        <f t="shared" si="583"/>
        <v>#N/A</v>
      </c>
      <c r="X197" s="34" t="e">
        <f t="shared" si="583"/>
        <v>#N/A</v>
      </c>
      <c r="Y197" s="34" t="e">
        <f t="shared" si="583"/>
        <v>#N/A</v>
      </c>
      <c r="Z197" s="34" t="e">
        <f t="shared" si="583"/>
        <v>#N/A</v>
      </c>
      <c r="AA197" s="34" t="e">
        <f t="shared" si="583"/>
        <v>#N/A</v>
      </c>
      <c r="AB197" s="34" t="e">
        <f t="shared" si="583"/>
        <v>#N/A</v>
      </c>
      <c r="AC197" s="34" t="e">
        <f t="shared" si="583"/>
        <v>#N/A</v>
      </c>
      <c r="AD197" s="34" t="e">
        <f t="shared" si="583"/>
        <v>#N/A</v>
      </c>
      <c r="AE197" s="34">
        <f t="shared" si="583"/>
        <v>7</v>
      </c>
      <c r="AF197" s="34" t="e">
        <f t="shared" si="583"/>
        <v>#N/A</v>
      </c>
      <c r="AG197" s="34" t="e">
        <f t="shared" si="584"/>
        <v>#N/A</v>
      </c>
      <c r="AH197" s="34" t="e">
        <f t="shared" si="584"/>
        <v>#N/A</v>
      </c>
      <c r="AI197" s="34" t="e">
        <f t="shared" si="584"/>
        <v>#N/A</v>
      </c>
      <c r="AJ197" s="34" t="e">
        <f t="shared" si="584"/>
        <v>#N/A</v>
      </c>
      <c r="AK197" s="34" t="e">
        <f t="shared" si="584"/>
        <v>#N/A</v>
      </c>
      <c r="AL197" s="34" t="e">
        <f t="shared" si="584"/>
        <v>#N/A</v>
      </c>
      <c r="AM197" s="34" t="e">
        <f t="shared" si="584"/>
        <v>#N/A</v>
      </c>
      <c r="AN197" s="34" t="e">
        <f t="shared" si="584"/>
        <v>#N/A</v>
      </c>
      <c r="AO197" s="34">
        <f t="shared" si="584"/>
        <v>8</v>
      </c>
      <c r="AP197" s="34" t="e">
        <f t="shared" si="584"/>
        <v>#N/A</v>
      </c>
      <c r="AQ197" s="34">
        <f t="shared" si="585"/>
        <v>9</v>
      </c>
      <c r="AR197" t="e">
        <f>MATCH(AO$214,$C$210:$K$210,$C197)</f>
        <v>#N/A</v>
      </c>
      <c r="AS197" t="e">
        <f>MATCH(AP$214,$C$210:$K$210,$C197)</f>
        <v>#N/A</v>
      </c>
      <c r="BH197" s="34">
        <f>MATCH(BE$214,$C$210:$K$210,$C197)</f>
        <v>1</v>
      </c>
    </row>
    <row r="198" spans="1:61">
      <c r="A198" s="34" t="s">
        <v>16</v>
      </c>
      <c r="B198" t="s">
        <v>391</v>
      </c>
      <c r="C198">
        <v>-1</v>
      </c>
      <c r="D198">
        <v>0</v>
      </c>
      <c r="E198">
        <v>1</v>
      </c>
      <c r="F198">
        <v>2</v>
      </c>
      <c r="G198">
        <v>3</v>
      </c>
      <c r="H198">
        <v>4</v>
      </c>
      <c r="I198">
        <v>5</v>
      </c>
      <c r="J198">
        <v>6</v>
      </c>
      <c r="K198">
        <v>7</v>
      </c>
      <c r="L198">
        <v>8</v>
      </c>
      <c r="M198">
        <f>MATCH(J$214,$C$211:$K$211,$C198)</f>
        <v>9</v>
      </c>
      <c r="N198">
        <f>MATCH(K$214,$D$197:$L$197,$C198)</f>
        <v>8</v>
      </c>
      <c r="O198">
        <f t="shared" ref="O198:AS198" si="586">MATCH(L$214,$C$211:$K$211,$C198)</f>
        <v>8</v>
      </c>
      <c r="P198">
        <f t="shared" si="586"/>
        <v>8</v>
      </c>
      <c r="Q198">
        <f t="shared" si="586"/>
        <v>7</v>
      </c>
      <c r="R198">
        <f t="shared" si="586"/>
        <v>7</v>
      </c>
      <c r="S198">
        <f t="shared" si="586"/>
        <v>6</v>
      </c>
      <c r="T198">
        <f t="shared" si="586"/>
        <v>6</v>
      </c>
      <c r="U198">
        <f t="shared" si="586"/>
        <v>5</v>
      </c>
      <c r="V198">
        <f t="shared" si="586"/>
        <v>4</v>
      </c>
      <c r="W198">
        <f t="shared" si="586"/>
        <v>3</v>
      </c>
      <c r="X198">
        <f t="shared" si="586"/>
        <v>3</v>
      </c>
      <c r="Y198">
        <f t="shared" si="586"/>
        <v>3</v>
      </c>
      <c r="Z198">
        <f t="shared" si="586"/>
        <v>3</v>
      </c>
      <c r="AA198">
        <f t="shared" si="586"/>
        <v>3</v>
      </c>
      <c r="AB198">
        <f t="shared" si="586"/>
        <v>3</v>
      </c>
      <c r="AC198">
        <f t="shared" si="586"/>
        <v>3</v>
      </c>
      <c r="AD198">
        <f t="shared" si="586"/>
        <v>3</v>
      </c>
      <c r="AE198">
        <f t="shared" si="586"/>
        <v>3</v>
      </c>
      <c r="AF198">
        <f t="shared" si="586"/>
        <v>2</v>
      </c>
      <c r="AG198">
        <f t="shared" si="586"/>
        <v>2</v>
      </c>
      <c r="AH198">
        <f t="shared" si="586"/>
        <v>2</v>
      </c>
      <c r="AI198">
        <f t="shared" si="586"/>
        <v>2</v>
      </c>
      <c r="AJ198">
        <f t="shared" si="586"/>
        <v>2</v>
      </c>
      <c r="AK198">
        <f t="shared" si="586"/>
        <v>2</v>
      </c>
      <c r="AL198">
        <f t="shared" si="586"/>
        <v>2</v>
      </c>
      <c r="AM198">
        <f t="shared" si="586"/>
        <v>2</v>
      </c>
      <c r="AN198">
        <f t="shared" si="586"/>
        <v>2</v>
      </c>
      <c r="AO198">
        <f t="shared" si="586"/>
        <v>2</v>
      </c>
      <c r="AP198">
        <f t="shared" si="586"/>
        <v>1</v>
      </c>
      <c r="AQ198">
        <f t="shared" si="586"/>
        <v>1</v>
      </c>
      <c r="AR198" t="e">
        <f t="shared" si="586"/>
        <v>#N/A</v>
      </c>
      <c r="AS198" t="e">
        <f t="shared" si="586"/>
        <v>#N/A</v>
      </c>
      <c r="BH198">
        <f>MATCH(BE$214,$C$211:$K$211,$C198)</f>
        <v>9</v>
      </c>
    </row>
    <row r="199" spans="1:61" s="105" customFormat="1">
      <c r="A199" s="104" t="s">
        <v>16</v>
      </c>
      <c r="B199" s="105" t="s">
        <v>394</v>
      </c>
      <c r="L199" s="110"/>
      <c r="M199" s="71">
        <f>IF(ISNA(M196),-1,IF(ISNA(M198),99,IF(ISNA(M197),M196,0)))</f>
        <v>0</v>
      </c>
      <c r="N199" s="71">
        <f>IF(ISNA(N196),-1,IF(ISNA(N198),99,IF(ISNA(N197),N196,0)))</f>
        <v>1</v>
      </c>
      <c r="O199" s="71">
        <f t="shared" ref="O199:AS199" si="587">IF(ISNA(O196),-1,IF(ISNA(O198),99,IF(ISNA(O197),O196,0)))</f>
        <v>1</v>
      </c>
      <c r="P199" s="71">
        <f t="shared" si="587"/>
        <v>0</v>
      </c>
      <c r="Q199" s="71">
        <f t="shared" si="587"/>
        <v>2</v>
      </c>
      <c r="R199" s="71">
        <f t="shared" ref="R199" si="588">IF(ISNA(R196),-1,IF(ISNA(R198),99,IF(ISNA(R197),R196,0)))</f>
        <v>0</v>
      </c>
      <c r="S199" s="71">
        <f t="shared" si="587"/>
        <v>3</v>
      </c>
      <c r="T199" s="71">
        <f t="shared" si="587"/>
        <v>0</v>
      </c>
      <c r="U199" s="71">
        <f t="shared" si="587"/>
        <v>0</v>
      </c>
      <c r="V199" s="71">
        <f t="shared" si="587"/>
        <v>0</v>
      </c>
      <c r="W199" s="71">
        <f t="shared" si="587"/>
        <v>6</v>
      </c>
      <c r="X199" s="71">
        <f t="shared" si="587"/>
        <v>6</v>
      </c>
      <c r="Y199" s="71">
        <f t="shared" si="587"/>
        <v>6</v>
      </c>
      <c r="Z199" s="71">
        <f t="shared" si="587"/>
        <v>6</v>
      </c>
      <c r="AA199" s="71">
        <f t="shared" si="587"/>
        <v>6</v>
      </c>
      <c r="AB199" s="71">
        <f t="shared" si="587"/>
        <v>6</v>
      </c>
      <c r="AC199" s="71">
        <f t="shared" si="587"/>
        <v>6</v>
      </c>
      <c r="AD199" s="71">
        <f t="shared" si="587"/>
        <v>6</v>
      </c>
      <c r="AE199" s="71">
        <f t="shared" si="587"/>
        <v>0</v>
      </c>
      <c r="AF199" s="71">
        <f t="shared" si="587"/>
        <v>7</v>
      </c>
      <c r="AG199" s="71">
        <f t="shared" si="587"/>
        <v>7</v>
      </c>
      <c r="AH199" s="71">
        <f t="shared" si="587"/>
        <v>7</v>
      </c>
      <c r="AI199" s="71">
        <f t="shared" si="587"/>
        <v>7</v>
      </c>
      <c r="AJ199" s="71">
        <f t="shared" si="587"/>
        <v>7</v>
      </c>
      <c r="AK199" s="71">
        <f t="shared" si="587"/>
        <v>7</v>
      </c>
      <c r="AL199" s="71">
        <f t="shared" si="587"/>
        <v>7</v>
      </c>
      <c r="AM199" s="71">
        <f t="shared" si="587"/>
        <v>7</v>
      </c>
      <c r="AN199" s="71">
        <f t="shared" si="587"/>
        <v>7</v>
      </c>
      <c r="AO199" s="71">
        <f t="shared" si="587"/>
        <v>0</v>
      </c>
      <c r="AP199" s="71">
        <f t="shared" si="587"/>
        <v>8</v>
      </c>
      <c r="AQ199" s="71">
        <f t="shared" si="587"/>
        <v>0</v>
      </c>
      <c r="AR199" s="71">
        <f t="shared" si="587"/>
        <v>99</v>
      </c>
      <c r="AS199" s="71">
        <f t="shared" si="587"/>
        <v>99</v>
      </c>
      <c r="AT199" s="71"/>
      <c r="AW199" s="71"/>
      <c r="AX199" s="71"/>
      <c r="BH199" s="71">
        <f>IF(ISNA(BH196),-1,IF(ISNA(BH198),99,IF(ISNA(BH197),BH196,0)))</f>
        <v>0</v>
      </c>
      <c r="BI199" s="71"/>
    </row>
    <row r="200" spans="1:61">
      <c r="A200" t="s">
        <v>16</v>
      </c>
      <c r="B200" s="16" t="str">
        <f t="shared" ref="B200:B207" si="589">IF(A200="*","","COM_PROJ")</f>
        <v/>
      </c>
      <c r="C200" s="17" t="str">
        <f t="shared" ref="C200:C207" si="590">IF($A200="*","","-")</f>
        <v/>
      </c>
      <c r="D200" s="48" t="str">
        <f t="shared" ref="D200:D207" si="591">B172</f>
        <v>TPPRCAR</v>
      </c>
      <c r="E200" s="17" t="str">
        <f t="shared" ref="E200:K207" si="592">IF($A200="*","","-")</f>
        <v/>
      </c>
      <c r="F200" s="17"/>
      <c r="H200" s="17" t="str">
        <f t="shared" si="592"/>
        <v/>
      </c>
      <c r="J200" s="17" t="str">
        <f t="shared" si="592"/>
        <v/>
      </c>
      <c r="K200" s="17" t="str">
        <f t="shared" si="592"/>
        <v/>
      </c>
      <c r="L200" s="16" t="str">
        <f t="shared" ref="L200:L207" si="593">IF(A200="*","",0)</f>
        <v/>
      </c>
      <c r="M200" s="3" cm="1">
        <f t="array" ref="M200">IF(M$199=-1,N200,IF(M$199=99,L200,IF(M$199=0,INDEX($E186:$M186,0,M$197),(INDEX($E186:$M186,0,M$199+1)-INDEX($E186:$M186,0,M$199))/(INDEX($E$185:$M$185,0,M$199+1)-INDEX($E$185:$M$185,0,M$199))+L200)))</f>
        <v>77.614189675901358</v>
      </c>
      <c r="N200" s="3" cm="1">
        <f t="array" ref="N200">IF(N$199=-1,O200,IF(N$199=99,M200,IF(N$199=0,INDEX($E186:$M186,0,N$197),(INDEX($E186:$M186,0,N$199+1)-INDEX($E186:$M186,0,N$199))/(INDEX($E$185:$M$185,0,N$199+1)-INDEX($E$185:$M$185,0,N$199))+M200)))</f>
        <v>78.66974968553842</v>
      </c>
      <c r="O200" s="3" cm="1">
        <f t="array" ref="O200">IF(O$199=-1,P200,IF(O$199=99,N200,IF(O$199=0,INDEX($E186:$M186,0,O$197),(INDEX($E186:$M186,0,O$199+1)-INDEX($E186:$M186,0,O$199))/(INDEX($E$185:$M$185,0,O$199+1)-INDEX($E$185:$M$185,0,O$199))+N200)))</f>
        <v>79.725309695175483</v>
      </c>
      <c r="P200" s="3" cm="1">
        <f t="array" ref="P200">IF(P$199=-1,Q200,IF(P$199=99,O200,IF(P$199=0,INDEX($E186:$M186,0,P$197),(INDEX($E186:$M186,0,P$199+1)-INDEX($E186:$M186,0,P$199))/(INDEX($E$185:$M$185,0,P$199+1)-INDEX($E$185:$M$185,0,P$199))+O200)))</f>
        <v>80.780869704812559</v>
      </c>
      <c r="Q200" s="3" cm="1">
        <f t="array" ref="Q200">IF(Q$199=-1,R200,IF(Q$199=99,P200,IF(Q$199=0,INDEX($E186:$M186,0,Q$197),(INDEX($E186:$M186,0,Q$199+1)-INDEX($E186:$M186,0,Q$199))/(INDEX($E$185:$M$185,0,Q$199+1)-INDEX($E$185:$M$185,0,Q$199))+P200)))</f>
        <v>80.466711296587334</v>
      </c>
      <c r="R200" s="3" cm="1">
        <f t="array" ref="R200">IF(R$199=-1,S200,IF(R$199=99,Q200,IF(R$199=0,INDEX($E186:$M186,0,R$197),(INDEX($E186:$M186,0,R$199+1)-INDEX($E186:$M186,0,R$199))/(INDEX($E$185:$M$185,0,R$199+1)-INDEX($E$185:$M$185,0,R$199))+Q200)))</f>
        <v>80.152552888362095</v>
      </c>
      <c r="S200" s="3" cm="1">
        <f t="array" ref="S200">IF(S$199=-1,T200,IF(S$199=99,R200,IF(S$199=0,INDEX($E186:$M186,0,S$197),(INDEX($E186:$M186,0,S$199+1)-INDEX($E186:$M186,0,S$199))/(INDEX($E$185:$M$185,0,S$199+1)-INDEX($E$185:$M$185,0,S$199))+R200)))</f>
        <v>82.139088284189654</v>
      </c>
      <c r="T200" s="3" cm="1">
        <f t="array" ref="T200">IF(T$199=-1,U200,IF(T$199=99,S200,IF(T$199=0,INDEX($E186:$M186,0,T$197),(INDEX($E186:$M186,0,T$199+1)-INDEX($E186:$M186,0,T$199))/(INDEX($E$185:$M$185,0,T$199+1)-INDEX($E$185:$M$185,0,T$199))+S200)))</f>
        <v>84.125623680017213</v>
      </c>
      <c r="U200" s="3" cm="1">
        <f t="array" ref="U200">IF(U$199=-1,V200,IF(U$199=99,T200,IF(U$199=0,INDEX($E186:$M186,0,U$197),(INDEX($E186:$M186,0,U$199+1)-INDEX($E186:$M186,0,U$199))/(INDEX($E$185:$M$185,0,U$199+1)-INDEX($E$185:$M$185,0,U$199))+T200)))</f>
        <v>78.16502898594004</v>
      </c>
      <c r="V200" s="3" cm="1">
        <f t="array" ref="V200">IF(V$199=-1,W200,IF(V$199=99,U200,IF(V$199=0,INDEX($E186:$M186,0,V$197),(INDEX($E186:$M186,0,V$199+1)-INDEX($E186:$M186,0,V$199))/(INDEX($E$185:$M$185,0,V$199+1)-INDEX($E$185:$M$185,0,V$199))+U200)))</f>
        <v>76.608525891339312</v>
      </c>
      <c r="W200" s="3" cm="1">
        <f t="array" ref="W200">IF(W$199=-1,X200,IF(W$199=99,V200,IF(W$199=0,INDEX($E186:$M186,0,W$197),(INDEX($E186:$M186,0,W$199+1)-INDEX($E186:$M186,0,W$199))/(INDEX($E$185:$M$185,0,W$199+1)-INDEX($E$185:$M$185,0,W$199))+V200)))</f>
        <v>79.05735756056815</v>
      </c>
      <c r="X200" s="3" cm="1">
        <f t="array" ref="X200">IF(X$199=-1,Y200,IF(X$199=99,W200,IF(X$199=0,INDEX($E186:$M186,0,X$197),(INDEX($E186:$M186,0,X$199+1)-INDEX($E186:$M186,0,X$199))/(INDEX($E$185:$M$185,0,X$199+1)-INDEX($E$185:$M$185,0,X$199))+W200)))</f>
        <v>81.506189229796988</v>
      </c>
      <c r="Y200" s="3" cm="1">
        <f t="array" ref="Y200">IF(Y$199=-1,Z200,IF(Y$199=99,X200,IF(Y$199=0,INDEX($E186:$M186,0,Y$197),(INDEX($E186:$M186,0,Y$199+1)-INDEX($E186:$M186,0,Y$199))/(INDEX($E$185:$M$185,0,Y$199+1)-INDEX($E$185:$M$185,0,Y$199))+X200)))</f>
        <v>83.955020899025826</v>
      </c>
      <c r="Z200" s="3" cm="1">
        <f t="array" ref="Z200">IF(Z$199=-1,AA200,IF(Z$199=99,Y200,IF(Z$199=0,INDEX($E186:$M186,0,Z$197),(INDEX($E186:$M186,0,Z$199+1)-INDEX($E186:$M186,0,Z$199))/(INDEX($E$185:$M$185,0,Z$199+1)-INDEX($E$185:$M$185,0,Z$199))+Y200)))</f>
        <v>86.403852568254663</v>
      </c>
      <c r="AA200" s="3" cm="1">
        <f t="array" ref="AA200">IF(AA$199=-1,AB200,IF(AA$199=99,Z200,IF(AA$199=0,INDEX($E186:$M186,0,AA$197),(INDEX($E186:$M186,0,AA$199+1)-INDEX($E186:$M186,0,AA$199))/(INDEX($E$185:$M$185,0,AA$199+1)-INDEX($E$185:$M$185,0,AA$199))+Z200)))</f>
        <v>88.852684237483501</v>
      </c>
      <c r="AB200" s="3" cm="1">
        <f t="array" ref="AB200">IF(AB$199=-1,AC200,IF(AB$199=99,AA200,IF(AB$199=0,INDEX($E186:$M186,0,AB$197),(INDEX($E186:$M186,0,AB$199+1)-INDEX($E186:$M186,0,AB$199))/(INDEX($E$185:$M$185,0,AB$199+1)-INDEX($E$185:$M$185,0,AB$199))+AA200)))</f>
        <v>91.301515906712339</v>
      </c>
      <c r="AC200" s="3" cm="1">
        <f t="array" ref="AC200">IF(AC$199=-1,AD200,IF(AC$199=99,AB200,IF(AC$199=0,INDEX($E186:$M186,0,AC$197),(INDEX($E186:$M186,0,AC$199+1)-INDEX($E186:$M186,0,AC$199))/(INDEX($E$185:$M$185,0,AC$199+1)-INDEX($E$185:$M$185,0,AC$199))+AB200)))</f>
        <v>93.750347575941177</v>
      </c>
      <c r="AD200" s="3" cm="1">
        <f t="array" ref="AD200">IF(AD$199=-1,AE200,IF(AD$199=99,AC200,IF(AD$199=0,INDEX($E186:$M186,0,AD$197),(INDEX($E186:$M186,0,AD$199+1)-INDEX($E186:$M186,0,AD$199))/(INDEX($E$185:$M$185,0,AD$199+1)-INDEX($E$185:$M$185,0,AD$199))+AC200)))</f>
        <v>96.199179245170015</v>
      </c>
      <c r="AE200" s="3" cm="1">
        <f t="array" ref="AE200">IF(AE$199=-1,AF200,IF(AE$199=99,AD200,IF(AE$199=0,INDEX($E186:$M186,0,AE$197),(INDEX($E186:$M186,0,AE$199+1)-INDEX($E186:$M186,0,AE$199))/(INDEX($E$185:$M$185,0,AE$199+1)-INDEX($E$185:$M$185,0,AE$199))+AD200)))</f>
        <v>98.648010914398853</v>
      </c>
      <c r="AF200" s="3" cm="1">
        <f t="array" ref="AF200">IF(AF$199=-1,AG200,IF(AF$199=99,AE200,IF(AF$199=0,INDEX($E186:$M186,0,AF$197),(INDEX($E186:$M186,0,AF$199+1)-INDEX($E186:$M186,0,AF$199))/(INDEX($E$185:$M$185,0,AF$199+1)-INDEX($E$185:$M$185,0,AF$199))+AE200)))</f>
        <v>101.80602541826543</v>
      </c>
      <c r="AG200" s="3" cm="1">
        <f t="array" ref="AG200">IF(AG$199=-1,AH200,IF(AG$199=99,AF200,IF(AG$199=0,INDEX($E186:$M186,0,AG$197),(INDEX($E186:$M186,0,AG$199+1)-INDEX($E186:$M186,0,AG$199))/(INDEX($E$185:$M$185,0,AG$199+1)-INDEX($E$185:$M$185,0,AG$199))+AF200)))</f>
        <v>104.96403992213202</v>
      </c>
      <c r="AH200" s="3" cm="1">
        <f t="array" ref="AH200">IF(AH$199=-1,AI200,IF(AH$199=99,AG200,IF(AH$199=0,INDEX($E186:$M186,0,AH$197),(INDEX($E186:$M186,0,AH$199+1)-INDEX($E186:$M186,0,AH$199))/(INDEX($E$185:$M$185,0,AH$199+1)-INDEX($E$185:$M$185,0,AH$199))+AG200)))</f>
        <v>108.1220544259986</v>
      </c>
      <c r="AI200" s="3" cm="1">
        <f t="array" ref="AI200">IF(AI$199=-1,AJ200,IF(AI$199=99,AH200,IF(AI$199=0,INDEX($E186:$M186,0,AI$197),(INDEX($E186:$M186,0,AI$199+1)-INDEX($E186:$M186,0,AI$199))/(INDEX($E$185:$M$185,0,AI$199+1)-INDEX($E$185:$M$185,0,AI$199))+AH200)))</f>
        <v>111.28006892986518</v>
      </c>
      <c r="AJ200" s="3" cm="1">
        <f t="array" ref="AJ200">IF(AJ$199=-1,AK200,IF(AJ$199=99,AI200,IF(AJ$199=0,INDEX($E186:$M186,0,AJ$197),(INDEX($E186:$M186,0,AJ$199+1)-INDEX($E186:$M186,0,AJ$199))/(INDEX($E$185:$M$185,0,AJ$199+1)-INDEX($E$185:$M$185,0,AJ$199))+AI200)))</f>
        <v>114.43808343373176</v>
      </c>
      <c r="AK200" s="3" cm="1">
        <f t="array" ref="AK200">IF(AK$199=-1,AL200,IF(AK$199=99,AJ200,IF(AK$199=0,INDEX($E186:$M186,0,AK$197),(INDEX($E186:$M186,0,AK$199+1)-INDEX($E186:$M186,0,AK$199))/(INDEX($E$185:$M$185,0,AK$199+1)-INDEX($E$185:$M$185,0,AK$199))+AJ200)))</f>
        <v>117.59609793759834</v>
      </c>
      <c r="AL200" s="3" cm="1">
        <f t="array" ref="AL200">IF(AL$199=-1,AM200,IF(AL$199=99,AK200,IF(AL$199=0,INDEX($E186:$M186,0,AL$197),(INDEX($E186:$M186,0,AL$199+1)-INDEX($E186:$M186,0,AL$199))/(INDEX($E$185:$M$185,0,AL$199+1)-INDEX($E$185:$M$185,0,AL$199))+AK200)))</f>
        <v>120.75411244146493</v>
      </c>
      <c r="AM200" s="3" cm="1">
        <f t="array" ref="AM200">IF(AM$199=-1,AN200,IF(AM$199=99,AL200,IF(AM$199=0,INDEX($E186:$M186,0,AM$197),(INDEX($E186:$M186,0,AM$199+1)-INDEX($E186:$M186,0,AM$199))/(INDEX($E$185:$M$185,0,AM$199+1)-INDEX($E$185:$M$185,0,AM$199))+AL200)))</f>
        <v>123.91212694533151</v>
      </c>
      <c r="AN200" s="3" cm="1">
        <f t="array" ref="AN200">IF(AN$199=-1,AO200,IF(AN$199=99,AM200,IF(AN$199=0,INDEX($E186:$M186,0,AN$197),(INDEX($E186:$M186,0,AN$199+1)-INDEX($E186:$M186,0,AN$199))/(INDEX($E$185:$M$185,0,AN$199+1)-INDEX($E$185:$M$185,0,AN$199))+AM200)))</f>
        <v>127.07014144919809</v>
      </c>
      <c r="AO200" s="3" cm="1">
        <f t="array" ref="AO200">IF(AO$199=-1,AP200,IF(AO$199=99,AN200,IF(AO$199=0,INDEX($E186:$M186,0,AO$197),(INDEX($E186:$M186,0,AO$199+1)-INDEX($E186:$M186,0,AO$199))/(INDEX($E$185:$M$185,0,AO$199+1)-INDEX($E$185:$M$185,0,AO$199))+AN200)))</f>
        <v>130.22815595306471</v>
      </c>
      <c r="AP200" s="3" cm="1">
        <f t="array" ref="AP200">IF(AP$199=-1,AQ200,IF(AP$199=99,AO200,IF(AP$199=0,INDEX($E186:$M186,0,AP$197),(INDEX($E186:$M186,0,AP$199+1)-INDEX($E186:$M186,0,AP$199))/(INDEX($E$185:$M$185,0,AP$199+1)-INDEX($E$185:$M$185,0,AP$199))+AO200)))</f>
        <v>133.16841893461117</v>
      </c>
      <c r="AQ200" s="3" cm="1">
        <f t="array" ref="AQ200">IF(AQ$199=-1,AR200,IF(AQ$199=99,AP200,IF(AQ$199=0,INDEX($E186:$M186,0,AQ$197),(INDEX($E186:$M186,0,AQ$199+1)-INDEX($E186:$M186,0,AQ$199))/(INDEX($E$185:$M$185,0,AQ$199+1)-INDEX($E$185:$M$185,0,AQ$199))+AP200)))</f>
        <v>159.63078576852928</v>
      </c>
      <c r="AR200" s="3" cm="1">
        <f t="array" ref="AR200">IF(AR$199=-1,AS200,IF(AR$199=99,AQ200,IF(AR$199=0,INDEX($E186:$M186,0,AR$197),(INDEX($E186:$M186,0,AR$199+1)-INDEX($E186:$M186,0,AR$199))/(INDEX($E$185:$M$185,0,AR$199+1)-INDEX($E$185:$M$185,0,AR$199))+AQ200)))</f>
        <v>159.63078576852928</v>
      </c>
      <c r="AS200" s="3" cm="1">
        <f t="array" ref="AS200">IF(AS$199=-1,#REF!,IF(AS$199=99,AR200,IF(AS$199=0,INDEX($E186:$M186,0,AS$197),(INDEX($E186:$M186,0,AS$199+1)-INDEX($E186:$M186,0,AS$199))/(INDEX($E$185:$M$185,0,AS$199+1)-INDEX($E$185:$M$185,0,AS$199))+AR200)))</f>
        <v>159.63078576852928</v>
      </c>
      <c r="AT200" s="3"/>
      <c r="AW200" s="3"/>
      <c r="AX200" s="3"/>
      <c r="BH200" s="3">
        <f t="shared" ref="BH200:BH207" si="594">E186</f>
        <v>77.614189675901358</v>
      </c>
      <c r="BI200" s="97">
        <f t="shared" ref="BI200:BI207" si="595">(M200-BH200)/M200</f>
        <v>0</v>
      </c>
    </row>
    <row r="201" spans="1:61">
      <c r="A201" t="s">
        <v>16</v>
      </c>
      <c r="B201" s="16" t="str">
        <f t="shared" si="589"/>
        <v/>
      </c>
      <c r="C201" s="17" t="str">
        <f t="shared" si="590"/>
        <v/>
      </c>
      <c r="D201" s="48" t="str">
        <f t="shared" si="591"/>
        <v>TPPRSUV</v>
      </c>
      <c r="E201" s="17" t="str">
        <f t="shared" si="592"/>
        <v/>
      </c>
      <c r="F201" s="17"/>
      <c r="H201" s="17" t="str">
        <f t="shared" si="592"/>
        <v/>
      </c>
      <c r="J201" s="17" t="str">
        <f t="shared" si="592"/>
        <v/>
      </c>
      <c r="K201" s="17" t="str">
        <f t="shared" si="592"/>
        <v/>
      </c>
      <c r="L201" s="16" t="str">
        <f t="shared" si="593"/>
        <v/>
      </c>
      <c r="M201" s="3" cm="1">
        <f t="array" ref="M201">IF(M$199=-1,N201,IF(M$199=99,L201,IF(M$199=0,INDEX($E187:$M187,0,M$197),(INDEX($E187:$M187,0,M$199+1)-INDEX($E187:$M187,0,M$199))/(INDEX($E$185:$M$185,0,M$199+1)-INDEX($E$185:$M$185,0,M$199))+L201)))</f>
        <v>9.939379683721306</v>
      </c>
      <c r="N201" s="3" cm="1">
        <f t="array" ref="N201">IF(N$199=-1,O201,IF(N$199=99,M201,IF(N$199=0,INDEX($E187:$M187,0,N$197),(INDEX($E187:$M187,0,N$199+1)-INDEX($E187:$M187,0,N$199))/(INDEX($E$185:$M$185,0,N$199+1)-INDEX($E$185:$M$185,0,N$199))+M201)))</f>
        <v>11.042214536035432</v>
      </c>
      <c r="O201" s="3" cm="1">
        <f t="array" ref="O201">IF(O$199=-1,P201,IF(O$199=99,N201,IF(O$199=0,INDEX($E187:$M187,0,O$197),(INDEX($E187:$M187,0,O$199+1)-INDEX($E187:$M187,0,O$199))/(INDEX($E$185:$M$185,0,O$199+1)-INDEX($E$185:$M$185,0,O$199))+N201)))</f>
        <v>12.145049388349559</v>
      </c>
      <c r="P201" s="3" cm="1">
        <f t="array" ref="P201">IF(P$199=-1,Q201,IF(P$199=99,O201,IF(P$199=0,INDEX($E187:$M187,0,P$197),(INDEX($E187:$M187,0,P$199+1)-INDEX($E187:$M187,0,P$199))/(INDEX($E$185:$M$185,0,P$199+1)-INDEX($E$185:$M$185,0,P$199))+O201)))</f>
        <v>13.247884240663684</v>
      </c>
      <c r="Q201" s="3" cm="1">
        <f t="array" ref="Q201">IF(Q$199=-1,R201,IF(Q$199=99,P201,IF(Q$199=0,INDEX($E187:$M187,0,Q$197),(INDEX($E187:$M187,0,Q$199+1)-INDEX($E187:$M187,0,Q$199))/(INDEX($E$185:$M$185,0,Q$199+1)-INDEX($E$185:$M$185,0,Q$199))+P201)))</f>
        <v>15.140150864720315</v>
      </c>
      <c r="R201" s="3" cm="1">
        <f t="array" ref="R201">IF(R$199=-1,S201,IF(R$199=99,Q201,IF(R$199=0,INDEX($E187:$M187,0,R$197),(INDEX($E187:$M187,0,R$199+1)-INDEX($E187:$M187,0,R$199))/(INDEX($E$185:$M$185,0,R$199+1)-INDEX($E$185:$M$185,0,R$199))+Q201)))</f>
        <v>17.032417488776947</v>
      </c>
      <c r="S201" s="3" cm="1">
        <f t="array" ref="S201">IF(S$199=-1,T201,IF(S$199=99,R201,IF(S$199=0,INDEX($E187:$M187,0,S$197),(INDEX($E187:$M187,0,S$199+1)-INDEX($E187:$M187,0,S$199))/(INDEX($E$185:$M$185,0,S$199+1)-INDEX($E$185:$M$185,0,S$199))+R201)))</f>
        <v>17.454556260390305</v>
      </c>
      <c r="T201" s="3" cm="1">
        <f t="array" ref="T201">IF(T$199=-1,U201,IF(T$199=99,S201,IF(T$199=0,INDEX($E187:$M187,0,T$197),(INDEX($E187:$M187,0,T$199+1)-INDEX($E187:$M187,0,T$199))/(INDEX($E$185:$M$185,0,T$199+1)-INDEX($E$185:$M$185,0,T$199))+S201)))</f>
        <v>17.87669503200366</v>
      </c>
      <c r="U201" s="3" cm="1">
        <f t="array" ref="U201">IF(U$199=-1,V201,IF(U$199=99,T201,IF(U$199=0,INDEX($E187:$M187,0,U$197),(INDEX($E187:$M187,0,U$199+1)-INDEX($E187:$M187,0,U$199))/(INDEX($E$185:$M$185,0,U$199+1)-INDEX($E$185:$M$185,0,U$199))+T201)))</f>
        <v>16.610068659512262</v>
      </c>
      <c r="V201" s="3" cm="1">
        <f t="array" ref="V201">IF(V$199=-1,W201,IF(V$199=99,U201,IF(V$199=0,INDEX($E187:$M187,0,V$197),(INDEX($E187:$M187,0,V$199+1)-INDEX($E187:$M187,0,V$199))/(INDEX($E$185:$M$185,0,V$199+1)-INDEX($E$185:$M$185,0,V$199))+U201)))</f>
        <v>16.279311751909606</v>
      </c>
      <c r="W201" s="3" cm="1">
        <f t="array" ref="W201">IF(W$199=-1,X201,IF(W$199=99,V201,IF(W$199=0,INDEX($E187:$M187,0,W$197),(INDEX($E187:$M187,0,W$199+1)-INDEX($E187:$M187,0,W$199))/(INDEX($E$185:$M$185,0,W$199+1)-INDEX($E$185:$M$185,0,W$199))+V201)))</f>
        <v>16.799688481620734</v>
      </c>
      <c r="X201" s="3" cm="1">
        <f t="array" ref="X201">IF(X$199=-1,Y201,IF(X$199=99,W201,IF(X$199=0,INDEX($E187:$M187,0,X$197),(INDEX($E187:$M187,0,X$199+1)-INDEX($E187:$M187,0,X$199))/(INDEX($E$185:$M$185,0,X$199+1)-INDEX($E$185:$M$185,0,X$199))+W201)))</f>
        <v>17.320065211331862</v>
      </c>
      <c r="Y201" s="3" cm="1">
        <f t="array" ref="Y201">IF(Y$199=-1,Z201,IF(Y$199=99,X201,IF(Y$199=0,INDEX($E187:$M187,0,Y$197),(INDEX($E187:$M187,0,Y$199+1)-INDEX($E187:$M187,0,Y$199))/(INDEX($E$185:$M$185,0,Y$199+1)-INDEX($E$185:$M$185,0,Y$199))+X201)))</f>
        <v>17.84044194104299</v>
      </c>
      <c r="Z201" s="3" cm="1">
        <f t="array" ref="Z201">IF(Z$199=-1,AA201,IF(Z$199=99,Y201,IF(Z$199=0,INDEX($E187:$M187,0,Z$197),(INDEX($E187:$M187,0,Z$199+1)-INDEX($E187:$M187,0,Z$199))/(INDEX($E$185:$M$185,0,Z$199+1)-INDEX($E$185:$M$185,0,Z$199))+Y201)))</f>
        <v>18.360818670754117</v>
      </c>
      <c r="AA201" s="3" cm="1">
        <f t="array" ref="AA201">IF(AA$199=-1,AB201,IF(AA$199=99,Z201,IF(AA$199=0,INDEX($E187:$M187,0,AA$197),(INDEX($E187:$M187,0,AA$199+1)-INDEX($E187:$M187,0,AA$199))/(INDEX($E$185:$M$185,0,AA$199+1)-INDEX($E$185:$M$185,0,AA$199))+Z201)))</f>
        <v>18.881195400465245</v>
      </c>
      <c r="AB201" s="3" cm="1">
        <f t="array" ref="AB201">IF(AB$199=-1,AC201,IF(AB$199=99,AA201,IF(AB$199=0,INDEX($E187:$M187,0,AB$197),(INDEX($E187:$M187,0,AB$199+1)-INDEX($E187:$M187,0,AB$199))/(INDEX($E$185:$M$185,0,AB$199+1)-INDEX($E$185:$M$185,0,AB$199))+AA201)))</f>
        <v>19.401572130176373</v>
      </c>
      <c r="AC201" s="3" cm="1">
        <f t="array" ref="AC201">IF(AC$199=-1,AD201,IF(AC$199=99,AB201,IF(AC$199=0,INDEX($E187:$M187,0,AC$197),(INDEX($E187:$M187,0,AC$199+1)-INDEX($E187:$M187,0,AC$199))/(INDEX($E$185:$M$185,0,AC$199+1)-INDEX($E$185:$M$185,0,AC$199))+AB201)))</f>
        <v>19.9219488598875</v>
      </c>
      <c r="AD201" s="3" cm="1">
        <f t="array" ref="AD201">IF(AD$199=-1,AE201,IF(AD$199=99,AC201,IF(AD$199=0,INDEX($E187:$M187,0,AD$197),(INDEX($E187:$M187,0,AD$199+1)-INDEX($E187:$M187,0,AD$199))/(INDEX($E$185:$M$185,0,AD$199+1)-INDEX($E$185:$M$185,0,AD$199))+AC201)))</f>
        <v>20.442325589598628</v>
      </c>
      <c r="AE201" s="3" cm="1">
        <f t="array" ref="AE201">IF(AE$199=-1,AF201,IF(AE$199=99,AD201,IF(AE$199=0,INDEX($E187:$M187,0,AE$197),(INDEX($E187:$M187,0,AE$199+1)-INDEX($E187:$M187,0,AE$199))/(INDEX($E$185:$M$185,0,AE$199+1)-INDEX($E$185:$M$185,0,AE$199))+AD201)))</f>
        <v>20.962702319309759</v>
      </c>
      <c r="AF201" s="3" cm="1">
        <f t="array" ref="AF201">IF(AF$199=-1,AG201,IF(AF$199=99,AE201,IF(AF$199=0,INDEX($E187:$M187,0,AF$197),(INDEX($E187:$M187,0,AF$199+1)-INDEX($E187:$M187,0,AF$199))/(INDEX($E$185:$M$185,0,AF$199+1)-INDEX($E$185:$M$185,0,AF$199))+AE201)))</f>
        <v>21.633780401381408</v>
      </c>
      <c r="AG201" s="3" cm="1">
        <f t="array" ref="AG201">IF(AG$199=-1,AH201,IF(AG$199=99,AF201,IF(AG$199=0,INDEX($E187:$M187,0,AG$197),(INDEX($E187:$M187,0,AG$199+1)-INDEX($E187:$M187,0,AG$199))/(INDEX($E$185:$M$185,0,AG$199+1)-INDEX($E$185:$M$185,0,AG$199))+AF201)))</f>
        <v>22.304858483453057</v>
      </c>
      <c r="AH201" s="3" cm="1">
        <f t="array" ref="AH201">IF(AH$199=-1,AI201,IF(AH$199=99,AG201,IF(AH$199=0,INDEX($E187:$M187,0,AH$197),(INDEX($E187:$M187,0,AH$199+1)-INDEX($E187:$M187,0,AH$199))/(INDEX($E$185:$M$185,0,AH$199+1)-INDEX($E$185:$M$185,0,AH$199))+AG201)))</f>
        <v>22.975936565524705</v>
      </c>
      <c r="AI201" s="3" cm="1">
        <f t="array" ref="AI201">IF(AI$199=-1,AJ201,IF(AI$199=99,AH201,IF(AI$199=0,INDEX($E187:$M187,0,AI$197),(INDEX($E187:$M187,0,AI$199+1)-INDEX($E187:$M187,0,AI$199))/(INDEX($E$185:$M$185,0,AI$199+1)-INDEX($E$185:$M$185,0,AI$199))+AH201)))</f>
        <v>23.647014647596354</v>
      </c>
      <c r="AJ201" s="3" cm="1">
        <f t="array" ref="AJ201">IF(AJ$199=-1,AK201,IF(AJ$199=99,AI201,IF(AJ$199=0,INDEX($E187:$M187,0,AJ$197),(INDEX($E187:$M187,0,AJ$199+1)-INDEX($E187:$M187,0,AJ$199))/(INDEX($E$185:$M$185,0,AJ$199+1)-INDEX($E$185:$M$185,0,AJ$199))+AI201)))</f>
        <v>24.318092729668003</v>
      </c>
      <c r="AK201" s="3" cm="1">
        <f t="array" ref="AK201">IF(AK$199=-1,AL201,IF(AK$199=99,AJ201,IF(AK$199=0,INDEX($E187:$M187,0,AK$197),(INDEX($E187:$M187,0,AK$199+1)-INDEX($E187:$M187,0,AK$199))/(INDEX($E$185:$M$185,0,AK$199+1)-INDEX($E$185:$M$185,0,AK$199))+AJ201)))</f>
        <v>24.989170811739651</v>
      </c>
      <c r="AL201" s="3" cm="1">
        <f t="array" ref="AL201">IF(AL$199=-1,AM201,IF(AL$199=99,AK201,IF(AL$199=0,INDEX($E187:$M187,0,AL$197),(INDEX($E187:$M187,0,AL$199+1)-INDEX($E187:$M187,0,AL$199))/(INDEX($E$185:$M$185,0,AL$199+1)-INDEX($E$185:$M$185,0,AL$199))+AK201)))</f>
        <v>25.6602488938113</v>
      </c>
      <c r="AM201" s="3" cm="1">
        <f t="array" ref="AM201">IF(AM$199=-1,AN201,IF(AM$199=99,AL201,IF(AM$199=0,INDEX($E187:$M187,0,AM$197),(INDEX($E187:$M187,0,AM$199+1)-INDEX($E187:$M187,0,AM$199))/(INDEX($E$185:$M$185,0,AM$199+1)-INDEX($E$185:$M$185,0,AM$199))+AL201)))</f>
        <v>26.331326975882948</v>
      </c>
      <c r="AN201" s="3" cm="1">
        <f t="array" ref="AN201">IF(AN$199=-1,AO201,IF(AN$199=99,AM201,IF(AN$199=0,INDEX($E187:$M187,0,AN$197),(INDEX($E187:$M187,0,AN$199+1)-INDEX($E187:$M187,0,AN$199))/(INDEX($E$185:$M$185,0,AN$199+1)-INDEX($E$185:$M$185,0,AN$199))+AM201)))</f>
        <v>27.002405057954597</v>
      </c>
      <c r="AO201" s="3" cm="1">
        <f t="array" ref="AO201">IF(AO$199=-1,AP201,IF(AO$199=99,AN201,IF(AO$199=0,INDEX($E187:$M187,0,AO$197),(INDEX($E187:$M187,0,AO$199+1)-INDEX($E187:$M187,0,AO$199))/(INDEX($E$185:$M$185,0,AO$199+1)-INDEX($E$185:$M$185,0,AO$199))+AN201)))</f>
        <v>27.673483140026256</v>
      </c>
      <c r="AP201" s="3" cm="1">
        <f t="array" ref="AP201">IF(AP$199=-1,AQ201,IF(AP$199=99,AO201,IF(AP$199=0,INDEX($E187:$M187,0,AP$197),(INDEX($E187:$M187,0,AP$199+1)-INDEX($E187:$M187,0,AP$199))/(INDEX($E$185:$M$185,0,AP$199+1)-INDEX($E$185:$M$185,0,AP$199))+AO201)))</f>
        <v>28.298289023604877</v>
      </c>
      <c r="AQ201" s="3" cm="1">
        <f t="array" ref="AQ201">IF(AQ$199=-1,AR201,IF(AQ$199=99,AP201,IF(AQ$199=0,INDEX($E187:$M187,0,AQ$197),(INDEX($E187:$M187,0,AQ$199+1)-INDEX($E187:$M187,0,AQ$199))/(INDEX($E$185:$M$185,0,AQ$199+1)-INDEX($E$185:$M$185,0,AQ$199))+AP201)))</f>
        <v>33.921541975812474</v>
      </c>
      <c r="AR201" s="3" cm="1">
        <f t="array" ref="AR201">IF(AR$199=-1,AS201,IF(AR$199=99,AQ201,IF(AR$199=0,INDEX($E187:$M187,0,AR$197),(INDEX($E187:$M187,0,AR$199+1)-INDEX($E187:$M187,0,AR$199))/(INDEX($E$185:$M$185,0,AR$199+1)-INDEX($E$185:$M$185,0,AR$199))+AQ201)))</f>
        <v>33.921541975812474</v>
      </c>
      <c r="AS201" s="3" cm="1">
        <f t="array" ref="AS201">IF(AS$199=-1,#REF!,IF(AS$199=99,AR201,IF(AS$199=0,INDEX($E187:$M187,0,AS$197),(INDEX($E187:$M187,0,AS$199+1)-INDEX($E187:$M187,0,AS$199))/(INDEX($E$185:$M$185,0,AS$199+1)-INDEX($E$185:$M$185,0,AS$199))+AR201)))</f>
        <v>33.921541975812474</v>
      </c>
      <c r="AT201" s="3"/>
      <c r="AW201" s="3"/>
      <c r="AX201" s="3"/>
      <c r="BH201" s="3">
        <f t="shared" si="594"/>
        <v>9.939379683721306</v>
      </c>
      <c r="BI201" s="97">
        <f t="shared" si="595"/>
        <v>0</v>
      </c>
    </row>
    <row r="202" spans="1:61">
      <c r="A202" t="s">
        <v>16</v>
      </c>
      <c r="B202" s="16" t="str">
        <f t="shared" si="589"/>
        <v/>
      </c>
      <c r="C202" s="17" t="str">
        <f t="shared" si="590"/>
        <v/>
      </c>
      <c r="D202" s="48" t="str">
        <f t="shared" si="591"/>
        <v>TPPRMOT</v>
      </c>
      <c r="E202" s="17" t="str">
        <f t="shared" si="592"/>
        <v/>
      </c>
      <c r="F202" s="17"/>
      <c r="H202" s="17" t="str">
        <f t="shared" si="592"/>
        <v/>
      </c>
      <c r="J202" s="17" t="str">
        <f t="shared" si="592"/>
        <v/>
      </c>
      <c r="K202" s="17" t="str">
        <f t="shared" si="592"/>
        <v/>
      </c>
      <c r="L202" s="16" t="str">
        <f t="shared" si="593"/>
        <v/>
      </c>
      <c r="M202" s="3" cm="1">
        <f t="array" ref="M202">IF(M$199=-1,N202,IF(M$199=99,L202,IF(M$199=0,INDEX($E188:$M188,0,M$197),(INDEX($E188:$M188,0,M$199+1)-INDEX($E188:$M188,0,M$199))/(INDEX($E$185:$M$185,0,M$199+1)-INDEX($E$185:$M$185,0,M$199))+L202)))</f>
        <v>3.3646857046699763</v>
      </c>
      <c r="N202" s="3" cm="1">
        <f t="array" ref="N202">IF(N$199=-1,O202,IF(N$199=99,M202,IF(N$199=0,INDEX($E188:$M188,0,N$197),(INDEX($E188:$M188,0,N$199+1)-INDEX($E188:$M188,0,N$199))/(INDEX($E$185:$M$185,0,N$199+1)-INDEX($E$185:$M$185,0,N$199))+M202)))</f>
        <v>3.1894012488750092</v>
      </c>
      <c r="O202" s="3" cm="1">
        <f t="array" ref="O202">IF(O$199=-1,P202,IF(O$199=99,N202,IF(O$199=0,INDEX($E188:$M188,0,O$197),(INDEX($E188:$M188,0,O$199+1)-INDEX($E188:$M188,0,O$199))/(INDEX($E$185:$M$185,0,O$199+1)-INDEX($E$185:$M$185,0,O$199))+N202)))</f>
        <v>3.0141167930800421</v>
      </c>
      <c r="P202" s="3" cm="1">
        <f t="array" ref="P202">IF(P$199=-1,Q202,IF(P$199=99,O202,IF(P$199=0,INDEX($E188:$M188,0,P$197),(INDEX($E188:$M188,0,P$199+1)-INDEX($E188:$M188,0,P$199))/(INDEX($E$185:$M$185,0,P$199+1)-INDEX($E$185:$M$185,0,P$199))+O202)))</f>
        <v>2.838832337285075</v>
      </c>
      <c r="Q202" s="3" cm="1">
        <f t="array" ref="Q202">IF(Q$199=-1,R202,IF(Q$199=99,P202,IF(Q$199=0,INDEX($E188:$M188,0,Q$197),(INDEX($E188:$M188,0,Q$199+1)-INDEX($E188:$M188,0,Q$199))/(INDEX($E$185:$M$185,0,Q$199+1)-INDEX($E$185:$M$185,0,Q$199))+P202)))</f>
        <v>2.9222765352993267</v>
      </c>
      <c r="R202" s="3" cm="1">
        <f t="array" ref="R202">IF(R$199=-1,S202,IF(R$199=99,Q202,IF(R$199=0,INDEX($E188:$M188,0,R$197),(INDEX($E188:$M188,0,R$199+1)-INDEX($E188:$M188,0,R$199))/(INDEX($E$185:$M$185,0,R$199+1)-INDEX($E$185:$M$185,0,R$199))+Q202)))</f>
        <v>3.0057207333135785</v>
      </c>
      <c r="S202" s="3" cm="1">
        <f t="array" ref="S202">IF(S$199=-1,T202,IF(S$199=99,R202,IF(S$199=0,INDEX($E188:$M188,0,S$197),(INDEX($E188:$M188,0,S$199+1)-INDEX($E188:$M188,0,S$199))/(INDEX($E$185:$M$185,0,S$199+1)-INDEX($E$185:$M$185,0,S$199))+R202)))</f>
        <v>3.080215810657112</v>
      </c>
      <c r="T202" s="3" cm="1">
        <f t="array" ref="T202">IF(T$199=-1,U202,IF(T$199=99,S202,IF(T$199=0,INDEX($E188:$M188,0,T$197),(INDEX($E188:$M188,0,T$199+1)-INDEX($E188:$M188,0,T$199))/(INDEX($E$185:$M$185,0,T$199+1)-INDEX($E$185:$M$185,0,T$199))+S202)))</f>
        <v>3.1547108880006456</v>
      </c>
      <c r="U202" s="3" cm="1">
        <f t="array" ref="U202">IF(U$199=-1,V202,IF(U$199=99,T202,IF(U$199=0,INDEX($E188:$M188,0,U$197),(INDEX($E188:$M188,0,U$199+1)-INDEX($E188:$M188,0,U$199))/(INDEX($E$185:$M$185,0,U$199+1)-INDEX($E$185:$M$185,0,U$199))+T202)))</f>
        <v>2.9311885869727514</v>
      </c>
      <c r="V202" s="3" cm="1">
        <f t="array" ref="V202">IF(V$199=-1,W202,IF(V$199=99,U202,IF(V$199=0,INDEX($E188:$M188,0,V$197),(INDEX($E188:$M188,0,V$199+1)-INDEX($E188:$M188,0,V$199))/(INDEX($E$185:$M$185,0,V$199+1)-INDEX($E$185:$M$185,0,V$199))+U202)))</f>
        <v>2.8728197209252242</v>
      </c>
      <c r="W202" s="3" cm="1">
        <f t="array" ref="W202">IF(W$199=-1,X202,IF(W$199=99,V202,IF(W$199=0,INDEX($E188:$M188,0,W$197),(INDEX($E188:$M188,0,W$199+1)-INDEX($E188:$M188,0,W$199))/(INDEX($E$185:$M$185,0,W$199+1)-INDEX($E$185:$M$185,0,W$199))+V202)))</f>
        <v>2.9646509085213055</v>
      </c>
      <c r="X202" s="3" cm="1">
        <f t="array" ref="X202">IF(X$199=-1,Y202,IF(X$199=99,W202,IF(X$199=0,INDEX($E188:$M188,0,X$197),(INDEX($E188:$M188,0,X$199+1)-INDEX($E188:$M188,0,X$199))/(INDEX($E$185:$M$185,0,X$199+1)-INDEX($E$185:$M$185,0,X$199))+W202)))</f>
        <v>3.0564820961173869</v>
      </c>
      <c r="Y202" s="3" cm="1">
        <f t="array" ref="Y202">IF(Y$199=-1,Z202,IF(Y$199=99,X202,IF(Y$199=0,INDEX($E188:$M188,0,Y$197),(INDEX($E188:$M188,0,Y$199+1)-INDEX($E188:$M188,0,Y$199))/(INDEX($E$185:$M$185,0,Y$199+1)-INDEX($E$185:$M$185,0,Y$199))+X202)))</f>
        <v>3.1483132837134682</v>
      </c>
      <c r="Z202" s="3" cm="1">
        <f t="array" ref="Z202">IF(Z$199=-1,AA202,IF(Z$199=99,Y202,IF(Z$199=0,INDEX($E188:$M188,0,Z$197),(INDEX($E188:$M188,0,Z$199+1)-INDEX($E188:$M188,0,Z$199))/(INDEX($E$185:$M$185,0,Z$199+1)-INDEX($E$185:$M$185,0,Z$199))+Y202)))</f>
        <v>3.2401444713095495</v>
      </c>
      <c r="AA202" s="3" cm="1">
        <f t="array" ref="AA202">IF(AA$199=-1,AB202,IF(AA$199=99,Z202,IF(AA$199=0,INDEX($E188:$M188,0,AA$197),(INDEX($E188:$M188,0,AA$199+1)-INDEX($E188:$M188,0,AA$199))/(INDEX($E$185:$M$185,0,AA$199+1)-INDEX($E$185:$M$185,0,AA$199))+Z202)))</f>
        <v>3.3319756589056309</v>
      </c>
      <c r="AB202" s="3" cm="1">
        <f t="array" ref="AB202">IF(AB$199=-1,AC202,IF(AB$199=99,AA202,IF(AB$199=0,INDEX($E188:$M188,0,AB$197),(INDEX($E188:$M188,0,AB$199+1)-INDEX($E188:$M188,0,AB$199))/(INDEX($E$185:$M$185,0,AB$199+1)-INDEX($E$185:$M$185,0,AB$199))+AA202)))</f>
        <v>3.4238068465017122</v>
      </c>
      <c r="AC202" s="3" cm="1">
        <f t="array" ref="AC202">IF(AC$199=-1,AD202,IF(AC$199=99,AB202,IF(AC$199=0,INDEX($E188:$M188,0,AC$197),(INDEX($E188:$M188,0,AC$199+1)-INDEX($E188:$M188,0,AC$199))/(INDEX($E$185:$M$185,0,AC$199+1)-INDEX($E$185:$M$185,0,AC$199))+AB202)))</f>
        <v>3.5156380340977935</v>
      </c>
      <c r="AD202" s="3" cm="1">
        <f t="array" ref="AD202">IF(AD$199=-1,AE202,IF(AD$199=99,AC202,IF(AD$199=0,INDEX($E188:$M188,0,AD$197),(INDEX($E188:$M188,0,AD$199+1)-INDEX($E188:$M188,0,AD$199))/(INDEX($E$185:$M$185,0,AD$199+1)-INDEX($E$185:$M$185,0,AD$199))+AC202)))</f>
        <v>3.6074692216938749</v>
      </c>
      <c r="AE202" s="3" cm="1">
        <f t="array" ref="AE202">IF(AE$199=-1,AF202,IF(AE$199=99,AD202,IF(AE$199=0,INDEX($E188:$M188,0,AE$197),(INDEX($E188:$M188,0,AE$199+1)-INDEX($E188:$M188,0,AE$199))/(INDEX($E$185:$M$185,0,AE$199+1)-INDEX($E$185:$M$185,0,AE$199))+AD202)))</f>
        <v>3.6993004092899571</v>
      </c>
      <c r="AF202" s="3" cm="1">
        <f t="array" ref="AF202">IF(AF$199=-1,AG202,IF(AF$199=99,AE202,IF(AF$199=0,INDEX($E188:$M188,0,AF$197),(INDEX($E188:$M188,0,AF$199+1)-INDEX($E188:$M188,0,AF$199))/(INDEX($E$185:$M$185,0,AF$199+1)-INDEX($E$185:$M$185,0,AF$199))+AE202)))</f>
        <v>3.8177259531849539</v>
      </c>
      <c r="AG202" s="3" cm="1">
        <f t="array" ref="AG202">IF(AG$199=-1,AH202,IF(AG$199=99,AF202,IF(AG$199=0,INDEX($E188:$M188,0,AG$197),(INDEX($E188:$M188,0,AG$199+1)-INDEX($E188:$M188,0,AG$199))/(INDEX($E$185:$M$185,0,AG$199+1)-INDEX($E$185:$M$185,0,AG$199))+AF202)))</f>
        <v>3.9361514970799507</v>
      </c>
      <c r="AH202" s="3" cm="1">
        <f t="array" ref="AH202">IF(AH$199=-1,AI202,IF(AH$199=99,AG202,IF(AH$199=0,INDEX($E188:$M188,0,AH$197),(INDEX($E188:$M188,0,AH$199+1)-INDEX($E188:$M188,0,AH$199))/(INDEX($E$185:$M$185,0,AH$199+1)-INDEX($E$185:$M$185,0,AH$199))+AG202)))</f>
        <v>4.054577040974948</v>
      </c>
      <c r="AI202" s="3" cm="1">
        <f t="array" ref="AI202">IF(AI$199=-1,AJ202,IF(AI$199=99,AH202,IF(AI$199=0,INDEX($E188:$M188,0,AI$197),(INDEX($E188:$M188,0,AI$199+1)-INDEX($E188:$M188,0,AI$199))/(INDEX($E$185:$M$185,0,AI$199+1)-INDEX($E$185:$M$185,0,AI$199))+AH202)))</f>
        <v>4.1730025848699448</v>
      </c>
      <c r="AJ202" s="3" cm="1">
        <f t="array" ref="AJ202">IF(AJ$199=-1,AK202,IF(AJ$199=99,AI202,IF(AJ$199=0,INDEX($E188:$M188,0,AJ$197),(INDEX($E188:$M188,0,AJ$199+1)-INDEX($E188:$M188,0,AJ$199))/(INDEX($E$185:$M$185,0,AJ$199+1)-INDEX($E$185:$M$185,0,AJ$199))+AI202)))</f>
        <v>4.2914281287649416</v>
      </c>
      <c r="AK202" s="3" cm="1">
        <f t="array" ref="AK202">IF(AK$199=-1,AL202,IF(AK$199=99,AJ202,IF(AK$199=0,INDEX($E188:$M188,0,AK$197),(INDEX($E188:$M188,0,AK$199+1)-INDEX($E188:$M188,0,AK$199))/(INDEX($E$185:$M$185,0,AK$199+1)-INDEX($E$185:$M$185,0,AK$199))+AJ202)))</f>
        <v>4.4098536726599384</v>
      </c>
      <c r="AL202" s="3" cm="1">
        <f t="array" ref="AL202">IF(AL$199=-1,AM202,IF(AL$199=99,AK202,IF(AL$199=0,INDEX($E188:$M188,0,AL$197),(INDEX($E188:$M188,0,AL$199+1)-INDEX($E188:$M188,0,AL$199))/(INDEX($E$185:$M$185,0,AL$199+1)-INDEX($E$185:$M$185,0,AL$199))+AK202)))</f>
        <v>4.5282792165549353</v>
      </c>
      <c r="AM202" s="3" cm="1">
        <f t="array" ref="AM202">IF(AM$199=-1,AN202,IF(AM$199=99,AL202,IF(AM$199=0,INDEX($E188:$M188,0,AM$197),(INDEX($E188:$M188,0,AM$199+1)-INDEX($E188:$M188,0,AM$199))/(INDEX($E$185:$M$185,0,AM$199+1)-INDEX($E$185:$M$185,0,AM$199))+AL202)))</f>
        <v>4.6467047604499321</v>
      </c>
      <c r="AN202" s="3" cm="1">
        <f t="array" ref="AN202">IF(AN$199=-1,AO202,IF(AN$199=99,AM202,IF(AN$199=0,INDEX($E188:$M188,0,AN$197),(INDEX($E188:$M188,0,AN$199+1)-INDEX($E188:$M188,0,AN$199))/(INDEX($E$185:$M$185,0,AN$199+1)-INDEX($E$185:$M$185,0,AN$199))+AM202)))</f>
        <v>4.7651303043449289</v>
      </c>
      <c r="AO202" s="3" cm="1">
        <f t="array" ref="AO202">IF(AO$199=-1,AP202,IF(AO$199=99,AN202,IF(AO$199=0,INDEX($E188:$M188,0,AO$197),(INDEX($E188:$M188,0,AO$199+1)-INDEX($E188:$M188,0,AO$199))/(INDEX($E$185:$M$185,0,AO$199+1)-INDEX($E$185:$M$185,0,AO$199))+AN202)))</f>
        <v>4.8835558482399266</v>
      </c>
      <c r="AP202" s="3" cm="1">
        <f t="array" ref="AP202">IF(AP$199=-1,AQ202,IF(AP$199=99,AO202,IF(AP$199=0,INDEX($E188:$M188,0,AP$197),(INDEX($E188:$M188,0,AP$199+1)-INDEX($E188:$M188,0,AP$199))/(INDEX($E$185:$M$185,0,AP$199+1)-INDEX($E$185:$M$185,0,AP$199))+AO202)))</f>
        <v>4.9938157100479188</v>
      </c>
      <c r="AQ202" s="3" cm="1">
        <f t="array" ref="AQ202">IF(AQ$199=-1,AR202,IF(AQ$199=99,AP202,IF(AQ$199=0,INDEX($E188:$M188,0,AQ$197),(INDEX($E188:$M188,0,AQ$199+1)-INDEX($E188:$M188,0,AQ$199))/(INDEX($E$185:$M$185,0,AQ$199+1)-INDEX($E$185:$M$185,0,AQ$199))+AP202)))</f>
        <v>5.9861544663198485</v>
      </c>
      <c r="AR202" s="3" cm="1">
        <f t="array" ref="AR202">IF(AR$199=-1,AS202,IF(AR$199=99,AQ202,IF(AR$199=0,INDEX($E188:$M188,0,AR$197),(INDEX($E188:$M188,0,AR$199+1)-INDEX($E188:$M188,0,AR$199))/(INDEX($E$185:$M$185,0,AR$199+1)-INDEX($E$185:$M$185,0,AR$199))+AQ202)))</f>
        <v>5.9861544663198485</v>
      </c>
      <c r="AS202" s="3" cm="1">
        <f t="array" ref="AS202">IF(AS$199=-1,#REF!,IF(AS$199=99,AR202,IF(AS$199=0,INDEX($E188:$M188,0,AS$197),(INDEX($E188:$M188,0,AS$199+1)-INDEX($E188:$M188,0,AS$199))/(INDEX($E$185:$M$185,0,AS$199+1)-INDEX($E$185:$M$185,0,AS$199))+AR202)))</f>
        <v>5.9861544663198485</v>
      </c>
      <c r="AT202" s="3"/>
      <c r="AW202" s="3"/>
      <c r="AX202" s="3"/>
      <c r="BH202" s="3">
        <f t="shared" si="594"/>
        <v>3.3646857046699763</v>
      </c>
      <c r="BI202" s="97">
        <f t="shared" si="595"/>
        <v>0</v>
      </c>
    </row>
    <row r="203" spans="1:61">
      <c r="A203" t="s">
        <v>16</v>
      </c>
      <c r="B203" s="16" t="str">
        <f t="shared" si="589"/>
        <v/>
      </c>
      <c r="C203" s="17" t="str">
        <f t="shared" si="590"/>
        <v/>
      </c>
      <c r="D203" s="48" t="str">
        <f t="shared" si="591"/>
        <v>TPPUBUS</v>
      </c>
      <c r="E203" s="17" t="str">
        <f t="shared" si="592"/>
        <v/>
      </c>
      <c r="F203" s="17"/>
      <c r="H203" s="17" t="str">
        <f t="shared" si="592"/>
        <v/>
      </c>
      <c r="J203" s="17" t="str">
        <f t="shared" si="592"/>
        <v/>
      </c>
      <c r="K203" s="17" t="str">
        <f t="shared" si="592"/>
        <v/>
      </c>
      <c r="L203" s="16" t="str">
        <f t="shared" si="593"/>
        <v/>
      </c>
      <c r="M203" s="3">
        <f>INDEX('[2]TS BYDem'!J$10:J$59,MATCH($D203,'[2]TS BYDem'!D$10:D$59,0))</f>
        <v>1.4990333520535337</v>
      </c>
      <c r="N203" s="3" cm="1">
        <f t="array" ref="N203">IF(N$199=-1,O203,IF(N$199=99,M203,IF(N$199=0,INDEX($E189:$M189,0,N$197),(INDEX($E189:$M189,0,N$199+1)-INDEX($E189:$M189,0,N$199))/(INDEX($E$185:$M$185,0,N$199+1)-INDEX($E$185:$M$185,0,N$199))+M203)))</f>
        <v>1.6686061730950015</v>
      </c>
      <c r="O203" s="3" cm="1">
        <f t="array" ref="O203">IF(O$199=-1,P203,IF(O$199=99,N203,IF(O$199=0,INDEX($E189:$M189,0,O$197),(INDEX($E189:$M189,0,O$199+1)-INDEX($E189:$M189,0,O$199))/(INDEX($E$185:$M$185,0,O$199+1)-INDEX($E$185:$M$185,0,O$199))+N203)))</f>
        <v>1.8381789941364692</v>
      </c>
      <c r="P203" s="3" cm="1">
        <f t="array" ref="P203">IF(P$199=-1,Q203,IF(P$199=99,O203,IF(P$199=0,INDEX($E189:$M189,0,P$197),(INDEX($E189:$M189,0,P$199+1)-INDEX($E189:$M189,0,P$199))/(INDEX($E$185:$M$185,0,P$199+1)-INDEX($E$185:$M$185,0,P$199))+O203)))</f>
        <v>1.1267099528419922</v>
      </c>
      <c r="Q203" s="3" cm="1">
        <f t="array" ref="Q203">IF(Q$199=-1,R203,IF(Q$199=99,P203,IF(Q$199=0,INDEX($E189:$M189,0,Q$197),(INDEX($E189:$M189,0,Q$199+1)-INDEX($E189:$M189,0,Q$199))/(INDEX($E$185:$M$185,0,Q$199+1)-INDEX($E$185:$M$185,0,Q$199))+P203)))</f>
        <v>0.93340029034829985</v>
      </c>
      <c r="R203" s="3" cm="1">
        <f t="array" ref="R203">IF(R$199=-1,S203,IF(R$199=99,Q203,IF(R$199=0,INDEX($E189:$M189,0,R$197),(INDEX($E189:$M189,0,R$199+1)-INDEX($E189:$M189,0,R$199))/(INDEX($E$185:$M$185,0,R$199+1)-INDEX($E$185:$M$185,0,R$199))+Q203)))</f>
        <v>0.74009062785460766</v>
      </c>
      <c r="S203" s="3" cm="1">
        <f t="array" ref="S203">IF(S$199=-1,T203,IF(S$199=99,R203,IF(S$199=0,INDEX($E189:$M189,0,S$197),(INDEX($E189:$M189,0,S$199+1)-INDEX($E189:$M189,0,S$199))/(INDEX($E$185:$M$185,0,S$199+1)-INDEX($E$185:$M$185,0,S$199))+R203)))</f>
        <v>0.74856468488310512</v>
      </c>
      <c r="T203" s="3" cm="1">
        <f t="array" ref="T203">IF(T$199=-1,U203,IF(T$199=99,S203,IF(T$199=0,INDEX($E189:$M189,0,T$197),(INDEX($E189:$M189,0,T$199+1)-INDEX($E189:$M189,0,T$199))/(INDEX($E$185:$M$185,0,T$199+1)-INDEX($E$185:$M$185,0,T$199))+S203)))</f>
        <v>0.7570387419116027</v>
      </c>
      <c r="U203" s="3" cm="1">
        <f t="array" ref="U203">IF(U$199=-1,V203,IF(U$199=99,T203,IF(U$199=0,INDEX($E189:$M189,0,U$197),(INDEX($E189:$M189,0,U$199+1)-INDEX($E189:$M189,0,U$199))/(INDEX($E$185:$M$185,0,U$199+1)-INDEX($E$185:$M$185,0,U$199))+T203)))</f>
        <v>0.76920545170235954</v>
      </c>
      <c r="V203" s="3" cm="1">
        <f t="array" ref="V203">IF(V$199=-1,W203,IF(V$199=99,U203,IF(V$199=0,INDEX($E189:$M189,0,V$197),(INDEX($E189:$M189,0,V$199+1)-INDEX($E189:$M189,0,V$199))/(INDEX($E$185:$M$185,0,V$199+1)-INDEX($E$185:$M$185,0,V$199))+U203)))</f>
        <v>0.78994295148578941</v>
      </c>
      <c r="W203" s="3" cm="1">
        <f t="array" ref="W203">IF(W$199=-1,X203,IF(W$199=99,V203,IF(W$199=0,INDEX($E189:$M189,0,W$197),(INDEX($E189:$M189,0,W$199+1)-INDEX($E189:$M189,0,W$199))/(INDEX($E$185:$M$185,0,W$199+1)-INDEX($E$185:$M$185,0,W$199))+V203)))</f>
        <v>0.79210406561384805</v>
      </c>
      <c r="X203" s="3" cm="1">
        <f t="array" ref="X203">IF(X$199=-1,Y203,IF(X$199=99,W203,IF(X$199=0,INDEX($E189:$M189,0,X$197),(INDEX($E189:$M189,0,X$199+1)-INDEX($E189:$M189,0,X$199))/(INDEX($E$185:$M$185,0,X$199+1)-INDEX($E$185:$M$185,0,X$199))+W203)))</f>
        <v>0.79426517974190669</v>
      </c>
      <c r="Y203" s="3" cm="1">
        <f t="array" ref="Y203">IF(Y$199=-1,Z203,IF(Y$199=99,X203,IF(Y$199=0,INDEX($E189:$M189,0,Y$197),(INDEX($E189:$M189,0,Y$199+1)-INDEX($E189:$M189,0,Y$199))/(INDEX($E$185:$M$185,0,Y$199+1)-INDEX($E$185:$M$185,0,Y$199))+X203)))</f>
        <v>0.79642629386996533</v>
      </c>
      <c r="Z203" s="3" cm="1">
        <f t="array" ref="Z203">IF(Z$199=-1,AA203,IF(Z$199=99,Y203,IF(Z$199=0,INDEX($E189:$M189,0,Z$197),(INDEX($E189:$M189,0,Z$199+1)-INDEX($E189:$M189,0,Z$199))/(INDEX($E$185:$M$185,0,Z$199+1)-INDEX($E$185:$M$185,0,Z$199))+Y203)))</f>
        <v>0.79858740799802397</v>
      </c>
      <c r="AA203" s="3" cm="1">
        <f t="array" ref="AA203">IF(AA$199=-1,AB203,IF(AA$199=99,Z203,IF(AA$199=0,INDEX($E189:$M189,0,AA$197),(INDEX($E189:$M189,0,AA$199+1)-INDEX($E189:$M189,0,AA$199))/(INDEX($E$185:$M$185,0,AA$199+1)-INDEX($E$185:$M$185,0,AA$199))+Z203)))</f>
        <v>0.80074852212608261</v>
      </c>
      <c r="AB203" s="3" cm="1">
        <f t="array" ref="AB203">IF(AB$199=-1,AC203,IF(AB$199=99,AA203,IF(AB$199=0,INDEX($E189:$M189,0,AB$197),(INDEX($E189:$M189,0,AB$199+1)-INDEX($E189:$M189,0,AB$199))/(INDEX($E$185:$M$185,0,AB$199+1)-INDEX($E$185:$M$185,0,AB$199))+AA203)))</f>
        <v>0.80290963625414125</v>
      </c>
      <c r="AC203" s="3" cm="1">
        <f t="array" ref="AC203">IF(AC$199=-1,AD203,IF(AC$199=99,AB203,IF(AC$199=0,INDEX($E189:$M189,0,AC$197),(INDEX($E189:$M189,0,AC$199+1)-INDEX($E189:$M189,0,AC$199))/(INDEX($E$185:$M$185,0,AC$199+1)-INDEX($E$185:$M$185,0,AC$199))+AB203)))</f>
        <v>0.80507075038219988</v>
      </c>
      <c r="AD203" s="3" cm="1">
        <f t="array" ref="AD203">IF(AD$199=-1,AE203,IF(AD$199=99,AC203,IF(AD$199=0,INDEX($E189:$M189,0,AD$197),(INDEX($E189:$M189,0,AD$199+1)-INDEX($E189:$M189,0,AD$199))/(INDEX($E$185:$M$185,0,AD$199+1)-INDEX($E$185:$M$185,0,AD$199))+AC203)))</f>
        <v>0.80723186451025852</v>
      </c>
      <c r="AE203" s="3" cm="1">
        <f t="array" ref="AE203">IF(AE$199=-1,AF203,IF(AE$199=99,AD203,IF(AE$199=0,INDEX($E189:$M189,0,AE$197),(INDEX($E189:$M189,0,AE$199+1)-INDEX($E189:$M189,0,AE$199))/(INDEX($E$185:$M$185,0,AE$199+1)-INDEX($E$185:$M$185,0,AE$199))+AD203)))</f>
        <v>0.80939297863831716</v>
      </c>
      <c r="AF203" s="3" cm="1">
        <f t="array" ref="AF203">IF(AF$199=-1,AG203,IF(AF$199=99,AE203,IF(AF$199=0,INDEX($E189:$M189,0,AF$197),(INDEX($E189:$M189,0,AF$199+1)-INDEX($E189:$M189,0,AF$199))/(INDEX($E$185:$M$185,0,AF$199+1)-INDEX($E$185:$M$185,0,AF$199))+AE203)))</f>
        <v>0.80533794641472256</v>
      </c>
      <c r="AG203" s="3" cm="1">
        <f t="array" ref="AG203">IF(AG$199=-1,AH203,IF(AG$199=99,AF203,IF(AG$199=0,INDEX($E189:$M189,0,AG$197),(INDEX($E189:$M189,0,AG$199+1)-INDEX($E189:$M189,0,AG$199))/(INDEX($E$185:$M$185,0,AG$199+1)-INDEX($E$185:$M$185,0,AG$199))+AF203)))</f>
        <v>0.80128291419112796</v>
      </c>
      <c r="AH203" s="3" cm="1">
        <f t="array" ref="AH203">IF(AH$199=-1,AI203,IF(AH$199=99,AG203,IF(AH$199=0,INDEX($E189:$M189,0,AH$197),(INDEX($E189:$M189,0,AH$199+1)-INDEX($E189:$M189,0,AH$199))/(INDEX($E$185:$M$185,0,AH$199+1)-INDEX($E$185:$M$185,0,AH$199))+AG203)))</f>
        <v>0.79722788196753336</v>
      </c>
      <c r="AI203" s="3" cm="1">
        <f t="array" ref="AI203">IF(AI$199=-1,AJ203,IF(AI$199=99,AH203,IF(AI$199=0,INDEX($E189:$M189,0,AI$197),(INDEX($E189:$M189,0,AI$199+1)-INDEX($E189:$M189,0,AI$199))/(INDEX($E$185:$M$185,0,AI$199+1)-INDEX($E$185:$M$185,0,AI$199))+AH203)))</f>
        <v>0.79317284974393876</v>
      </c>
      <c r="AJ203" s="3" cm="1">
        <f t="array" ref="AJ203">IF(AJ$199=-1,AK203,IF(AJ$199=99,AI203,IF(AJ$199=0,INDEX($E189:$M189,0,AJ$197),(INDEX($E189:$M189,0,AJ$199+1)-INDEX($E189:$M189,0,AJ$199))/(INDEX($E$185:$M$185,0,AJ$199+1)-INDEX($E$185:$M$185,0,AJ$199))+AI203)))</f>
        <v>0.78911781752034416</v>
      </c>
      <c r="AK203" s="3" cm="1">
        <f t="array" ref="AK203">IF(AK$199=-1,AL203,IF(AK$199=99,AJ203,IF(AK$199=0,INDEX($E189:$M189,0,AK$197),(INDEX($E189:$M189,0,AK$199+1)-INDEX($E189:$M189,0,AK$199))/(INDEX($E$185:$M$185,0,AK$199+1)-INDEX($E$185:$M$185,0,AK$199))+AJ203)))</f>
        <v>0.78506278529674955</v>
      </c>
      <c r="AL203" s="3" cm="1">
        <f t="array" ref="AL203">IF(AL$199=-1,AM203,IF(AL$199=99,AK203,IF(AL$199=0,INDEX($E189:$M189,0,AL$197),(INDEX($E189:$M189,0,AL$199+1)-INDEX($E189:$M189,0,AL$199))/(INDEX($E$185:$M$185,0,AL$199+1)-INDEX($E$185:$M$185,0,AL$199))+AK203)))</f>
        <v>0.78100775307315495</v>
      </c>
      <c r="AM203" s="3" cm="1">
        <f t="array" ref="AM203">IF(AM$199=-1,AN203,IF(AM$199=99,AL203,IF(AM$199=0,INDEX($E189:$M189,0,AM$197),(INDEX($E189:$M189,0,AM$199+1)-INDEX($E189:$M189,0,AM$199))/(INDEX($E$185:$M$185,0,AM$199+1)-INDEX($E$185:$M$185,0,AM$199))+AL203)))</f>
        <v>0.77695272084956035</v>
      </c>
      <c r="AN203" s="3" cm="1">
        <f t="array" ref="AN203">IF(AN$199=-1,AO203,IF(AN$199=99,AM203,IF(AN$199=0,INDEX($E189:$M189,0,AN$197),(INDEX($E189:$M189,0,AN$199+1)-INDEX($E189:$M189,0,AN$199))/(INDEX($E$185:$M$185,0,AN$199+1)-INDEX($E$185:$M$185,0,AN$199))+AM203)))</f>
        <v>0.77289768862596575</v>
      </c>
      <c r="AO203" s="3" cm="1">
        <f t="array" ref="AO203">IF(AO$199=-1,AP203,IF(AO$199=99,AN203,IF(AO$199=0,INDEX($E189:$M189,0,AO$197),(INDEX($E189:$M189,0,AO$199+1)-INDEX($E189:$M189,0,AO$199))/(INDEX($E$185:$M$185,0,AO$199+1)-INDEX($E$185:$M$185,0,AO$199))+AN203)))</f>
        <v>0.76884265640237137</v>
      </c>
      <c r="AP203" s="3" cm="1">
        <f t="array" ref="AP203">IF(AP$199=-1,AQ203,IF(AP$199=99,AO203,IF(AP$199=0,INDEX($E189:$M189,0,AP$197),(INDEX($E189:$M189,0,AP$199+1)-INDEX($E189:$M189,0,AP$199))/(INDEX($E$185:$M$185,0,AP$199+1)-INDEX($E$185:$M$185,0,AP$199))+AO203)))</f>
        <v>0.76316670871731107</v>
      </c>
      <c r="AQ203" s="3" cm="1">
        <f t="array" ref="AQ203">IF(AQ$199=-1,AR203,IF(AQ$199=99,AP203,IF(AQ$199=0,INDEX($E189:$M189,0,AQ$197),(INDEX($E189:$M189,0,AQ$199+1)-INDEX($E189:$M189,0,AQ$199))/(INDEX($E$185:$M$185,0,AQ$199+1)-INDEX($E$185:$M$185,0,AQ$199))+AP203)))</f>
        <v>0.71208317955176847</v>
      </c>
      <c r="AR203" s="3" cm="1">
        <f t="array" ref="AR203">IF(AR$199=-1,AS203,IF(AR$199=99,AQ203,IF(AR$199=0,INDEX($E189:$M189,0,AR$197),(INDEX($E189:$M189,0,AR$199+1)-INDEX($E189:$M189,0,AR$199))/(INDEX($E$185:$M$185,0,AR$199+1)-INDEX($E$185:$M$185,0,AR$199))+AQ203)))</f>
        <v>0.71208317955176847</v>
      </c>
      <c r="AS203" s="3" cm="1">
        <f t="array" ref="AS203">IF(AS$199=-1,#REF!,IF(AS$199=99,AR203,IF(AS$199=0,INDEX($E189:$M189,0,AS$197),(INDEX($E189:$M189,0,AS$199+1)-INDEX($E189:$M189,0,AS$199))/(INDEX($E$185:$M$185,0,AS$199+1)-INDEX($E$185:$M$185,0,AS$199))+AR203)))</f>
        <v>0.71208317955176847</v>
      </c>
      <c r="AT203" s="3"/>
      <c r="AW203" s="3"/>
      <c r="AX203" s="3"/>
      <c r="BH203" s="3">
        <f t="shared" si="594"/>
        <v>0.61799148971758899</v>
      </c>
      <c r="BI203" s="97">
        <f t="shared" si="595"/>
        <v>0.5877400000000006</v>
      </c>
    </row>
    <row r="204" spans="1:61">
      <c r="A204" t="s">
        <v>16</v>
      </c>
      <c r="B204" s="16" t="str">
        <f t="shared" si="589"/>
        <v/>
      </c>
      <c r="C204" s="17" t="str">
        <f t="shared" si="590"/>
        <v/>
      </c>
      <c r="D204" s="48" t="str">
        <f t="shared" si="591"/>
        <v>TPPUMBT</v>
      </c>
      <c r="E204" s="17" t="str">
        <f t="shared" si="592"/>
        <v/>
      </c>
      <c r="F204" s="17"/>
      <c r="H204" s="17" t="str">
        <f t="shared" si="592"/>
        <v/>
      </c>
      <c r="J204" s="17" t="str">
        <f t="shared" si="592"/>
        <v/>
      </c>
      <c r="K204" s="17" t="str">
        <f t="shared" si="592"/>
        <v/>
      </c>
      <c r="L204" s="16" t="str">
        <f t="shared" si="593"/>
        <v/>
      </c>
      <c r="M204" s="3">
        <f>INDEX('[2]TS BYDem'!J$10:J$59,MATCH($D204,'[2]TS BYDem'!D$10:D$59,0))</f>
        <v>6.1732186716195621</v>
      </c>
      <c r="N204" s="3" cm="1">
        <f t="array" ref="N204">IF(N$199=-1,O204,IF(N$199=99,M204,IF(N$199=0,INDEX($E190:$M190,0,N$197),(INDEX($E190:$M190,0,N$199+1)-INDEX($E190:$M190,0,N$199))/(INDEX($E$185:$M$185,0,N$199+1)-INDEX($E$185:$M$185,0,N$199))+M204)))</f>
        <v>6.4748923360420223</v>
      </c>
      <c r="O204" s="3" cm="1">
        <f t="array" ref="O204">IF(O$199=-1,P204,IF(O$199=99,N204,IF(O$199=0,INDEX($E190:$M190,0,O$197),(INDEX($E190:$M190,0,O$199+1)-INDEX($E190:$M190,0,O$199))/(INDEX($E$185:$M$185,0,O$199+1)-INDEX($E$185:$M$185,0,O$199))+N204)))</f>
        <v>6.7765660004644825</v>
      </c>
      <c r="P204" s="3" cm="1">
        <f t="array" ref="P204">IF(P$199=-1,Q204,IF(P$199=99,O204,IF(P$199=0,INDEX($E190:$M190,0,P$197),(INDEX($E190:$M190,0,P$199+1)-INDEX($E190:$M190,0,P$199))/(INDEX($E$185:$M$185,0,P$199+1)-INDEX($E$185:$M$185,0,P$199))+O204)))</f>
        <v>6.7748466130043186</v>
      </c>
      <c r="Q204" s="18" cm="1">
        <f t="array" ref="Q204">IF(Q$199=-1,R204,IF(Q$199=99,P204,IF(Q$199=0,INDEX($E190:$M190,0,Q$197),(INDEX($E190:$M190,0,Q$199+1)-INDEX($E190:$M190,0,Q$199))/(INDEX($E$185:$M$185,0,Q$199+1)-INDEX($E$185:$M$185,0,Q$199))+P204)))</f>
        <v>6.8833871193047518</v>
      </c>
      <c r="R204" s="3" cm="1">
        <f t="array" ref="R204">IF(R$199=-1,S204,IF(R$199=99,Q204,IF(R$199=0,INDEX($E190:$M190,0,R$197),(INDEX($E190:$M190,0,R$199+1)-INDEX($E190:$M190,0,R$199))/(INDEX($E$185:$M$185,0,R$199+1)-INDEX($E$185:$M$185,0,R$199))+Q204)))</f>
        <v>6.9919276256051859</v>
      </c>
      <c r="S204" s="3" cm="1">
        <f t="array" ref="S204">IF(S$199=-1,T204,IF(S$199=99,R204,IF(S$199=0,INDEX($E190:$M190,0,S$197),(INDEX($E190:$M190,0,S$199+1)-INDEX($E190:$M190,0,S$199))/(INDEX($E$185:$M$185,0,S$199+1)-INDEX($E$185:$M$185,0,S$199))+R204)))</f>
        <v>7.0719853796268266</v>
      </c>
      <c r="T204" s="3" cm="1">
        <f t="array" ref="T204">IF(T$199=-1,U204,IF(T$199=99,S204,IF(T$199=0,INDEX($E190:$M190,0,T$197),(INDEX($E190:$M190,0,T$199+1)-INDEX($E190:$M190,0,T$199))/(INDEX($E$185:$M$185,0,T$199+1)-INDEX($E$185:$M$185,0,T$199))+S204)))</f>
        <v>7.1520431336484673</v>
      </c>
      <c r="U204" s="3" cm="1">
        <f t="array" ref="U204">IF(U$199=-1,V204,IF(U$199=99,T204,IF(U$199=0,INDEX($E190:$M190,0,U$197),(INDEX($E190:$M190,0,U$199+1)-INDEX($E190:$M190,0,U$199))/(INDEX($E$185:$M$185,0,U$199+1)-INDEX($E$185:$M$185,0,U$199))+T204)))</f>
        <v>7.2669868325645215</v>
      </c>
      <c r="V204" s="3" cm="1">
        <f t="array" ref="V204">IF(V$199=-1,W204,IF(V$199=99,U204,IF(V$199=0,INDEX($E190:$M190,0,V$197),(INDEX($E190:$M190,0,V$199+1)-INDEX($E190:$M190,0,V$199))/(INDEX($E$185:$M$185,0,V$199+1)-INDEX($E$185:$M$185,0,V$199))+U204)))</f>
        <v>7.4629021599103904</v>
      </c>
      <c r="W204" s="3" cm="1">
        <f t="array" ref="W204">IF(W$199=-1,X204,IF(W$199=99,V204,IF(W$199=0,INDEX($E190:$M190,0,W$197),(INDEX($E190:$M190,0,W$199+1)-INDEX($E190:$M190,0,W$199))/(INDEX($E$185:$M$185,0,W$199+1)-INDEX($E$185:$M$185,0,W$199))+V204)))</f>
        <v>7.4833190561732996</v>
      </c>
      <c r="X204" s="3" cm="1">
        <f t="array" ref="X204">IF(X$199=-1,Y204,IF(X$199=99,W204,IF(X$199=0,INDEX($E190:$M190,0,X$197),(INDEX($E190:$M190,0,X$199+1)-INDEX($E190:$M190,0,X$199))/(INDEX($E$185:$M$185,0,X$199+1)-INDEX($E$185:$M$185,0,X$199))+W204)))</f>
        <v>7.5037359524362088</v>
      </c>
      <c r="Y204" s="3" cm="1">
        <f t="array" ref="Y204">IF(Y$199=-1,Z204,IF(Y$199=99,X204,IF(Y$199=0,INDEX($E190:$M190,0,Y$197),(INDEX($E190:$M190,0,Y$199+1)-INDEX($E190:$M190,0,Y$199))/(INDEX($E$185:$M$185,0,Y$199+1)-INDEX($E$185:$M$185,0,Y$199))+X204)))</f>
        <v>7.524152848699118</v>
      </c>
      <c r="Z204" s="3" cm="1">
        <f t="array" ref="Z204">IF(Z$199=-1,AA204,IF(Z$199=99,Y204,IF(Z$199=0,INDEX($E190:$M190,0,Z$197),(INDEX($E190:$M190,0,Z$199+1)-INDEX($E190:$M190,0,Z$199))/(INDEX($E$185:$M$185,0,Z$199+1)-INDEX($E$185:$M$185,0,Z$199))+Y204)))</f>
        <v>7.5445697449620273</v>
      </c>
      <c r="AA204" s="3" cm="1">
        <f t="array" ref="AA204">IF(AA$199=-1,AB204,IF(AA$199=99,Z204,IF(AA$199=0,INDEX($E190:$M190,0,AA$197),(INDEX($E190:$M190,0,AA$199+1)-INDEX($E190:$M190,0,AA$199))/(INDEX($E$185:$M$185,0,AA$199+1)-INDEX($E$185:$M$185,0,AA$199))+Z204)))</f>
        <v>7.5649866412249365</v>
      </c>
      <c r="AB204" s="3" cm="1">
        <f t="array" ref="AB204">IF(AB$199=-1,AC204,IF(AB$199=99,AA204,IF(AB$199=0,INDEX($E190:$M190,0,AB$197),(INDEX($E190:$M190,0,AB$199+1)-INDEX($E190:$M190,0,AB$199))/(INDEX($E$185:$M$185,0,AB$199+1)-INDEX($E$185:$M$185,0,AB$199))+AA204)))</f>
        <v>7.5854035374878457</v>
      </c>
      <c r="AC204" s="3" cm="1">
        <f t="array" ref="AC204">IF(AC$199=-1,AD204,IF(AC$199=99,AB204,IF(AC$199=0,INDEX($E190:$M190,0,AC$197),(INDEX($E190:$M190,0,AC$199+1)-INDEX($E190:$M190,0,AC$199))/(INDEX($E$185:$M$185,0,AC$199+1)-INDEX($E$185:$M$185,0,AC$199))+AB204)))</f>
        <v>7.6058204337507549</v>
      </c>
      <c r="AD204" s="3" cm="1">
        <f t="array" ref="AD204">IF(AD$199=-1,AE204,IF(AD$199=99,AC204,IF(AD$199=0,INDEX($E190:$M190,0,AD$197),(INDEX($E190:$M190,0,AD$199+1)-INDEX($E190:$M190,0,AD$199))/(INDEX($E$185:$M$185,0,AD$199+1)-INDEX($E$185:$M$185,0,AD$199))+AC204)))</f>
        <v>7.6262373300136641</v>
      </c>
      <c r="AE204" s="3" cm="1">
        <f t="array" ref="AE204">IF(AE$199=-1,AF204,IF(AE$199=99,AD204,IF(AE$199=0,INDEX($E190:$M190,0,AE$197),(INDEX($E190:$M190,0,AE$199+1)-INDEX($E190:$M190,0,AE$199))/(INDEX($E$185:$M$185,0,AE$199+1)-INDEX($E$185:$M$185,0,AE$199))+AD204)))</f>
        <v>7.6466542262765724</v>
      </c>
      <c r="AF204" s="3" cm="1">
        <f t="array" ref="AF204">IF(AF$199=-1,AG204,IF(AF$199=99,AE204,IF(AF$199=0,INDEX($E190:$M190,0,AF$197),(INDEX($E190:$M190,0,AF$199+1)-INDEX($E190:$M190,0,AF$199))/(INDEX($E$185:$M$185,0,AF$199+1)-INDEX($E$185:$M$185,0,AF$199))+AE204)))</f>
        <v>7.6083447398977775</v>
      </c>
      <c r="AG204" s="3" cm="1">
        <f t="array" ref="AG204">IF(AG$199=-1,AH204,IF(AG$199=99,AF204,IF(AG$199=0,INDEX($E190:$M190,0,AG$197),(INDEX($E190:$M190,0,AG$199+1)-INDEX($E190:$M190,0,AG$199))/(INDEX($E$185:$M$185,0,AG$199+1)-INDEX($E$185:$M$185,0,AG$199))+AF204)))</f>
        <v>7.5700352535189825</v>
      </c>
      <c r="AH204" s="3" cm="1">
        <f t="array" ref="AH204">IF(AH$199=-1,AI204,IF(AH$199=99,AG204,IF(AH$199=0,INDEX($E190:$M190,0,AH$197),(INDEX($E190:$M190,0,AH$199+1)-INDEX($E190:$M190,0,AH$199))/(INDEX($E$185:$M$185,0,AH$199+1)-INDEX($E$185:$M$185,0,AH$199))+AG204)))</f>
        <v>7.5317257671401876</v>
      </c>
      <c r="AI204" s="3" cm="1">
        <f t="array" ref="AI204">IF(AI$199=-1,AJ204,IF(AI$199=99,AH204,IF(AI$199=0,INDEX($E190:$M190,0,AI$197),(INDEX($E190:$M190,0,AI$199+1)-INDEX($E190:$M190,0,AI$199))/(INDEX($E$185:$M$185,0,AI$199+1)-INDEX($E$185:$M$185,0,AI$199))+AH204)))</f>
        <v>7.4934162807613927</v>
      </c>
      <c r="AJ204" s="3" cm="1">
        <f t="array" ref="AJ204">IF(AJ$199=-1,AK204,IF(AJ$199=99,AI204,IF(AJ$199=0,INDEX($E190:$M190,0,AJ$197),(INDEX($E190:$M190,0,AJ$199+1)-INDEX($E190:$M190,0,AJ$199))/(INDEX($E$185:$M$185,0,AJ$199+1)-INDEX($E$185:$M$185,0,AJ$199))+AI204)))</f>
        <v>7.4551067943825977</v>
      </c>
      <c r="AK204" s="3" cm="1">
        <f t="array" ref="AK204">IF(AK$199=-1,AL204,IF(AK$199=99,AJ204,IF(AK$199=0,INDEX($E190:$M190,0,AK$197),(INDEX($E190:$M190,0,AK$199+1)-INDEX($E190:$M190,0,AK$199))/(INDEX($E$185:$M$185,0,AK$199+1)-INDEX($E$185:$M$185,0,AK$199))+AJ204)))</f>
        <v>7.4167973080038028</v>
      </c>
      <c r="AL204" s="3" cm="1">
        <f t="array" ref="AL204">IF(AL$199=-1,AM204,IF(AL$199=99,AK204,IF(AL$199=0,INDEX($E190:$M190,0,AL$197),(INDEX($E190:$M190,0,AL$199+1)-INDEX($E190:$M190,0,AL$199))/(INDEX($E$185:$M$185,0,AL$199+1)-INDEX($E$185:$M$185,0,AL$199))+AK204)))</f>
        <v>7.3784878216250078</v>
      </c>
      <c r="AM204" s="3" cm="1">
        <f t="array" ref="AM204">IF(AM$199=-1,AN204,IF(AM$199=99,AL204,IF(AM$199=0,INDEX($E190:$M190,0,AM$197),(INDEX($E190:$M190,0,AM$199+1)-INDEX($E190:$M190,0,AM$199))/(INDEX($E$185:$M$185,0,AM$199+1)-INDEX($E$185:$M$185,0,AM$199))+AL204)))</f>
        <v>7.3401783352462129</v>
      </c>
      <c r="AN204" s="3" cm="1">
        <f t="array" ref="AN204">IF(AN$199=-1,AO204,IF(AN$199=99,AM204,IF(AN$199=0,INDEX($E190:$M190,0,AN$197),(INDEX($E190:$M190,0,AN$199+1)-INDEX($E190:$M190,0,AN$199))/(INDEX($E$185:$M$185,0,AN$199+1)-INDEX($E$185:$M$185,0,AN$199))+AM204)))</f>
        <v>7.3018688488674179</v>
      </c>
      <c r="AO204" s="3" cm="1">
        <f t="array" ref="AO204">IF(AO$199=-1,AP204,IF(AO$199=99,AN204,IF(AO$199=0,INDEX($E190:$M190,0,AO$197),(INDEX($E190:$M190,0,AO$199+1)-INDEX($E190:$M190,0,AO$199))/(INDEX($E$185:$M$185,0,AO$199+1)-INDEX($E$185:$M$185,0,AO$199))+AN204)))</f>
        <v>7.2635593624886186</v>
      </c>
      <c r="AP204" s="3" cm="1">
        <f t="array" ref="AP204">IF(AP$199=-1,AQ204,IF(AP$199=99,AO204,IF(AP$199=0,INDEX($E190:$M190,0,AP$197),(INDEX($E190:$M190,0,AP$199+1)-INDEX($E190:$M190,0,AP$199))/(INDEX($E$185:$M$185,0,AP$199+1)-INDEX($E$185:$M$185,0,AP$199))+AO204)))</f>
        <v>7.2099364493925497</v>
      </c>
      <c r="AQ204" s="3" cm="1">
        <f t="array" ref="AQ204">IF(AQ$199=-1,AR204,IF(AQ$199=99,AP204,IF(AQ$199=0,INDEX($E190:$M190,0,AQ$197),(INDEX($E190:$M190,0,AQ$199+1)-INDEX($E190:$M190,0,AQ$199))/(INDEX($E$185:$M$185,0,AQ$199+1)-INDEX($E$185:$M$185,0,AQ$199))+AP204)))</f>
        <v>6.7273302315279278</v>
      </c>
      <c r="AR204" s="3" cm="1">
        <f t="array" ref="AR204">IF(AR$199=-1,AS204,IF(AR$199=99,AQ204,IF(AR$199=0,INDEX($E190:$M190,0,AR$197),(INDEX($E190:$M190,0,AR$199+1)-INDEX($E190:$M190,0,AR$199))/(INDEX($E$185:$M$185,0,AR$199+1)-INDEX($E$185:$M$185,0,AR$199))+AQ204)))</f>
        <v>6.7273302315279278</v>
      </c>
      <c r="AS204" s="3" cm="1">
        <f t="array" ref="AS204">IF(AS$199=-1,#REF!,IF(AS$199=99,AR204,IF(AS$199=0,INDEX($E190:$M190,0,AS$197),(INDEX($E190:$M190,0,AS$199+1)-INDEX($E190:$M190,0,AS$199))/(INDEX($E$185:$M$185,0,AS$199+1)-INDEX($E$185:$M$185,0,AS$199))+AR204)))</f>
        <v>6.7273302315279278</v>
      </c>
      <c r="AT204" s="3"/>
      <c r="AW204" s="3"/>
      <c r="AX204" s="3"/>
      <c r="BH204" s="3">
        <f t="shared" si="594"/>
        <v>5.8698256197369378</v>
      </c>
      <c r="BI204" s="97">
        <f t="shared" si="595"/>
        <v>4.9146655581378935E-2</v>
      </c>
    </row>
    <row r="205" spans="1:61">
      <c r="A205" t="s">
        <v>16</v>
      </c>
      <c r="B205" s="16" t="str">
        <f t="shared" si="589"/>
        <v/>
      </c>
      <c r="C205" s="17" t="str">
        <f t="shared" si="590"/>
        <v/>
      </c>
      <c r="D205" s="48" t="str">
        <f t="shared" si="591"/>
        <v>TPPUBRT</v>
      </c>
      <c r="E205" s="17" t="str">
        <f t="shared" si="592"/>
        <v/>
      </c>
      <c r="F205" s="17"/>
      <c r="H205" s="17" t="str">
        <f t="shared" si="592"/>
        <v/>
      </c>
      <c r="J205" s="17" t="str">
        <f t="shared" si="592"/>
        <v/>
      </c>
      <c r="K205" s="17" t="str">
        <f t="shared" si="592"/>
        <v/>
      </c>
      <c r="L205" s="16" t="str">
        <f t="shared" si="593"/>
        <v/>
      </c>
      <c r="M205" s="3">
        <f>INDEX('[2]TS BYDem'!J$10:J$59,MATCH($D205,'[2]TS BYDem'!D$10:D$59,0))</f>
        <v>0</v>
      </c>
      <c r="N205" s="3" cm="1">
        <f t="array" ref="N205">IF(N$199=-1,O205,IF(N$199=99,M205,IF(N$199=0,INDEX($E191:$M191,0,N$197),(INDEX($E191:$M191,0,N$199+1)-INDEX($E191:$M191,0,N$199))/(INDEX($E$185:$M$185,0,N$199+1)-INDEX($E$185:$M$185,0,N$199))+M205)))</f>
        <v>3.655919189093968E-3</v>
      </c>
      <c r="O205" s="3" cm="1">
        <f t="array" ref="O205">IF(O$199=-1,P205,IF(O$199=99,N205,IF(O$199=0,INDEX($E191:$M191,0,O$197),(INDEX($E191:$M191,0,O$199+1)-INDEX($E191:$M191,0,O$199))/(INDEX($E$185:$M$185,0,O$199+1)-INDEX($E$185:$M$185,0,O$199))+N205)))</f>
        <v>7.311838378187936E-3</v>
      </c>
      <c r="P205" s="3" cm="1">
        <f t="array" ref="P205">IF(P$199=-1,Q205,IF(P$199=99,O205,IF(P$199=0,INDEX($E191:$M191,0,P$197),(INDEX($E191:$M191,0,P$199+1)-INDEX($E191:$M191,0,P$199))/(INDEX($E$185:$M$185,0,P$199+1)-INDEX($E$185:$M$185,0,P$199))+O205)))</f>
        <v>3.2055500417449041E-2</v>
      </c>
      <c r="Q205" s="3" cm="1">
        <f t="array" ref="Q205">IF(Q$199=-1,R205,IF(Q$199=99,P205,IF(Q$199=0,INDEX($E191:$M191,0,Q$197),(INDEX($E191:$M191,0,Q$199+1)-INDEX($E191:$M191,0,Q$199))/(INDEX($E$185:$M$185,0,Q$199+1)-INDEX($E$185:$M$185,0,Q$199))+P205)))</f>
        <v>4.7519121895018071E-2</v>
      </c>
      <c r="R205" s="3" cm="1">
        <f t="array" ref="R205">IF(R$199=-1,S205,IF(R$199=99,Q205,IF(R$199=0,INDEX($E191:$M191,0,R$197),(INDEX($E191:$M191,0,R$199+1)-INDEX($E191:$M191,0,R$199))/(INDEX($E$185:$M$185,0,R$199+1)-INDEX($E$185:$M$185,0,R$199))+Q205)))</f>
        <v>6.2982743372587108E-2</v>
      </c>
      <c r="S205" s="3" cm="1">
        <f t="array" ref="S205">IF(S$199=-1,T205,IF(S$199=99,R205,IF(S$199=0,INDEX($E191:$M191,0,S$197),(INDEX($E191:$M191,0,S$199+1)-INDEX($E191:$M191,0,S$199))/(INDEX($E$185:$M$185,0,S$199+1)-INDEX($E$185:$M$185,0,S$199))+R205)))</f>
        <v>8.1980795939356782E-2</v>
      </c>
      <c r="T205" s="3" cm="1">
        <f t="array" ref="T205">IF(T$199=-1,U205,IF(T$199=99,S205,IF(T$199=0,INDEX($E191:$M191,0,T$197),(INDEX($E191:$M191,0,T$199+1)-INDEX($E191:$M191,0,T$199))/(INDEX($E$185:$M$185,0,T$199+1)-INDEX($E$185:$M$185,0,T$199))+S205)))</f>
        <v>0.10097884850612647</v>
      </c>
      <c r="U205" s="3" cm="1">
        <f t="array" ref="U205">IF(U$199=-1,V205,IF(U$199=99,T205,IF(U$199=0,INDEX($E191:$M191,0,U$197),(INDEX($E191:$M191,0,U$199+1)-INDEX($E191:$M191,0,U$199))/(INDEX($E$185:$M$185,0,U$199+1)-INDEX($E$185:$M$185,0,U$199))+T205)))</f>
        <v>0.10218816836006109</v>
      </c>
      <c r="V205" s="3" cm="1">
        <f t="array" ref="V205">IF(V$199=-1,W205,IF(V$199=99,U205,IF(V$199=0,INDEX($E191:$M191,0,V$197),(INDEX($E191:$M191,0,V$199+1)-INDEX($E191:$M191,0,V$199))/(INDEX($E$185:$M$185,0,V$199+1)-INDEX($E$185:$M$185,0,V$199))+U205)))</f>
        <v>0.29582123799058679</v>
      </c>
      <c r="W205" s="3" cm="1">
        <f t="array" ref="W205">IF(W$199=-1,X205,IF(W$199=99,V205,IF(W$199=0,INDEX($E191:$M191,0,W$197),(INDEX($E191:$M191,0,W$199+1)-INDEX($E191:$M191,0,W$199))/(INDEX($E$185:$M$185,0,W$199+1)-INDEX($E$185:$M$185,0,W$199))+V205)))</f>
        <v>0.32674523035896935</v>
      </c>
      <c r="X205" s="3" cm="1">
        <f t="array" ref="X205">IF(X$199=-1,Y205,IF(X$199=99,W205,IF(X$199=0,INDEX($E191:$M191,0,X$197),(INDEX($E191:$M191,0,X$199+1)-INDEX($E191:$M191,0,X$199))/(INDEX($E$185:$M$185,0,X$199+1)-INDEX($E$185:$M$185,0,X$199))+W205)))</f>
        <v>0.35766922272735191</v>
      </c>
      <c r="Y205" s="3" cm="1">
        <f t="array" ref="Y205">IF(Y$199=-1,Z205,IF(Y$199=99,X205,IF(Y$199=0,INDEX($E191:$M191,0,Y$197),(INDEX($E191:$M191,0,Y$199+1)-INDEX($E191:$M191,0,Y$199))/(INDEX($E$185:$M$185,0,Y$199+1)-INDEX($E$185:$M$185,0,Y$199))+X205)))</f>
        <v>0.38859321509573447</v>
      </c>
      <c r="Z205" s="3" cm="1">
        <f t="array" ref="Z205">IF(Z$199=-1,AA205,IF(Z$199=99,Y205,IF(Z$199=0,INDEX($E191:$M191,0,Z$197),(INDEX($E191:$M191,0,Z$199+1)-INDEX($E191:$M191,0,Z$199))/(INDEX($E$185:$M$185,0,Z$199+1)-INDEX($E$185:$M$185,0,Z$199))+Y205)))</f>
        <v>0.41951720746411703</v>
      </c>
      <c r="AA205" s="3" cm="1">
        <f t="array" ref="AA205">IF(AA$199=-1,AB205,IF(AA$199=99,Z205,IF(AA$199=0,INDEX($E191:$M191,0,AA$197),(INDEX($E191:$M191,0,AA$199+1)-INDEX($E191:$M191,0,AA$199))/(INDEX($E$185:$M$185,0,AA$199+1)-INDEX($E$185:$M$185,0,AA$199))+Z205)))</f>
        <v>0.45044119983249958</v>
      </c>
      <c r="AB205" s="3" cm="1">
        <f t="array" ref="AB205">IF(AB$199=-1,AC205,IF(AB$199=99,AA205,IF(AB$199=0,INDEX($E191:$M191,0,AB$197),(INDEX($E191:$M191,0,AB$199+1)-INDEX($E191:$M191,0,AB$199))/(INDEX($E$185:$M$185,0,AB$199+1)-INDEX($E$185:$M$185,0,AB$199))+AA205)))</f>
        <v>0.48136519220088214</v>
      </c>
      <c r="AC205" s="3" cm="1">
        <f t="array" ref="AC205">IF(AC$199=-1,AD205,IF(AC$199=99,AB205,IF(AC$199=0,INDEX($E191:$M191,0,AC$197),(INDEX($E191:$M191,0,AC$199+1)-INDEX($E191:$M191,0,AC$199))/(INDEX($E$185:$M$185,0,AC$199+1)-INDEX($E$185:$M$185,0,AC$199))+AB205)))</f>
        <v>0.51228918456926464</v>
      </c>
      <c r="AD205" s="3" cm="1">
        <f t="array" ref="AD205">IF(AD$199=-1,AE205,IF(AD$199=99,AC205,IF(AD$199=0,INDEX($E191:$M191,0,AD$197),(INDEX($E191:$M191,0,AD$199+1)-INDEX($E191:$M191,0,AD$199))/(INDEX($E$185:$M$185,0,AD$199+1)-INDEX($E$185:$M$185,0,AD$199))+AC205)))</f>
        <v>0.54321317693764715</v>
      </c>
      <c r="AE205" s="3" cm="1">
        <f t="array" ref="AE205">IF(AE$199=-1,AF205,IF(AE$199=99,AD205,IF(AE$199=0,INDEX($E191:$M191,0,AE$197),(INDEX($E191:$M191,0,AE$199+1)-INDEX($E191:$M191,0,AE$199))/(INDEX($E$185:$M$185,0,AE$199+1)-INDEX($E$185:$M$185,0,AE$199))+AD205)))</f>
        <v>0.57413716930602976</v>
      </c>
      <c r="AF205" s="3" cm="1">
        <f t="array" ref="AF205">IF(AF$199=-1,AG205,IF(AF$199=99,AE205,IF(AF$199=0,INDEX($E191:$M191,0,AF$197),(INDEX($E191:$M191,0,AF$199+1)-INDEX($E191:$M191,0,AF$199))/(INDEX($E$185:$M$185,0,AF$199+1)-INDEX($E$185:$M$185,0,AF$199))+AE205)))</f>
        <v>0.62631173941852769</v>
      </c>
      <c r="AG205" s="3" cm="1">
        <f t="array" ref="AG205">IF(AG$199=-1,AH205,IF(AG$199=99,AF205,IF(AG$199=0,INDEX($E191:$M191,0,AG$197),(INDEX($E191:$M191,0,AG$199+1)-INDEX($E191:$M191,0,AG$199))/(INDEX($E$185:$M$185,0,AG$199+1)-INDEX($E$185:$M$185,0,AG$199))+AF205)))</f>
        <v>0.67848630953102562</v>
      </c>
      <c r="AH205" s="3" cm="1">
        <f t="array" ref="AH205">IF(AH$199=-1,AI205,IF(AH$199=99,AG205,IF(AH$199=0,INDEX($E191:$M191,0,AH$197),(INDEX($E191:$M191,0,AH$199+1)-INDEX($E191:$M191,0,AH$199))/(INDEX($E$185:$M$185,0,AH$199+1)-INDEX($E$185:$M$185,0,AH$199))+AG205)))</f>
        <v>0.73066087964352355</v>
      </c>
      <c r="AI205" s="3" cm="1">
        <f t="array" ref="AI205">IF(AI$199=-1,AJ205,IF(AI$199=99,AH205,IF(AI$199=0,INDEX($E191:$M191,0,AI$197),(INDEX($E191:$M191,0,AI$199+1)-INDEX($E191:$M191,0,AI$199))/(INDEX($E$185:$M$185,0,AI$199+1)-INDEX($E$185:$M$185,0,AI$199))+AH205)))</f>
        <v>0.78283544975602148</v>
      </c>
      <c r="AJ205" s="3" cm="1">
        <f t="array" ref="AJ205">IF(AJ$199=-1,AK205,IF(AJ$199=99,AI205,IF(AJ$199=0,INDEX($E191:$M191,0,AJ$197),(INDEX($E191:$M191,0,AJ$199+1)-INDEX($E191:$M191,0,AJ$199))/(INDEX($E$185:$M$185,0,AJ$199+1)-INDEX($E$185:$M$185,0,AJ$199))+AI205)))</f>
        <v>0.83501001986851942</v>
      </c>
      <c r="AK205" s="3" cm="1">
        <f t="array" ref="AK205">IF(AK$199=-1,AL205,IF(AK$199=99,AJ205,IF(AK$199=0,INDEX($E191:$M191,0,AK$197),(INDEX($E191:$M191,0,AK$199+1)-INDEX($E191:$M191,0,AK$199))/(INDEX($E$185:$M$185,0,AK$199+1)-INDEX($E$185:$M$185,0,AK$199))+AJ205)))</f>
        <v>0.88718458998101735</v>
      </c>
      <c r="AL205" s="3" cm="1">
        <f t="array" ref="AL205">IF(AL$199=-1,AM205,IF(AL$199=99,AK205,IF(AL$199=0,INDEX($E191:$M191,0,AL$197),(INDEX($E191:$M191,0,AL$199+1)-INDEX($E191:$M191,0,AL$199))/(INDEX($E$185:$M$185,0,AL$199+1)-INDEX($E$185:$M$185,0,AL$199))+AK205)))</f>
        <v>0.93935916009351528</v>
      </c>
      <c r="AM205" s="3" cm="1">
        <f t="array" ref="AM205">IF(AM$199=-1,AN205,IF(AM$199=99,AL205,IF(AM$199=0,INDEX($E191:$M191,0,AM$197),(INDEX($E191:$M191,0,AM$199+1)-INDEX($E191:$M191,0,AM$199))/(INDEX($E$185:$M$185,0,AM$199+1)-INDEX($E$185:$M$185,0,AM$199))+AL205)))</f>
        <v>0.99153373020601321</v>
      </c>
      <c r="AN205" s="3" cm="1">
        <f t="array" ref="AN205">IF(AN$199=-1,AO205,IF(AN$199=99,AM205,IF(AN$199=0,INDEX($E191:$M191,0,AN$197),(INDEX($E191:$M191,0,AN$199+1)-INDEX($E191:$M191,0,AN$199))/(INDEX($E$185:$M$185,0,AN$199+1)-INDEX($E$185:$M$185,0,AN$199))+AM205)))</f>
        <v>1.0437083003185113</v>
      </c>
      <c r="AO205" s="3" cm="1">
        <f t="array" ref="AO205">IF(AO$199=-1,AP205,IF(AO$199=99,AN205,IF(AO$199=0,INDEX($E191:$M191,0,AO$197),(INDEX($E191:$M191,0,AO$199+1)-INDEX($E191:$M191,0,AO$199))/(INDEX($E$185:$M$185,0,AO$199+1)-INDEX($E$185:$M$185,0,AO$199))+AN205)))</f>
        <v>1.0958828704310095</v>
      </c>
      <c r="AP205" s="3" cm="1">
        <f t="array" ref="AP205">IF(AP$199=-1,AQ205,IF(AP$199=99,AO205,IF(AP$199=0,INDEX($E191:$M191,0,AP$197),(INDEX($E191:$M191,0,AP$199+1)-INDEX($E191:$M191,0,AP$199))/(INDEX($E$185:$M$185,0,AP$199+1)-INDEX($E$185:$M$185,0,AP$199))+AO205)))</f>
        <v>1.1463899034067861</v>
      </c>
      <c r="AQ205" s="3" cm="1">
        <f t="array" ref="AQ205">IF(AQ$199=-1,AR205,IF(AQ$199=99,AP205,IF(AQ$199=0,INDEX($E191:$M191,0,AQ$197),(INDEX($E191:$M191,0,AQ$199+1)-INDEX($E191:$M191,0,AQ$199))/(INDEX($E$185:$M$185,0,AQ$199+1)-INDEX($E$185:$M$185,0,AQ$199))+AP205)))</f>
        <v>1.6009532001887754</v>
      </c>
      <c r="AR205" s="3" cm="1">
        <f t="array" ref="AR205">IF(AR$199=-1,AS205,IF(AR$199=99,AQ205,IF(AR$199=0,INDEX($E191:$M191,0,AR$197),(INDEX($E191:$M191,0,AR$199+1)-INDEX($E191:$M191,0,AR$199))/(INDEX($E$185:$M$185,0,AR$199+1)-INDEX($E$185:$M$185,0,AR$199))+AQ205)))</f>
        <v>1.6009532001887754</v>
      </c>
      <c r="AS205" s="3" cm="1">
        <f t="array" ref="AS205">IF(AS$199=-1,#REF!,IF(AS$199=99,AR205,IF(AS$199=0,INDEX($E191:$M191,0,AS$197),(INDEX($E191:$M191,0,AS$199+1)-INDEX($E191:$M191,0,AS$199))/(INDEX($E$185:$M$185,0,AS$199+1)-INDEX($E$185:$M$185,0,AS$199))+AR205)))</f>
        <v>1.6009532001887754</v>
      </c>
      <c r="AT205" s="3"/>
      <c r="AW205" s="3"/>
      <c r="AX205" s="3"/>
      <c r="BH205" s="3">
        <f t="shared" si="594"/>
        <v>2.1087742850167138E-2</v>
      </c>
      <c r="BI205" s="97" t="e">
        <f t="shared" si="595"/>
        <v>#DIV/0!</v>
      </c>
    </row>
    <row r="206" spans="1:61">
      <c r="A206" t="s">
        <v>16</v>
      </c>
      <c r="B206" s="16" t="str">
        <f t="shared" si="589"/>
        <v/>
      </c>
      <c r="C206" s="17" t="str">
        <f t="shared" si="590"/>
        <v/>
      </c>
      <c r="D206" s="48" t="str">
        <f t="shared" si="591"/>
        <v>TPPUMER</v>
      </c>
      <c r="E206" s="17" t="str">
        <f t="shared" si="592"/>
        <v/>
      </c>
      <c r="F206" s="17"/>
      <c r="H206" s="17" t="str">
        <f t="shared" si="592"/>
        <v/>
      </c>
      <c r="J206" s="17" t="str">
        <f t="shared" si="592"/>
        <v/>
      </c>
      <c r="K206" s="17" t="str">
        <f t="shared" si="592"/>
        <v/>
      </c>
      <c r="L206" s="16" t="str">
        <f t="shared" si="593"/>
        <v/>
      </c>
      <c r="M206" s="3">
        <f>INDEX('[2]TS BYDem'!J$10:J$59,MATCH($D206,'[2]TS BYDem'!D$10:D$59,0))</f>
        <v>15.8</v>
      </c>
      <c r="N206" s="3" cm="1">
        <f t="array" ref="N206">IF(N$199=-1,O206,IF(N$199=99,M206,IF(N$199=0,INDEX($E192:$M192,0,N$197),(INDEX($E192:$M192,0,N$199+1)-INDEX($E192:$M192,0,N$199))/(INDEX($E$185:$M$185,0,N$199+1)-INDEX($E$185:$M$185,0,N$199))+M206)))</f>
        <v>14.899654483716786</v>
      </c>
      <c r="O206" s="3" cm="1">
        <f t="array" ref="O206">IF(O$199=-1,P206,IF(O$199=99,N206,IF(O$199=0,INDEX($E192:$M192,0,O$197),(INDEX($E192:$M192,0,O$199+1)-INDEX($E192:$M192,0,O$199))/(INDEX($E$185:$M$185,0,O$199+1)-INDEX($E$185:$M$185,0,O$199))+N206)))</f>
        <v>13.999308967433571</v>
      </c>
      <c r="P206" s="3" cm="1">
        <f t="array" ref="P206">IF(P$199=-1,Q206,IF(P$199=99,O206,IF(P$199=0,INDEX($E192:$M192,0,P$197),(INDEX($E192:$M192,0,P$199+1)-INDEX($E192:$M192,0,P$199))/(INDEX($E$185:$M$185,0,P$199+1)-INDEX($E$185:$M$185,0,P$199))+O206)))</f>
        <v>12.322446292964566</v>
      </c>
      <c r="Q206" s="3" cm="1">
        <f t="array" ref="Q206">IF(Q$199=-1,R206,IF(Q$199=99,P206,IF(Q$199=0,INDEX($E192:$M192,0,Q$197),(INDEX($E192:$M192,0,Q$199+1)-INDEX($E192:$M192,0,Q$199))/(INDEX($E$185:$M$185,0,Q$199+1)-INDEX($E$185:$M$185,0,Q$199))+P206)))</f>
        <v>10.474251298675517</v>
      </c>
      <c r="R206" s="3" cm="1">
        <f t="array" ref="R206">IF(R$199=-1,S206,IF(R$199=99,Q206,IF(R$199=0,INDEX($E192:$M192,0,R$197),(INDEX($E192:$M192,0,R$199+1)-INDEX($E192:$M192,0,R$199))/(INDEX($E$185:$M$185,0,R$199+1)-INDEX($E$185:$M$185,0,R$199))+Q206)))</f>
        <v>8.6260563043864682</v>
      </c>
      <c r="S206" s="3" cm="1">
        <f t="array" ref="S206">IF(S$199=-1,T206,IF(S$199=99,R206,IF(S$199=0,INDEX($E192:$M192,0,S$197),(INDEX($E192:$M192,0,S$199+1)-INDEX($E192:$M192,0,S$199))/(INDEX($E$185:$M$185,0,S$199+1)-INDEX($E$185:$M$185,0,S$199))+R206)))</f>
        <v>8.7248248744821311</v>
      </c>
      <c r="T206" s="3" cm="1">
        <f t="array" ref="T206">IF(T$199=-1,U206,IF(T$199=99,S206,IF(T$199=0,INDEX($E192:$M192,0,T$197),(INDEX($E192:$M192,0,T$199+1)-INDEX($E192:$M192,0,T$199))/(INDEX($E$185:$M$185,0,T$199+1)-INDEX($E$185:$M$185,0,T$199))+S206)))</f>
        <v>8.8235934445777957</v>
      </c>
      <c r="U206" s="3" cm="1">
        <f t="array" ref="U206">IF(U$199=-1,V206,IF(U$199=99,T206,IF(U$199=0,INDEX($E192:$M192,0,U$197),(INDEX($E192:$M192,0,U$199+1)-INDEX($E192:$M192,0,U$199))/(INDEX($E$185:$M$185,0,U$199+1)-INDEX($E$185:$M$185,0,U$199))+T206)))</f>
        <v>8.9654013796389815</v>
      </c>
      <c r="V206" s="3" cm="1">
        <f t="array" ref="V206">IF(V$199=-1,W206,IF(V$199=99,U206,IF(V$199=0,INDEX($E192:$M192,0,V$197),(INDEX($E192:$M192,0,V$199+1)-INDEX($E192:$M192,0,V$199))/(INDEX($E$185:$M$185,0,V$199+1)-INDEX($E$185:$M$185,0,V$199))+U206)))</f>
        <v>9.2071053467093638</v>
      </c>
      <c r="W206" s="3" cm="1">
        <f t="array" ref="W206">IF(W$199=-1,X206,IF(W$199=99,V206,IF(W$199=0,INDEX($E192:$M192,0,W$197),(INDEX($E192:$M192,0,W$199+1)-INDEX($E192:$M192,0,W$199))/(INDEX($E$185:$M$185,0,W$199+1)-INDEX($E$185:$M$185,0,W$199))+V206)))</f>
        <v>9.2322940079992364</v>
      </c>
      <c r="X206" s="3" cm="1">
        <f t="array" ref="X206">IF(X$199=-1,Y206,IF(X$199=99,W206,IF(X$199=0,INDEX($E192:$M192,0,X$197),(INDEX($E192:$M192,0,X$199+1)-INDEX($E192:$M192,0,X$199))/(INDEX($E$185:$M$185,0,X$199+1)-INDEX($E$185:$M$185,0,X$199))+W206)))</f>
        <v>9.257482669289109</v>
      </c>
      <c r="Y206" s="3" cm="1">
        <f t="array" ref="Y206">IF(Y$199=-1,Z206,IF(Y$199=99,X206,IF(Y$199=0,INDEX($E192:$M192,0,Y$197),(INDEX($E192:$M192,0,Y$199+1)-INDEX($E192:$M192,0,Y$199))/(INDEX($E$185:$M$185,0,Y$199+1)-INDEX($E$185:$M$185,0,Y$199))+X206)))</f>
        <v>9.2826713305789816</v>
      </c>
      <c r="Z206" s="3" cm="1">
        <f t="array" ref="Z206">IF(Z$199=-1,AA206,IF(Z$199=99,Y206,IF(Z$199=0,INDEX($E192:$M192,0,Z$197),(INDEX($E192:$M192,0,Z$199+1)-INDEX($E192:$M192,0,Z$199))/(INDEX($E$185:$M$185,0,Z$199+1)-INDEX($E$185:$M$185,0,Z$199))+Y206)))</f>
        <v>9.3078599918688543</v>
      </c>
      <c r="AA206" s="3" cm="1">
        <f t="array" ref="AA206">IF(AA$199=-1,AB206,IF(AA$199=99,Z206,IF(AA$199=0,INDEX($E192:$M192,0,AA$197),(INDEX($E192:$M192,0,AA$199+1)-INDEX($E192:$M192,0,AA$199))/(INDEX($E$185:$M$185,0,AA$199+1)-INDEX($E$185:$M$185,0,AA$199))+Z206)))</f>
        <v>9.3330486531587269</v>
      </c>
      <c r="AB206" s="3" cm="1">
        <f t="array" ref="AB206">IF(AB$199=-1,AC206,IF(AB$199=99,AA206,IF(AB$199=0,INDEX($E192:$M192,0,AB$197),(INDEX($E192:$M192,0,AB$199+1)-INDEX($E192:$M192,0,AB$199))/(INDEX($E$185:$M$185,0,AB$199+1)-INDEX($E$185:$M$185,0,AB$199))+AA206)))</f>
        <v>9.3582373144485995</v>
      </c>
      <c r="AC206" s="3" cm="1">
        <f t="array" ref="AC206">IF(AC$199=-1,AD206,IF(AC$199=99,AB206,IF(AC$199=0,INDEX($E192:$M192,0,AC$197),(INDEX($E192:$M192,0,AC$199+1)-INDEX($E192:$M192,0,AC$199))/(INDEX($E$185:$M$185,0,AC$199+1)-INDEX($E$185:$M$185,0,AC$199))+AB206)))</f>
        <v>9.3834259757384721</v>
      </c>
      <c r="AD206" s="3" cm="1">
        <f t="array" ref="AD206">IF(AD$199=-1,AE206,IF(AD$199=99,AC206,IF(AD$199=0,INDEX($E192:$M192,0,AD$197),(INDEX($E192:$M192,0,AD$199+1)-INDEX($E192:$M192,0,AD$199))/(INDEX($E$185:$M$185,0,AD$199+1)-INDEX($E$185:$M$185,0,AD$199))+AC206)))</f>
        <v>9.4086146370283448</v>
      </c>
      <c r="AE206" s="3" cm="1">
        <f t="array" ref="AE206">IF(AE$199=-1,AF206,IF(AE$199=99,AD206,IF(AE$199=0,INDEX($E192:$M192,0,AE$197),(INDEX($E192:$M192,0,AE$199+1)-INDEX($E192:$M192,0,AE$199))/(INDEX($E$185:$M$185,0,AE$199+1)-INDEX($E$185:$M$185,0,AE$199))+AD206)))</f>
        <v>9.4338032983182156</v>
      </c>
      <c r="AF206" s="3" cm="1">
        <f t="array" ref="AF206">IF(AF$199=-1,AG206,IF(AF$199=99,AE206,IF(AF$199=0,INDEX($E192:$M192,0,AF$197),(INDEX($E192:$M192,0,AF$199+1)-INDEX($E192:$M192,0,AF$199))/(INDEX($E$185:$M$185,0,AF$199+1)-INDEX($E$185:$M$185,0,AF$199))+AE206)))</f>
        <v>9.3865402538202378</v>
      </c>
      <c r="AG206" s="3" cm="1">
        <f t="array" ref="AG206">IF(AG$199=-1,AH206,IF(AG$199=99,AF206,IF(AG$199=0,INDEX($E192:$M192,0,AG$197),(INDEX($E192:$M192,0,AG$199+1)-INDEX($E192:$M192,0,AG$199))/(INDEX($E$185:$M$185,0,AG$199+1)-INDEX($E$185:$M$185,0,AG$199))+AF206)))</f>
        <v>9.33927720932226</v>
      </c>
      <c r="AH206" s="3" cm="1">
        <f t="array" ref="AH206">IF(AH$199=-1,AI206,IF(AH$199=99,AG206,IF(AH$199=0,INDEX($E192:$M192,0,AH$197),(INDEX($E192:$M192,0,AH$199+1)-INDEX($E192:$M192,0,AH$199))/(INDEX($E$185:$M$185,0,AH$199+1)-INDEX($E$185:$M$185,0,AH$199))+AG206)))</f>
        <v>9.2920141648242822</v>
      </c>
      <c r="AI206" s="3" cm="1">
        <f t="array" ref="AI206">IF(AI$199=-1,AJ206,IF(AI$199=99,AH206,IF(AI$199=0,INDEX($E192:$M192,0,AI$197),(INDEX($E192:$M192,0,AI$199+1)-INDEX($E192:$M192,0,AI$199))/(INDEX($E$185:$M$185,0,AI$199+1)-INDEX($E$185:$M$185,0,AI$199))+AH206)))</f>
        <v>9.2447511203263044</v>
      </c>
      <c r="AJ206" s="3" cm="1">
        <f t="array" ref="AJ206">IF(AJ$199=-1,AK206,IF(AJ$199=99,AI206,IF(AJ$199=0,INDEX($E192:$M192,0,AJ$197),(INDEX($E192:$M192,0,AJ$199+1)-INDEX($E192:$M192,0,AJ$199))/(INDEX($E$185:$M$185,0,AJ$199+1)-INDEX($E$185:$M$185,0,AJ$199))+AI206)))</f>
        <v>9.1974880758283266</v>
      </c>
      <c r="AK206" s="3" cm="1">
        <f t="array" ref="AK206">IF(AK$199=-1,AL206,IF(AK$199=99,AJ206,IF(AK$199=0,INDEX($E192:$M192,0,AK$197),(INDEX($E192:$M192,0,AK$199+1)-INDEX($E192:$M192,0,AK$199))/(INDEX($E$185:$M$185,0,AK$199+1)-INDEX($E$185:$M$185,0,AK$199))+AJ206)))</f>
        <v>9.1502250313303488</v>
      </c>
      <c r="AL206" s="3" cm="1">
        <f t="array" ref="AL206">IF(AL$199=-1,AM206,IF(AL$199=99,AK206,IF(AL$199=0,INDEX($E192:$M192,0,AL$197),(INDEX($E192:$M192,0,AL$199+1)-INDEX($E192:$M192,0,AL$199))/(INDEX($E$185:$M$185,0,AL$199+1)-INDEX($E$185:$M$185,0,AL$199))+AK206)))</f>
        <v>9.102961986832371</v>
      </c>
      <c r="AM206" s="3" cm="1">
        <f t="array" ref="AM206">IF(AM$199=-1,AN206,IF(AM$199=99,AL206,IF(AM$199=0,INDEX($E192:$M192,0,AM$197),(INDEX($E192:$M192,0,AM$199+1)-INDEX($E192:$M192,0,AM$199))/(INDEX($E$185:$M$185,0,AM$199+1)-INDEX($E$185:$M$185,0,AM$199))+AL206)))</f>
        <v>9.0556989423343932</v>
      </c>
      <c r="AN206" s="3" cm="1">
        <f t="array" ref="AN206">IF(AN$199=-1,AO206,IF(AN$199=99,AM206,IF(AN$199=0,INDEX($E192:$M192,0,AN$197),(INDEX($E192:$M192,0,AN$199+1)-INDEX($E192:$M192,0,AN$199))/(INDEX($E$185:$M$185,0,AN$199+1)-INDEX($E$185:$M$185,0,AN$199))+AM206)))</f>
        <v>9.0084358978364154</v>
      </c>
      <c r="AO206" s="3" cm="1">
        <f t="array" ref="AO206">IF(AO$199=-1,AP206,IF(AO$199=99,AN206,IF(AO$199=0,INDEX($E192:$M192,0,AO$197),(INDEX($E192:$M192,0,AO$199+1)-INDEX($E192:$M192,0,AO$199))/(INDEX($E$185:$M$185,0,AO$199+1)-INDEX($E$185:$M$185,0,AO$199))+AN206)))</f>
        <v>8.9611728533384429</v>
      </c>
      <c r="AP206" s="3" cm="1">
        <f t="array" ref="AP206">IF(AP$199=-1,AQ206,IF(AP$199=99,AO206,IF(AP$199=0,INDEX($E192:$M192,0,AP$197),(INDEX($E192:$M192,0,AP$199+1)-INDEX($E192:$M192,0,AP$199))/(INDEX($E$185:$M$185,0,AP$199+1)-INDEX($E$185:$M$185,0,AP$199))+AO206)))</f>
        <v>8.8950173820091933</v>
      </c>
      <c r="AQ206" s="3" cm="1">
        <f t="array" ref="AQ206">IF(AQ$199=-1,AR206,IF(AQ$199=99,AP206,IF(AQ$199=0,INDEX($E192:$M192,0,AQ$197),(INDEX($E192:$M192,0,AQ$199+1)-INDEX($E192:$M192,0,AQ$199))/(INDEX($E$185:$M$185,0,AQ$199+1)-INDEX($E$185:$M$185,0,AQ$199))+AP206)))</f>
        <v>8.2996181400459434</v>
      </c>
      <c r="AR206" s="3" cm="1">
        <f t="array" ref="AR206">IF(AR$199=-1,AS206,IF(AR$199=99,AQ206,IF(AR$199=0,INDEX($E192:$M192,0,AR$197),(INDEX($E192:$M192,0,AR$199+1)-INDEX($E192:$M192,0,AR$199))/(INDEX($E$185:$M$185,0,AR$199+1)-INDEX($E$185:$M$185,0,AR$199))+AQ206)))</f>
        <v>8.2996181400459434</v>
      </c>
      <c r="AS206" s="3" cm="1">
        <f t="array" ref="AS206">IF(AS$199=-1,#REF!,IF(AS$199=99,AR206,IF(AS$199=0,INDEX($E192:$M192,0,AS$197),(INDEX($E192:$M192,0,AS$199+1)-INDEX($E192:$M192,0,AS$199))/(INDEX($E$185:$M$185,0,AS$199+1)-INDEX($E$185:$M$185,0,AS$199))+AR206)))</f>
        <v>8.2996181400459434</v>
      </c>
      <c r="AT206" s="3"/>
      <c r="AW206" s="3"/>
      <c r="AX206" s="3"/>
      <c r="BH206" s="3">
        <f t="shared" si="594"/>
        <v>15.023482841814213</v>
      </c>
      <c r="BI206" s="97">
        <f t="shared" si="595"/>
        <v>4.9146655581378998E-2</v>
      </c>
    </row>
    <row r="207" spans="1:61">
      <c r="A207" t="s">
        <v>16</v>
      </c>
      <c r="B207" s="16" t="str">
        <f t="shared" si="589"/>
        <v/>
      </c>
      <c r="C207" s="17" t="str">
        <f t="shared" si="590"/>
        <v/>
      </c>
      <c r="D207" s="48" t="str">
        <f t="shared" si="591"/>
        <v>TPPUGAT</v>
      </c>
      <c r="E207" s="17" t="str">
        <f t="shared" si="592"/>
        <v/>
      </c>
      <c r="F207" s="17"/>
      <c r="H207" s="17" t="str">
        <f t="shared" si="592"/>
        <v/>
      </c>
      <c r="J207" s="17" t="str">
        <f t="shared" si="592"/>
        <v/>
      </c>
      <c r="K207" s="17" t="str">
        <f t="shared" si="592"/>
        <v/>
      </c>
      <c r="L207" s="16" t="str">
        <f t="shared" si="593"/>
        <v/>
      </c>
      <c r="M207" s="3">
        <f>INDEX('[2]TS BYDem'!J$10:J$59,MATCH($D207,'[2]TS BYDem'!D$10:D$59,0))</f>
        <v>0</v>
      </c>
      <c r="N207" s="3" cm="1">
        <f t="array" ref="N207">IF(N$199=-1,O207,IF(N$199=99,M207,IF(N$199=0,INDEX($E193:$M193,0,N$197),(INDEX($E193:$M193,0,N$199+1)-INDEX($E193:$M193,0,N$199))/(INDEX($E$185:$M$185,0,N$199+1)-INDEX($E$185:$M$185,0,N$199))+M207)))</f>
        <v>2.4879742081617029E-2</v>
      </c>
      <c r="O207" s="3" cm="1">
        <f t="array" ref="O207">IF(O$199=-1,P207,IF(O$199=99,N207,IF(O$199=0,INDEX($E193:$M193,0,O$197),(INDEX($E193:$M193,0,O$199+1)-INDEX($E193:$M193,0,O$199))/(INDEX($E$185:$M$185,0,O$199+1)-INDEX($E$185:$M$185,0,O$199))+N207)))</f>
        <v>4.9759484163234058E-2</v>
      </c>
      <c r="P207" s="3" cm="1">
        <f t="array" ref="P207">IF(P$199=-1,Q207,IF(P$199=99,O207,IF(P$199=0,INDEX($E193:$M193,0,P$197),(INDEX($E193:$M193,0,P$199+1)-INDEX($E193:$M193,0,P$199))/(INDEX($E$185:$M$185,0,P$199+1)-INDEX($E$185:$M$185,0,P$199))+O207)))</f>
        <v>0.60923770891438467</v>
      </c>
      <c r="Q207" s="3" cm="1">
        <f t="array" ref="Q207">IF(Q$199=-1,R207,IF(Q$199=99,P207,IF(Q$199=0,INDEX($E193:$M193,0,Q$197),(INDEX($E193:$M193,0,Q$199+1)-INDEX($E193:$M193,0,Q$199))/(INDEX($E$185:$M$185,0,Q$199+1)-INDEX($E$185:$M$185,0,Q$199))+P207)))</f>
        <v>0.62888953865325536</v>
      </c>
      <c r="R207" s="3" cm="1">
        <f t="array" ref="R207">IF(R$199=-1,S207,IF(R$199=99,Q207,IF(R$199=0,INDEX($E193:$M193,0,R$197),(INDEX($E193:$M193,0,R$199+1)-INDEX($E193:$M193,0,R$199))/(INDEX($E$185:$M$185,0,R$199+1)-INDEX($E$185:$M$185,0,R$199))+Q207)))</f>
        <v>0.64854136839212595</v>
      </c>
      <c r="S207" s="3" cm="1">
        <f t="array" ref="S207">IF(S$199=-1,T207,IF(S$199=99,R207,IF(S$199=0,INDEX($E193:$M193,0,S$197),(INDEX($E193:$M193,0,S$199+1)-INDEX($E193:$M193,0,S$199))/(INDEX($E$185:$M$185,0,S$199+1)-INDEX($E$185:$M$185,0,S$199))+R207)))</f>
        <v>0.67405613843991108</v>
      </c>
      <c r="T207" s="3" cm="1">
        <f t="array" ref="T207">IF(T$199=-1,U207,IF(T$199=99,S207,IF(T$199=0,INDEX($E193:$M193,0,T$197),(INDEX($E193:$M193,0,T$199+1)-INDEX($E193:$M193,0,T$199))/(INDEX($E$185:$M$185,0,T$199+1)-INDEX($E$185:$M$185,0,T$199))+S207)))</f>
        <v>0.6995709084876961</v>
      </c>
      <c r="U207" s="3" cm="1">
        <f t="array" ref="U207">IF(U$199=-1,V207,IF(U$199=99,T207,IF(U$199=0,INDEX($E193:$M193,0,U$197),(INDEX($E193:$M193,0,U$199+1)-INDEX($E193:$M193,0,U$199))/(INDEX($E$185:$M$185,0,U$199+1)-INDEX($E$185:$M$185,0,U$199))+T207)))</f>
        <v>0.64248252977129328</v>
      </c>
      <c r="V207" s="3" cm="1">
        <f t="array" ref="V207">IF(V$199=-1,W207,IF(V$199=99,U207,IF(V$199=0,INDEX($E193:$M193,0,V$197),(INDEX($E193:$M193,0,V$199+1)-INDEX($E193:$M193,0,V$199))/(INDEX($E$185:$M$185,0,V$199+1)-INDEX($E$185:$M$185,0,V$199))+U207)))</f>
        <v>0.61850242942963696</v>
      </c>
      <c r="W207" s="3" cm="1">
        <f t="array" ref="W207">IF(W$199=-1,X207,IF(W$199=99,V207,IF(W$199=0,INDEX($E193:$M193,0,W$197),(INDEX($E193:$M193,0,W$199+1)-INDEX($E193:$M193,0,W$199))/(INDEX($E$185:$M$185,0,W$199+1)-INDEX($E$185:$M$185,0,W$199))+V207)))</f>
        <v>0.63688726621526692</v>
      </c>
      <c r="X207" s="3" cm="1">
        <f t="array" ref="X207">IF(X$199=-1,Y207,IF(X$199=99,W207,IF(X$199=0,INDEX($E193:$M193,0,X$197),(INDEX($E193:$M193,0,X$199+1)-INDEX($E193:$M193,0,X$199))/(INDEX($E$185:$M$185,0,X$199+1)-INDEX($E$185:$M$185,0,X$199))+W207)))</f>
        <v>0.65527210300089689</v>
      </c>
      <c r="Y207" s="3" cm="1">
        <f t="array" ref="Y207">IF(Y$199=-1,Z207,IF(Y$199=99,X207,IF(Y$199=0,INDEX($E193:$M193,0,Y$197),(INDEX($E193:$M193,0,Y$199+1)-INDEX($E193:$M193,0,Y$199))/(INDEX($E$185:$M$185,0,Y$199+1)-INDEX($E$185:$M$185,0,Y$199))+X207)))</f>
        <v>0.67365693978652685</v>
      </c>
      <c r="Z207" s="3" cm="1">
        <f t="array" ref="Z207">IF(Z$199=-1,AA207,IF(Z$199=99,Y207,IF(Z$199=0,INDEX($E193:$M193,0,Z$197),(INDEX($E193:$M193,0,Z$199+1)-INDEX($E193:$M193,0,Z$199))/(INDEX($E$185:$M$185,0,Z$199+1)-INDEX($E$185:$M$185,0,Z$199))+Y207)))</f>
        <v>0.69204177657215682</v>
      </c>
      <c r="AA207" s="3" cm="1">
        <f t="array" ref="AA207">IF(AA$199=-1,AB207,IF(AA$199=99,Z207,IF(AA$199=0,INDEX($E193:$M193,0,AA$197),(INDEX($E193:$M193,0,AA$199+1)-INDEX($E193:$M193,0,AA$199))/(INDEX($E$185:$M$185,0,AA$199+1)-INDEX($E$185:$M$185,0,AA$199))+Z207)))</f>
        <v>0.71042661335778678</v>
      </c>
      <c r="AB207" s="3" cm="1">
        <f t="array" ref="AB207">IF(AB$199=-1,AC207,IF(AB$199=99,AA207,IF(AB$199=0,INDEX($E193:$M193,0,AB$197),(INDEX($E193:$M193,0,AB$199+1)-INDEX($E193:$M193,0,AB$199))/(INDEX($E$185:$M$185,0,AB$199+1)-INDEX($E$185:$M$185,0,AB$199))+AA207)))</f>
        <v>0.72881145014341675</v>
      </c>
      <c r="AC207" s="3" cm="1">
        <f t="array" ref="AC207">IF(AC$199=-1,AD207,IF(AC$199=99,AB207,IF(AC$199=0,INDEX($E193:$M193,0,AC$197),(INDEX($E193:$M193,0,AC$199+1)-INDEX($E193:$M193,0,AC$199))/(INDEX($E$185:$M$185,0,AC$199+1)-INDEX($E$185:$M$185,0,AC$199))+AB207)))</f>
        <v>0.74719628692904672</v>
      </c>
      <c r="AD207" s="3" cm="1">
        <f t="array" ref="AD207">IF(AD$199=-1,AE207,IF(AD$199=99,AC207,IF(AD$199=0,INDEX($E193:$M193,0,AD$197),(INDEX($E193:$M193,0,AD$199+1)-INDEX($E193:$M193,0,AD$199))/(INDEX($E$185:$M$185,0,AD$199+1)-INDEX($E$185:$M$185,0,AD$199))+AC207)))</f>
        <v>0.76558112371467668</v>
      </c>
      <c r="AE207" s="3" cm="1">
        <f t="array" ref="AE207">IF(AE$199=-1,AF207,IF(AE$199=99,AD207,IF(AE$199=0,INDEX($E193:$M193,0,AE$197),(INDEX($E193:$M193,0,AE$199+1)-INDEX($E193:$M193,0,AE$199))/(INDEX($E$185:$M$185,0,AE$199+1)-INDEX($E$185:$M$185,0,AE$199))+AD207)))</f>
        <v>0.78396596050030642</v>
      </c>
      <c r="AF207" s="3" cm="1">
        <f t="array" ref="AF207">IF(AF$199=-1,AG207,IF(AF$199=99,AE207,IF(AF$199=0,INDEX($E193:$M193,0,AF$197),(INDEX($E193:$M193,0,AF$199+1)-INDEX($E193:$M193,0,AF$199))/(INDEX($E$185:$M$185,0,AF$199+1)-INDEX($E$185:$M$185,0,AF$199))+AE207)))</f>
        <v>0.80646510443801589</v>
      </c>
      <c r="AG207" s="3" cm="1">
        <f t="array" ref="AG207">IF(AG$199=-1,AH207,IF(AG$199=99,AF207,IF(AG$199=0,INDEX($E193:$M193,0,AG$197),(INDEX($E193:$M193,0,AG$199+1)-INDEX($E193:$M193,0,AG$199))/(INDEX($E$185:$M$185,0,AG$199+1)-INDEX($E$185:$M$185,0,AG$199))+AF207)))</f>
        <v>0.82896424837572535</v>
      </c>
      <c r="AH207" s="3" cm="1">
        <f t="array" ref="AH207">IF(AH$199=-1,AI207,IF(AH$199=99,AG207,IF(AH$199=0,INDEX($E193:$M193,0,AH$197),(INDEX($E193:$M193,0,AH$199+1)-INDEX($E193:$M193,0,AH$199))/(INDEX($E$185:$M$185,0,AH$199+1)-INDEX($E$185:$M$185,0,AH$199))+AG207)))</f>
        <v>0.85146339231343482</v>
      </c>
      <c r="AI207" s="3" cm="1">
        <f t="array" ref="AI207">IF(AI$199=-1,AJ207,IF(AI$199=99,AH207,IF(AI$199=0,INDEX($E193:$M193,0,AI$197),(INDEX($E193:$M193,0,AI$199+1)-INDEX($E193:$M193,0,AI$199))/(INDEX($E$185:$M$185,0,AI$199+1)-INDEX($E$185:$M$185,0,AI$199))+AH207)))</f>
        <v>0.87396253625114428</v>
      </c>
      <c r="AJ207" s="3" cm="1">
        <f t="array" ref="AJ207">IF(AJ$199=-1,AK207,IF(AJ$199=99,AI207,IF(AJ$199=0,INDEX($E193:$M193,0,AJ$197),(INDEX($E193:$M193,0,AJ$199+1)-INDEX($E193:$M193,0,AJ$199))/(INDEX($E$185:$M$185,0,AJ$199+1)-INDEX($E$185:$M$185,0,AJ$199))+AI207)))</f>
        <v>0.89646168018885375</v>
      </c>
      <c r="AK207" s="3" cm="1">
        <f t="array" ref="AK207">IF(AK$199=-1,AL207,IF(AK$199=99,AJ207,IF(AK$199=0,INDEX($E193:$M193,0,AK$197),(INDEX($E193:$M193,0,AK$199+1)-INDEX($E193:$M193,0,AK$199))/(INDEX($E$185:$M$185,0,AK$199+1)-INDEX($E$185:$M$185,0,AK$199))+AJ207)))</f>
        <v>0.91896082412656321</v>
      </c>
      <c r="AL207" s="3" cm="1">
        <f t="array" ref="AL207">IF(AL$199=-1,AM207,IF(AL$199=99,AK207,IF(AL$199=0,INDEX($E193:$M193,0,AL$197),(INDEX($E193:$M193,0,AL$199+1)-INDEX($E193:$M193,0,AL$199))/(INDEX($E$185:$M$185,0,AL$199+1)-INDEX($E$185:$M$185,0,AL$199))+AK207)))</f>
        <v>0.94145996806427268</v>
      </c>
      <c r="AM207" s="3" cm="1">
        <f t="array" ref="AM207">IF(AM$199=-1,AN207,IF(AM$199=99,AL207,IF(AM$199=0,INDEX($E193:$M193,0,AM$197),(INDEX($E193:$M193,0,AM$199+1)-INDEX($E193:$M193,0,AM$199))/(INDEX($E$185:$M$185,0,AM$199+1)-INDEX($E$185:$M$185,0,AM$199))+AL207)))</f>
        <v>0.96395911200198214</v>
      </c>
      <c r="AN207" s="3" cm="1">
        <f t="array" ref="AN207">IF(AN$199=-1,AO207,IF(AN$199=99,AM207,IF(AN$199=0,INDEX($E193:$M193,0,AN$197),(INDEX($E193:$M193,0,AN$199+1)-INDEX($E193:$M193,0,AN$199))/(INDEX($E$185:$M$185,0,AN$199+1)-INDEX($E$185:$M$185,0,AN$199))+AM207)))</f>
        <v>0.98645825593969161</v>
      </c>
      <c r="AO207" s="3" cm="1">
        <f t="array" ref="AO207">IF(AO$199=-1,AP207,IF(AO$199=99,AN207,IF(AO$199=0,INDEX($E193:$M193,0,AO$197),(INDEX($E193:$M193,0,AO$199+1)-INDEX($E193:$M193,0,AO$199))/(INDEX($E$185:$M$185,0,AO$199+1)-INDEX($E$185:$M$185,0,AO$199))+AN207)))</f>
        <v>1.0089573998774011</v>
      </c>
      <c r="AP207" s="3" cm="1">
        <f t="array" ref="AP207">IF(AP$199=-1,AQ207,IF(AP$199=99,AO207,IF(AP$199=0,INDEX($E193:$M193,0,AP$197),(INDEX($E193:$M193,0,AP$199+1)-INDEX($E193:$M193,0,AP$199))/(INDEX($E$185:$M$185,0,AP$199+1)-INDEX($E$185:$M$185,0,AP$199))+AO207)))</f>
        <v>1.0266689361283841</v>
      </c>
      <c r="AQ207" s="3" cm="1">
        <f t="array" ref="AQ207">IF(AQ$199=-1,AR207,IF(AQ$199=99,AP207,IF(AQ$199=0,INDEX($E193:$M193,0,AQ$197),(INDEX($E193:$M193,0,AQ$199+1)-INDEX($E193:$M193,0,AQ$199))/(INDEX($E$185:$M$185,0,AQ$199+1)-INDEX($E$185:$M$185,0,AQ$199))+AP207)))</f>
        <v>1.1860727623872318</v>
      </c>
      <c r="AR207" s="3" cm="1">
        <f t="array" ref="AR207">IF(AR$199=-1,AS207,IF(AR$199=99,AQ207,IF(AR$199=0,INDEX($E193:$M193,0,AR$197),(INDEX($E193:$M193,0,AR$199+1)-INDEX($E193:$M193,0,AR$199))/(INDEX($E$185:$M$185,0,AR$199+1)-INDEX($E$185:$M$185,0,AR$199))+AQ207)))</f>
        <v>1.1860727623872318</v>
      </c>
      <c r="AS207" s="3" cm="1">
        <f t="array" ref="AS207">IF(AS$199=-1,#REF!,IF(AS$199=99,AR207,IF(AS$199=0,INDEX($E193:$M193,0,AS$197),(INDEX($E193:$M193,0,AS$199+1)-INDEX($E193:$M193,0,AS$199))/(INDEX($E$185:$M$185,0,AS$199+1)-INDEX($E$185:$M$185,0,AS$199))+AR207)))</f>
        <v>1.1860727623872318</v>
      </c>
      <c r="AT207" s="3"/>
      <c r="AW207" s="3"/>
      <c r="AX207" s="3"/>
      <c r="BH207" s="3">
        <f t="shared" si="594"/>
        <v>0.53459848266953358</v>
      </c>
      <c r="BI207" s="97" t="e">
        <f t="shared" si="595"/>
        <v>#DIV/0!</v>
      </c>
    </row>
    <row r="208" spans="1:61">
      <c r="A208" t="s">
        <v>16</v>
      </c>
      <c r="G208" s="3"/>
      <c r="H208" s="3"/>
      <c r="I208" s="3"/>
      <c r="L208" s="3"/>
      <c r="M208" s="34"/>
      <c r="N208" s="206"/>
    </row>
    <row r="209" spans="1:58" ht="23.25">
      <c r="A209" t="s">
        <v>16</v>
      </c>
      <c r="B209" s="10" t="s">
        <v>19</v>
      </c>
      <c r="C209" s="10" t="s">
        <v>20</v>
      </c>
      <c r="D209" s="10" t="s">
        <v>21</v>
      </c>
      <c r="E209" s="10" t="s">
        <v>22</v>
      </c>
      <c r="F209" s="10" t="s">
        <v>23</v>
      </c>
      <c r="G209" s="10" t="s">
        <v>24</v>
      </c>
      <c r="H209" s="10" t="s">
        <v>612</v>
      </c>
      <c r="I209" s="10" t="s">
        <v>642</v>
      </c>
      <c r="J209" s="10" t="s">
        <v>643</v>
      </c>
      <c r="K209" s="11" t="s">
        <v>25</v>
      </c>
      <c r="L209" s="3"/>
      <c r="N209" s="206"/>
    </row>
    <row r="210" spans="1:58">
      <c r="A210" s="102" t="s">
        <v>16</v>
      </c>
      <c r="B210" s="103">
        <v>1</v>
      </c>
      <c r="C210" s="103">
        <v>2012</v>
      </c>
      <c r="D210" s="103">
        <f>F4</f>
        <v>2015</v>
      </c>
      <c r="E210" s="103">
        <v>2017</v>
      </c>
      <c r="F210" s="103">
        <v>2019</v>
      </c>
      <c r="G210" s="103">
        <v>2020</v>
      </c>
      <c r="H210" s="103">
        <v>2021</v>
      </c>
      <c r="I210" s="103">
        <v>2030</v>
      </c>
      <c r="J210" s="103">
        <v>2040</v>
      </c>
      <c r="K210" s="108">
        <v>2050</v>
      </c>
      <c r="L210" s="3"/>
      <c r="N210" s="206"/>
    </row>
    <row r="211" spans="1:58">
      <c r="A211" s="34" t="s">
        <v>16</v>
      </c>
      <c r="B211">
        <v>0</v>
      </c>
      <c r="C211" cm="1">
        <f t="array" ref="C211">INDEX($C210:$K210,0,COUNT($C210:$K210)-C212)</f>
        <v>2050</v>
      </c>
      <c r="D211" cm="1">
        <f t="array" ref="D211">INDEX($C210:$K210,0,COUNT($C210:$K210)-D212)</f>
        <v>2040</v>
      </c>
      <c r="E211" cm="1">
        <f t="array" ref="E211">INDEX($C210:$K210,0,COUNT($C210:$K210)-E212)</f>
        <v>2030</v>
      </c>
      <c r="F211" cm="1">
        <f t="array" ref="F211">INDEX($C210:$K210,0,COUNT($C210:$K210)-F212)</f>
        <v>2021</v>
      </c>
      <c r="G211" cm="1">
        <f t="array" ref="G211">INDEX($C210:$K210,0,COUNT($C210:$K210)-G212)</f>
        <v>2020</v>
      </c>
      <c r="H211" cm="1">
        <f t="array" ref="H211">INDEX($C210:$K210,0,COUNT($C210:$K210)-H212)</f>
        <v>2019</v>
      </c>
      <c r="I211" cm="1">
        <f t="array" ref="I211">INDEX($C210:$K210,0,COUNT($C210:$K210)-I212)</f>
        <v>2017</v>
      </c>
      <c r="J211" cm="1">
        <f t="array" ref="J211">INDEX($C210:$K210,0,COUNT($C210:$K210)-J212)</f>
        <v>2015</v>
      </c>
      <c r="K211" cm="1">
        <f t="array" ref="K211">INDEX($C210:$K210,0,COUNT($C210:$K210)-K212)</f>
        <v>2012</v>
      </c>
      <c r="L211" s="3"/>
      <c r="N211" s="206"/>
    </row>
    <row r="212" spans="1:58">
      <c r="A212" s="34" t="s">
        <v>16</v>
      </c>
      <c r="B212">
        <v>-1</v>
      </c>
      <c r="C212">
        <v>0</v>
      </c>
      <c r="D212">
        <v>1</v>
      </c>
      <c r="E212">
        <v>2</v>
      </c>
      <c r="F212">
        <v>3</v>
      </c>
      <c r="G212">
        <v>4</v>
      </c>
      <c r="H212">
        <v>5</v>
      </c>
      <c r="I212">
        <v>6</v>
      </c>
      <c r="J212">
        <v>7</v>
      </c>
      <c r="K212">
        <v>8</v>
      </c>
      <c r="L212" s="3"/>
      <c r="N212" s="206"/>
    </row>
    <row r="213" spans="1:58">
      <c r="A213" s="104" t="s">
        <v>16</v>
      </c>
      <c r="B213" s="105"/>
      <c r="C213" s="105"/>
      <c r="D213" s="105"/>
      <c r="E213" s="105"/>
      <c r="F213" s="105"/>
      <c r="G213" s="105"/>
      <c r="H213" s="105"/>
      <c r="I213" s="105"/>
      <c r="J213" s="105"/>
      <c r="K213" s="110"/>
      <c r="L213" s="3"/>
      <c r="N213" s="206"/>
    </row>
    <row r="214" spans="1:58">
      <c r="A214" s="104" t="s">
        <v>16</v>
      </c>
      <c r="J214" s="12">
        <v>2012</v>
      </c>
      <c r="K214" s="12">
        <f t="shared" ref="K214:AL214" si="596">1+J214</f>
        <v>2013</v>
      </c>
      <c r="L214" s="12">
        <f t="shared" si="596"/>
        <v>2014</v>
      </c>
      <c r="M214" s="12">
        <f t="shared" si="596"/>
        <v>2015</v>
      </c>
      <c r="N214" s="12">
        <f t="shared" si="596"/>
        <v>2016</v>
      </c>
      <c r="O214" s="12">
        <f t="shared" si="596"/>
        <v>2017</v>
      </c>
      <c r="P214" s="12">
        <f t="shared" si="596"/>
        <v>2018</v>
      </c>
      <c r="Q214" s="12">
        <f t="shared" si="596"/>
        <v>2019</v>
      </c>
      <c r="R214" s="12">
        <f t="shared" si="596"/>
        <v>2020</v>
      </c>
      <c r="S214" s="12">
        <f t="shared" si="596"/>
        <v>2021</v>
      </c>
      <c r="T214" s="12">
        <f t="shared" si="596"/>
        <v>2022</v>
      </c>
      <c r="U214" s="12">
        <f t="shared" si="596"/>
        <v>2023</v>
      </c>
      <c r="V214" s="12">
        <f t="shared" si="596"/>
        <v>2024</v>
      </c>
      <c r="W214" s="12">
        <f t="shared" si="596"/>
        <v>2025</v>
      </c>
      <c r="X214" s="12">
        <f t="shared" si="596"/>
        <v>2026</v>
      </c>
      <c r="Y214" s="12">
        <f t="shared" si="596"/>
        <v>2027</v>
      </c>
      <c r="Z214" s="12">
        <f t="shared" si="596"/>
        <v>2028</v>
      </c>
      <c r="AA214" s="12">
        <f t="shared" si="596"/>
        <v>2029</v>
      </c>
      <c r="AB214" s="12">
        <f t="shared" si="596"/>
        <v>2030</v>
      </c>
      <c r="AC214" s="12">
        <f t="shared" si="596"/>
        <v>2031</v>
      </c>
      <c r="AD214" s="12">
        <f t="shared" si="596"/>
        <v>2032</v>
      </c>
      <c r="AE214" s="12">
        <f t="shared" si="596"/>
        <v>2033</v>
      </c>
      <c r="AF214" s="12">
        <f t="shared" si="596"/>
        <v>2034</v>
      </c>
      <c r="AG214" s="12">
        <f t="shared" si="596"/>
        <v>2035</v>
      </c>
      <c r="AH214" s="12">
        <f t="shared" si="596"/>
        <v>2036</v>
      </c>
      <c r="AI214" s="12">
        <f t="shared" si="596"/>
        <v>2037</v>
      </c>
      <c r="AJ214" s="12">
        <f t="shared" si="596"/>
        <v>2038</v>
      </c>
      <c r="AK214" s="12">
        <f t="shared" si="596"/>
        <v>2039</v>
      </c>
      <c r="AL214" s="12">
        <f t="shared" si="596"/>
        <v>2040</v>
      </c>
      <c r="AM214" s="12">
        <v>2045</v>
      </c>
      <c r="AN214" s="12">
        <v>2050</v>
      </c>
      <c r="AO214" s="12">
        <v>2060</v>
      </c>
      <c r="AP214" s="12">
        <v>2070</v>
      </c>
      <c r="AQ214" s="12"/>
      <c r="AT214" s="12"/>
      <c r="AU214" s="12"/>
      <c r="BE214" s="12">
        <v>2012</v>
      </c>
      <c r="BF214" s="12"/>
    </row>
    <row r="215" spans="1:58" s="103" customFormat="1">
      <c r="A215" s="104" t="s">
        <v>16</v>
      </c>
      <c r="J215" s="102">
        <f t="shared" ref="J215:AP215" si="597">MATCH(J$214,$C$210:$K$210,$B210)</f>
        <v>1</v>
      </c>
      <c r="K215" s="103">
        <f t="shared" si="597"/>
        <v>1</v>
      </c>
      <c r="L215" s="103">
        <f t="shared" si="597"/>
        <v>1</v>
      </c>
      <c r="M215" s="103">
        <f t="shared" si="597"/>
        <v>2</v>
      </c>
      <c r="N215" s="103">
        <f t="shared" si="597"/>
        <v>2</v>
      </c>
      <c r="O215" s="103">
        <f t="shared" si="597"/>
        <v>3</v>
      </c>
      <c r="P215" s="103">
        <f t="shared" si="597"/>
        <v>3</v>
      </c>
      <c r="Q215" s="103">
        <f t="shared" si="597"/>
        <v>4</v>
      </c>
      <c r="R215" s="103">
        <f t="shared" si="597"/>
        <v>5</v>
      </c>
      <c r="S215" s="103">
        <f t="shared" si="597"/>
        <v>6</v>
      </c>
      <c r="T215" s="103">
        <f t="shared" si="597"/>
        <v>6</v>
      </c>
      <c r="U215" s="103">
        <f t="shared" si="597"/>
        <v>6</v>
      </c>
      <c r="V215" s="103">
        <f t="shared" si="597"/>
        <v>6</v>
      </c>
      <c r="W215" s="103">
        <f t="shared" si="597"/>
        <v>6</v>
      </c>
      <c r="X215" s="103">
        <f t="shared" si="597"/>
        <v>6</v>
      </c>
      <c r="Y215" s="103">
        <f t="shared" si="597"/>
        <v>6</v>
      </c>
      <c r="Z215" s="103">
        <f t="shared" si="597"/>
        <v>6</v>
      </c>
      <c r="AA215" s="103">
        <f t="shared" si="597"/>
        <v>6</v>
      </c>
      <c r="AB215" s="103">
        <f t="shared" si="597"/>
        <v>7</v>
      </c>
      <c r="AC215" s="103">
        <f t="shared" si="597"/>
        <v>7</v>
      </c>
      <c r="AD215" s="103">
        <f t="shared" si="597"/>
        <v>7</v>
      </c>
      <c r="AE215" s="103">
        <f t="shared" si="597"/>
        <v>7</v>
      </c>
      <c r="AF215" s="103">
        <f t="shared" si="597"/>
        <v>7</v>
      </c>
      <c r="AG215" s="103">
        <f t="shared" si="597"/>
        <v>7</v>
      </c>
      <c r="AH215" s="103">
        <f t="shared" si="597"/>
        <v>7</v>
      </c>
      <c r="AI215" s="103">
        <f t="shared" si="597"/>
        <v>7</v>
      </c>
      <c r="AJ215" s="103">
        <f t="shared" si="597"/>
        <v>7</v>
      </c>
      <c r="AK215" s="103">
        <f t="shared" si="597"/>
        <v>7</v>
      </c>
      <c r="AL215" s="103">
        <f t="shared" si="597"/>
        <v>8</v>
      </c>
      <c r="AM215" s="103">
        <f t="shared" si="597"/>
        <v>8</v>
      </c>
      <c r="AN215" s="103">
        <f t="shared" si="597"/>
        <v>9</v>
      </c>
      <c r="AO215" s="103">
        <f t="shared" si="597"/>
        <v>9</v>
      </c>
      <c r="AP215" s="103">
        <f t="shared" si="597"/>
        <v>9</v>
      </c>
      <c r="BE215" s="102">
        <f>MATCH(BE$214,$C$210:$K$210,$B210)</f>
        <v>1</v>
      </c>
    </row>
    <row r="216" spans="1:58">
      <c r="A216" s="104" t="s">
        <v>16</v>
      </c>
      <c r="J216" s="34">
        <f t="shared" ref="J216:AP216" si="598">MATCH(J$214,$C$210:$K$210,$B211)</f>
        <v>1</v>
      </c>
      <c r="K216" t="e">
        <f t="shared" si="598"/>
        <v>#N/A</v>
      </c>
      <c r="L216" t="e">
        <f t="shared" si="598"/>
        <v>#N/A</v>
      </c>
      <c r="M216">
        <f t="shared" si="598"/>
        <v>2</v>
      </c>
      <c r="N216" t="e">
        <f t="shared" si="598"/>
        <v>#N/A</v>
      </c>
      <c r="O216">
        <f t="shared" si="598"/>
        <v>3</v>
      </c>
      <c r="P216" t="e">
        <f t="shared" si="598"/>
        <v>#N/A</v>
      </c>
      <c r="Q216">
        <f t="shared" si="598"/>
        <v>4</v>
      </c>
      <c r="R216">
        <f t="shared" si="598"/>
        <v>5</v>
      </c>
      <c r="S216">
        <f t="shared" si="598"/>
        <v>6</v>
      </c>
      <c r="T216" t="e">
        <f t="shared" si="598"/>
        <v>#N/A</v>
      </c>
      <c r="U216" t="e">
        <f t="shared" si="598"/>
        <v>#N/A</v>
      </c>
      <c r="V216" t="e">
        <f t="shared" si="598"/>
        <v>#N/A</v>
      </c>
      <c r="W216" t="e">
        <f t="shared" si="598"/>
        <v>#N/A</v>
      </c>
      <c r="X216" t="e">
        <f t="shared" si="598"/>
        <v>#N/A</v>
      </c>
      <c r="Y216" t="e">
        <f t="shared" si="598"/>
        <v>#N/A</v>
      </c>
      <c r="Z216" t="e">
        <f t="shared" si="598"/>
        <v>#N/A</v>
      </c>
      <c r="AA216" t="e">
        <f t="shared" si="598"/>
        <v>#N/A</v>
      </c>
      <c r="AB216">
        <f t="shared" si="598"/>
        <v>7</v>
      </c>
      <c r="AC216" t="e">
        <f t="shared" si="598"/>
        <v>#N/A</v>
      </c>
      <c r="AD216" t="e">
        <f t="shared" si="598"/>
        <v>#N/A</v>
      </c>
      <c r="AE216" t="e">
        <f t="shared" si="598"/>
        <v>#N/A</v>
      </c>
      <c r="AF216" t="e">
        <f t="shared" si="598"/>
        <v>#N/A</v>
      </c>
      <c r="AG216" t="e">
        <f t="shared" si="598"/>
        <v>#N/A</v>
      </c>
      <c r="AH216" t="e">
        <f t="shared" si="598"/>
        <v>#N/A</v>
      </c>
      <c r="AI216" t="e">
        <f t="shared" si="598"/>
        <v>#N/A</v>
      </c>
      <c r="AJ216" t="e">
        <f t="shared" si="598"/>
        <v>#N/A</v>
      </c>
      <c r="AK216" t="e">
        <f t="shared" si="598"/>
        <v>#N/A</v>
      </c>
      <c r="AL216">
        <f t="shared" si="598"/>
        <v>8</v>
      </c>
      <c r="AM216" t="e">
        <f t="shared" si="598"/>
        <v>#N/A</v>
      </c>
      <c r="AN216">
        <f t="shared" si="598"/>
        <v>9</v>
      </c>
      <c r="AO216" t="e">
        <f t="shared" si="598"/>
        <v>#N/A</v>
      </c>
      <c r="AP216" t="e">
        <f t="shared" si="598"/>
        <v>#N/A</v>
      </c>
      <c r="BE216" s="34">
        <f>MATCH(BE$214,$C$210:$K$210,$B211)</f>
        <v>1</v>
      </c>
    </row>
    <row r="217" spans="1:58">
      <c r="A217" s="104" t="s">
        <v>16</v>
      </c>
      <c r="J217">
        <f t="shared" ref="J217:AP217" si="599">MATCH(J$214,$C$211:$K$211,$B212)</f>
        <v>9</v>
      </c>
      <c r="K217">
        <f t="shared" si="599"/>
        <v>8</v>
      </c>
      <c r="L217">
        <f t="shared" si="599"/>
        <v>8</v>
      </c>
      <c r="M217">
        <f t="shared" si="599"/>
        <v>8</v>
      </c>
      <c r="N217">
        <f t="shared" si="599"/>
        <v>7</v>
      </c>
      <c r="O217">
        <f t="shared" si="599"/>
        <v>7</v>
      </c>
      <c r="P217">
        <f t="shared" si="599"/>
        <v>6</v>
      </c>
      <c r="Q217">
        <f t="shared" si="599"/>
        <v>6</v>
      </c>
      <c r="R217">
        <f t="shared" si="599"/>
        <v>5</v>
      </c>
      <c r="S217">
        <f t="shared" si="599"/>
        <v>4</v>
      </c>
      <c r="T217">
        <f t="shared" si="599"/>
        <v>3</v>
      </c>
      <c r="U217">
        <f t="shared" si="599"/>
        <v>3</v>
      </c>
      <c r="V217">
        <f t="shared" si="599"/>
        <v>3</v>
      </c>
      <c r="W217">
        <f t="shared" si="599"/>
        <v>3</v>
      </c>
      <c r="X217">
        <f t="shared" si="599"/>
        <v>3</v>
      </c>
      <c r="Y217">
        <f t="shared" si="599"/>
        <v>3</v>
      </c>
      <c r="Z217">
        <f t="shared" si="599"/>
        <v>3</v>
      </c>
      <c r="AA217">
        <f t="shared" si="599"/>
        <v>3</v>
      </c>
      <c r="AB217">
        <f t="shared" si="599"/>
        <v>3</v>
      </c>
      <c r="AC217">
        <f t="shared" si="599"/>
        <v>2</v>
      </c>
      <c r="AD217">
        <f t="shared" si="599"/>
        <v>2</v>
      </c>
      <c r="AE217">
        <f t="shared" si="599"/>
        <v>2</v>
      </c>
      <c r="AF217">
        <f t="shared" si="599"/>
        <v>2</v>
      </c>
      <c r="AG217">
        <f t="shared" si="599"/>
        <v>2</v>
      </c>
      <c r="AH217">
        <f t="shared" si="599"/>
        <v>2</v>
      </c>
      <c r="AI217">
        <f t="shared" si="599"/>
        <v>2</v>
      </c>
      <c r="AJ217">
        <f t="shared" si="599"/>
        <v>2</v>
      </c>
      <c r="AK217">
        <f t="shared" si="599"/>
        <v>2</v>
      </c>
      <c r="AL217">
        <f t="shared" si="599"/>
        <v>2</v>
      </c>
      <c r="AM217">
        <f t="shared" si="599"/>
        <v>1</v>
      </c>
      <c r="AN217">
        <f t="shared" si="599"/>
        <v>1</v>
      </c>
      <c r="AO217" t="e">
        <f t="shared" si="599"/>
        <v>#N/A</v>
      </c>
      <c r="AP217" t="e">
        <f t="shared" si="599"/>
        <v>#N/A</v>
      </c>
      <c r="BE217">
        <f>MATCH(BE$214,$C$211:$K$211,$B212)</f>
        <v>9</v>
      </c>
    </row>
    <row r="218" spans="1:58" s="105" customFormat="1">
      <c r="A218" s="104" t="s">
        <v>16</v>
      </c>
      <c r="J218" s="71">
        <f t="shared" ref="J218:AP218" si="600">IF(ISNA(J215),-1,IF(ISNA(J217),99,IF(ISNA(J216),J215,0)))</f>
        <v>0</v>
      </c>
      <c r="K218" s="71">
        <f t="shared" si="600"/>
        <v>1</v>
      </c>
      <c r="L218" s="71">
        <f t="shared" si="600"/>
        <v>1</v>
      </c>
      <c r="M218" s="71">
        <f t="shared" si="600"/>
        <v>0</v>
      </c>
      <c r="N218" s="71">
        <f t="shared" si="600"/>
        <v>2</v>
      </c>
      <c r="O218" s="71">
        <f t="shared" si="600"/>
        <v>0</v>
      </c>
      <c r="P218" s="71">
        <f t="shared" si="600"/>
        <v>3</v>
      </c>
      <c r="Q218" s="71">
        <f t="shared" si="600"/>
        <v>0</v>
      </c>
      <c r="R218" s="71">
        <f t="shared" si="600"/>
        <v>0</v>
      </c>
      <c r="S218" s="71">
        <f t="shared" si="600"/>
        <v>0</v>
      </c>
      <c r="T218" s="71">
        <f t="shared" si="600"/>
        <v>6</v>
      </c>
      <c r="U218" s="71">
        <f t="shared" si="600"/>
        <v>6</v>
      </c>
      <c r="V218" s="71">
        <f t="shared" si="600"/>
        <v>6</v>
      </c>
      <c r="W218" s="71">
        <f t="shared" si="600"/>
        <v>6</v>
      </c>
      <c r="X218" s="71">
        <f t="shared" si="600"/>
        <v>6</v>
      </c>
      <c r="Y218" s="71">
        <f t="shared" si="600"/>
        <v>6</v>
      </c>
      <c r="Z218" s="71">
        <f t="shared" si="600"/>
        <v>6</v>
      </c>
      <c r="AA218" s="71">
        <f t="shared" si="600"/>
        <v>6</v>
      </c>
      <c r="AB218" s="71">
        <f t="shared" si="600"/>
        <v>0</v>
      </c>
      <c r="AC218" s="71">
        <f t="shared" si="600"/>
        <v>7</v>
      </c>
      <c r="AD218" s="71">
        <f t="shared" si="600"/>
        <v>7</v>
      </c>
      <c r="AE218" s="71">
        <f t="shared" si="600"/>
        <v>7</v>
      </c>
      <c r="AF218" s="71">
        <f t="shared" si="600"/>
        <v>7</v>
      </c>
      <c r="AG218" s="71">
        <f t="shared" si="600"/>
        <v>7</v>
      </c>
      <c r="AH218" s="71">
        <f t="shared" si="600"/>
        <v>7</v>
      </c>
      <c r="AI218" s="71">
        <f t="shared" si="600"/>
        <v>7</v>
      </c>
      <c r="AJ218" s="71">
        <f t="shared" si="600"/>
        <v>7</v>
      </c>
      <c r="AK218" s="71">
        <f t="shared" si="600"/>
        <v>7</v>
      </c>
      <c r="AL218" s="71">
        <f t="shared" si="600"/>
        <v>0</v>
      </c>
      <c r="AM218" s="71">
        <f t="shared" si="600"/>
        <v>8</v>
      </c>
      <c r="AN218" s="71">
        <f t="shared" si="600"/>
        <v>0</v>
      </c>
      <c r="AO218" s="71">
        <f t="shared" si="600"/>
        <v>99</v>
      </c>
      <c r="AP218" s="71">
        <f t="shared" si="600"/>
        <v>99</v>
      </c>
      <c r="AQ218" s="71"/>
      <c r="AT218" s="71"/>
      <c r="AU218" s="71"/>
      <c r="BE218" s="71">
        <f>IF(ISNA(BE215),-1,IF(ISNA(BE217),99,IF(ISNA(BE216),BE215,0)))</f>
        <v>0</v>
      </c>
      <c r="BF218" s="71"/>
    </row>
    <row r="219" spans="1:58">
      <c r="B219" s="16" t="str">
        <f t="shared" ref="B219:B226" si="601">IF(A219="*","","COM_PROJ")</f>
        <v>COM_PROJ</v>
      </c>
      <c r="C219" s="17" t="str">
        <f t="shared" ref="C219:C226" si="602">IF($A219="*","","-")</f>
        <v>-</v>
      </c>
      <c r="D219" s="48" t="str">
        <f t="shared" ref="D219:D226" si="603">B186</f>
        <v>TPPRCAR</v>
      </c>
      <c r="E219" s="17" t="str">
        <f t="shared" ref="E219:H226" si="604">IF($A219="*","","-")</f>
        <v>-</v>
      </c>
      <c r="F219" s="17" t="str">
        <f t="shared" si="604"/>
        <v>-</v>
      </c>
      <c r="G219" s="17" t="str">
        <f t="shared" si="604"/>
        <v>-</v>
      </c>
      <c r="H219" s="17" t="str">
        <f t="shared" si="604"/>
        <v>-</v>
      </c>
      <c r="I219" s="16">
        <f t="shared" ref="I219:I226" si="605">IF(A219="*","",0)</f>
        <v>0</v>
      </c>
      <c r="J219" s="3" cm="1">
        <f t="array" ref="J219">IF(J$218=-1,K219,IF(J$218=99,BD219,IF(J$218=0,INDEX($E186:$M186,0,J$216),(INDEX($E186:$M186,0,J$218+1)-INDEX($E186:$M186,0,J$218))/(INDEX($E$185:$M$185,0,J$218+1)-INDEX($E$185:$M$185,0,J$218))+BD219)))</f>
        <v>77.614189675901358</v>
      </c>
      <c r="K219" s="3" cm="1">
        <f t="array" ref="K219">IF(K$218=-1,L219,IF(K$218=99,BE219,IF(K$218=0,INDEX($E186:$M186,0,K$216),(INDEX($E186:$M186,0,K$218+1)-INDEX($E186:$M186,0,K$218))/(INDEX($E$185:$M$185,0,K$218+1)-INDEX($E$185:$M$185,0,K$218))+BE219)))</f>
        <v>78.66974968553842</v>
      </c>
      <c r="L219" s="3" cm="1">
        <f t="array" ref="L219">IF(L$218=-1,M219,IF(L$218=99,K219,IF(L$218=0,INDEX($E186:$M186,0,L$216),(INDEX($E186:$M186,0,L$218+1)-INDEX($E186:$M186,0,L$218))/(INDEX($E$185:$M$185,0,L$218+1)-INDEX($E$185:$M$185,0,L$218))+K219)))</f>
        <v>79.725309695175483</v>
      </c>
      <c r="M219" s="3" cm="1">
        <f t="array" ref="M219">IF(M$218=-1,N219,IF(M$218=99,L219,IF(M$218=0,INDEX($E186:$M186,0,M$216),(INDEX($E186:$M186,0,M$218+1)-INDEX($E186:$M186,0,M$218))/(INDEX($E$185:$M$185,0,M$218+1)-INDEX($E$185:$M$185,0,M$218))+L219)))</f>
        <v>80.780869704812559</v>
      </c>
      <c r="N219" s="3" cm="1">
        <f t="array" ref="N219">IF(N$218=-1,O219,IF(N$218=99,M219,IF(N$218=0,INDEX($E186:$M186,0,N$216),(INDEX($E186:$M186,0,N$218+1)-INDEX($E186:$M186,0,N$218))/(INDEX($E$185:$M$185,0,N$218+1)-INDEX($E$185:$M$185,0,N$218))+M219)))</f>
        <v>80.466711296587334</v>
      </c>
      <c r="O219" s="3" cm="1">
        <f t="array" ref="O219">IF(O$218=-1,P219,IF(O$218=99,N219,IF(O$218=0,INDEX($E186:$M186,0,O$216),(INDEX($E186:$M186,0,O$218+1)-INDEX($E186:$M186,0,O$218))/(INDEX($E$185:$M$185,0,O$218+1)-INDEX($E$185:$M$185,0,O$218))+N219)))</f>
        <v>80.152552888362095</v>
      </c>
      <c r="P219" s="3" cm="1">
        <f t="array" ref="P219">IF(P$218=-1,Q219,IF(P$218=99,O219,IF(P$218=0,INDEX($E186:$M186,0,P$216),(INDEX($E186:$M186,0,P$218+1)-INDEX($E186:$M186,0,P$218))/(INDEX($E$185:$M$185,0,P$218+1)-INDEX($E$185:$M$185,0,P$218))+O219)))</f>
        <v>82.139088284189654</v>
      </c>
      <c r="Q219" s="3" cm="1">
        <f t="array" ref="Q219">IF(Q$218=-1,R219,IF(Q$218=99,P219,IF(Q$218=0,INDEX($E186:$M186,0,Q$216),(INDEX($E186:$M186,0,Q$218+1)-INDEX($E186:$M186,0,Q$218))/(INDEX($E$185:$M$185,0,Q$218+1)-INDEX($E$185:$M$185,0,Q$218))+P219)))</f>
        <v>84.125623680017213</v>
      </c>
      <c r="R219" s="3" cm="1">
        <f t="array" ref="R219">IF(R$218=-1,S219,IF(R$218=99,Q219,IF(R$218=0,INDEX($E186:$M186,0,R$216),(INDEX($E186:$M186,0,R$218+1)-INDEX($E186:$M186,0,R$218))/(INDEX($E$185:$M$185,0,R$218+1)-INDEX($E$185:$M$185,0,R$218))+Q219)))</f>
        <v>78.16502898594004</v>
      </c>
      <c r="S219" s="3" cm="1">
        <f t="array" ref="S219">IF(S$218=-1,T219,IF(S$218=99,R219,IF(S$218=0,INDEX($E186:$M186,0,S$216),(INDEX($E186:$M186,0,S$218+1)-INDEX($E186:$M186,0,S$218))/(INDEX($E$185:$M$185,0,S$218+1)-INDEX($E$185:$M$185,0,S$218))+R219)))</f>
        <v>76.608525891339312</v>
      </c>
      <c r="T219" s="3" cm="1">
        <f t="array" ref="T219">IF(T$218=-1,U219,IF(T$218=99,S219,IF(T$218=0,INDEX($E186:$M186,0,T$216),(INDEX($E186:$M186,0,T$218+1)-INDEX($E186:$M186,0,T$218))/(INDEX($E$185:$M$185,0,T$218+1)-INDEX($E$185:$M$185,0,T$218))+S219)))</f>
        <v>79.05735756056815</v>
      </c>
      <c r="U219" s="3" cm="1">
        <f t="array" ref="U219">IF(U$218=-1,V219,IF(U$218=99,T219,IF(U$218=0,INDEX($E186:$M186,0,U$216),(INDEX($E186:$M186,0,U$218+1)-INDEX($E186:$M186,0,U$218))/(INDEX($E$185:$M$185,0,U$218+1)-INDEX($E$185:$M$185,0,U$218))+T219)))</f>
        <v>81.506189229796988</v>
      </c>
      <c r="V219" s="3" cm="1">
        <f t="array" ref="V219">IF(V$218=-1,W219,IF(V$218=99,U219,IF(V$218=0,INDEX($E186:$M186,0,V$216),(INDEX($E186:$M186,0,V$218+1)-INDEX($E186:$M186,0,V$218))/(INDEX($E$185:$M$185,0,V$218+1)-INDEX($E$185:$M$185,0,V$218))+U219)))</f>
        <v>83.955020899025826</v>
      </c>
      <c r="W219" s="3" cm="1">
        <f t="array" ref="W219">IF(W$218=-1,X219,IF(W$218=99,V219,IF(W$218=0,INDEX($E186:$M186,0,W$216),(INDEX($E186:$M186,0,W$218+1)-INDEX($E186:$M186,0,W$218))/(INDEX($E$185:$M$185,0,W$218+1)-INDEX($E$185:$M$185,0,W$218))+V219)))</f>
        <v>86.403852568254663</v>
      </c>
      <c r="X219" s="3" cm="1">
        <f t="array" ref="X219">IF(X$218=-1,Y219,IF(X$218=99,W219,IF(X$218=0,INDEX($E186:$M186,0,X$216),(INDEX($E186:$M186,0,X$218+1)-INDEX($E186:$M186,0,X$218))/(INDEX($E$185:$M$185,0,X$218+1)-INDEX($E$185:$M$185,0,X$218))+W219)))</f>
        <v>88.852684237483501</v>
      </c>
      <c r="Y219" s="3" cm="1">
        <f t="array" ref="Y219">IF(Y$218=-1,Z219,IF(Y$218=99,X219,IF(Y$218=0,INDEX($E186:$M186,0,Y$216),(INDEX($E186:$M186,0,Y$218+1)-INDEX($E186:$M186,0,Y$218))/(INDEX($E$185:$M$185,0,Y$218+1)-INDEX($E$185:$M$185,0,Y$218))+X219)))</f>
        <v>91.301515906712339</v>
      </c>
      <c r="Z219" s="3" cm="1">
        <f t="array" ref="Z219">IF(Z$218=-1,AA219,IF(Z$218=99,Y219,IF(Z$218=0,INDEX($E186:$M186,0,Z$216),(INDEX($E186:$M186,0,Z$218+1)-INDEX($E186:$M186,0,Z$218))/(INDEX($E$185:$M$185,0,Z$218+1)-INDEX($E$185:$M$185,0,Z$218))+Y219)))</f>
        <v>93.750347575941177</v>
      </c>
      <c r="AA219" s="3" cm="1">
        <f t="array" ref="AA219">IF(AA$218=-1,AB219,IF(AA$218=99,Z219,IF(AA$218=0,INDEX($E186:$M186,0,AA$216),(INDEX($E186:$M186,0,AA$218+1)-INDEX($E186:$M186,0,AA$218))/(INDEX($E$185:$M$185,0,AA$218+1)-INDEX($E$185:$M$185,0,AA$218))+Z219)))</f>
        <v>96.199179245170015</v>
      </c>
      <c r="AB219" s="3" cm="1">
        <f t="array" ref="AB219">IF(AB$218=-1,AC219,IF(AB$218=99,AA219,IF(AB$218=0,INDEX($E186:$M186,0,AB$216),(INDEX($E186:$M186,0,AB$218+1)-INDEX($E186:$M186,0,AB$218))/(INDEX($E$185:$M$185,0,AB$218+1)-INDEX($E$185:$M$185,0,AB$218))+AA219)))</f>
        <v>98.648010914398853</v>
      </c>
      <c r="AC219" s="3" cm="1">
        <f t="array" ref="AC219">IF(AC$218=-1,AD219,IF(AC$218=99,AB219,IF(AC$218=0,INDEX($E186:$M186,0,AC$216),(INDEX($E186:$M186,0,AC$218+1)-INDEX($E186:$M186,0,AC$218))/(INDEX($E$185:$M$185,0,AC$218+1)-INDEX($E$185:$M$185,0,AC$218))+AB219)))</f>
        <v>101.80602541826543</v>
      </c>
      <c r="AD219" s="3" cm="1">
        <f t="array" ref="AD219">IF(AD$218=-1,AE219,IF(AD$218=99,AC219,IF(AD$218=0,INDEX($E186:$M186,0,AD$216),(INDEX($E186:$M186,0,AD$218+1)-INDEX($E186:$M186,0,AD$218))/(INDEX($E$185:$M$185,0,AD$218+1)-INDEX($E$185:$M$185,0,AD$218))+AC219)))</f>
        <v>104.96403992213202</v>
      </c>
      <c r="AE219" s="3" cm="1">
        <f t="array" ref="AE219">IF(AE$218=-1,AF219,IF(AE$218=99,AD219,IF(AE$218=0,INDEX($E186:$M186,0,AE$216),(INDEX($E186:$M186,0,AE$218+1)-INDEX($E186:$M186,0,AE$218))/(INDEX($E$185:$M$185,0,AE$218+1)-INDEX($E$185:$M$185,0,AE$218))+AD219)))</f>
        <v>108.1220544259986</v>
      </c>
      <c r="AF219" s="3" cm="1">
        <f t="array" ref="AF219">IF(AF$218=-1,AG219,IF(AF$218=99,AE219,IF(AF$218=0,INDEX($E186:$M186,0,AF$216),(INDEX($E186:$M186,0,AF$218+1)-INDEX($E186:$M186,0,AF$218))/(INDEX($E$185:$M$185,0,AF$218+1)-INDEX($E$185:$M$185,0,AF$218))+AE219)))</f>
        <v>111.28006892986518</v>
      </c>
      <c r="AG219" s="3" cm="1">
        <f t="array" ref="AG219">IF(AG$218=-1,AH219,IF(AG$218=99,AF219,IF(AG$218=0,INDEX($E186:$M186,0,AG$216),(INDEX($E186:$M186,0,AG$218+1)-INDEX($E186:$M186,0,AG$218))/(INDEX($E$185:$M$185,0,AG$218+1)-INDEX($E$185:$M$185,0,AG$218))+AF219)))</f>
        <v>114.43808343373176</v>
      </c>
      <c r="AH219" s="3" cm="1">
        <f t="array" ref="AH219">IF(AH$218=-1,AI219,IF(AH$218=99,AG219,IF(AH$218=0,INDEX($E186:$M186,0,AH$216),(INDEX($E186:$M186,0,AH$218+1)-INDEX($E186:$M186,0,AH$218))/(INDEX($E$185:$M$185,0,AH$218+1)-INDEX($E$185:$M$185,0,AH$218))+AG219)))</f>
        <v>117.59609793759834</v>
      </c>
      <c r="AI219" s="3" cm="1">
        <f t="array" ref="AI219">IF(AI$218=-1,AJ219,IF(AI$218=99,AH219,IF(AI$218=0,INDEX($E186:$M186,0,AI$216),(INDEX($E186:$M186,0,AI$218+1)-INDEX($E186:$M186,0,AI$218))/(INDEX($E$185:$M$185,0,AI$218+1)-INDEX($E$185:$M$185,0,AI$218))+AH219)))</f>
        <v>120.75411244146493</v>
      </c>
      <c r="AJ219" s="3" cm="1">
        <f t="array" ref="AJ219">IF(AJ$218=-1,AK219,IF(AJ$218=99,AI219,IF(AJ$218=0,INDEX($E186:$M186,0,AJ$216),(INDEX($E186:$M186,0,AJ$218+1)-INDEX($E186:$M186,0,AJ$218))/(INDEX($E$185:$M$185,0,AJ$218+1)-INDEX($E$185:$M$185,0,AJ$218))+AI219)))</f>
        <v>123.91212694533151</v>
      </c>
      <c r="AK219" s="3" cm="1">
        <f t="array" ref="AK219">IF(AK$218=-1,AL219,IF(AK$218=99,AJ219,IF(AK$218=0,INDEX($E186:$M186,0,AK$216),(INDEX($E186:$M186,0,AK$218+1)-INDEX($E186:$M186,0,AK$218))/(INDEX($E$185:$M$185,0,AK$218+1)-INDEX($E$185:$M$185,0,AK$218))+AJ219)))</f>
        <v>127.07014144919809</v>
      </c>
      <c r="AL219" s="3" cm="1">
        <f t="array" ref="AL219">IF(AL$218=-1,AM219,IF(AL$218=99,AK219,IF(AL$218=0,INDEX($E186:$M186,0,AL$216),(INDEX($E186:$M186,0,AL$218+1)-INDEX($E186:$M186,0,AL$218))/(INDEX($E$185:$M$185,0,AL$218+1)-INDEX($E$185:$M$185,0,AL$218))+AK219)))</f>
        <v>130.22815595306471</v>
      </c>
      <c r="AM219" s="257">
        <f>(AL219+AN219)/2</f>
        <v>144.92947086079698</v>
      </c>
      <c r="AN219" s="3" cm="1">
        <f t="array" ref="AN219">IF(AN$218=-1,AO219,IF(AN$218=99,AM219,IF(AN$218=0,INDEX($E186:$M186,0,AN$216),(INDEX($E186:$M186,0,AN$218+1)-INDEX($E186:$M186,0,AN$218))/(INDEX($E$185:$M$185,0,AN$218+1)-INDEX($E$185:$M$185,0,AN$218))+AM219)))</f>
        <v>159.63078576852928</v>
      </c>
      <c r="AO219" s="3" cm="1">
        <f t="array" ref="AO219">IF(AO$218=-1,AP219,IF(AO$218=99,AN219,IF(AO$218=0,INDEX($E186:$M186,0,AO$216),(INDEX($E186:$M186,0,AO$218+1)-INDEX($E186:$M186,0,AO$218))/(INDEX($E$185:$M$185,0,AO$218+1)-INDEX($E$185:$M$185,0,AO$218))+AN219)))</f>
        <v>159.63078576852928</v>
      </c>
      <c r="AP219" s="3" cm="1">
        <f t="array" ref="AP219">IF(AP$218=-1,#REF!,IF(AP$218=99,AO219,IF(AP$218=0,INDEX($E186:$M186,0,AP$216),(INDEX($E186:$M186,0,AP$218+1)-INDEX($E186:$M186,0,AP$218))/(INDEX($E$185:$M$185,0,AP$218+1)-INDEX($E$185:$M$185,0,AP$218))+AO219)))</f>
        <v>159.63078576852928</v>
      </c>
      <c r="AQ219" s="3"/>
      <c r="AT219" s="3"/>
      <c r="AU219" s="3"/>
      <c r="BE219" s="3">
        <f t="shared" ref="BE219:BE226" si="606">E186</f>
        <v>77.614189675901358</v>
      </c>
      <c r="BF219" s="97">
        <f t="shared" ref="BF219:BF226" si="607">(J219-BE219)/J219</f>
        <v>0</v>
      </c>
    </row>
    <row r="220" spans="1:58">
      <c r="B220" s="16" t="str">
        <f t="shared" si="601"/>
        <v>COM_PROJ</v>
      </c>
      <c r="C220" s="17" t="str">
        <f t="shared" si="602"/>
        <v>-</v>
      </c>
      <c r="D220" s="48" t="str">
        <f t="shared" si="603"/>
        <v>TPPRSUV</v>
      </c>
      <c r="E220" s="17" t="str">
        <f t="shared" si="604"/>
        <v>-</v>
      </c>
      <c r="F220" s="17" t="str">
        <f t="shared" si="604"/>
        <v>-</v>
      </c>
      <c r="G220" s="17" t="str">
        <f t="shared" si="604"/>
        <v>-</v>
      </c>
      <c r="H220" s="17" t="str">
        <f t="shared" si="604"/>
        <v>-</v>
      </c>
      <c r="I220" s="16">
        <f t="shared" si="605"/>
        <v>0</v>
      </c>
      <c r="J220" s="3" cm="1">
        <f t="array" ref="J220">IF(J$218=-1,K220,IF(J$218=99,BD220,IF(J$218=0,INDEX($E187:$M187,0,J$216),(INDEX($E187:$M187,0,J$218+1)-INDEX($E187:$M187,0,J$218))/(INDEX($E$185:$M$185,0,J$218+1)-INDEX($E$185:$M$185,0,J$218))+BD220)))</f>
        <v>9.939379683721306</v>
      </c>
      <c r="K220" s="3" cm="1">
        <f t="array" ref="K220">IF(K$218=-1,L220,IF(K$218=99,BE220,IF(K$218=0,INDEX($E187:$M187,0,K$216),(INDEX($E187:$M187,0,K$218+1)-INDEX($E187:$M187,0,K$218))/(INDEX($E$185:$M$185,0,K$218+1)-INDEX($E$185:$M$185,0,K$218))+BE220)))</f>
        <v>11.042214536035432</v>
      </c>
      <c r="L220" s="3" cm="1">
        <f t="array" ref="L220">IF(L$218=-1,M220,IF(L$218=99,K220,IF(L$218=0,INDEX($E187:$M187,0,L$216),(INDEX($E187:$M187,0,L$218+1)-INDEX($E187:$M187,0,L$218))/(INDEX($E$185:$M$185,0,L$218+1)-INDEX($E$185:$M$185,0,L$218))+K220)))</f>
        <v>12.145049388349559</v>
      </c>
      <c r="M220" s="3" cm="1">
        <f t="array" ref="M220">IF(M$218=-1,N220,IF(M$218=99,L220,IF(M$218=0,INDEX($E187:$M187,0,M$216),(INDEX($E187:$M187,0,M$218+1)-INDEX($E187:$M187,0,M$218))/(INDEX($E$185:$M$185,0,M$218+1)-INDEX($E$185:$M$185,0,M$218))+L220)))</f>
        <v>13.247884240663684</v>
      </c>
      <c r="N220" s="3" cm="1">
        <f t="array" ref="N220">IF(N$218=-1,O220,IF(N$218=99,M220,IF(N$218=0,INDEX($E187:$M187,0,N$216),(INDEX($E187:$M187,0,N$218+1)-INDEX($E187:$M187,0,N$218))/(INDEX($E$185:$M$185,0,N$218+1)-INDEX($E$185:$M$185,0,N$218))+M220)))</f>
        <v>15.140150864720315</v>
      </c>
      <c r="O220" s="3" cm="1">
        <f t="array" ref="O220">IF(O$218=-1,P220,IF(O$218=99,N220,IF(O$218=0,INDEX($E187:$M187,0,O$216),(INDEX($E187:$M187,0,O$218+1)-INDEX($E187:$M187,0,O$218))/(INDEX($E$185:$M$185,0,O$218+1)-INDEX($E$185:$M$185,0,O$218))+N220)))</f>
        <v>17.032417488776947</v>
      </c>
      <c r="P220" s="3" cm="1">
        <f t="array" ref="P220">IF(P$218=-1,Q220,IF(P$218=99,O220,IF(P$218=0,INDEX($E187:$M187,0,P$216),(INDEX($E187:$M187,0,P$218+1)-INDEX($E187:$M187,0,P$218))/(INDEX($E$185:$M$185,0,P$218+1)-INDEX($E$185:$M$185,0,P$218))+O220)))</f>
        <v>17.454556260390305</v>
      </c>
      <c r="Q220" s="3" cm="1">
        <f t="array" ref="Q220">IF(Q$218=-1,R220,IF(Q$218=99,P220,IF(Q$218=0,INDEX($E187:$M187,0,Q$216),(INDEX($E187:$M187,0,Q$218+1)-INDEX($E187:$M187,0,Q$218))/(INDEX($E$185:$M$185,0,Q$218+1)-INDEX($E$185:$M$185,0,Q$218))+P220)))</f>
        <v>17.87669503200366</v>
      </c>
      <c r="R220" s="3" cm="1">
        <f t="array" ref="R220">IF(R$218=-1,S220,IF(R$218=99,Q220,IF(R$218=0,INDEX($E187:$M187,0,R$216),(INDEX($E187:$M187,0,R$218+1)-INDEX($E187:$M187,0,R$218))/(INDEX($E$185:$M$185,0,R$218+1)-INDEX($E$185:$M$185,0,R$218))+Q220)))</f>
        <v>16.610068659512262</v>
      </c>
      <c r="S220" s="3" cm="1">
        <f t="array" ref="S220">IF(S$218=-1,T220,IF(S$218=99,R220,IF(S$218=0,INDEX($E187:$M187,0,S$216),(INDEX($E187:$M187,0,S$218+1)-INDEX($E187:$M187,0,S$218))/(INDEX($E$185:$M$185,0,S$218+1)-INDEX($E$185:$M$185,0,S$218))+R220)))</f>
        <v>16.279311751909606</v>
      </c>
      <c r="T220" s="3" cm="1">
        <f t="array" ref="T220">IF(T$218=-1,U220,IF(T$218=99,S220,IF(T$218=0,INDEX($E187:$M187,0,T$216),(INDEX($E187:$M187,0,T$218+1)-INDEX($E187:$M187,0,T$218))/(INDEX($E$185:$M$185,0,T$218+1)-INDEX($E$185:$M$185,0,T$218))+S220)))</f>
        <v>16.799688481620734</v>
      </c>
      <c r="U220" s="3" cm="1">
        <f t="array" ref="U220">IF(U$218=-1,V220,IF(U$218=99,T220,IF(U$218=0,INDEX($E187:$M187,0,U$216),(INDEX($E187:$M187,0,U$218+1)-INDEX($E187:$M187,0,U$218))/(INDEX($E$185:$M$185,0,U$218+1)-INDEX($E$185:$M$185,0,U$218))+T220)))</f>
        <v>17.320065211331862</v>
      </c>
      <c r="V220" s="3" cm="1">
        <f t="array" ref="V220">IF(V$218=-1,W220,IF(V$218=99,U220,IF(V$218=0,INDEX($E187:$M187,0,V$216),(INDEX($E187:$M187,0,V$218+1)-INDEX($E187:$M187,0,V$218))/(INDEX($E$185:$M$185,0,V$218+1)-INDEX($E$185:$M$185,0,V$218))+U220)))</f>
        <v>17.84044194104299</v>
      </c>
      <c r="W220" s="3" cm="1">
        <f t="array" ref="W220">IF(W$218=-1,X220,IF(W$218=99,V220,IF(W$218=0,INDEX($E187:$M187,0,W$216),(INDEX($E187:$M187,0,W$218+1)-INDEX($E187:$M187,0,W$218))/(INDEX($E$185:$M$185,0,W$218+1)-INDEX($E$185:$M$185,0,W$218))+V220)))</f>
        <v>18.360818670754117</v>
      </c>
      <c r="X220" s="3" cm="1">
        <f t="array" ref="X220">IF(X$218=-1,Y220,IF(X$218=99,W220,IF(X$218=0,INDEX($E187:$M187,0,X$216),(INDEX($E187:$M187,0,X$218+1)-INDEX($E187:$M187,0,X$218))/(INDEX($E$185:$M$185,0,X$218+1)-INDEX($E$185:$M$185,0,X$218))+W220)))</f>
        <v>18.881195400465245</v>
      </c>
      <c r="Y220" s="3" cm="1">
        <f t="array" ref="Y220">IF(Y$218=-1,Z220,IF(Y$218=99,X220,IF(Y$218=0,INDEX($E187:$M187,0,Y$216),(INDEX($E187:$M187,0,Y$218+1)-INDEX($E187:$M187,0,Y$218))/(INDEX($E$185:$M$185,0,Y$218+1)-INDEX($E$185:$M$185,0,Y$218))+X220)))</f>
        <v>19.401572130176373</v>
      </c>
      <c r="Z220" s="3" cm="1">
        <f t="array" ref="Z220">IF(Z$218=-1,AA220,IF(Z$218=99,Y220,IF(Z$218=0,INDEX($E187:$M187,0,Z$216),(INDEX($E187:$M187,0,Z$218+1)-INDEX($E187:$M187,0,Z$218))/(INDEX($E$185:$M$185,0,Z$218+1)-INDEX($E$185:$M$185,0,Z$218))+Y220)))</f>
        <v>19.9219488598875</v>
      </c>
      <c r="AA220" s="3" cm="1">
        <f t="array" ref="AA220">IF(AA$218=-1,AB220,IF(AA$218=99,Z220,IF(AA$218=0,INDEX($E187:$M187,0,AA$216),(INDEX($E187:$M187,0,AA$218+1)-INDEX($E187:$M187,0,AA$218))/(INDEX($E$185:$M$185,0,AA$218+1)-INDEX($E$185:$M$185,0,AA$218))+Z220)))</f>
        <v>20.442325589598628</v>
      </c>
      <c r="AB220" s="3" cm="1">
        <f t="array" ref="AB220">IF(AB$218=-1,AC220,IF(AB$218=99,AA220,IF(AB$218=0,INDEX($E187:$M187,0,AB$216),(INDEX($E187:$M187,0,AB$218+1)-INDEX($E187:$M187,0,AB$218))/(INDEX($E$185:$M$185,0,AB$218+1)-INDEX($E$185:$M$185,0,AB$218))+AA220)))</f>
        <v>20.962702319309759</v>
      </c>
      <c r="AC220" s="3" cm="1">
        <f t="array" ref="AC220">IF(AC$218=-1,AD220,IF(AC$218=99,AB220,IF(AC$218=0,INDEX($E187:$M187,0,AC$216),(INDEX($E187:$M187,0,AC$218+1)-INDEX($E187:$M187,0,AC$218))/(INDEX($E$185:$M$185,0,AC$218+1)-INDEX($E$185:$M$185,0,AC$218))+AB220)))</f>
        <v>21.633780401381408</v>
      </c>
      <c r="AD220" s="3" cm="1">
        <f t="array" ref="AD220">IF(AD$218=-1,AE220,IF(AD$218=99,AC220,IF(AD$218=0,INDEX($E187:$M187,0,AD$216),(INDEX($E187:$M187,0,AD$218+1)-INDEX($E187:$M187,0,AD$218))/(INDEX($E$185:$M$185,0,AD$218+1)-INDEX($E$185:$M$185,0,AD$218))+AC220)))</f>
        <v>22.304858483453057</v>
      </c>
      <c r="AE220" s="3" cm="1">
        <f t="array" ref="AE220">IF(AE$218=-1,AF220,IF(AE$218=99,AD220,IF(AE$218=0,INDEX($E187:$M187,0,AE$216),(INDEX($E187:$M187,0,AE$218+1)-INDEX($E187:$M187,0,AE$218))/(INDEX($E$185:$M$185,0,AE$218+1)-INDEX($E$185:$M$185,0,AE$218))+AD220)))</f>
        <v>22.975936565524705</v>
      </c>
      <c r="AF220" s="3" cm="1">
        <f t="array" ref="AF220">IF(AF$218=-1,AG220,IF(AF$218=99,AE220,IF(AF$218=0,INDEX($E187:$M187,0,AF$216),(INDEX($E187:$M187,0,AF$218+1)-INDEX($E187:$M187,0,AF$218))/(INDEX($E$185:$M$185,0,AF$218+1)-INDEX($E$185:$M$185,0,AF$218))+AE220)))</f>
        <v>23.647014647596354</v>
      </c>
      <c r="AG220" s="3" cm="1">
        <f t="array" ref="AG220">IF(AG$218=-1,AH220,IF(AG$218=99,AF220,IF(AG$218=0,INDEX($E187:$M187,0,AG$216),(INDEX($E187:$M187,0,AG$218+1)-INDEX($E187:$M187,0,AG$218))/(INDEX($E$185:$M$185,0,AG$218+1)-INDEX($E$185:$M$185,0,AG$218))+AF220)))</f>
        <v>24.318092729668003</v>
      </c>
      <c r="AH220" s="3" cm="1">
        <f t="array" ref="AH220">IF(AH$218=-1,AI220,IF(AH$218=99,AG220,IF(AH$218=0,INDEX($E187:$M187,0,AH$216),(INDEX($E187:$M187,0,AH$218+1)-INDEX($E187:$M187,0,AH$218))/(INDEX($E$185:$M$185,0,AH$218+1)-INDEX($E$185:$M$185,0,AH$218))+AG220)))</f>
        <v>24.989170811739651</v>
      </c>
      <c r="AI220" s="3" cm="1">
        <f t="array" ref="AI220">IF(AI$218=-1,AJ220,IF(AI$218=99,AH220,IF(AI$218=0,INDEX($E187:$M187,0,AI$216),(INDEX($E187:$M187,0,AI$218+1)-INDEX($E187:$M187,0,AI$218))/(INDEX($E$185:$M$185,0,AI$218+1)-INDEX($E$185:$M$185,0,AI$218))+AH220)))</f>
        <v>25.6602488938113</v>
      </c>
      <c r="AJ220" s="3" cm="1">
        <f t="array" ref="AJ220">IF(AJ$218=-1,AK220,IF(AJ$218=99,AI220,IF(AJ$218=0,INDEX($E187:$M187,0,AJ$216),(INDEX($E187:$M187,0,AJ$218+1)-INDEX($E187:$M187,0,AJ$218))/(INDEX($E$185:$M$185,0,AJ$218+1)-INDEX($E$185:$M$185,0,AJ$218))+AI220)))</f>
        <v>26.331326975882948</v>
      </c>
      <c r="AK220" s="3" cm="1">
        <f t="array" ref="AK220">IF(AK$218=-1,AL220,IF(AK$218=99,AJ220,IF(AK$218=0,INDEX($E187:$M187,0,AK$216),(INDEX($E187:$M187,0,AK$218+1)-INDEX($E187:$M187,0,AK$218))/(INDEX($E$185:$M$185,0,AK$218+1)-INDEX($E$185:$M$185,0,AK$218))+AJ220)))</f>
        <v>27.002405057954597</v>
      </c>
      <c r="AL220" s="3" cm="1">
        <f t="array" ref="AL220">IF(AL$218=-1,AM220,IF(AL$218=99,AK220,IF(AL$218=0,INDEX($E187:$M187,0,AL$216),(INDEX($E187:$M187,0,AL$218+1)-INDEX($E187:$M187,0,AL$218))/(INDEX($E$185:$M$185,0,AL$218+1)-INDEX($E$185:$M$185,0,AL$218))+AK220)))</f>
        <v>27.673483140026256</v>
      </c>
      <c r="AM220" s="257">
        <f t="shared" ref="AM220:AM226" si="608">(AL220+AN220)/2</f>
        <v>30.797512557919365</v>
      </c>
      <c r="AN220" s="3" cm="1">
        <f t="array" ref="AN220">IF(AN$218=-1,AO220,IF(AN$218=99,AM220,IF(AN$218=0,INDEX($E187:$M187,0,AN$216),(INDEX($E187:$M187,0,AN$218+1)-INDEX($E187:$M187,0,AN$218))/(INDEX($E$185:$M$185,0,AN$218+1)-INDEX($E$185:$M$185,0,AN$218))+AM220)))</f>
        <v>33.921541975812474</v>
      </c>
      <c r="AO220" s="3" cm="1">
        <f t="array" ref="AO220">IF(AO$218=-1,AP220,IF(AO$218=99,AN220,IF(AO$218=0,INDEX($E187:$M187,0,AO$216),(INDEX($E187:$M187,0,AO$218+1)-INDEX($E187:$M187,0,AO$218))/(INDEX($E$185:$M$185,0,AO$218+1)-INDEX($E$185:$M$185,0,AO$218))+AN220)))</f>
        <v>33.921541975812474</v>
      </c>
      <c r="AP220" s="3" cm="1">
        <f t="array" ref="AP220">IF(AP$218=-1,#REF!,IF(AP$218=99,AO220,IF(AP$218=0,INDEX($E187:$M187,0,AP$216),(INDEX($E187:$M187,0,AP$218+1)-INDEX($E187:$M187,0,AP$218))/(INDEX($E$185:$M$185,0,AP$218+1)-INDEX($E$185:$M$185,0,AP$218))+AO220)))</f>
        <v>33.921541975812474</v>
      </c>
      <c r="AQ220" s="3"/>
      <c r="AT220" s="3"/>
      <c r="AU220" s="3"/>
      <c r="BE220" s="3">
        <f t="shared" si="606"/>
        <v>9.939379683721306</v>
      </c>
      <c r="BF220" s="97">
        <f t="shared" si="607"/>
        <v>0</v>
      </c>
    </row>
    <row r="221" spans="1:58">
      <c r="B221" s="16" t="str">
        <f t="shared" si="601"/>
        <v>COM_PROJ</v>
      </c>
      <c r="C221" s="17" t="str">
        <f t="shared" si="602"/>
        <v>-</v>
      </c>
      <c r="D221" s="48" t="str">
        <f t="shared" si="603"/>
        <v>TPPRMOT</v>
      </c>
      <c r="E221" s="17" t="str">
        <f t="shared" si="604"/>
        <v>-</v>
      </c>
      <c r="F221" s="17" t="str">
        <f t="shared" si="604"/>
        <v>-</v>
      </c>
      <c r="G221" s="17" t="str">
        <f t="shared" si="604"/>
        <v>-</v>
      </c>
      <c r="H221" s="17" t="str">
        <f t="shared" si="604"/>
        <v>-</v>
      </c>
      <c r="I221" s="16">
        <f t="shared" si="605"/>
        <v>0</v>
      </c>
      <c r="J221" s="3" cm="1">
        <f t="array" ref="J221">IF(J$218=-1,K221,IF(J$218=99,BD221,IF(J$218=0,INDEX($E188:$M188,0,J$216),(INDEX($E188:$M188,0,J$218+1)-INDEX($E188:$M188,0,J$218))/(INDEX($E$185:$M$185,0,J$218+1)-INDEX($E$185:$M$185,0,J$218))+BD221)))</f>
        <v>3.3646857046699763</v>
      </c>
      <c r="K221" s="3" cm="1">
        <f t="array" ref="K221">IF(K$218=-1,L221,IF(K$218=99,BE221,IF(K$218=0,INDEX($E188:$M188,0,K$216),(INDEX($E188:$M188,0,K$218+1)-INDEX($E188:$M188,0,K$218))/(INDEX($E$185:$M$185,0,K$218+1)-INDEX($E$185:$M$185,0,K$218))+BE221)))</f>
        <v>3.1894012488750092</v>
      </c>
      <c r="L221" s="3" cm="1">
        <f t="array" ref="L221">IF(L$218=-1,M221,IF(L$218=99,K221,IF(L$218=0,INDEX($E188:$M188,0,L$216),(INDEX($E188:$M188,0,L$218+1)-INDEX($E188:$M188,0,L$218))/(INDEX($E$185:$M$185,0,L$218+1)-INDEX($E$185:$M$185,0,L$218))+K221)))</f>
        <v>3.0141167930800421</v>
      </c>
      <c r="M221" s="3" cm="1">
        <f t="array" ref="M221">IF(M$218=-1,N221,IF(M$218=99,L221,IF(M$218=0,INDEX($E188:$M188,0,M$216),(INDEX($E188:$M188,0,M$218+1)-INDEX($E188:$M188,0,M$218))/(INDEX($E$185:$M$185,0,M$218+1)-INDEX($E$185:$M$185,0,M$218))+L221)))</f>
        <v>2.838832337285075</v>
      </c>
      <c r="N221" s="3" cm="1">
        <f t="array" ref="N221">IF(N$218=-1,O221,IF(N$218=99,M221,IF(N$218=0,INDEX($E188:$M188,0,N$216),(INDEX($E188:$M188,0,N$218+1)-INDEX($E188:$M188,0,N$218))/(INDEX($E$185:$M$185,0,N$218+1)-INDEX($E$185:$M$185,0,N$218))+M221)))</f>
        <v>2.9222765352993267</v>
      </c>
      <c r="O221" s="3" cm="1">
        <f t="array" ref="O221">IF(O$218=-1,P221,IF(O$218=99,N221,IF(O$218=0,INDEX($E188:$M188,0,O$216),(INDEX($E188:$M188,0,O$218+1)-INDEX($E188:$M188,0,O$218))/(INDEX($E$185:$M$185,0,O$218+1)-INDEX($E$185:$M$185,0,O$218))+N221)))</f>
        <v>3.0057207333135785</v>
      </c>
      <c r="P221" s="3" cm="1">
        <f t="array" ref="P221">IF(P$218=-1,Q221,IF(P$218=99,O221,IF(P$218=0,INDEX($E188:$M188,0,P$216),(INDEX($E188:$M188,0,P$218+1)-INDEX($E188:$M188,0,P$218))/(INDEX($E$185:$M$185,0,P$218+1)-INDEX($E$185:$M$185,0,P$218))+O221)))</f>
        <v>3.080215810657112</v>
      </c>
      <c r="Q221" s="3" cm="1">
        <f t="array" ref="Q221">IF(Q$218=-1,R221,IF(Q$218=99,P221,IF(Q$218=0,INDEX($E188:$M188,0,Q$216),(INDEX($E188:$M188,0,Q$218+1)-INDEX($E188:$M188,0,Q$218))/(INDEX($E$185:$M$185,0,Q$218+1)-INDEX($E$185:$M$185,0,Q$218))+P221)))</f>
        <v>3.1547108880006456</v>
      </c>
      <c r="R221" s="3" cm="1">
        <f t="array" ref="R221">IF(R$218=-1,S221,IF(R$218=99,Q221,IF(R$218=0,INDEX($E188:$M188,0,R$216),(INDEX($E188:$M188,0,R$218+1)-INDEX($E188:$M188,0,R$218))/(INDEX($E$185:$M$185,0,R$218+1)-INDEX($E$185:$M$185,0,R$218))+Q221)))</f>
        <v>2.9311885869727514</v>
      </c>
      <c r="S221" s="3" cm="1">
        <f t="array" ref="S221">IF(S$218=-1,T221,IF(S$218=99,R221,IF(S$218=0,INDEX($E188:$M188,0,S$216),(INDEX($E188:$M188,0,S$218+1)-INDEX($E188:$M188,0,S$218))/(INDEX($E$185:$M$185,0,S$218+1)-INDEX($E$185:$M$185,0,S$218))+R221)))</f>
        <v>2.8728197209252242</v>
      </c>
      <c r="T221" s="3" cm="1">
        <f t="array" ref="T221">IF(T$218=-1,U221,IF(T$218=99,S221,IF(T$218=0,INDEX($E188:$M188,0,T$216),(INDEX($E188:$M188,0,T$218+1)-INDEX($E188:$M188,0,T$218))/(INDEX($E$185:$M$185,0,T$218+1)-INDEX($E$185:$M$185,0,T$218))+S221)))</f>
        <v>2.9646509085213055</v>
      </c>
      <c r="U221" s="3" cm="1">
        <f t="array" ref="U221">IF(U$218=-1,V221,IF(U$218=99,T221,IF(U$218=0,INDEX($E188:$M188,0,U$216),(INDEX($E188:$M188,0,U$218+1)-INDEX($E188:$M188,0,U$218))/(INDEX($E$185:$M$185,0,U$218+1)-INDEX($E$185:$M$185,0,U$218))+T221)))</f>
        <v>3.0564820961173869</v>
      </c>
      <c r="V221" s="3" cm="1">
        <f t="array" ref="V221">IF(V$218=-1,W221,IF(V$218=99,U221,IF(V$218=0,INDEX($E188:$M188,0,V$216),(INDEX($E188:$M188,0,V$218+1)-INDEX($E188:$M188,0,V$218))/(INDEX($E$185:$M$185,0,V$218+1)-INDEX($E$185:$M$185,0,V$218))+U221)))</f>
        <v>3.1483132837134682</v>
      </c>
      <c r="W221" s="3" cm="1">
        <f t="array" ref="W221">IF(W$218=-1,X221,IF(W$218=99,V221,IF(W$218=0,INDEX($E188:$M188,0,W$216),(INDEX($E188:$M188,0,W$218+1)-INDEX($E188:$M188,0,W$218))/(INDEX($E$185:$M$185,0,W$218+1)-INDEX($E$185:$M$185,0,W$218))+V221)))</f>
        <v>3.2401444713095495</v>
      </c>
      <c r="X221" s="3" cm="1">
        <f t="array" ref="X221">IF(X$218=-1,Y221,IF(X$218=99,W221,IF(X$218=0,INDEX($E188:$M188,0,X$216),(INDEX($E188:$M188,0,X$218+1)-INDEX($E188:$M188,0,X$218))/(INDEX($E$185:$M$185,0,X$218+1)-INDEX($E$185:$M$185,0,X$218))+W221)))</f>
        <v>3.3319756589056309</v>
      </c>
      <c r="Y221" s="3" cm="1">
        <f t="array" ref="Y221">IF(Y$218=-1,Z221,IF(Y$218=99,X221,IF(Y$218=0,INDEX($E188:$M188,0,Y$216),(INDEX($E188:$M188,0,Y$218+1)-INDEX($E188:$M188,0,Y$218))/(INDEX($E$185:$M$185,0,Y$218+1)-INDEX($E$185:$M$185,0,Y$218))+X221)))</f>
        <v>3.4238068465017122</v>
      </c>
      <c r="Z221" s="3" cm="1">
        <f t="array" ref="Z221">IF(Z$218=-1,AA221,IF(Z$218=99,Y221,IF(Z$218=0,INDEX($E188:$M188,0,Z$216),(INDEX($E188:$M188,0,Z$218+1)-INDEX($E188:$M188,0,Z$218))/(INDEX($E$185:$M$185,0,Z$218+1)-INDEX($E$185:$M$185,0,Z$218))+Y221)))</f>
        <v>3.5156380340977935</v>
      </c>
      <c r="AA221" s="3" cm="1">
        <f t="array" ref="AA221">IF(AA$218=-1,AB221,IF(AA$218=99,Z221,IF(AA$218=0,INDEX($E188:$M188,0,AA$216),(INDEX($E188:$M188,0,AA$218+1)-INDEX($E188:$M188,0,AA$218))/(INDEX($E$185:$M$185,0,AA$218+1)-INDEX($E$185:$M$185,0,AA$218))+Z221)))</f>
        <v>3.6074692216938749</v>
      </c>
      <c r="AB221" s="3" cm="1">
        <f t="array" ref="AB221">IF(AB$218=-1,AC221,IF(AB$218=99,AA221,IF(AB$218=0,INDEX($E188:$M188,0,AB$216),(INDEX($E188:$M188,0,AB$218+1)-INDEX($E188:$M188,0,AB$218))/(INDEX($E$185:$M$185,0,AB$218+1)-INDEX($E$185:$M$185,0,AB$218))+AA221)))</f>
        <v>3.6993004092899571</v>
      </c>
      <c r="AC221" s="3" cm="1">
        <f t="array" ref="AC221">IF(AC$218=-1,AD221,IF(AC$218=99,AB221,IF(AC$218=0,INDEX($E188:$M188,0,AC$216),(INDEX($E188:$M188,0,AC$218+1)-INDEX($E188:$M188,0,AC$218))/(INDEX($E$185:$M$185,0,AC$218+1)-INDEX($E$185:$M$185,0,AC$218))+AB221)))</f>
        <v>3.8177259531849539</v>
      </c>
      <c r="AD221" s="3" cm="1">
        <f t="array" ref="AD221">IF(AD$218=-1,AE221,IF(AD$218=99,AC221,IF(AD$218=0,INDEX($E188:$M188,0,AD$216),(INDEX($E188:$M188,0,AD$218+1)-INDEX($E188:$M188,0,AD$218))/(INDEX($E$185:$M$185,0,AD$218+1)-INDEX($E$185:$M$185,0,AD$218))+AC221)))</f>
        <v>3.9361514970799507</v>
      </c>
      <c r="AE221" s="3" cm="1">
        <f t="array" ref="AE221">IF(AE$218=-1,AF221,IF(AE$218=99,AD221,IF(AE$218=0,INDEX($E188:$M188,0,AE$216),(INDEX($E188:$M188,0,AE$218+1)-INDEX($E188:$M188,0,AE$218))/(INDEX($E$185:$M$185,0,AE$218+1)-INDEX($E$185:$M$185,0,AE$218))+AD221)))</f>
        <v>4.054577040974948</v>
      </c>
      <c r="AF221" s="3" cm="1">
        <f t="array" ref="AF221">IF(AF$218=-1,AG221,IF(AF$218=99,AE221,IF(AF$218=0,INDEX($E188:$M188,0,AF$216),(INDEX($E188:$M188,0,AF$218+1)-INDEX($E188:$M188,0,AF$218))/(INDEX($E$185:$M$185,0,AF$218+1)-INDEX($E$185:$M$185,0,AF$218))+AE221)))</f>
        <v>4.1730025848699448</v>
      </c>
      <c r="AG221" s="3" cm="1">
        <f t="array" ref="AG221">IF(AG$218=-1,AH221,IF(AG$218=99,AF221,IF(AG$218=0,INDEX($E188:$M188,0,AG$216),(INDEX($E188:$M188,0,AG$218+1)-INDEX($E188:$M188,0,AG$218))/(INDEX($E$185:$M$185,0,AG$218+1)-INDEX($E$185:$M$185,0,AG$218))+AF221)))</f>
        <v>4.2914281287649416</v>
      </c>
      <c r="AH221" s="3" cm="1">
        <f t="array" ref="AH221">IF(AH$218=-1,AI221,IF(AH$218=99,AG221,IF(AH$218=0,INDEX($E188:$M188,0,AH$216),(INDEX($E188:$M188,0,AH$218+1)-INDEX($E188:$M188,0,AH$218))/(INDEX($E$185:$M$185,0,AH$218+1)-INDEX($E$185:$M$185,0,AH$218))+AG221)))</f>
        <v>4.4098536726599384</v>
      </c>
      <c r="AI221" s="3" cm="1">
        <f t="array" ref="AI221">IF(AI$218=-1,AJ221,IF(AI$218=99,AH221,IF(AI$218=0,INDEX($E188:$M188,0,AI$216),(INDEX($E188:$M188,0,AI$218+1)-INDEX($E188:$M188,0,AI$218))/(INDEX($E$185:$M$185,0,AI$218+1)-INDEX($E$185:$M$185,0,AI$218))+AH221)))</f>
        <v>4.5282792165549353</v>
      </c>
      <c r="AJ221" s="3" cm="1">
        <f t="array" ref="AJ221">IF(AJ$218=-1,AK221,IF(AJ$218=99,AI221,IF(AJ$218=0,INDEX($E188:$M188,0,AJ$216),(INDEX($E188:$M188,0,AJ$218+1)-INDEX($E188:$M188,0,AJ$218))/(INDEX($E$185:$M$185,0,AJ$218+1)-INDEX($E$185:$M$185,0,AJ$218))+AI221)))</f>
        <v>4.6467047604499321</v>
      </c>
      <c r="AK221" s="3" cm="1">
        <f t="array" ref="AK221">IF(AK$218=-1,AL221,IF(AK$218=99,AJ221,IF(AK$218=0,INDEX($E188:$M188,0,AK$216),(INDEX($E188:$M188,0,AK$218+1)-INDEX($E188:$M188,0,AK$218))/(INDEX($E$185:$M$185,0,AK$218+1)-INDEX($E$185:$M$185,0,AK$218))+AJ221)))</f>
        <v>4.7651303043449289</v>
      </c>
      <c r="AL221" s="3" cm="1">
        <f t="array" ref="AL221">IF(AL$218=-1,AM221,IF(AL$218=99,AK221,IF(AL$218=0,INDEX($E188:$M188,0,AL$216),(INDEX($E188:$M188,0,AL$218+1)-INDEX($E188:$M188,0,AL$218))/(INDEX($E$185:$M$185,0,AL$218+1)-INDEX($E$185:$M$185,0,AL$218))+AK221)))</f>
        <v>4.8835558482399266</v>
      </c>
      <c r="AM221" s="257">
        <f t="shared" si="608"/>
        <v>5.4348551572798875</v>
      </c>
      <c r="AN221" s="3" cm="1">
        <f t="array" ref="AN221">IF(AN$218=-1,AO221,IF(AN$218=99,AM221,IF(AN$218=0,INDEX($E188:$M188,0,AN$216),(INDEX($E188:$M188,0,AN$218+1)-INDEX($E188:$M188,0,AN$218))/(INDEX($E$185:$M$185,0,AN$218+1)-INDEX($E$185:$M$185,0,AN$218))+AM221)))</f>
        <v>5.9861544663198485</v>
      </c>
      <c r="AO221" s="3" cm="1">
        <f t="array" ref="AO221">IF(AO$218=-1,AP221,IF(AO$218=99,AN221,IF(AO$218=0,INDEX($E188:$M188,0,AO$216),(INDEX($E188:$M188,0,AO$218+1)-INDEX($E188:$M188,0,AO$218))/(INDEX($E$185:$M$185,0,AO$218+1)-INDEX($E$185:$M$185,0,AO$218))+AN221)))</f>
        <v>5.9861544663198485</v>
      </c>
      <c r="AP221" s="3" cm="1">
        <f t="array" ref="AP221">IF(AP$218=-1,#REF!,IF(AP$218=99,AO221,IF(AP$218=0,INDEX($E188:$M188,0,AP$216),(INDEX($E188:$M188,0,AP$218+1)-INDEX($E188:$M188,0,AP$218))/(INDEX($E$185:$M$185,0,AP$218+1)-INDEX($E$185:$M$185,0,AP$218))+AO221)))</f>
        <v>5.9861544663198485</v>
      </c>
      <c r="AQ221" s="3"/>
      <c r="AT221" s="3"/>
      <c r="AU221" s="3"/>
      <c r="BE221" s="3">
        <f t="shared" si="606"/>
        <v>3.3646857046699763</v>
      </c>
      <c r="BF221" s="97">
        <f t="shared" si="607"/>
        <v>0</v>
      </c>
    </row>
    <row r="222" spans="1:58">
      <c r="B222" s="16" t="str">
        <f t="shared" si="601"/>
        <v>COM_PROJ</v>
      </c>
      <c r="C222" s="17" t="str">
        <f t="shared" si="602"/>
        <v>-</v>
      </c>
      <c r="D222" s="48" t="str">
        <f t="shared" si="603"/>
        <v>TPPUBUS</v>
      </c>
      <c r="E222" s="17" t="str">
        <f t="shared" si="604"/>
        <v>-</v>
      </c>
      <c r="F222" s="17" t="str">
        <f t="shared" si="604"/>
        <v>-</v>
      </c>
      <c r="G222" s="17" t="str">
        <f t="shared" si="604"/>
        <v>-</v>
      </c>
      <c r="H222" s="17" t="str">
        <f t="shared" si="604"/>
        <v>-</v>
      </c>
      <c r="I222" s="16">
        <f t="shared" si="605"/>
        <v>0</v>
      </c>
      <c r="J222" s="3">
        <f>INDEX('[2]TS BYDem'!J$10:J$59,MATCH($D222,'[2]TS BYDem'!D$10:D$59,0))</f>
        <v>1.4990333520535337</v>
      </c>
      <c r="K222" s="3" cm="1">
        <f t="array" ref="K222">IF(K$218=-1,L222,IF(K$218=99,BE222,IF(K$218=0,INDEX($E189:$M189,0,K$216),(INDEX($E189:$M189,0,K$218+1)-INDEX($E189:$M189,0,K$218))/(INDEX($E$185:$M$185,0,K$218+1)-INDEX($E$185:$M$185,0,K$218))+BE222)))</f>
        <v>0.78756431075905675</v>
      </c>
      <c r="L222" s="3" cm="1">
        <f t="array" ref="L222">IF(L$218=-1,M222,IF(L$218=99,K222,IF(L$218=0,INDEX($E189:$M189,0,L$216),(INDEX($E189:$M189,0,L$218+1)-INDEX($E189:$M189,0,L$218))/(INDEX($E$185:$M$185,0,L$218+1)-INDEX($E$185:$M$185,0,L$218))+K222)))</f>
        <v>0.95713713180052451</v>
      </c>
      <c r="M222" s="3" cm="1">
        <f t="array" ref="M222">IF(M$218=-1,N222,IF(M$218=99,L222,IF(M$218=0,INDEX($E189:$M189,0,M$216),(INDEX($E189:$M189,0,M$218+1)-INDEX($E189:$M189,0,M$218))/(INDEX($E$185:$M$185,0,M$218+1)-INDEX($E$185:$M$185,0,M$218))+L222)))</f>
        <v>1.1267099528419922</v>
      </c>
      <c r="N222" s="3" cm="1">
        <f t="array" ref="N222">IF(N$218=-1,O222,IF(N$218=99,M222,IF(N$218=0,INDEX($E189:$M189,0,N$216),(INDEX($E189:$M189,0,N$218+1)-INDEX($E189:$M189,0,N$218))/(INDEX($E$185:$M$185,0,N$218+1)-INDEX($E$185:$M$185,0,N$218))+M222)))</f>
        <v>0.93340029034829985</v>
      </c>
      <c r="O222" s="3" cm="1">
        <f t="array" ref="O222">IF(O$218=-1,P222,IF(O$218=99,N222,IF(O$218=0,INDEX($E189:$M189,0,O$216),(INDEX($E189:$M189,0,O$218+1)-INDEX($E189:$M189,0,O$218))/(INDEX($E$185:$M$185,0,O$218+1)-INDEX($E$185:$M$185,0,O$218))+N222)))</f>
        <v>0.74009062785460766</v>
      </c>
      <c r="P222" s="3" cm="1">
        <f t="array" ref="P222">IF(P$218=-1,Q222,IF(P$218=99,O222,IF(P$218=0,INDEX($E189:$M189,0,P$216),(INDEX($E189:$M189,0,P$218+1)-INDEX($E189:$M189,0,P$218))/(INDEX($E$185:$M$185,0,P$218+1)-INDEX($E$185:$M$185,0,P$218))+O222)))</f>
        <v>0.74856468488310512</v>
      </c>
      <c r="Q222" s="3" cm="1">
        <f t="array" ref="Q222">IF(Q$218=-1,R222,IF(Q$218=99,P222,IF(Q$218=0,INDEX($E189:$M189,0,Q$216),(INDEX($E189:$M189,0,Q$218+1)-INDEX($E189:$M189,0,Q$218))/(INDEX($E$185:$M$185,0,Q$218+1)-INDEX($E$185:$M$185,0,Q$218))+P222)))</f>
        <v>0.7570387419116027</v>
      </c>
      <c r="R222" s="3" cm="1">
        <f t="array" ref="R222">IF(R$218=-1,S222,IF(R$218=99,Q222,IF(R$218=0,INDEX($E189:$M189,0,R$216),(INDEX($E189:$M189,0,R$218+1)-INDEX($E189:$M189,0,R$218))/(INDEX($E$185:$M$185,0,R$218+1)-INDEX($E$185:$M$185,0,R$218))+Q222)))</f>
        <v>0.76920545170235954</v>
      </c>
      <c r="S222" s="3" cm="1">
        <f t="array" ref="S222">IF(S$218=-1,T222,IF(S$218=99,R222,IF(S$218=0,INDEX($E189:$M189,0,S$216),(INDEX($E189:$M189,0,S$218+1)-INDEX($E189:$M189,0,S$218))/(INDEX($E$185:$M$185,0,S$218+1)-INDEX($E$185:$M$185,0,S$218))+R222)))</f>
        <v>0.78994295148578941</v>
      </c>
      <c r="T222" s="3" cm="1">
        <f t="array" ref="T222">IF(T$218=-1,U222,IF(T$218=99,S222,IF(T$218=0,INDEX($E189:$M189,0,T$216),(INDEX($E189:$M189,0,T$218+1)-INDEX($E189:$M189,0,T$218))/(INDEX($E$185:$M$185,0,T$218+1)-INDEX($E$185:$M$185,0,T$218))+S222)))</f>
        <v>0.79210406561384805</v>
      </c>
      <c r="U222" s="3" cm="1">
        <f t="array" ref="U222">IF(U$218=-1,V222,IF(U$218=99,T222,IF(U$218=0,INDEX($E189:$M189,0,U$216),(INDEX($E189:$M189,0,U$218+1)-INDEX($E189:$M189,0,U$218))/(INDEX($E$185:$M$185,0,U$218+1)-INDEX($E$185:$M$185,0,U$218))+T222)))</f>
        <v>0.79426517974190669</v>
      </c>
      <c r="V222" s="3" cm="1">
        <f t="array" ref="V222">IF(V$218=-1,W222,IF(V$218=99,U222,IF(V$218=0,INDEX($E189:$M189,0,V$216),(INDEX($E189:$M189,0,V$218+1)-INDEX($E189:$M189,0,V$218))/(INDEX($E$185:$M$185,0,V$218+1)-INDEX($E$185:$M$185,0,V$218))+U222)))</f>
        <v>0.79642629386996533</v>
      </c>
      <c r="W222" s="3" cm="1">
        <f t="array" ref="W222">IF(W$218=-1,X222,IF(W$218=99,V222,IF(W$218=0,INDEX($E189:$M189,0,W$216),(INDEX($E189:$M189,0,W$218+1)-INDEX($E189:$M189,0,W$218))/(INDEX($E$185:$M$185,0,W$218+1)-INDEX($E$185:$M$185,0,W$218))+V222)))</f>
        <v>0.79858740799802397</v>
      </c>
      <c r="X222" s="3" cm="1">
        <f t="array" ref="X222">IF(X$218=-1,Y222,IF(X$218=99,W222,IF(X$218=0,INDEX($E189:$M189,0,X$216),(INDEX($E189:$M189,0,X$218+1)-INDEX($E189:$M189,0,X$218))/(INDEX($E$185:$M$185,0,X$218+1)-INDEX($E$185:$M$185,0,X$218))+W222)))</f>
        <v>0.80074852212608261</v>
      </c>
      <c r="Y222" s="3" cm="1">
        <f t="array" ref="Y222">IF(Y$218=-1,Z222,IF(Y$218=99,X222,IF(Y$218=0,INDEX($E189:$M189,0,Y$216),(INDEX($E189:$M189,0,Y$218+1)-INDEX($E189:$M189,0,Y$218))/(INDEX($E$185:$M$185,0,Y$218+1)-INDEX($E$185:$M$185,0,Y$218))+X222)))</f>
        <v>0.80290963625414125</v>
      </c>
      <c r="Z222" s="3" cm="1">
        <f t="array" ref="Z222">IF(Z$218=-1,AA222,IF(Z$218=99,Y222,IF(Z$218=0,INDEX($E189:$M189,0,Z$216),(INDEX($E189:$M189,0,Z$218+1)-INDEX($E189:$M189,0,Z$218))/(INDEX($E$185:$M$185,0,Z$218+1)-INDEX($E$185:$M$185,0,Z$218))+Y222)))</f>
        <v>0.80507075038219988</v>
      </c>
      <c r="AA222" s="3" cm="1">
        <f t="array" ref="AA222">IF(AA$218=-1,AB222,IF(AA$218=99,Z222,IF(AA$218=0,INDEX($E189:$M189,0,AA$216),(INDEX($E189:$M189,0,AA$218+1)-INDEX($E189:$M189,0,AA$218))/(INDEX($E$185:$M$185,0,AA$218+1)-INDEX($E$185:$M$185,0,AA$218))+Z222)))</f>
        <v>0.80723186451025852</v>
      </c>
      <c r="AB222" s="3" cm="1">
        <f t="array" ref="AB222">IF(AB$218=-1,AC222,IF(AB$218=99,AA222,IF(AB$218=0,INDEX($E189:$M189,0,AB$216),(INDEX($E189:$M189,0,AB$218+1)-INDEX($E189:$M189,0,AB$218))/(INDEX($E$185:$M$185,0,AB$218+1)-INDEX($E$185:$M$185,0,AB$218))+AA222)))</f>
        <v>0.80939297863831716</v>
      </c>
      <c r="AC222" s="3" cm="1">
        <f t="array" ref="AC222">IF(AC$218=-1,AD222,IF(AC$218=99,AB222,IF(AC$218=0,INDEX($E189:$M189,0,AC$216),(INDEX($E189:$M189,0,AC$218+1)-INDEX($E189:$M189,0,AC$218))/(INDEX($E$185:$M$185,0,AC$218+1)-INDEX($E$185:$M$185,0,AC$218))+AB222)))</f>
        <v>0.80533794641472256</v>
      </c>
      <c r="AD222" s="3" cm="1">
        <f t="array" ref="AD222">IF(AD$218=-1,AE222,IF(AD$218=99,AC222,IF(AD$218=0,INDEX($E189:$M189,0,AD$216),(INDEX($E189:$M189,0,AD$218+1)-INDEX($E189:$M189,0,AD$218))/(INDEX($E$185:$M$185,0,AD$218+1)-INDEX($E$185:$M$185,0,AD$218))+AC222)))</f>
        <v>0.80128291419112796</v>
      </c>
      <c r="AE222" s="3" cm="1">
        <f t="array" ref="AE222">IF(AE$218=-1,AF222,IF(AE$218=99,AD222,IF(AE$218=0,INDEX($E189:$M189,0,AE$216),(INDEX($E189:$M189,0,AE$218+1)-INDEX($E189:$M189,0,AE$218))/(INDEX($E$185:$M$185,0,AE$218+1)-INDEX($E$185:$M$185,0,AE$218))+AD222)))</f>
        <v>0.79722788196753336</v>
      </c>
      <c r="AF222" s="3" cm="1">
        <f t="array" ref="AF222">IF(AF$218=-1,AG222,IF(AF$218=99,AE222,IF(AF$218=0,INDEX($E189:$M189,0,AF$216),(INDEX($E189:$M189,0,AF$218+1)-INDEX($E189:$M189,0,AF$218))/(INDEX($E$185:$M$185,0,AF$218+1)-INDEX($E$185:$M$185,0,AF$218))+AE222)))</f>
        <v>0.79317284974393876</v>
      </c>
      <c r="AG222" s="3" cm="1">
        <f t="array" ref="AG222">IF(AG$218=-1,AH222,IF(AG$218=99,AF222,IF(AG$218=0,INDEX($E189:$M189,0,AG$216),(INDEX($E189:$M189,0,AG$218+1)-INDEX($E189:$M189,0,AG$218))/(INDEX($E$185:$M$185,0,AG$218+1)-INDEX($E$185:$M$185,0,AG$218))+AF222)))</f>
        <v>0.78911781752034416</v>
      </c>
      <c r="AH222" s="3" cm="1">
        <f t="array" ref="AH222">IF(AH$218=-1,AI222,IF(AH$218=99,AG222,IF(AH$218=0,INDEX($E189:$M189,0,AH$216),(INDEX($E189:$M189,0,AH$218+1)-INDEX($E189:$M189,0,AH$218))/(INDEX($E$185:$M$185,0,AH$218+1)-INDEX($E$185:$M$185,0,AH$218))+AG222)))</f>
        <v>0.78506278529674955</v>
      </c>
      <c r="AI222" s="3" cm="1">
        <f t="array" ref="AI222">IF(AI$218=-1,AJ222,IF(AI$218=99,AH222,IF(AI$218=0,INDEX($E189:$M189,0,AI$216),(INDEX($E189:$M189,0,AI$218+1)-INDEX($E189:$M189,0,AI$218))/(INDEX($E$185:$M$185,0,AI$218+1)-INDEX($E$185:$M$185,0,AI$218))+AH222)))</f>
        <v>0.78100775307315495</v>
      </c>
      <c r="AJ222" s="3" cm="1">
        <f t="array" ref="AJ222">IF(AJ$218=-1,AK222,IF(AJ$218=99,AI222,IF(AJ$218=0,INDEX($E189:$M189,0,AJ$216),(INDEX($E189:$M189,0,AJ$218+1)-INDEX($E189:$M189,0,AJ$218))/(INDEX($E$185:$M$185,0,AJ$218+1)-INDEX($E$185:$M$185,0,AJ$218))+AI222)))</f>
        <v>0.77695272084956035</v>
      </c>
      <c r="AK222" s="3" cm="1">
        <f t="array" ref="AK222">IF(AK$218=-1,AL222,IF(AK$218=99,AJ222,IF(AK$218=0,INDEX($E189:$M189,0,AK$216),(INDEX($E189:$M189,0,AK$218+1)-INDEX($E189:$M189,0,AK$218))/(INDEX($E$185:$M$185,0,AK$218+1)-INDEX($E$185:$M$185,0,AK$218))+AJ222)))</f>
        <v>0.77289768862596575</v>
      </c>
      <c r="AL222" s="3" cm="1">
        <f t="array" ref="AL222">IF(AL$218=-1,AM222,IF(AL$218=99,AK222,IF(AL$218=0,INDEX($E189:$M189,0,AL$216),(INDEX($E189:$M189,0,AL$218+1)-INDEX($E189:$M189,0,AL$218))/(INDEX($E$185:$M$185,0,AL$218+1)-INDEX($E$185:$M$185,0,AL$218))+AK222)))</f>
        <v>0.76884265640237137</v>
      </c>
      <c r="AM222" s="257">
        <f t="shared" si="608"/>
        <v>0.74046291797706987</v>
      </c>
      <c r="AN222" s="3" cm="1">
        <f t="array" ref="AN222">IF(AN$218=-1,AO222,IF(AN$218=99,AM222,IF(AN$218=0,INDEX($E189:$M189,0,AN$216),(INDEX($E189:$M189,0,AN$218+1)-INDEX($E189:$M189,0,AN$218))/(INDEX($E$185:$M$185,0,AN$218+1)-INDEX($E$185:$M$185,0,AN$218))+AM222)))</f>
        <v>0.71208317955176847</v>
      </c>
      <c r="AO222" s="3" cm="1">
        <f t="array" ref="AO222">IF(AO$218=-1,AP222,IF(AO$218=99,AN222,IF(AO$218=0,INDEX($E189:$M189,0,AO$216),(INDEX($E189:$M189,0,AO$218+1)-INDEX($E189:$M189,0,AO$218))/(INDEX($E$185:$M$185,0,AO$218+1)-INDEX($E$185:$M$185,0,AO$218))+AN222)))</f>
        <v>0.71208317955176847</v>
      </c>
      <c r="AP222" s="3" cm="1">
        <f t="array" ref="AP222">IF(AP$218=-1,#REF!,IF(AP$218=99,AO222,IF(AP$218=0,INDEX($E189:$M189,0,AP$216),(INDEX($E189:$M189,0,AP$218+1)-INDEX($E189:$M189,0,AP$218))/(INDEX($E$185:$M$185,0,AP$218+1)-INDEX($E$185:$M$185,0,AP$218))+AO222)))</f>
        <v>0.71208317955176847</v>
      </c>
      <c r="AQ222" s="3"/>
      <c r="AT222" s="3"/>
      <c r="AU222" s="3"/>
      <c r="BE222" s="3">
        <f t="shared" si="606"/>
        <v>0.61799148971758899</v>
      </c>
      <c r="BF222" s="97">
        <f t="shared" si="607"/>
        <v>0.5877400000000006</v>
      </c>
    </row>
    <row r="223" spans="1:58">
      <c r="B223" s="16" t="str">
        <f t="shared" si="601"/>
        <v>COM_PROJ</v>
      </c>
      <c r="C223" s="17" t="str">
        <f t="shared" si="602"/>
        <v>-</v>
      </c>
      <c r="D223" s="48" t="str">
        <f t="shared" si="603"/>
        <v>TPPUMBT</v>
      </c>
      <c r="E223" s="17" t="str">
        <f t="shared" si="604"/>
        <v>-</v>
      </c>
      <c r="F223" s="17" t="str">
        <f t="shared" si="604"/>
        <v>-</v>
      </c>
      <c r="G223" s="17" t="str">
        <f t="shared" si="604"/>
        <v>-</v>
      </c>
      <c r="H223" s="17" t="str">
        <f t="shared" si="604"/>
        <v>-</v>
      </c>
      <c r="I223" s="16">
        <f t="shared" si="605"/>
        <v>0</v>
      </c>
      <c r="J223" s="3">
        <f>INDEX('[2]TS BYDem'!J$10:J$59,MATCH($D223,'[2]TS BYDem'!D$10:D$59,0))</f>
        <v>6.1732186716195621</v>
      </c>
      <c r="K223" s="3" cm="1">
        <f t="array" ref="K223">IF(K$218=-1,L223,IF(K$218=99,BE223,IF(K$218=0,INDEX($E190:$M190,0,K$216),(INDEX($E190:$M190,0,K$218+1)-INDEX($E190:$M190,0,K$218))/(INDEX($E$185:$M$185,0,K$218+1)-INDEX($E$185:$M$185,0,K$218))+BE223)))</f>
        <v>6.1714992841593981</v>
      </c>
      <c r="L223" s="3" cm="1">
        <f t="array" ref="L223">IF(L$218=-1,M223,IF(L$218=99,K223,IF(L$218=0,INDEX($E190:$M190,0,L$216),(INDEX($E190:$M190,0,L$218+1)-INDEX($E190:$M190,0,L$218))/(INDEX($E$185:$M$185,0,L$218+1)-INDEX($E$185:$M$185,0,L$218))+K223)))</f>
        <v>6.4731729485818583</v>
      </c>
      <c r="M223" s="3" cm="1">
        <f t="array" ref="M223">IF(M$218=-1,N223,IF(M$218=99,L223,IF(M$218=0,INDEX($E190:$M190,0,M$216),(INDEX($E190:$M190,0,M$218+1)-INDEX($E190:$M190,0,M$218))/(INDEX($E$185:$M$185,0,M$218+1)-INDEX($E$185:$M$185,0,M$218))+L223)))</f>
        <v>6.7748466130043186</v>
      </c>
      <c r="N223" s="18" cm="1">
        <f t="array" ref="N223">IF(N$218=-1,O223,IF(N$218=99,M223,IF(N$218=0,INDEX($E190:$M190,0,N$216),(INDEX($E190:$M190,0,N$218+1)-INDEX($E190:$M190,0,N$218))/(INDEX($E$185:$M$185,0,N$218+1)-INDEX($E$185:$M$185,0,N$218))+M223)))</f>
        <v>6.8833871193047518</v>
      </c>
      <c r="O223" s="18" cm="1">
        <f t="array" ref="O223">IF(O$218=-1,P223,IF(O$218=99,N223,IF(O$218=0,INDEX($E190:$M190,0,O$216),(INDEX($E190:$M190,0,O$218+1)-INDEX($E190:$M190,0,O$218))/(INDEX($E$185:$M$185,0,O$218+1)-INDEX($E$185:$M$185,0,O$218))+N223)))</f>
        <v>6.9919276256051859</v>
      </c>
      <c r="P223" s="3" cm="1">
        <f t="array" ref="P223">IF(P$218=-1,Q223,IF(P$218=99,O223,IF(P$218=0,INDEX($E190:$M190,0,P$216),(INDEX($E190:$M190,0,P$218+1)-INDEX($E190:$M190,0,P$218))/(INDEX($E$185:$M$185,0,P$218+1)-INDEX($E$185:$M$185,0,P$218))+O223)))</f>
        <v>7.0719853796268266</v>
      </c>
      <c r="Q223" s="3" cm="1">
        <f t="array" ref="Q223">IF(Q$218=-1,R223,IF(Q$218=99,P223,IF(Q$218=0,INDEX($E190:$M190,0,Q$216),(INDEX($E190:$M190,0,Q$218+1)-INDEX($E190:$M190,0,Q$218))/(INDEX($E$185:$M$185,0,Q$218+1)-INDEX($E$185:$M$185,0,Q$218))+P223)))</f>
        <v>7.1520431336484673</v>
      </c>
      <c r="R223" s="3" cm="1">
        <f t="array" ref="R223">IF(R$218=-1,S223,IF(R$218=99,Q223,IF(R$218=0,INDEX($E190:$M190,0,R$216),(INDEX($E190:$M190,0,R$218+1)-INDEX($E190:$M190,0,R$218))/(INDEX($E$185:$M$185,0,R$218+1)-INDEX($E$185:$M$185,0,R$218))+Q223)))</f>
        <v>7.2669868325645215</v>
      </c>
      <c r="S223" s="3" cm="1">
        <f t="array" ref="S223">IF(S$218=-1,T223,IF(S$218=99,R223,IF(S$218=0,INDEX($E190:$M190,0,S$216),(INDEX($E190:$M190,0,S$218+1)-INDEX($E190:$M190,0,S$218))/(INDEX($E$185:$M$185,0,S$218+1)-INDEX($E$185:$M$185,0,S$218))+R223)))</f>
        <v>7.4629021599103904</v>
      </c>
      <c r="T223" s="3" cm="1">
        <f t="array" ref="T223">IF(T$218=-1,U223,IF(T$218=99,S223,IF(T$218=0,INDEX($E190:$M190,0,T$216),(INDEX($E190:$M190,0,T$218+1)-INDEX($E190:$M190,0,T$218))/(INDEX($E$185:$M$185,0,T$218+1)-INDEX($E$185:$M$185,0,T$218))+S223)))</f>
        <v>7.4833190561732996</v>
      </c>
      <c r="U223" s="3" cm="1">
        <f t="array" ref="U223">IF(U$218=-1,V223,IF(U$218=99,T223,IF(U$218=0,INDEX($E190:$M190,0,U$216),(INDEX($E190:$M190,0,U$218+1)-INDEX($E190:$M190,0,U$218))/(INDEX($E$185:$M$185,0,U$218+1)-INDEX($E$185:$M$185,0,U$218))+T223)))</f>
        <v>7.5037359524362088</v>
      </c>
      <c r="V223" s="3" cm="1">
        <f t="array" ref="V223">IF(V$218=-1,W223,IF(V$218=99,U223,IF(V$218=0,INDEX($E190:$M190,0,V$216),(INDEX($E190:$M190,0,V$218+1)-INDEX($E190:$M190,0,V$218))/(INDEX($E$185:$M$185,0,V$218+1)-INDEX($E$185:$M$185,0,V$218))+U223)))</f>
        <v>7.524152848699118</v>
      </c>
      <c r="W223" s="3" cm="1">
        <f t="array" ref="W223">IF(W$218=-1,X223,IF(W$218=99,V223,IF(W$218=0,INDEX($E190:$M190,0,W$216),(INDEX($E190:$M190,0,W$218+1)-INDEX($E190:$M190,0,W$218))/(INDEX($E$185:$M$185,0,W$218+1)-INDEX($E$185:$M$185,0,W$218))+V223)))</f>
        <v>7.5445697449620273</v>
      </c>
      <c r="X223" s="3" cm="1">
        <f t="array" ref="X223">IF(X$218=-1,Y223,IF(X$218=99,W223,IF(X$218=0,INDEX($E190:$M190,0,X$216),(INDEX($E190:$M190,0,X$218+1)-INDEX($E190:$M190,0,X$218))/(INDEX($E$185:$M$185,0,X$218+1)-INDEX($E$185:$M$185,0,X$218))+W223)))</f>
        <v>7.5649866412249365</v>
      </c>
      <c r="Y223" s="3" cm="1">
        <f t="array" ref="Y223">IF(Y$218=-1,Z223,IF(Y$218=99,X223,IF(Y$218=0,INDEX($E190:$M190,0,Y$216),(INDEX($E190:$M190,0,Y$218+1)-INDEX($E190:$M190,0,Y$218))/(INDEX($E$185:$M$185,0,Y$218+1)-INDEX($E$185:$M$185,0,Y$218))+X223)))</f>
        <v>7.5854035374878457</v>
      </c>
      <c r="Z223" s="3" cm="1">
        <f t="array" ref="Z223">IF(Z$218=-1,AA223,IF(Z$218=99,Y223,IF(Z$218=0,INDEX($E190:$M190,0,Z$216),(INDEX($E190:$M190,0,Z$218+1)-INDEX($E190:$M190,0,Z$218))/(INDEX($E$185:$M$185,0,Z$218+1)-INDEX($E$185:$M$185,0,Z$218))+Y223)))</f>
        <v>7.6058204337507549</v>
      </c>
      <c r="AA223" s="3" cm="1">
        <f t="array" ref="AA223">IF(AA$218=-1,AB223,IF(AA$218=99,Z223,IF(AA$218=0,INDEX($E190:$M190,0,AA$216),(INDEX($E190:$M190,0,AA$218+1)-INDEX($E190:$M190,0,AA$218))/(INDEX($E$185:$M$185,0,AA$218+1)-INDEX($E$185:$M$185,0,AA$218))+Z223)))</f>
        <v>7.6262373300136641</v>
      </c>
      <c r="AB223" s="3" cm="1">
        <f t="array" ref="AB223">IF(AB$218=-1,AC223,IF(AB$218=99,AA223,IF(AB$218=0,INDEX($E190:$M190,0,AB$216),(INDEX($E190:$M190,0,AB$218+1)-INDEX($E190:$M190,0,AB$218))/(INDEX($E$185:$M$185,0,AB$218+1)-INDEX($E$185:$M$185,0,AB$218))+AA223)))</f>
        <v>7.6466542262765724</v>
      </c>
      <c r="AC223" s="3" cm="1">
        <f t="array" ref="AC223">IF(AC$218=-1,AD223,IF(AC$218=99,AB223,IF(AC$218=0,INDEX($E190:$M190,0,AC$216),(INDEX($E190:$M190,0,AC$218+1)-INDEX($E190:$M190,0,AC$218))/(INDEX($E$185:$M$185,0,AC$218+1)-INDEX($E$185:$M$185,0,AC$218))+AB223)))</f>
        <v>7.6083447398977775</v>
      </c>
      <c r="AD223" s="3" cm="1">
        <f t="array" ref="AD223">IF(AD$218=-1,AE223,IF(AD$218=99,AC223,IF(AD$218=0,INDEX($E190:$M190,0,AD$216),(INDEX($E190:$M190,0,AD$218+1)-INDEX($E190:$M190,0,AD$218))/(INDEX($E$185:$M$185,0,AD$218+1)-INDEX($E$185:$M$185,0,AD$218))+AC223)))</f>
        <v>7.5700352535189825</v>
      </c>
      <c r="AE223" s="3" cm="1">
        <f t="array" ref="AE223">IF(AE$218=-1,AF223,IF(AE$218=99,AD223,IF(AE$218=0,INDEX($E190:$M190,0,AE$216),(INDEX($E190:$M190,0,AE$218+1)-INDEX($E190:$M190,0,AE$218))/(INDEX($E$185:$M$185,0,AE$218+1)-INDEX($E$185:$M$185,0,AE$218))+AD223)))</f>
        <v>7.5317257671401876</v>
      </c>
      <c r="AF223" s="3" cm="1">
        <f t="array" ref="AF223">IF(AF$218=-1,AG223,IF(AF$218=99,AE223,IF(AF$218=0,INDEX($E190:$M190,0,AF$216),(INDEX($E190:$M190,0,AF$218+1)-INDEX($E190:$M190,0,AF$218))/(INDEX($E$185:$M$185,0,AF$218+1)-INDEX($E$185:$M$185,0,AF$218))+AE223)))</f>
        <v>7.4934162807613927</v>
      </c>
      <c r="AG223" s="3" cm="1">
        <f t="array" ref="AG223">IF(AG$218=-1,AH223,IF(AG$218=99,AF223,IF(AG$218=0,INDEX($E190:$M190,0,AG$216),(INDEX($E190:$M190,0,AG$218+1)-INDEX($E190:$M190,0,AG$218))/(INDEX($E$185:$M$185,0,AG$218+1)-INDEX($E$185:$M$185,0,AG$218))+AF223)))</f>
        <v>7.4551067943825977</v>
      </c>
      <c r="AH223" s="3" cm="1">
        <f t="array" ref="AH223">IF(AH$218=-1,AI223,IF(AH$218=99,AG223,IF(AH$218=0,INDEX($E190:$M190,0,AH$216),(INDEX($E190:$M190,0,AH$218+1)-INDEX($E190:$M190,0,AH$218))/(INDEX($E$185:$M$185,0,AH$218+1)-INDEX($E$185:$M$185,0,AH$218))+AG223)))</f>
        <v>7.4167973080038028</v>
      </c>
      <c r="AI223" s="3" cm="1">
        <f t="array" ref="AI223">IF(AI$218=-1,AJ223,IF(AI$218=99,AH223,IF(AI$218=0,INDEX($E190:$M190,0,AI$216),(INDEX($E190:$M190,0,AI$218+1)-INDEX($E190:$M190,0,AI$218))/(INDEX($E$185:$M$185,0,AI$218+1)-INDEX($E$185:$M$185,0,AI$218))+AH223)))</f>
        <v>7.3784878216250078</v>
      </c>
      <c r="AJ223" s="3" cm="1">
        <f t="array" ref="AJ223">IF(AJ$218=-1,AK223,IF(AJ$218=99,AI223,IF(AJ$218=0,INDEX($E190:$M190,0,AJ$216),(INDEX($E190:$M190,0,AJ$218+1)-INDEX($E190:$M190,0,AJ$218))/(INDEX($E$185:$M$185,0,AJ$218+1)-INDEX($E$185:$M$185,0,AJ$218))+AI223)))</f>
        <v>7.3401783352462129</v>
      </c>
      <c r="AK223" s="3" cm="1">
        <f t="array" ref="AK223">IF(AK$218=-1,AL223,IF(AK$218=99,AJ223,IF(AK$218=0,INDEX($E190:$M190,0,AK$216),(INDEX($E190:$M190,0,AK$218+1)-INDEX($E190:$M190,0,AK$218))/(INDEX($E$185:$M$185,0,AK$218+1)-INDEX($E$185:$M$185,0,AK$218))+AJ223)))</f>
        <v>7.3018688488674179</v>
      </c>
      <c r="AL223" s="3" cm="1">
        <f t="array" ref="AL223">IF(AL$218=-1,AM223,IF(AL$218=99,AK223,IF(AL$218=0,INDEX($E190:$M190,0,AL$216),(INDEX($E190:$M190,0,AL$218+1)-INDEX($E190:$M190,0,AL$218))/(INDEX($E$185:$M$185,0,AL$218+1)-INDEX($E$185:$M$185,0,AL$218))+AK223)))</f>
        <v>7.2635593624886186</v>
      </c>
      <c r="AM223" s="257">
        <f t="shared" si="608"/>
        <v>6.9954447970082736</v>
      </c>
      <c r="AN223" s="3" cm="1">
        <f t="array" ref="AN223">IF(AN$218=-1,AO223,IF(AN$218=99,AM223,IF(AN$218=0,INDEX($E190:$M190,0,AN$216),(INDEX($E190:$M190,0,AN$218+1)-INDEX($E190:$M190,0,AN$218))/(INDEX($E$185:$M$185,0,AN$218+1)-INDEX($E$185:$M$185,0,AN$218))+AM223)))</f>
        <v>6.7273302315279278</v>
      </c>
      <c r="AO223" s="3" cm="1">
        <f t="array" ref="AO223">IF(AO$218=-1,AP223,IF(AO$218=99,AN223,IF(AO$218=0,INDEX($E190:$M190,0,AO$216),(INDEX($E190:$M190,0,AO$218+1)-INDEX($E190:$M190,0,AO$218))/(INDEX($E$185:$M$185,0,AO$218+1)-INDEX($E$185:$M$185,0,AO$218))+AN223)))</f>
        <v>6.7273302315279278</v>
      </c>
      <c r="AP223" s="3" cm="1">
        <f t="array" ref="AP223">IF(AP$218=-1,#REF!,IF(AP$218=99,AO223,IF(AP$218=0,INDEX($E190:$M190,0,AP$216),(INDEX($E190:$M190,0,AP$218+1)-INDEX($E190:$M190,0,AP$218))/(INDEX($E$185:$M$185,0,AP$218+1)-INDEX($E$185:$M$185,0,AP$218))+AO223)))</f>
        <v>6.7273302315279278</v>
      </c>
      <c r="AQ223" s="3"/>
      <c r="AT223" s="3"/>
      <c r="AU223" s="3"/>
      <c r="BE223" s="3">
        <f t="shared" si="606"/>
        <v>5.8698256197369378</v>
      </c>
      <c r="BF223" s="97">
        <f t="shared" si="607"/>
        <v>4.9146655581378935E-2</v>
      </c>
    </row>
    <row r="224" spans="1:58">
      <c r="B224" s="16" t="str">
        <f t="shared" si="601"/>
        <v>COM_PROJ</v>
      </c>
      <c r="C224" s="17" t="str">
        <f t="shared" si="602"/>
        <v>-</v>
      </c>
      <c r="D224" s="48" t="str">
        <f t="shared" si="603"/>
        <v>TPPUBRT</v>
      </c>
      <c r="E224" s="17" t="str">
        <f t="shared" si="604"/>
        <v>-</v>
      </c>
      <c r="F224" s="17" t="str">
        <f t="shared" si="604"/>
        <v>-</v>
      </c>
      <c r="G224" s="17" t="str">
        <f t="shared" si="604"/>
        <v>-</v>
      </c>
      <c r="H224" s="17" t="str">
        <f t="shared" si="604"/>
        <v>-</v>
      </c>
      <c r="I224" s="16">
        <f t="shared" si="605"/>
        <v>0</v>
      </c>
      <c r="J224" s="3">
        <f>INDEX('[2]TS BYDem'!J$10:J$59,MATCH($D224,'[2]TS BYDem'!D$10:D$59,0))</f>
        <v>0</v>
      </c>
      <c r="K224" s="3" cm="1">
        <f t="array" ref="K224">IF(K$218=-1,L224,IF(K$218=99,BE224,IF(K$218=0,INDEX($E191:$M191,0,K$216),(INDEX($E191:$M191,0,K$218+1)-INDEX($E191:$M191,0,K$218))/(INDEX($E$185:$M$185,0,K$218+1)-INDEX($E$185:$M$185,0,K$218))+BE224)))</f>
        <v>2.4743662039261104E-2</v>
      </c>
      <c r="L224" s="3" cm="1">
        <f t="array" ref="L224">IF(L$218=-1,M224,IF(L$218=99,K224,IF(L$218=0,INDEX($E191:$M191,0,L$216),(INDEX($E191:$M191,0,L$218+1)-INDEX($E191:$M191,0,L$218))/(INDEX($E$185:$M$185,0,L$218+1)-INDEX($E$185:$M$185,0,L$218))+K224)))</f>
        <v>2.8399581228355071E-2</v>
      </c>
      <c r="M224" s="3" cm="1">
        <f t="array" ref="M224">IF(M$218=-1,N224,IF(M$218=99,L224,IF(M$218=0,INDEX($E191:$M191,0,M$216),(INDEX($E191:$M191,0,M$218+1)-INDEX($E191:$M191,0,M$218))/(INDEX($E$185:$M$185,0,M$218+1)-INDEX($E$185:$M$185,0,M$218))+L224)))</f>
        <v>3.2055500417449041E-2</v>
      </c>
      <c r="N224" s="3" cm="1">
        <f t="array" ref="N224">IF(N$218=-1,O224,IF(N$218=99,M224,IF(N$218=0,INDEX($E191:$M191,0,N$216),(INDEX($E191:$M191,0,N$218+1)-INDEX($E191:$M191,0,N$218))/(INDEX($E$185:$M$185,0,N$218+1)-INDEX($E$185:$M$185,0,N$218))+M224)))</f>
        <v>4.7519121895018071E-2</v>
      </c>
      <c r="O224" s="3" cm="1">
        <f t="array" ref="O224">IF(O$218=-1,P224,IF(O$218=99,N224,IF(O$218=0,INDEX($E191:$M191,0,O$216),(INDEX($E191:$M191,0,O$218+1)-INDEX($E191:$M191,0,O$218))/(INDEX($E$185:$M$185,0,O$218+1)-INDEX($E$185:$M$185,0,O$218))+N224)))</f>
        <v>6.2982743372587108E-2</v>
      </c>
      <c r="P224" s="3" cm="1">
        <f t="array" ref="P224">IF(P$218=-1,Q224,IF(P$218=99,O224,IF(P$218=0,INDEX($E191:$M191,0,P$216),(INDEX($E191:$M191,0,P$218+1)-INDEX($E191:$M191,0,P$218))/(INDEX($E$185:$M$185,0,P$218+1)-INDEX($E$185:$M$185,0,P$218))+O224)))</f>
        <v>8.1980795939356782E-2</v>
      </c>
      <c r="Q224" s="3" cm="1">
        <f t="array" ref="Q224">IF(Q$218=-1,R224,IF(Q$218=99,P224,IF(Q$218=0,INDEX($E191:$M191,0,Q$216),(INDEX($E191:$M191,0,Q$218+1)-INDEX($E191:$M191,0,Q$218))/(INDEX($E$185:$M$185,0,Q$218+1)-INDEX($E$185:$M$185,0,Q$218))+P224)))</f>
        <v>0.10097884850612647</v>
      </c>
      <c r="R224" s="3" cm="1">
        <f t="array" ref="R224">IF(R$218=-1,S224,IF(R$218=99,Q224,IF(R$218=0,INDEX($E191:$M191,0,R$216),(INDEX($E191:$M191,0,R$218+1)-INDEX($E191:$M191,0,R$218))/(INDEX($E$185:$M$185,0,R$218+1)-INDEX($E$185:$M$185,0,R$218))+Q224)))</f>
        <v>0.10218816836006109</v>
      </c>
      <c r="S224" s="3" cm="1">
        <f t="array" ref="S224">IF(S$218=-1,T224,IF(S$218=99,R224,IF(S$218=0,INDEX($E191:$M191,0,S$216),(INDEX($E191:$M191,0,S$218+1)-INDEX($E191:$M191,0,S$218))/(INDEX($E$185:$M$185,0,S$218+1)-INDEX($E$185:$M$185,0,S$218))+R224)))</f>
        <v>0.29582123799058679</v>
      </c>
      <c r="T224" s="3" cm="1">
        <f t="array" ref="T224">IF(T$218=-1,U224,IF(T$218=99,S224,IF(T$218=0,INDEX($E191:$M191,0,T$216),(INDEX($E191:$M191,0,T$218+1)-INDEX($E191:$M191,0,T$218))/(INDEX($E$185:$M$185,0,T$218+1)-INDEX($E$185:$M$185,0,T$218))+S224)))</f>
        <v>0.32674523035896935</v>
      </c>
      <c r="U224" s="3" cm="1">
        <f t="array" ref="U224">IF(U$218=-1,V224,IF(U$218=99,T224,IF(U$218=0,INDEX($E191:$M191,0,U$216),(INDEX($E191:$M191,0,U$218+1)-INDEX($E191:$M191,0,U$218))/(INDEX($E$185:$M$185,0,U$218+1)-INDEX($E$185:$M$185,0,U$218))+T224)))</f>
        <v>0.35766922272735191</v>
      </c>
      <c r="V224" s="3" cm="1">
        <f t="array" ref="V224">IF(V$218=-1,W224,IF(V$218=99,U224,IF(V$218=0,INDEX($E191:$M191,0,V$216),(INDEX($E191:$M191,0,V$218+1)-INDEX($E191:$M191,0,V$218))/(INDEX($E$185:$M$185,0,V$218+1)-INDEX($E$185:$M$185,0,V$218))+U224)))</f>
        <v>0.38859321509573447</v>
      </c>
      <c r="W224" s="3" cm="1">
        <f t="array" ref="W224">IF(W$218=-1,X224,IF(W$218=99,V224,IF(W$218=0,INDEX($E191:$M191,0,W$216),(INDEX($E191:$M191,0,W$218+1)-INDEX($E191:$M191,0,W$218))/(INDEX($E$185:$M$185,0,W$218+1)-INDEX($E$185:$M$185,0,W$218))+V224)))</f>
        <v>0.41951720746411703</v>
      </c>
      <c r="X224" s="3" cm="1">
        <f t="array" ref="X224">IF(X$218=-1,Y224,IF(X$218=99,W224,IF(X$218=0,INDEX($E191:$M191,0,X$216),(INDEX($E191:$M191,0,X$218+1)-INDEX($E191:$M191,0,X$218))/(INDEX($E$185:$M$185,0,X$218+1)-INDEX($E$185:$M$185,0,X$218))+W224)))</f>
        <v>0.45044119983249958</v>
      </c>
      <c r="Y224" s="3" cm="1">
        <f t="array" ref="Y224">IF(Y$218=-1,Z224,IF(Y$218=99,X224,IF(Y$218=0,INDEX($E191:$M191,0,Y$216),(INDEX($E191:$M191,0,Y$218+1)-INDEX($E191:$M191,0,Y$218))/(INDEX($E$185:$M$185,0,Y$218+1)-INDEX($E$185:$M$185,0,Y$218))+X224)))</f>
        <v>0.48136519220088214</v>
      </c>
      <c r="Z224" s="3" cm="1">
        <f t="array" ref="Z224">IF(Z$218=-1,AA224,IF(Z$218=99,Y224,IF(Z$218=0,INDEX($E191:$M191,0,Z$216),(INDEX($E191:$M191,0,Z$218+1)-INDEX($E191:$M191,0,Z$218))/(INDEX($E$185:$M$185,0,Z$218+1)-INDEX($E$185:$M$185,0,Z$218))+Y224)))</f>
        <v>0.51228918456926464</v>
      </c>
      <c r="AA224" s="3" cm="1">
        <f t="array" ref="AA224">IF(AA$218=-1,AB224,IF(AA$218=99,Z224,IF(AA$218=0,INDEX($E191:$M191,0,AA$216),(INDEX($E191:$M191,0,AA$218+1)-INDEX($E191:$M191,0,AA$218))/(INDEX($E$185:$M$185,0,AA$218+1)-INDEX($E$185:$M$185,0,AA$218))+Z224)))</f>
        <v>0.54321317693764715</v>
      </c>
      <c r="AB224" s="3" cm="1">
        <f t="array" ref="AB224">IF(AB$218=-1,AC224,IF(AB$218=99,AA224,IF(AB$218=0,INDEX($E191:$M191,0,AB$216),(INDEX($E191:$M191,0,AB$218+1)-INDEX($E191:$M191,0,AB$218))/(INDEX($E$185:$M$185,0,AB$218+1)-INDEX($E$185:$M$185,0,AB$218))+AA224)))</f>
        <v>0.57413716930602976</v>
      </c>
      <c r="AC224" s="3" cm="1">
        <f t="array" ref="AC224">IF(AC$218=-1,AD224,IF(AC$218=99,AB224,IF(AC$218=0,INDEX($E191:$M191,0,AC$216),(INDEX($E191:$M191,0,AC$218+1)-INDEX($E191:$M191,0,AC$218))/(INDEX($E$185:$M$185,0,AC$218+1)-INDEX($E$185:$M$185,0,AC$218))+AB224)))</f>
        <v>0.62631173941852769</v>
      </c>
      <c r="AD224" s="3" cm="1">
        <f t="array" ref="AD224">IF(AD$218=-1,AE224,IF(AD$218=99,AC224,IF(AD$218=0,INDEX($E191:$M191,0,AD$216),(INDEX($E191:$M191,0,AD$218+1)-INDEX($E191:$M191,0,AD$218))/(INDEX($E$185:$M$185,0,AD$218+1)-INDEX($E$185:$M$185,0,AD$218))+AC224)))</f>
        <v>0.67848630953102562</v>
      </c>
      <c r="AE224" s="3" cm="1">
        <f t="array" ref="AE224">IF(AE$218=-1,AF224,IF(AE$218=99,AD224,IF(AE$218=0,INDEX($E191:$M191,0,AE$216),(INDEX($E191:$M191,0,AE$218+1)-INDEX($E191:$M191,0,AE$218))/(INDEX($E$185:$M$185,0,AE$218+1)-INDEX($E$185:$M$185,0,AE$218))+AD224)))</f>
        <v>0.73066087964352355</v>
      </c>
      <c r="AF224" s="3" cm="1">
        <f t="array" ref="AF224">IF(AF$218=-1,AG224,IF(AF$218=99,AE224,IF(AF$218=0,INDEX($E191:$M191,0,AF$216),(INDEX($E191:$M191,0,AF$218+1)-INDEX($E191:$M191,0,AF$218))/(INDEX($E$185:$M$185,0,AF$218+1)-INDEX($E$185:$M$185,0,AF$218))+AE224)))</f>
        <v>0.78283544975602148</v>
      </c>
      <c r="AG224" s="3" cm="1">
        <f t="array" ref="AG224">IF(AG$218=-1,AH224,IF(AG$218=99,AF224,IF(AG$218=0,INDEX($E191:$M191,0,AG$216),(INDEX($E191:$M191,0,AG$218+1)-INDEX($E191:$M191,0,AG$218))/(INDEX($E$185:$M$185,0,AG$218+1)-INDEX($E$185:$M$185,0,AG$218))+AF224)))</f>
        <v>0.83501001986851942</v>
      </c>
      <c r="AH224" s="3" cm="1">
        <f t="array" ref="AH224">IF(AH$218=-1,AI224,IF(AH$218=99,AG224,IF(AH$218=0,INDEX($E191:$M191,0,AH$216),(INDEX($E191:$M191,0,AH$218+1)-INDEX($E191:$M191,0,AH$218))/(INDEX($E$185:$M$185,0,AH$218+1)-INDEX($E$185:$M$185,0,AH$218))+AG224)))</f>
        <v>0.88718458998101735</v>
      </c>
      <c r="AI224" s="3" cm="1">
        <f t="array" ref="AI224">IF(AI$218=-1,AJ224,IF(AI$218=99,AH224,IF(AI$218=0,INDEX($E191:$M191,0,AI$216),(INDEX($E191:$M191,0,AI$218+1)-INDEX($E191:$M191,0,AI$218))/(INDEX($E$185:$M$185,0,AI$218+1)-INDEX($E$185:$M$185,0,AI$218))+AH224)))</f>
        <v>0.93935916009351528</v>
      </c>
      <c r="AJ224" s="3" cm="1">
        <f t="array" ref="AJ224">IF(AJ$218=-1,AK224,IF(AJ$218=99,AI224,IF(AJ$218=0,INDEX($E191:$M191,0,AJ$216),(INDEX($E191:$M191,0,AJ$218+1)-INDEX($E191:$M191,0,AJ$218))/(INDEX($E$185:$M$185,0,AJ$218+1)-INDEX($E$185:$M$185,0,AJ$218))+AI224)))</f>
        <v>0.99153373020601321</v>
      </c>
      <c r="AK224" s="3" cm="1">
        <f t="array" ref="AK224">IF(AK$218=-1,AL224,IF(AK$218=99,AJ224,IF(AK$218=0,INDEX($E191:$M191,0,AK$216),(INDEX($E191:$M191,0,AK$218+1)-INDEX($E191:$M191,0,AK$218))/(INDEX($E$185:$M$185,0,AK$218+1)-INDEX($E$185:$M$185,0,AK$218))+AJ224)))</f>
        <v>1.0437083003185113</v>
      </c>
      <c r="AL224" s="3" cm="1">
        <f t="array" ref="AL224">IF(AL$218=-1,AM224,IF(AL$218=99,AK224,IF(AL$218=0,INDEX($E191:$M191,0,AL$216),(INDEX($E191:$M191,0,AL$218+1)-INDEX($E191:$M191,0,AL$218))/(INDEX($E$185:$M$185,0,AL$218+1)-INDEX($E$185:$M$185,0,AL$218))+AK224)))</f>
        <v>1.0958828704310095</v>
      </c>
      <c r="AM224" s="257">
        <f t="shared" si="608"/>
        <v>1.3484180353098925</v>
      </c>
      <c r="AN224" s="3" cm="1">
        <f t="array" ref="AN224">IF(AN$218=-1,AO224,IF(AN$218=99,AM224,IF(AN$218=0,INDEX($E191:$M191,0,AN$216),(INDEX($E191:$M191,0,AN$218+1)-INDEX($E191:$M191,0,AN$218))/(INDEX($E$185:$M$185,0,AN$218+1)-INDEX($E$185:$M$185,0,AN$218))+AM224)))</f>
        <v>1.6009532001887754</v>
      </c>
      <c r="AO224" s="3" cm="1">
        <f t="array" ref="AO224">IF(AO$218=-1,AP224,IF(AO$218=99,AN224,IF(AO$218=0,INDEX($E191:$M191,0,AO$216),(INDEX($E191:$M191,0,AO$218+1)-INDEX($E191:$M191,0,AO$218))/(INDEX($E$185:$M$185,0,AO$218+1)-INDEX($E$185:$M$185,0,AO$218))+AN224)))</f>
        <v>1.6009532001887754</v>
      </c>
      <c r="AP224" s="3" cm="1">
        <f t="array" ref="AP224">IF(AP$218=-1,#REF!,IF(AP$218=99,AO224,IF(AP$218=0,INDEX($E191:$M191,0,AP$216),(INDEX($E191:$M191,0,AP$218+1)-INDEX($E191:$M191,0,AP$218))/(INDEX($E$185:$M$185,0,AP$218+1)-INDEX($E$185:$M$185,0,AP$218))+AO224)))</f>
        <v>1.6009532001887754</v>
      </c>
      <c r="AQ224" s="3"/>
      <c r="AT224" s="3"/>
      <c r="AU224" s="3"/>
      <c r="BE224" s="3">
        <f t="shared" si="606"/>
        <v>2.1087742850167138E-2</v>
      </c>
      <c r="BF224" s="97" t="e">
        <f t="shared" si="607"/>
        <v>#DIV/0!</v>
      </c>
    </row>
    <row r="225" spans="1:58">
      <c r="B225" s="16" t="str">
        <f t="shared" si="601"/>
        <v>COM_PROJ</v>
      </c>
      <c r="C225" s="17" t="str">
        <f t="shared" si="602"/>
        <v>-</v>
      </c>
      <c r="D225" s="48" t="str">
        <f t="shared" si="603"/>
        <v>TPPUMER</v>
      </c>
      <c r="E225" s="17" t="str">
        <f t="shared" si="604"/>
        <v>-</v>
      </c>
      <c r="F225" s="17" t="str">
        <f t="shared" si="604"/>
        <v>-</v>
      </c>
      <c r="G225" s="17" t="str">
        <f t="shared" si="604"/>
        <v>-</v>
      </c>
      <c r="H225" s="17" t="str">
        <f t="shared" si="604"/>
        <v>-</v>
      </c>
      <c r="I225" s="16">
        <f t="shared" si="605"/>
        <v>0</v>
      </c>
      <c r="J225" s="3">
        <f>INDEX('[2]TS BYDem'!J$10:J$59,MATCH($D225,'[2]TS BYDem'!D$10:D$59,0))</f>
        <v>15.8</v>
      </c>
      <c r="K225" s="3" cm="1">
        <f t="array" ref="K225">IF(K$218=-1,L225,IF(K$218=99,BE225,IF(K$218=0,INDEX($E192:$M192,0,K$216),(INDEX($E192:$M192,0,K$218+1)-INDEX($E192:$M192,0,K$218))/(INDEX($E$185:$M$185,0,K$218+1)-INDEX($E$185:$M$185,0,K$218))+BE225)))</f>
        <v>14.123137325530998</v>
      </c>
      <c r="L225" s="3" cm="1">
        <f t="array" ref="L225">IF(L$218=-1,M225,IF(L$218=99,K225,IF(L$218=0,INDEX($E192:$M192,0,L$216),(INDEX($E192:$M192,0,L$218+1)-INDEX($E192:$M192,0,L$218))/(INDEX($E$185:$M$185,0,L$218+1)-INDEX($E$185:$M$185,0,L$218))+K225)))</f>
        <v>13.222791809247783</v>
      </c>
      <c r="M225" s="3" cm="1">
        <f t="array" ref="M225">IF(M$218=-1,N225,IF(M$218=99,L225,IF(M$218=0,INDEX($E192:$M192,0,M$216),(INDEX($E192:$M192,0,M$218+1)-INDEX($E192:$M192,0,M$218))/(INDEX($E$185:$M$185,0,M$218+1)-INDEX($E$185:$M$185,0,M$218))+L225)))</f>
        <v>12.322446292964566</v>
      </c>
      <c r="N225" s="3" cm="1">
        <f t="array" ref="N225">IF(N$218=-1,O225,IF(N$218=99,M225,IF(N$218=0,INDEX($E192:$M192,0,N$216),(INDEX($E192:$M192,0,N$218+1)-INDEX($E192:$M192,0,N$218))/(INDEX($E$185:$M$185,0,N$218+1)-INDEX($E$185:$M$185,0,N$218))+M225)))</f>
        <v>10.474251298675517</v>
      </c>
      <c r="O225" s="3" cm="1">
        <f t="array" ref="O225">IF(O$218=-1,P225,IF(O$218=99,N225,IF(O$218=0,INDEX($E192:$M192,0,O$216),(INDEX($E192:$M192,0,O$218+1)-INDEX($E192:$M192,0,O$218))/(INDEX($E$185:$M$185,0,O$218+1)-INDEX($E$185:$M$185,0,O$218))+N225)))</f>
        <v>8.6260563043864682</v>
      </c>
      <c r="P225" s="3" cm="1">
        <f t="array" ref="P225">IF(P$218=-1,Q225,IF(P$218=99,O225,IF(P$218=0,INDEX($E192:$M192,0,P$216),(INDEX($E192:$M192,0,P$218+1)-INDEX($E192:$M192,0,P$218))/(INDEX($E$185:$M$185,0,P$218+1)-INDEX($E$185:$M$185,0,P$218))+O225)))</f>
        <v>8.7248248744821311</v>
      </c>
      <c r="Q225" s="3" cm="1">
        <f t="array" ref="Q225">IF(Q$218=-1,R225,IF(Q$218=99,P225,IF(Q$218=0,INDEX($E192:$M192,0,Q$216),(INDEX($E192:$M192,0,Q$218+1)-INDEX($E192:$M192,0,Q$218))/(INDEX($E$185:$M$185,0,Q$218+1)-INDEX($E$185:$M$185,0,Q$218))+P225)))</f>
        <v>8.8235934445777957</v>
      </c>
      <c r="R225" s="3" cm="1">
        <f t="array" ref="R225">IF(R$218=-1,S225,IF(R$218=99,Q225,IF(R$218=0,INDEX($E192:$M192,0,R$216),(INDEX($E192:$M192,0,R$218+1)-INDEX($E192:$M192,0,R$218))/(INDEX($E$185:$M$185,0,R$218+1)-INDEX($E$185:$M$185,0,R$218))+Q225)))</f>
        <v>8.9654013796389815</v>
      </c>
      <c r="S225" s="3" cm="1">
        <f t="array" ref="S225">IF(S$218=-1,T225,IF(S$218=99,R225,IF(S$218=0,INDEX($E192:$M192,0,S$216),(INDEX($E192:$M192,0,S$218+1)-INDEX($E192:$M192,0,S$218))/(INDEX($E$185:$M$185,0,S$218+1)-INDEX($E$185:$M$185,0,S$218))+R225)))</f>
        <v>9.2071053467093638</v>
      </c>
      <c r="T225" s="3" cm="1">
        <f t="array" ref="T225">IF(T$218=-1,U225,IF(T$218=99,S225,IF(T$218=0,INDEX($E192:$M192,0,T$216),(INDEX($E192:$M192,0,T$218+1)-INDEX($E192:$M192,0,T$218))/(INDEX($E$185:$M$185,0,T$218+1)-INDEX($E$185:$M$185,0,T$218))+S225)))</f>
        <v>9.2322940079992364</v>
      </c>
      <c r="U225" s="3" cm="1">
        <f t="array" ref="U225">IF(U$218=-1,V225,IF(U$218=99,T225,IF(U$218=0,INDEX($E192:$M192,0,U$216),(INDEX($E192:$M192,0,U$218+1)-INDEX($E192:$M192,0,U$218))/(INDEX($E$185:$M$185,0,U$218+1)-INDEX($E$185:$M$185,0,U$218))+T225)))</f>
        <v>9.257482669289109</v>
      </c>
      <c r="V225" s="3" cm="1">
        <f t="array" ref="V225">IF(V$218=-1,W225,IF(V$218=99,U225,IF(V$218=0,INDEX($E192:$M192,0,V$216),(INDEX($E192:$M192,0,V$218+1)-INDEX($E192:$M192,0,V$218))/(INDEX($E$185:$M$185,0,V$218+1)-INDEX($E$185:$M$185,0,V$218))+U225)))</f>
        <v>9.2826713305789816</v>
      </c>
      <c r="W225" s="3" cm="1">
        <f t="array" ref="W225">IF(W$218=-1,X225,IF(W$218=99,V225,IF(W$218=0,INDEX($E192:$M192,0,W$216),(INDEX($E192:$M192,0,W$218+1)-INDEX($E192:$M192,0,W$218))/(INDEX($E$185:$M$185,0,W$218+1)-INDEX($E$185:$M$185,0,W$218))+V225)))</f>
        <v>9.3078599918688543</v>
      </c>
      <c r="X225" s="3" cm="1">
        <f t="array" ref="X225">IF(X$218=-1,Y225,IF(X$218=99,W225,IF(X$218=0,INDEX($E192:$M192,0,X$216),(INDEX($E192:$M192,0,X$218+1)-INDEX($E192:$M192,0,X$218))/(INDEX($E$185:$M$185,0,X$218+1)-INDEX($E$185:$M$185,0,X$218))+W225)))</f>
        <v>9.3330486531587269</v>
      </c>
      <c r="Y225" s="3" cm="1">
        <f t="array" ref="Y225">IF(Y$218=-1,Z225,IF(Y$218=99,X225,IF(Y$218=0,INDEX($E192:$M192,0,Y$216),(INDEX($E192:$M192,0,Y$218+1)-INDEX($E192:$M192,0,Y$218))/(INDEX($E$185:$M$185,0,Y$218+1)-INDEX($E$185:$M$185,0,Y$218))+X225)))</f>
        <v>9.3582373144485995</v>
      </c>
      <c r="Z225" s="3" cm="1">
        <f t="array" ref="Z225">IF(Z$218=-1,AA225,IF(Z$218=99,Y225,IF(Z$218=0,INDEX($E192:$M192,0,Z$216),(INDEX($E192:$M192,0,Z$218+1)-INDEX($E192:$M192,0,Z$218))/(INDEX($E$185:$M$185,0,Z$218+1)-INDEX($E$185:$M$185,0,Z$218))+Y225)))</f>
        <v>9.3834259757384721</v>
      </c>
      <c r="AA225" s="3" cm="1">
        <f t="array" ref="AA225">IF(AA$218=-1,AB225,IF(AA$218=99,Z225,IF(AA$218=0,INDEX($E192:$M192,0,AA$216),(INDEX($E192:$M192,0,AA$218+1)-INDEX($E192:$M192,0,AA$218))/(INDEX($E$185:$M$185,0,AA$218+1)-INDEX($E$185:$M$185,0,AA$218))+Z225)))</f>
        <v>9.4086146370283448</v>
      </c>
      <c r="AB225" s="3" cm="1">
        <f t="array" ref="AB225">IF(AB$218=-1,AC225,IF(AB$218=99,AA225,IF(AB$218=0,INDEX($E192:$M192,0,AB$216),(INDEX($E192:$M192,0,AB$218+1)-INDEX($E192:$M192,0,AB$218))/(INDEX($E$185:$M$185,0,AB$218+1)-INDEX($E$185:$M$185,0,AB$218))+AA225)))</f>
        <v>9.4338032983182156</v>
      </c>
      <c r="AC225" s="3" cm="1">
        <f t="array" ref="AC225">IF(AC$218=-1,AD225,IF(AC$218=99,AB225,IF(AC$218=0,INDEX($E192:$M192,0,AC$216),(INDEX($E192:$M192,0,AC$218+1)-INDEX($E192:$M192,0,AC$218))/(INDEX($E$185:$M$185,0,AC$218+1)-INDEX($E$185:$M$185,0,AC$218))+AB225)))</f>
        <v>9.3865402538202378</v>
      </c>
      <c r="AD225" s="3" cm="1">
        <f t="array" ref="AD225">IF(AD$218=-1,AE225,IF(AD$218=99,AC225,IF(AD$218=0,INDEX($E192:$M192,0,AD$216),(INDEX($E192:$M192,0,AD$218+1)-INDEX($E192:$M192,0,AD$218))/(INDEX($E$185:$M$185,0,AD$218+1)-INDEX($E$185:$M$185,0,AD$218))+AC225)))</f>
        <v>9.33927720932226</v>
      </c>
      <c r="AE225" s="3" cm="1">
        <f t="array" ref="AE225">IF(AE$218=-1,AF225,IF(AE$218=99,AD225,IF(AE$218=0,INDEX($E192:$M192,0,AE$216),(INDEX($E192:$M192,0,AE$218+1)-INDEX($E192:$M192,0,AE$218))/(INDEX($E$185:$M$185,0,AE$218+1)-INDEX($E$185:$M$185,0,AE$218))+AD225)))</f>
        <v>9.2920141648242822</v>
      </c>
      <c r="AF225" s="3" cm="1">
        <f t="array" ref="AF225">IF(AF$218=-1,AG225,IF(AF$218=99,AE225,IF(AF$218=0,INDEX($E192:$M192,0,AF$216),(INDEX($E192:$M192,0,AF$218+1)-INDEX($E192:$M192,0,AF$218))/(INDEX($E$185:$M$185,0,AF$218+1)-INDEX($E$185:$M$185,0,AF$218))+AE225)))</f>
        <v>9.2447511203263044</v>
      </c>
      <c r="AG225" s="3" cm="1">
        <f t="array" ref="AG225">IF(AG$218=-1,AH225,IF(AG$218=99,AF225,IF(AG$218=0,INDEX($E192:$M192,0,AG$216),(INDEX($E192:$M192,0,AG$218+1)-INDEX($E192:$M192,0,AG$218))/(INDEX($E$185:$M$185,0,AG$218+1)-INDEX($E$185:$M$185,0,AG$218))+AF225)))</f>
        <v>9.1974880758283266</v>
      </c>
      <c r="AH225" s="3" cm="1">
        <f t="array" ref="AH225">IF(AH$218=-1,AI225,IF(AH$218=99,AG225,IF(AH$218=0,INDEX($E192:$M192,0,AH$216),(INDEX($E192:$M192,0,AH$218+1)-INDEX($E192:$M192,0,AH$218))/(INDEX($E$185:$M$185,0,AH$218+1)-INDEX($E$185:$M$185,0,AH$218))+AG225)))</f>
        <v>9.1502250313303488</v>
      </c>
      <c r="AI225" s="3" cm="1">
        <f t="array" ref="AI225">IF(AI$218=-1,AJ225,IF(AI$218=99,AH225,IF(AI$218=0,INDEX($E192:$M192,0,AI$216),(INDEX($E192:$M192,0,AI$218+1)-INDEX($E192:$M192,0,AI$218))/(INDEX($E$185:$M$185,0,AI$218+1)-INDEX($E$185:$M$185,0,AI$218))+AH225)))</f>
        <v>9.102961986832371</v>
      </c>
      <c r="AJ225" s="3" cm="1">
        <f t="array" ref="AJ225">IF(AJ$218=-1,AK225,IF(AJ$218=99,AI225,IF(AJ$218=0,INDEX($E192:$M192,0,AJ$216),(INDEX($E192:$M192,0,AJ$218+1)-INDEX($E192:$M192,0,AJ$218))/(INDEX($E$185:$M$185,0,AJ$218+1)-INDEX($E$185:$M$185,0,AJ$218))+AI225)))</f>
        <v>9.0556989423343932</v>
      </c>
      <c r="AK225" s="3" cm="1">
        <f t="array" ref="AK225">IF(AK$218=-1,AL225,IF(AK$218=99,AJ225,IF(AK$218=0,INDEX($E192:$M192,0,AK$216),(INDEX($E192:$M192,0,AK$218+1)-INDEX($E192:$M192,0,AK$218))/(INDEX($E$185:$M$185,0,AK$218+1)-INDEX($E$185:$M$185,0,AK$218))+AJ225)))</f>
        <v>9.0084358978364154</v>
      </c>
      <c r="AL225" s="3" cm="1">
        <f t="array" ref="AL225">IF(AL$218=-1,AM225,IF(AL$218=99,AK225,IF(AL$218=0,INDEX($E192:$M192,0,AL$216),(INDEX($E192:$M192,0,AL$218+1)-INDEX($E192:$M192,0,AL$218))/(INDEX($E$185:$M$185,0,AL$218+1)-INDEX($E$185:$M$185,0,AL$218))+AK225)))</f>
        <v>8.9611728533384429</v>
      </c>
      <c r="AM225" s="257">
        <f t="shared" si="608"/>
        <v>8.6303954966921932</v>
      </c>
      <c r="AN225" s="3" cm="1">
        <f t="array" ref="AN225">IF(AN$218=-1,AO225,IF(AN$218=99,AM225,IF(AN$218=0,INDEX($E192:$M192,0,AN$216),(INDEX($E192:$M192,0,AN$218+1)-INDEX($E192:$M192,0,AN$218))/(INDEX($E$185:$M$185,0,AN$218+1)-INDEX($E$185:$M$185,0,AN$218))+AM225)))</f>
        <v>8.2996181400459434</v>
      </c>
      <c r="AO225" s="3" cm="1">
        <f t="array" ref="AO225">IF(AO$218=-1,AP225,IF(AO$218=99,AN225,IF(AO$218=0,INDEX($E192:$M192,0,AO$216),(INDEX($E192:$M192,0,AO$218+1)-INDEX($E192:$M192,0,AO$218))/(INDEX($E$185:$M$185,0,AO$218+1)-INDEX($E$185:$M$185,0,AO$218))+AN225)))</f>
        <v>8.2996181400459434</v>
      </c>
      <c r="AP225" s="3" cm="1">
        <f t="array" ref="AP225">IF(AP$218=-1,#REF!,IF(AP$218=99,AO225,IF(AP$218=0,INDEX($E192:$M192,0,AP$216),(INDEX($E192:$M192,0,AP$218+1)-INDEX($E192:$M192,0,AP$218))/(INDEX($E$185:$M$185,0,AP$218+1)-INDEX($E$185:$M$185,0,AP$218))+AO225)))</f>
        <v>8.2996181400459434</v>
      </c>
      <c r="AQ225" s="3"/>
      <c r="AT225" s="3"/>
      <c r="AU225" s="3"/>
      <c r="BE225" s="3">
        <f t="shared" si="606"/>
        <v>15.023482841814213</v>
      </c>
      <c r="BF225" s="97">
        <f t="shared" si="607"/>
        <v>4.9146655581378998E-2</v>
      </c>
    </row>
    <row r="226" spans="1:58">
      <c r="B226" s="16" t="str">
        <f t="shared" si="601"/>
        <v>COM_PROJ</v>
      </c>
      <c r="C226" s="17" t="str">
        <f t="shared" si="602"/>
        <v>-</v>
      </c>
      <c r="D226" s="48" t="str">
        <f t="shared" si="603"/>
        <v>TPPUGAT</v>
      </c>
      <c r="E226" s="17" t="str">
        <f t="shared" si="604"/>
        <v>-</v>
      </c>
      <c r="F226" s="17" t="str">
        <f t="shared" si="604"/>
        <v>-</v>
      </c>
      <c r="G226" s="17" t="str">
        <f t="shared" si="604"/>
        <v>-</v>
      </c>
      <c r="H226" s="17" t="str">
        <f t="shared" si="604"/>
        <v>-</v>
      </c>
      <c r="I226" s="16">
        <f t="shared" si="605"/>
        <v>0</v>
      </c>
      <c r="J226" s="3">
        <f>INDEX('[2]TS BYDem'!J$10:J$59,MATCH($D226,'[2]TS BYDem'!D$10:D$59,0))</f>
        <v>0</v>
      </c>
      <c r="K226" s="3" cm="1">
        <f t="array" ref="K226">IF(K$218=-1,L226,IF(K$218=99,BE226,IF(K$218=0,INDEX($E193:$M193,0,K$216),(INDEX($E193:$M193,0,K$218+1)-INDEX($E193:$M193,0,K$218))/(INDEX($E$185:$M$185,0,K$218+1)-INDEX($E$185:$M$185,0,K$218))+BE226)))</f>
        <v>0.55947822475115061</v>
      </c>
      <c r="L226" s="3" cm="1">
        <f t="array" ref="L226">IF(L$218=-1,M226,IF(L$218=99,K226,IF(L$218=0,INDEX($E193:$M193,0,L$216),(INDEX($E193:$M193,0,L$218+1)-INDEX($E193:$M193,0,L$218))/(INDEX($E$185:$M$185,0,L$218+1)-INDEX($E$185:$M$185,0,L$218))+K226)))</f>
        <v>0.58435796683276764</v>
      </c>
      <c r="M226" s="3" cm="1">
        <f t="array" ref="M226">IF(M$218=-1,N226,IF(M$218=99,L226,IF(M$218=0,INDEX($E193:$M193,0,M$216),(INDEX($E193:$M193,0,M$218+1)-INDEX($E193:$M193,0,M$218))/(INDEX($E$185:$M$185,0,M$218+1)-INDEX($E$185:$M$185,0,M$218))+L226)))</f>
        <v>0.60923770891438467</v>
      </c>
      <c r="N226" s="3" cm="1">
        <f t="array" ref="N226">IF(N$218=-1,O226,IF(N$218=99,M226,IF(N$218=0,INDEX($E193:$M193,0,N$216),(INDEX($E193:$M193,0,N$218+1)-INDEX($E193:$M193,0,N$218))/(INDEX($E$185:$M$185,0,N$218+1)-INDEX($E$185:$M$185,0,N$218))+M226)))</f>
        <v>0.62888953865325536</v>
      </c>
      <c r="O226" s="3" cm="1">
        <f t="array" ref="O226">IF(O$218=-1,P226,IF(O$218=99,N226,IF(O$218=0,INDEX($E193:$M193,0,O$216),(INDEX($E193:$M193,0,O$218+1)-INDEX($E193:$M193,0,O$218))/(INDEX($E$185:$M$185,0,O$218+1)-INDEX($E$185:$M$185,0,O$218))+N226)))</f>
        <v>0.64854136839212595</v>
      </c>
      <c r="P226" s="3" cm="1">
        <f t="array" ref="P226">IF(P$218=-1,Q226,IF(P$218=99,O226,IF(P$218=0,INDEX($E193:$M193,0,P$216),(INDEX($E193:$M193,0,P$218+1)-INDEX($E193:$M193,0,P$218))/(INDEX($E$185:$M$185,0,P$218+1)-INDEX($E$185:$M$185,0,P$218))+O226)))</f>
        <v>0.67405613843991108</v>
      </c>
      <c r="Q226" s="3" cm="1">
        <f t="array" ref="Q226">IF(Q$218=-1,R226,IF(Q$218=99,P226,IF(Q$218=0,INDEX($E193:$M193,0,Q$216),(INDEX($E193:$M193,0,Q$218+1)-INDEX($E193:$M193,0,Q$218))/(INDEX($E$185:$M$185,0,Q$218+1)-INDEX($E$185:$M$185,0,Q$218))+P226)))</f>
        <v>0.6995709084876961</v>
      </c>
      <c r="R226" s="3" cm="1">
        <f t="array" ref="R226">IF(R$218=-1,S226,IF(R$218=99,Q226,IF(R$218=0,INDEX($E193:$M193,0,R$216),(INDEX($E193:$M193,0,R$218+1)-INDEX($E193:$M193,0,R$218))/(INDEX($E$185:$M$185,0,R$218+1)-INDEX($E$185:$M$185,0,R$218))+Q226)))</f>
        <v>0.64248252977129328</v>
      </c>
      <c r="S226" s="3" cm="1">
        <f t="array" ref="S226">IF(S$218=-1,T226,IF(S$218=99,R226,IF(S$218=0,INDEX($E193:$M193,0,S$216),(INDEX($E193:$M193,0,S$218+1)-INDEX($E193:$M193,0,S$218))/(INDEX($E$185:$M$185,0,S$218+1)-INDEX($E$185:$M$185,0,S$218))+R226)))</f>
        <v>0.61850242942963696</v>
      </c>
      <c r="T226" s="3" cm="1">
        <f t="array" ref="T226">IF(T$218=-1,U226,IF(T$218=99,S226,IF(T$218=0,INDEX($E193:$M193,0,T$216),(INDEX($E193:$M193,0,T$218+1)-INDEX($E193:$M193,0,T$218))/(INDEX($E$185:$M$185,0,T$218+1)-INDEX($E$185:$M$185,0,T$218))+S226)))</f>
        <v>0.63688726621526692</v>
      </c>
      <c r="U226" s="3" cm="1">
        <f t="array" ref="U226">IF(U$218=-1,V226,IF(U$218=99,T226,IF(U$218=0,INDEX($E193:$M193,0,U$216),(INDEX($E193:$M193,0,U$218+1)-INDEX($E193:$M193,0,U$218))/(INDEX($E$185:$M$185,0,U$218+1)-INDEX($E$185:$M$185,0,U$218))+T226)))</f>
        <v>0.65527210300089689</v>
      </c>
      <c r="V226" s="3" cm="1">
        <f t="array" ref="V226">IF(V$218=-1,W226,IF(V$218=99,U226,IF(V$218=0,INDEX($E193:$M193,0,V$216),(INDEX($E193:$M193,0,V$218+1)-INDEX($E193:$M193,0,V$218))/(INDEX($E$185:$M$185,0,V$218+1)-INDEX($E$185:$M$185,0,V$218))+U226)))</f>
        <v>0.67365693978652685</v>
      </c>
      <c r="W226" s="3" cm="1">
        <f t="array" ref="W226">IF(W$218=-1,X226,IF(W$218=99,V226,IF(W$218=0,INDEX($E193:$M193,0,W$216),(INDEX($E193:$M193,0,W$218+1)-INDEX($E193:$M193,0,W$218))/(INDEX($E$185:$M$185,0,W$218+1)-INDEX($E$185:$M$185,0,W$218))+V226)))</f>
        <v>0.69204177657215682</v>
      </c>
      <c r="X226" s="3" cm="1">
        <f t="array" ref="X226">IF(X$218=-1,Y226,IF(X$218=99,W226,IF(X$218=0,INDEX($E193:$M193,0,X$216),(INDEX($E193:$M193,0,X$218+1)-INDEX($E193:$M193,0,X$218))/(INDEX($E$185:$M$185,0,X$218+1)-INDEX($E$185:$M$185,0,X$218))+W226)))</f>
        <v>0.71042661335778678</v>
      </c>
      <c r="Y226" s="3" cm="1">
        <f t="array" ref="Y226">IF(Y$218=-1,Z226,IF(Y$218=99,X226,IF(Y$218=0,INDEX($E193:$M193,0,Y$216),(INDEX($E193:$M193,0,Y$218+1)-INDEX($E193:$M193,0,Y$218))/(INDEX($E$185:$M$185,0,Y$218+1)-INDEX($E$185:$M$185,0,Y$218))+X226)))</f>
        <v>0.72881145014341675</v>
      </c>
      <c r="Z226" s="3" cm="1">
        <f t="array" ref="Z226">IF(Z$218=-1,AA226,IF(Z$218=99,Y226,IF(Z$218=0,INDEX($E193:$M193,0,Z$216),(INDEX($E193:$M193,0,Z$218+1)-INDEX($E193:$M193,0,Z$218))/(INDEX($E$185:$M$185,0,Z$218+1)-INDEX($E$185:$M$185,0,Z$218))+Y226)))</f>
        <v>0.74719628692904672</v>
      </c>
      <c r="AA226" s="3" cm="1">
        <f t="array" ref="AA226">IF(AA$218=-1,AB226,IF(AA$218=99,Z226,IF(AA$218=0,INDEX($E193:$M193,0,AA$216),(INDEX($E193:$M193,0,AA$218+1)-INDEX($E193:$M193,0,AA$218))/(INDEX($E$185:$M$185,0,AA$218+1)-INDEX($E$185:$M$185,0,AA$218))+Z226)))</f>
        <v>0.76558112371467668</v>
      </c>
      <c r="AB226" s="3" cm="1">
        <f t="array" ref="AB226">IF(AB$218=-1,AC226,IF(AB$218=99,AA226,IF(AB$218=0,INDEX($E193:$M193,0,AB$216),(INDEX($E193:$M193,0,AB$218+1)-INDEX($E193:$M193,0,AB$218))/(INDEX($E$185:$M$185,0,AB$218+1)-INDEX($E$185:$M$185,0,AB$218))+AA226)))</f>
        <v>0.78396596050030642</v>
      </c>
      <c r="AC226" s="3" cm="1">
        <f t="array" ref="AC226">IF(AC$218=-1,AD226,IF(AC$218=99,AB226,IF(AC$218=0,INDEX($E193:$M193,0,AC$216),(INDEX($E193:$M193,0,AC$218+1)-INDEX($E193:$M193,0,AC$218))/(INDEX($E$185:$M$185,0,AC$218+1)-INDEX($E$185:$M$185,0,AC$218))+AB226)))</f>
        <v>0.80646510443801589</v>
      </c>
      <c r="AD226" s="3" cm="1">
        <f t="array" ref="AD226">IF(AD$218=-1,AE226,IF(AD$218=99,AC226,IF(AD$218=0,INDEX($E193:$M193,0,AD$216),(INDEX($E193:$M193,0,AD$218+1)-INDEX($E193:$M193,0,AD$218))/(INDEX($E$185:$M$185,0,AD$218+1)-INDEX($E$185:$M$185,0,AD$218))+AC226)))</f>
        <v>0.82896424837572535</v>
      </c>
      <c r="AE226" s="3" cm="1">
        <f t="array" ref="AE226">IF(AE$218=-1,AF226,IF(AE$218=99,AD226,IF(AE$218=0,INDEX($E193:$M193,0,AE$216),(INDEX($E193:$M193,0,AE$218+1)-INDEX($E193:$M193,0,AE$218))/(INDEX($E$185:$M$185,0,AE$218+1)-INDEX($E$185:$M$185,0,AE$218))+AD226)))</f>
        <v>0.85146339231343482</v>
      </c>
      <c r="AF226" s="3" cm="1">
        <f t="array" ref="AF226">IF(AF$218=-1,AG226,IF(AF$218=99,AE226,IF(AF$218=0,INDEX($E193:$M193,0,AF$216),(INDEX($E193:$M193,0,AF$218+1)-INDEX($E193:$M193,0,AF$218))/(INDEX($E$185:$M$185,0,AF$218+1)-INDEX($E$185:$M$185,0,AF$218))+AE226)))</f>
        <v>0.87396253625114428</v>
      </c>
      <c r="AG226" s="3" cm="1">
        <f t="array" ref="AG226">IF(AG$218=-1,AH226,IF(AG$218=99,AF226,IF(AG$218=0,INDEX($E193:$M193,0,AG$216),(INDEX($E193:$M193,0,AG$218+1)-INDEX($E193:$M193,0,AG$218))/(INDEX($E$185:$M$185,0,AG$218+1)-INDEX($E$185:$M$185,0,AG$218))+AF226)))</f>
        <v>0.89646168018885375</v>
      </c>
      <c r="AH226" s="3" cm="1">
        <f t="array" ref="AH226">IF(AH$218=-1,AI226,IF(AH$218=99,AG226,IF(AH$218=0,INDEX($E193:$M193,0,AH$216),(INDEX($E193:$M193,0,AH$218+1)-INDEX($E193:$M193,0,AH$218))/(INDEX($E$185:$M$185,0,AH$218+1)-INDEX($E$185:$M$185,0,AH$218))+AG226)))</f>
        <v>0.91896082412656321</v>
      </c>
      <c r="AI226" s="3" cm="1">
        <f t="array" ref="AI226">IF(AI$218=-1,AJ226,IF(AI$218=99,AH226,IF(AI$218=0,INDEX($E193:$M193,0,AI$216),(INDEX($E193:$M193,0,AI$218+1)-INDEX($E193:$M193,0,AI$218))/(INDEX($E$185:$M$185,0,AI$218+1)-INDEX($E$185:$M$185,0,AI$218))+AH226)))</f>
        <v>0.94145996806427268</v>
      </c>
      <c r="AJ226" s="3" cm="1">
        <f t="array" ref="AJ226">IF(AJ$218=-1,AK226,IF(AJ$218=99,AI226,IF(AJ$218=0,INDEX($E193:$M193,0,AJ$216),(INDEX($E193:$M193,0,AJ$218+1)-INDEX($E193:$M193,0,AJ$218))/(INDEX($E$185:$M$185,0,AJ$218+1)-INDEX($E$185:$M$185,0,AJ$218))+AI226)))</f>
        <v>0.96395911200198214</v>
      </c>
      <c r="AK226" s="3" cm="1">
        <f t="array" ref="AK226">IF(AK$218=-1,AL226,IF(AK$218=99,AJ226,IF(AK$218=0,INDEX($E193:$M193,0,AK$216),(INDEX($E193:$M193,0,AK$218+1)-INDEX($E193:$M193,0,AK$218))/(INDEX($E$185:$M$185,0,AK$218+1)-INDEX($E$185:$M$185,0,AK$218))+AJ226)))</f>
        <v>0.98645825593969161</v>
      </c>
      <c r="AL226" s="3" cm="1">
        <f t="array" ref="AL226">IF(AL$218=-1,AM226,IF(AL$218=99,AK226,IF(AL$218=0,INDEX($E193:$M193,0,AL$216),(INDEX($E193:$M193,0,AL$218+1)-INDEX($E193:$M193,0,AL$218))/(INDEX($E$185:$M$185,0,AL$218+1)-INDEX($E$185:$M$185,0,AL$218))+AK226)))</f>
        <v>1.0089573998774011</v>
      </c>
      <c r="AM226" s="257">
        <f t="shared" si="608"/>
        <v>1.0975150811323164</v>
      </c>
      <c r="AN226" s="3" cm="1">
        <f t="array" ref="AN226">IF(AN$218=-1,AO226,IF(AN$218=99,AM226,IF(AN$218=0,INDEX($E193:$M193,0,AN$216),(INDEX($E193:$M193,0,AN$218+1)-INDEX($E193:$M193,0,AN$218))/(INDEX($E$185:$M$185,0,AN$218+1)-INDEX($E$185:$M$185,0,AN$218))+AM226)))</f>
        <v>1.1860727623872318</v>
      </c>
      <c r="AO226" s="3" cm="1">
        <f t="array" ref="AO226">IF(AO$218=-1,AP226,IF(AO$218=99,AN226,IF(AO$218=0,INDEX($E193:$M193,0,AO$216),(INDEX($E193:$M193,0,AO$218+1)-INDEX($E193:$M193,0,AO$218))/(INDEX($E$185:$M$185,0,AO$218+1)-INDEX($E$185:$M$185,0,AO$218))+AN226)))</f>
        <v>1.1860727623872318</v>
      </c>
      <c r="AP226" s="3" cm="1">
        <f t="array" ref="AP226">IF(AP$218=-1,#REF!,IF(AP$218=99,AO226,IF(AP$218=0,INDEX($E193:$M193,0,AP$216),(INDEX($E193:$M193,0,AP$218+1)-INDEX($E193:$M193,0,AP$218))/(INDEX($E$185:$M$185,0,AP$218+1)-INDEX($E$185:$M$185,0,AP$218))+AO226)))</f>
        <v>1.1860727623872318</v>
      </c>
      <c r="AQ226" s="3"/>
      <c r="AT226" s="3"/>
      <c r="AU226" s="3"/>
      <c r="BE226" s="3">
        <f t="shared" si="606"/>
        <v>0.53459848266953358</v>
      </c>
      <c r="BF226" s="97" t="e">
        <f t="shared" si="607"/>
        <v>#DIV/0!</v>
      </c>
    </row>
    <row r="227" spans="1:58">
      <c r="A227" t="s">
        <v>16</v>
      </c>
      <c r="L227"/>
      <c r="O227" s="34"/>
    </row>
    <row r="228" spans="1:58" s="103" customFormat="1">
      <c r="A228" s="102" t="s">
        <v>16</v>
      </c>
      <c r="B228" s="103" t="s">
        <v>392</v>
      </c>
      <c r="C228" s="103">
        <v>1</v>
      </c>
      <c r="D228" s="103">
        <v>2006</v>
      </c>
      <c r="E228" s="103">
        <f>F4</f>
        <v>2015</v>
      </c>
      <c r="F228" s="103">
        <v>2017</v>
      </c>
      <c r="G228" s="103">
        <v>2020</v>
      </c>
      <c r="H228" s="103">
        <v>2030</v>
      </c>
      <c r="I228" s="103">
        <v>2040</v>
      </c>
      <c r="J228" s="108">
        <v>2050</v>
      </c>
      <c r="K228" s="102">
        <f>MATCH(J$214,$C$210:$K$210,$C228)</f>
        <v>1</v>
      </c>
      <c r="L228" s="103">
        <f t="shared" ref="L228:AY228" si="609">MATCH(K$232,$D$228:$J$228,$C228)</f>
        <v>1</v>
      </c>
      <c r="M228" s="103">
        <f t="shared" si="609"/>
        <v>1</v>
      </c>
      <c r="N228" s="103">
        <f t="shared" si="609"/>
        <v>2</v>
      </c>
      <c r="O228" s="103">
        <f t="shared" si="609"/>
        <v>2</v>
      </c>
      <c r="P228" s="103">
        <f t="shared" si="609"/>
        <v>3</v>
      </c>
      <c r="Q228" s="103">
        <f t="shared" si="609"/>
        <v>3</v>
      </c>
      <c r="R228" s="103">
        <f t="shared" si="609"/>
        <v>3</v>
      </c>
      <c r="S228" s="103">
        <f t="shared" si="609"/>
        <v>4</v>
      </c>
      <c r="T228" s="103">
        <f t="shared" si="609"/>
        <v>4</v>
      </c>
      <c r="U228" s="103">
        <f t="shared" si="609"/>
        <v>4</v>
      </c>
      <c r="V228" s="103">
        <f t="shared" si="609"/>
        <v>4</v>
      </c>
      <c r="W228" s="103">
        <f t="shared" si="609"/>
        <v>4</v>
      </c>
      <c r="X228" s="103">
        <f t="shared" si="609"/>
        <v>4</v>
      </c>
      <c r="Y228" s="103">
        <f t="shared" si="609"/>
        <v>4</v>
      </c>
      <c r="Z228" s="103">
        <f t="shared" si="609"/>
        <v>4</v>
      </c>
      <c r="AA228" s="103">
        <f t="shared" si="609"/>
        <v>4</v>
      </c>
      <c r="AB228" s="103">
        <f t="shared" si="609"/>
        <v>4</v>
      </c>
      <c r="AC228" s="103">
        <f t="shared" si="609"/>
        <v>5</v>
      </c>
      <c r="AD228" s="103">
        <f t="shared" si="609"/>
        <v>5</v>
      </c>
      <c r="AE228" s="103">
        <f t="shared" si="609"/>
        <v>5</v>
      </c>
      <c r="AF228" s="103">
        <f t="shared" si="609"/>
        <v>5</v>
      </c>
      <c r="AG228" s="103">
        <f t="shared" si="609"/>
        <v>5</v>
      </c>
      <c r="AH228" s="103">
        <f t="shared" si="609"/>
        <v>5</v>
      </c>
      <c r="AI228" s="103">
        <f t="shared" si="609"/>
        <v>5</v>
      </c>
      <c r="AJ228" s="103">
        <f t="shared" si="609"/>
        <v>5</v>
      </c>
      <c r="AK228" s="103">
        <f t="shared" si="609"/>
        <v>5</v>
      </c>
      <c r="AL228" s="103">
        <f t="shared" si="609"/>
        <v>5</v>
      </c>
      <c r="AM228" s="103">
        <f t="shared" si="609"/>
        <v>6</v>
      </c>
      <c r="AN228" s="103">
        <f t="shared" si="609"/>
        <v>6</v>
      </c>
      <c r="AO228" s="103">
        <f t="shared" si="609"/>
        <v>6</v>
      </c>
      <c r="AP228" s="103">
        <f t="shared" si="609"/>
        <v>6</v>
      </c>
      <c r="AQ228" s="103">
        <f t="shared" si="609"/>
        <v>6</v>
      </c>
      <c r="AR228" s="103">
        <f t="shared" si="609"/>
        <v>6</v>
      </c>
      <c r="AS228" s="103">
        <f t="shared" si="609"/>
        <v>6</v>
      </c>
      <c r="AT228" s="103">
        <f t="shared" si="609"/>
        <v>6</v>
      </c>
      <c r="AU228" s="103">
        <f t="shared" si="609"/>
        <v>6</v>
      </c>
      <c r="AV228" s="103">
        <f t="shared" si="609"/>
        <v>6</v>
      </c>
      <c r="AW228" s="103">
        <f t="shared" si="609"/>
        <v>7</v>
      </c>
      <c r="AX228" s="103">
        <f t="shared" si="609"/>
        <v>7</v>
      </c>
      <c r="AY228" s="103">
        <f t="shared" si="609"/>
        <v>7</v>
      </c>
    </row>
    <row r="229" spans="1:58">
      <c r="A229" s="34" t="s">
        <v>16</v>
      </c>
      <c r="B229" t="s">
        <v>393</v>
      </c>
      <c r="C229">
        <v>0</v>
      </c>
      <c r="D229" cm="1">
        <f t="array" ref="D229">INDEX($D228:$J228,0,COUNT($D228:$J228)-D230)</f>
        <v>2050</v>
      </c>
      <c r="E229" cm="1">
        <f t="array" ref="E229">INDEX($D228:$J228,0,COUNT($D228:$J228)-E230)</f>
        <v>2040</v>
      </c>
      <c r="F229" cm="1">
        <f t="array" ref="F229">INDEX($D228:$J228,0,COUNT($D228:$J228)-F230)</f>
        <v>2030</v>
      </c>
      <c r="G229" cm="1">
        <f t="array" ref="G229">INDEX($D228:$J228,0,COUNT($D228:$J228)-G230)</f>
        <v>2020</v>
      </c>
      <c r="H229" cm="1">
        <f t="array" ref="H229">INDEX($D228:$J228,0,COUNT($D228:$J228)-H230)</f>
        <v>2017</v>
      </c>
      <c r="I229" cm="1">
        <f t="array" ref="I229">INDEX($D228:$J228,0,COUNT($D228:$J228)-I230)</f>
        <v>2015</v>
      </c>
      <c r="J229" s="109" cm="1">
        <f t="array" ref="J229">INDEX($D228:$J228,0,COUNT($D228:$J228)-J230)</f>
        <v>2006</v>
      </c>
      <c r="K229" s="34">
        <f>MATCH(J$214,$C$210:$K$210,$C229)</f>
        <v>1</v>
      </c>
      <c r="L229" t="e">
        <f t="shared" ref="L229:AY229" si="610">MATCH(K$232,$D$228:$J$228,$C229)</f>
        <v>#N/A</v>
      </c>
      <c r="M229" t="e">
        <f t="shared" si="610"/>
        <v>#N/A</v>
      </c>
      <c r="N229">
        <f t="shared" si="610"/>
        <v>2</v>
      </c>
      <c r="O229" t="e">
        <f t="shared" si="610"/>
        <v>#N/A</v>
      </c>
      <c r="P229">
        <f t="shared" si="610"/>
        <v>3</v>
      </c>
      <c r="Q229" t="e">
        <f t="shared" si="610"/>
        <v>#N/A</v>
      </c>
      <c r="R229" t="e">
        <f t="shared" si="610"/>
        <v>#N/A</v>
      </c>
      <c r="S229">
        <f t="shared" si="610"/>
        <v>4</v>
      </c>
      <c r="T229" t="e">
        <f t="shared" si="610"/>
        <v>#N/A</v>
      </c>
      <c r="U229" t="e">
        <f t="shared" si="610"/>
        <v>#N/A</v>
      </c>
      <c r="V229" t="e">
        <f t="shared" si="610"/>
        <v>#N/A</v>
      </c>
      <c r="W229" t="e">
        <f t="shared" si="610"/>
        <v>#N/A</v>
      </c>
      <c r="X229" t="e">
        <f t="shared" si="610"/>
        <v>#N/A</v>
      </c>
      <c r="Y229" t="e">
        <f t="shared" si="610"/>
        <v>#N/A</v>
      </c>
      <c r="Z229" t="e">
        <f t="shared" si="610"/>
        <v>#N/A</v>
      </c>
      <c r="AA229" t="e">
        <f t="shared" si="610"/>
        <v>#N/A</v>
      </c>
      <c r="AB229" t="e">
        <f t="shared" si="610"/>
        <v>#N/A</v>
      </c>
      <c r="AC229">
        <f t="shared" si="610"/>
        <v>5</v>
      </c>
      <c r="AD229" t="e">
        <f t="shared" si="610"/>
        <v>#N/A</v>
      </c>
      <c r="AE229" t="e">
        <f t="shared" si="610"/>
        <v>#N/A</v>
      </c>
      <c r="AF229" t="e">
        <f t="shared" si="610"/>
        <v>#N/A</v>
      </c>
      <c r="AG229" t="e">
        <f t="shared" si="610"/>
        <v>#N/A</v>
      </c>
      <c r="AH229" t="e">
        <f t="shared" si="610"/>
        <v>#N/A</v>
      </c>
      <c r="AI229" t="e">
        <f t="shared" si="610"/>
        <v>#N/A</v>
      </c>
      <c r="AJ229" t="e">
        <f t="shared" si="610"/>
        <v>#N/A</v>
      </c>
      <c r="AK229" t="e">
        <f t="shared" si="610"/>
        <v>#N/A</v>
      </c>
      <c r="AL229" t="e">
        <f t="shared" si="610"/>
        <v>#N/A</v>
      </c>
      <c r="AM229">
        <f t="shared" si="610"/>
        <v>6</v>
      </c>
      <c r="AN229" t="e">
        <f t="shared" si="610"/>
        <v>#N/A</v>
      </c>
      <c r="AO229" t="e">
        <f t="shared" si="610"/>
        <v>#N/A</v>
      </c>
      <c r="AP229" t="e">
        <f t="shared" si="610"/>
        <v>#N/A</v>
      </c>
      <c r="AQ229" t="e">
        <f t="shared" si="610"/>
        <v>#N/A</v>
      </c>
      <c r="AR229" t="e">
        <f t="shared" si="610"/>
        <v>#N/A</v>
      </c>
      <c r="AS229" t="e">
        <f t="shared" si="610"/>
        <v>#N/A</v>
      </c>
      <c r="AT229" t="e">
        <f t="shared" si="610"/>
        <v>#N/A</v>
      </c>
      <c r="AU229" t="e">
        <f t="shared" si="610"/>
        <v>#N/A</v>
      </c>
      <c r="AV229" t="e">
        <f t="shared" si="610"/>
        <v>#N/A</v>
      </c>
      <c r="AW229">
        <f t="shared" si="610"/>
        <v>7</v>
      </c>
      <c r="AX229" t="e">
        <f t="shared" si="610"/>
        <v>#N/A</v>
      </c>
      <c r="AY229" t="e">
        <f t="shared" si="610"/>
        <v>#N/A</v>
      </c>
    </row>
    <row r="230" spans="1:58">
      <c r="A230" s="34" t="s">
        <v>16</v>
      </c>
      <c r="B230" t="s">
        <v>391</v>
      </c>
      <c r="C230">
        <v>-1</v>
      </c>
      <c r="D230">
        <v>0</v>
      </c>
      <c r="E230">
        <v>1</v>
      </c>
      <c r="F230">
        <v>2</v>
      </c>
      <c r="G230">
        <v>3</v>
      </c>
      <c r="H230">
        <v>4</v>
      </c>
      <c r="I230">
        <v>5</v>
      </c>
      <c r="J230">
        <v>6</v>
      </c>
      <c r="K230">
        <f>MATCH(J$214,$C$211:$K$211,$C230)</f>
        <v>9</v>
      </c>
      <c r="L230">
        <f t="shared" ref="L230:AY230" si="611">MATCH(K$232,$D$229:$J$229,$C230)</f>
        <v>6</v>
      </c>
      <c r="M230">
        <f t="shared" si="611"/>
        <v>6</v>
      </c>
      <c r="N230">
        <f t="shared" si="611"/>
        <v>6</v>
      </c>
      <c r="O230">
        <f t="shared" si="611"/>
        <v>5</v>
      </c>
      <c r="P230">
        <f t="shared" si="611"/>
        <v>5</v>
      </c>
      <c r="Q230">
        <f t="shared" si="611"/>
        <v>4</v>
      </c>
      <c r="R230">
        <f t="shared" si="611"/>
        <v>4</v>
      </c>
      <c r="S230">
        <f t="shared" si="611"/>
        <v>4</v>
      </c>
      <c r="T230">
        <f t="shared" si="611"/>
        <v>3</v>
      </c>
      <c r="U230">
        <f t="shared" si="611"/>
        <v>3</v>
      </c>
      <c r="V230">
        <f t="shared" si="611"/>
        <v>3</v>
      </c>
      <c r="W230">
        <f t="shared" si="611"/>
        <v>3</v>
      </c>
      <c r="X230">
        <f t="shared" si="611"/>
        <v>3</v>
      </c>
      <c r="Y230">
        <f t="shared" si="611"/>
        <v>3</v>
      </c>
      <c r="Z230">
        <f t="shared" si="611"/>
        <v>3</v>
      </c>
      <c r="AA230">
        <f t="shared" si="611"/>
        <v>3</v>
      </c>
      <c r="AB230">
        <f t="shared" si="611"/>
        <v>3</v>
      </c>
      <c r="AC230">
        <f t="shared" si="611"/>
        <v>3</v>
      </c>
      <c r="AD230">
        <f t="shared" si="611"/>
        <v>2</v>
      </c>
      <c r="AE230">
        <f t="shared" si="611"/>
        <v>2</v>
      </c>
      <c r="AF230">
        <f t="shared" si="611"/>
        <v>2</v>
      </c>
      <c r="AG230">
        <f t="shared" si="611"/>
        <v>2</v>
      </c>
      <c r="AH230">
        <f t="shared" si="611"/>
        <v>2</v>
      </c>
      <c r="AI230">
        <f t="shared" si="611"/>
        <v>2</v>
      </c>
      <c r="AJ230">
        <f t="shared" si="611"/>
        <v>2</v>
      </c>
      <c r="AK230">
        <f t="shared" si="611"/>
        <v>2</v>
      </c>
      <c r="AL230">
        <f t="shared" si="611"/>
        <v>2</v>
      </c>
      <c r="AM230">
        <f t="shared" si="611"/>
        <v>2</v>
      </c>
      <c r="AN230">
        <f t="shared" si="611"/>
        <v>1</v>
      </c>
      <c r="AO230">
        <f t="shared" si="611"/>
        <v>1</v>
      </c>
      <c r="AP230">
        <f t="shared" si="611"/>
        <v>1</v>
      </c>
      <c r="AQ230">
        <f t="shared" si="611"/>
        <v>1</v>
      </c>
      <c r="AR230">
        <f t="shared" si="611"/>
        <v>1</v>
      </c>
      <c r="AS230">
        <f t="shared" si="611"/>
        <v>1</v>
      </c>
      <c r="AT230">
        <f t="shared" si="611"/>
        <v>1</v>
      </c>
      <c r="AU230">
        <f t="shared" si="611"/>
        <v>1</v>
      </c>
      <c r="AV230">
        <f t="shared" si="611"/>
        <v>1</v>
      </c>
      <c r="AW230">
        <f t="shared" si="611"/>
        <v>1</v>
      </c>
      <c r="AX230" t="e">
        <f t="shared" si="611"/>
        <v>#N/A</v>
      </c>
      <c r="AY230" t="e">
        <f t="shared" si="611"/>
        <v>#N/A</v>
      </c>
    </row>
    <row r="231" spans="1:58" s="105" customFormat="1">
      <c r="A231" s="104" t="s">
        <v>16</v>
      </c>
      <c r="B231" s="105" t="s">
        <v>394</v>
      </c>
      <c r="K231" s="71">
        <f>IF(ISNA(K228),-1,IF(ISNA(K230),99,IF(ISNA(K229),K228,0)))</f>
        <v>0</v>
      </c>
      <c r="L231" s="71">
        <f>IF(ISNA(L228),-1,IF(ISNA(L230),99,IF(ISNA(L229),L228,0)))</f>
        <v>1</v>
      </c>
      <c r="M231" s="71">
        <f t="shared" ref="M231:AY231" si="612">IF(ISNA(M228),-1,IF(ISNA(M230),99,IF(ISNA(M229),M228,0)))</f>
        <v>1</v>
      </c>
      <c r="N231" s="71">
        <f t="shared" si="612"/>
        <v>0</v>
      </c>
      <c r="O231" s="71">
        <f t="shared" si="612"/>
        <v>2</v>
      </c>
      <c r="P231" s="71">
        <f t="shared" si="612"/>
        <v>0</v>
      </c>
      <c r="Q231" s="71">
        <f t="shared" si="612"/>
        <v>3</v>
      </c>
      <c r="R231" s="71">
        <f t="shared" si="612"/>
        <v>3</v>
      </c>
      <c r="S231" s="71">
        <f t="shared" si="612"/>
        <v>0</v>
      </c>
      <c r="T231" s="71">
        <f t="shared" si="612"/>
        <v>4</v>
      </c>
      <c r="U231" s="71">
        <f t="shared" si="612"/>
        <v>4</v>
      </c>
      <c r="V231" s="71">
        <f t="shared" si="612"/>
        <v>4</v>
      </c>
      <c r="W231" s="71">
        <f t="shared" si="612"/>
        <v>4</v>
      </c>
      <c r="X231" s="71">
        <f t="shared" si="612"/>
        <v>4</v>
      </c>
      <c r="Y231" s="71">
        <f t="shared" si="612"/>
        <v>4</v>
      </c>
      <c r="Z231" s="71">
        <f t="shared" si="612"/>
        <v>4</v>
      </c>
      <c r="AA231" s="71">
        <f t="shared" si="612"/>
        <v>4</v>
      </c>
      <c r="AB231" s="71">
        <f t="shared" si="612"/>
        <v>4</v>
      </c>
      <c r="AC231" s="71">
        <f t="shared" si="612"/>
        <v>0</v>
      </c>
      <c r="AD231" s="71">
        <f t="shared" si="612"/>
        <v>5</v>
      </c>
      <c r="AE231" s="71">
        <f t="shared" si="612"/>
        <v>5</v>
      </c>
      <c r="AF231" s="71">
        <f t="shared" si="612"/>
        <v>5</v>
      </c>
      <c r="AG231" s="71">
        <f t="shared" si="612"/>
        <v>5</v>
      </c>
      <c r="AH231" s="71">
        <f t="shared" si="612"/>
        <v>5</v>
      </c>
      <c r="AI231" s="71">
        <f t="shared" si="612"/>
        <v>5</v>
      </c>
      <c r="AJ231" s="71">
        <f t="shared" si="612"/>
        <v>5</v>
      </c>
      <c r="AK231" s="71">
        <f t="shared" si="612"/>
        <v>5</v>
      </c>
      <c r="AL231" s="71">
        <f t="shared" si="612"/>
        <v>5</v>
      </c>
      <c r="AM231" s="71">
        <f t="shared" si="612"/>
        <v>0</v>
      </c>
      <c r="AN231" s="71">
        <f t="shared" si="612"/>
        <v>6</v>
      </c>
      <c r="AO231" s="71">
        <f t="shared" si="612"/>
        <v>6</v>
      </c>
      <c r="AP231" s="71">
        <f t="shared" si="612"/>
        <v>6</v>
      </c>
      <c r="AQ231" s="71">
        <f t="shared" si="612"/>
        <v>6</v>
      </c>
      <c r="AR231" s="71">
        <f t="shared" si="612"/>
        <v>6</v>
      </c>
      <c r="AS231" s="71">
        <f t="shared" si="612"/>
        <v>6</v>
      </c>
      <c r="AT231" s="71">
        <f t="shared" si="612"/>
        <v>6</v>
      </c>
      <c r="AU231" s="71">
        <f t="shared" si="612"/>
        <v>6</v>
      </c>
      <c r="AV231" s="71">
        <f t="shared" si="612"/>
        <v>6</v>
      </c>
      <c r="AW231" s="71">
        <f t="shared" si="612"/>
        <v>0</v>
      </c>
      <c r="AX231" s="71">
        <f t="shared" si="612"/>
        <v>99</v>
      </c>
      <c r="AY231" s="71">
        <f t="shared" si="612"/>
        <v>99</v>
      </c>
      <c r="BA231" s="71"/>
      <c r="BB231" s="71"/>
      <c r="BC231" s="71"/>
      <c r="BD231" s="71"/>
      <c r="BE231" s="71"/>
      <c r="BF231" s="71"/>
    </row>
    <row r="232" spans="1:58">
      <c r="A232" t="s">
        <v>16</v>
      </c>
      <c r="C232" s="10"/>
      <c r="D232" s="10"/>
      <c r="E232" s="10"/>
      <c r="F232" s="10"/>
      <c r="G232" s="10"/>
      <c r="H232" s="10" t="s">
        <v>434</v>
      </c>
      <c r="I232" s="10"/>
      <c r="J232" s="12">
        <v>2012</v>
      </c>
      <c r="K232" s="12">
        <f>1+J232</f>
        <v>2013</v>
      </c>
      <c r="L232" s="12">
        <f t="shared" ref="L232:AV232" si="613">1+K232</f>
        <v>2014</v>
      </c>
      <c r="M232" s="12">
        <f>1+L232</f>
        <v>2015</v>
      </c>
      <c r="N232" s="12">
        <f t="shared" si="613"/>
        <v>2016</v>
      </c>
      <c r="O232" s="12">
        <f t="shared" si="613"/>
        <v>2017</v>
      </c>
      <c r="P232" s="12">
        <f t="shared" si="613"/>
        <v>2018</v>
      </c>
      <c r="Q232" s="12">
        <f t="shared" si="613"/>
        <v>2019</v>
      </c>
      <c r="R232" s="12">
        <f t="shared" si="613"/>
        <v>2020</v>
      </c>
      <c r="S232" s="12">
        <f t="shared" si="613"/>
        <v>2021</v>
      </c>
      <c r="T232" s="12">
        <f t="shared" si="613"/>
        <v>2022</v>
      </c>
      <c r="U232" s="12">
        <f t="shared" si="613"/>
        <v>2023</v>
      </c>
      <c r="V232" s="12">
        <f t="shared" si="613"/>
        <v>2024</v>
      </c>
      <c r="W232" s="12">
        <f t="shared" si="613"/>
        <v>2025</v>
      </c>
      <c r="X232" s="12">
        <f t="shared" si="613"/>
        <v>2026</v>
      </c>
      <c r="Y232" s="12">
        <f t="shared" si="613"/>
        <v>2027</v>
      </c>
      <c r="Z232" s="12">
        <f t="shared" si="613"/>
        <v>2028</v>
      </c>
      <c r="AA232" s="12">
        <f t="shared" si="613"/>
        <v>2029</v>
      </c>
      <c r="AB232" s="12">
        <f t="shared" si="613"/>
        <v>2030</v>
      </c>
      <c r="AC232" s="12">
        <f t="shared" si="613"/>
        <v>2031</v>
      </c>
      <c r="AD232" s="12">
        <f t="shared" si="613"/>
        <v>2032</v>
      </c>
      <c r="AE232" s="12">
        <f t="shared" si="613"/>
        <v>2033</v>
      </c>
      <c r="AF232" s="12">
        <f t="shared" si="613"/>
        <v>2034</v>
      </c>
      <c r="AG232" s="12">
        <f t="shared" si="613"/>
        <v>2035</v>
      </c>
      <c r="AH232" s="12">
        <f t="shared" si="613"/>
        <v>2036</v>
      </c>
      <c r="AI232" s="12">
        <f t="shared" si="613"/>
        <v>2037</v>
      </c>
      <c r="AJ232" s="12">
        <f t="shared" si="613"/>
        <v>2038</v>
      </c>
      <c r="AK232" s="12">
        <f t="shared" si="613"/>
        <v>2039</v>
      </c>
      <c r="AL232" s="12">
        <f t="shared" si="613"/>
        <v>2040</v>
      </c>
      <c r="AM232" s="12">
        <f t="shared" si="613"/>
        <v>2041</v>
      </c>
      <c r="AN232" s="12">
        <f t="shared" si="613"/>
        <v>2042</v>
      </c>
      <c r="AO232" s="12">
        <f t="shared" si="613"/>
        <v>2043</v>
      </c>
      <c r="AP232" s="12">
        <f t="shared" si="613"/>
        <v>2044</v>
      </c>
      <c r="AQ232" s="12">
        <f t="shared" si="613"/>
        <v>2045</v>
      </c>
      <c r="AR232" s="12">
        <f t="shared" si="613"/>
        <v>2046</v>
      </c>
      <c r="AS232" s="12">
        <f t="shared" si="613"/>
        <v>2047</v>
      </c>
      <c r="AT232" s="12">
        <f t="shared" si="613"/>
        <v>2048</v>
      </c>
      <c r="AU232" s="12">
        <f t="shared" si="613"/>
        <v>2049</v>
      </c>
      <c r="AV232" s="12">
        <f t="shared" si="613"/>
        <v>2050</v>
      </c>
      <c r="AW232" s="12">
        <v>2060</v>
      </c>
      <c r="AX232" s="12">
        <v>2070</v>
      </c>
      <c r="AZ232" s="12"/>
      <c r="BA232" s="12"/>
      <c r="BB232" s="12"/>
      <c r="BC232" s="12"/>
      <c r="BD232" s="12"/>
      <c r="BE232" s="12"/>
    </row>
    <row r="233" spans="1:58">
      <c r="A233" t="s">
        <v>16</v>
      </c>
      <c r="B233" s="16" t="str">
        <f t="shared" ref="B233:B238" si="614">IF(A233="*","","COM_PROJ")</f>
        <v/>
      </c>
      <c r="C233" s="17" t="str">
        <f t="shared" ref="C233:C238" si="615">IF($A233="*","","-")</f>
        <v/>
      </c>
      <c r="E233" s="17" t="str">
        <f t="shared" ref="E233:H238" si="616">IF($A233="*","","-")</f>
        <v/>
      </c>
      <c r="F233" s="17"/>
      <c r="G233" s="17" t="str">
        <f t="shared" si="616"/>
        <v/>
      </c>
      <c r="H233" s="17" t="str">
        <f t="shared" si="616"/>
        <v/>
      </c>
      <c r="I233" s="48" t="str">
        <f t="shared" ref="I233:I240" si="617">B161</f>
        <v>TPPRCAR</v>
      </c>
      <c r="J233" s="3">
        <f t="shared" ref="J233:J240" si="618">E161</f>
        <v>108.6598655462619</v>
      </c>
      <c r="K233" s="3" cm="1">
        <f t="array" ref="K233">IF(L$231=-1,L233,IF(L$231=99,J233,IF(L$231=0,INDEX($E161:$M161,0,L$229),(INDEX($E161:$M161,0,L$231+1)-INDEX($E161:$M161,0,L$231))/(INDEX($E$160:$M$160,0,L$231+1)-INDEX($E$160:$M$160,0,L$231))+J233)))</f>
        <v>110.13764955975378</v>
      </c>
      <c r="L233" s="3" cm="1">
        <f t="array" ref="L233">IF(M$231=-1,M233,IF(M$231=99,K233,IF(M$231=0,INDEX($E161:$M161,0,M$229),(INDEX($E161:$M161,0,M$231+1)-INDEX($E161:$M161,0,M$231))/(INDEX($E$160:$M$160,0,M$231+1)-INDEX($E$160:$M$160,0,M$231))+K233)))</f>
        <v>111.61543357324567</v>
      </c>
      <c r="M233" s="3" cm="1">
        <f t="array" ref="M233">IF(N$231=-1,N233,IF(N$231=99,L233,IF(N$231=0,INDEX($E161:$M161,0,N$229),(INDEX($E161:$M161,0,N$231+1)-INDEX($E161:$M161,0,N$231))/(INDEX($E$160:$M$160,0,N$231+1)-INDEX($E$160:$M$160,0,N$231))+L233)))</f>
        <v>113.09321758673757</v>
      </c>
      <c r="N233" s="3" cm="1">
        <f t="array" ref="N233">IF(O$231=-1,O233,IF(O$231=99,M233,IF(O$231=0,INDEX($E161:$M161,0,O$229),(INDEX($E161:$M161,0,O$231+1)-INDEX($E161:$M161,0,O$231))/(INDEX($E$160:$M$160,0,O$231+1)-INDEX($E$160:$M$160,0,O$231))+M233)))</f>
        <v>112.65339581522221</v>
      </c>
      <c r="O233" s="3" cm="1">
        <f t="array" ref="O233">IF(P$231=-1,P233,IF(P$231=99,N233,IF(P$231=0,INDEX($E161:$M161,0,P$229),(INDEX($E161:$M161,0,P$231+1)-INDEX($E161:$M161,0,P$231))/(INDEX($E$160:$M$160,0,P$231+1)-INDEX($E$160:$M$160,0,P$231))+N233)))</f>
        <v>112.21357404370687</v>
      </c>
      <c r="P233" s="3" cm="1">
        <f t="array" ref="P233">IF(Q$231=-1,Q233,IF(Q$231=99,O233,IF(Q$231=0,INDEX($E161:$M161,0,Q$229),(INDEX($E161:$M161,0,Q$231+1)-INDEX($E161:$M161,0,Q$231))/(INDEX($E$160:$M$160,0,Q$231+1)-INDEX($E$160:$M$160,0,Q$231))+O233)))</f>
        <v>114.99472359786546</v>
      </c>
      <c r="Q233" s="3" cm="1">
        <f t="array" ref="Q233">IF(R$231=-1,R233,IF(R$231=99,P233,IF(R$231=0,INDEX($E161:$M161,0,R$229),(INDEX($E161:$M161,0,R$231+1)-INDEX($E161:$M161,0,R$231))/(INDEX($E$160:$M$160,0,R$231+1)-INDEX($E$160:$M$160,0,R$231))+P233)))</f>
        <v>117.77587315202405</v>
      </c>
      <c r="R233" s="3" cm="1">
        <f t="array" ref="R233">IF(S$231=-1,S233,IF(S$231=99,Q233,IF(S$231=0,INDEX($E161:$M161,0,S$229),(INDEX($E161:$M161,0,S$231+1)-INDEX($E161:$M161,0,S$231))/(INDEX($E$160:$M$160,0,S$231+1)-INDEX($E$160:$M$160,0,S$231))+Q233)))</f>
        <v>117.77587315202406</v>
      </c>
      <c r="S233" s="3" cm="1">
        <f t="array" ref="S233">IF(T$231=-1,T233,IF(T$231=99,R233,IF(T$231=0,INDEX($E161:$M161,0,T$229),(INDEX($E161:$M161,0,T$231+1)-INDEX($E161:$M161,0,T$231))/(INDEX($E$160:$M$160,0,T$231+1)-INDEX($E$160:$M$160,0,T$231))+R233)))</f>
        <v>109.43104058031604</v>
      </c>
      <c r="T233" s="3" cm="1">
        <f t="array" ref="T233">IF(U$231=-1,U233,IF(U$231=99,S233,IF(U$231=0,INDEX($E161:$M161,0,U$229),(INDEX($E161:$M161,0,U$231+1)-INDEX($E161:$M161,0,U$231))/(INDEX($E$160:$M$160,0,U$231+1)-INDEX($E$160:$M$160,0,U$231))+S233)))</f>
        <v>101.08620800860801</v>
      </c>
      <c r="U233" s="3" cm="1">
        <f t="array" ref="U233">IF(V$231=-1,V233,IF(V$231=99,T233,IF(V$231=0,INDEX($E161:$M161,0,V$229),(INDEX($E161:$M161,0,V$231+1)-INDEX($E161:$M161,0,V$231))/(INDEX($E$160:$M$160,0,V$231+1)-INDEX($E$160:$M$160,0,V$231))+T233)))</f>
        <v>92.741375436899986</v>
      </c>
      <c r="V233" s="3" cm="1">
        <f t="array" ref="V233">IF(W$231=-1,W233,IF(W$231=99,U233,IF(W$231=0,INDEX($E161:$M161,0,W$229),(INDEX($E161:$M161,0,W$231+1)-INDEX($E161:$M161,0,W$231))/(INDEX($E$160:$M$160,0,W$231+1)-INDEX($E$160:$M$160,0,W$231))+U233)))</f>
        <v>84.396542865191961</v>
      </c>
      <c r="W233" s="3" cm="1">
        <f t="array" ref="W233">IF(X$231=-1,X233,IF(X$231=99,V233,IF(X$231=0,INDEX($E161:$M161,0,X$229),(INDEX($E161:$M161,0,X$231+1)-INDEX($E161:$M161,0,X$231))/(INDEX($E$160:$M$160,0,X$231+1)-INDEX($E$160:$M$160,0,X$231))+V233)))</f>
        <v>76.051710293483936</v>
      </c>
      <c r="X233" s="3" cm="1">
        <f t="array" ref="X233">IF(Y$231=-1,Y233,IF(Y$231=99,W233,IF(Y$231=0,INDEX($E161:$M161,0,Y$229),(INDEX($E161:$M161,0,Y$231+1)-INDEX($E161:$M161,0,Y$231))/(INDEX($E$160:$M$160,0,Y$231+1)-INDEX($E$160:$M$160,0,Y$231))+W233)))</f>
        <v>67.706877721775911</v>
      </c>
      <c r="Y233" s="3" cm="1">
        <f t="array" ref="Y233">IF(Z$231=-1,Z233,IF(Z$231=99,X233,IF(Z$231=0,INDEX($E161:$M161,0,Z$229),(INDEX($E161:$M161,0,Z$231+1)-INDEX($E161:$M161,0,Z$231))/(INDEX($E$160:$M$160,0,Z$231+1)-INDEX($E$160:$M$160,0,Z$231))+X233)))</f>
        <v>59.362045150067885</v>
      </c>
      <c r="Z233" s="3" cm="1">
        <f t="array" ref="Z233">IF(AA$231=-1,AA233,IF(AA$231=99,Y233,IF(AA$231=0,INDEX($E161:$M161,0,AA$229),(INDEX($E161:$M161,0,AA$231+1)-INDEX($E161:$M161,0,AA$231))/(INDEX($E$160:$M$160,0,AA$231+1)-INDEX($E$160:$M$160,0,AA$231))+Y233)))</f>
        <v>51.01721257835986</v>
      </c>
      <c r="AA233" s="3" cm="1">
        <f t="array" ref="AA233">IF(AB$231=-1,AB233,IF(AB$231=99,Z233,IF(AB$231=0,INDEX($E161:$M161,0,AB$229),(INDEX($E161:$M161,0,AB$231+1)-INDEX($E161:$M161,0,AB$231))/(INDEX($E$160:$M$160,0,AB$231+1)-INDEX($E$160:$M$160,0,AB$231))+Z233)))</f>
        <v>42.672380006651835</v>
      </c>
      <c r="AB233" s="3" cm="1">
        <f t="array" ref="AB233">IF(AC$231=-1,AC233,IF(AC$231=99,AA233,IF(AC$231=0,INDEX($E161:$M161,0,AC$229),(INDEX($E161:$M161,0,AC$231+1)-INDEX($E161:$M161,0,AC$231))/(INDEX($E$160:$M$160,0,AC$231+1)-INDEX($E$160:$M$160,0,AC$231))+AA233)))</f>
        <v>109.43104058031604</v>
      </c>
      <c r="AC233" s="3" cm="1">
        <f t="array" ref="AC233">IF(AD$231=-1,AD233,IF(AD$231=99,AB233,IF(AD$231=0,INDEX($E161:$M161,0,AD$229),(INDEX($E161:$M161,0,AD$231+1)-INDEX($E161:$M161,0,AD$231))/(INDEX($E$160:$M$160,0,AD$231+1)-INDEX($E$160:$M$160,0,AD$231))+AB233)))</f>
        <v>107.25193624787502</v>
      </c>
      <c r="AD233" s="3" cm="1">
        <f t="array" ref="AD233">IF(AE$231=-1,AE233,IF(AE$231=99,AC233,IF(AE$231=0,INDEX($E161:$M161,0,AE$229),(INDEX($E161:$M161,0,AE$231+1)-INDEX($E161:$M161,0,AE$231))/(INDEX($E$160:$M$160,0,AE$231+1)-INDEX($E$160:$M$160,0,AE$231))+AC233)))</f>
        <v>105.07283191543401</v>
      </c>
      <c r="AE233" s="3" cm="1">
        <f t="array" ref="AE233">IF(AF$231=-1,AF233,IF(AF$231=99,AD233,IF(AF$231=0,INDEX($E161:$M161,0,AF$229),(INDEX($E161:$M161,0,AF$231+1)-INDEX($E161:$M161,0,AF$231))/(INDEX($E$160:$M$160,0,AF$231+1)-INDEX($E$160:$M$160,0,AF$231))+AD233)))</f>
        <v>102.89372758299299</v>
      </c>
      <c r="AF233" s="3" cm="1">
        <f t="array" ref="AF233">IF(AG$231=-1,AG233,IF(AG$231=99,AE233,IF(AG$231=0,INDEX($E161:$M161,0,AG$229),(INDEX($E161:$M161,0,AG$231+1)-INDEX($E161:$M161,0,AG$231))/(INDEX($E$160:$M$160,0,AG$231+1)-INDEX($E$160:$M$160,0,AG$231))+AE233)))</f>
        <v>100.71462325055198</v>
      </c>
      <c r="AG233" s="3" cm="1">
        <f t="array" ref="AG233">IF(AH$231=-1,AH233,IF(AH$231=99,AF233,IF(AH$231=0,INDEX($E161:$M161,0,AH$229),(INDEX($E161:$M161,0,AH$231+1)-INDEX($E161:$M161,0,AH$231))/(INDEX($E$160:$M$160,0,AH$231+1)-INDEX($E$160:$M$160,0,AH$231))+AF233)))</f>
        <v>98.535518918110967</v>
      </c>
      <c r="AH233" s="3" cm="1">
        <f t="array" ref="AH233">IF(AI$231=-1,AI233,IF(AI$231=99,AG233,IF(AI$231=0,INDEX($E161:$M161,0,AI$229),(INDEX($E161:$M161,0,AI$231+1)-INDEX($E161:$M161,0,AI$231))/(INDEX($E$160:$M$160,0,AI$231+1)-INDEX($E$160:$M$160,0,AI$231))+AG233)))</f>
        <v>96.356414585669953</v>
      </c>
      <c r="AI233" s="3" cm="1">
        <f t="array" ref="AI233">IF(AJ$231=-1,AJ233,IF(AJ$231=99,AH233,IF(AJ$231=0,INDEX($E161:$M161,0,AJ$229),(INDEX($E161:$M161,0,AJ$231+1)-INDEX($E161:$M161,0,AJ$231))/(INDEX($E$160:$M$160,0,AJ$231+1)-INDEX($E$160:$M$160,0,AJ$231))+AH233)))</f>
        <v>94.177310253228939</v>
      </c>
      <c r="AJ233" s="3" cm="1">
        <f t="array" ref="AJ233">IF(AK$231=-1,AK233,IF(AK$231=99,AI233,IF(AK$231=0,INDEX($E161:$M161,0,AK$229),(INDEX($E161:$M161,0,AK$231+1)-INDEX($E161:$M161,0,AK$231))/(INDEX($E$160:$M$160,0,AK$231+1)-INDEX($E$160:$M$160,0,AK$231))+AI233)))</f>
        <v>91.998205920787925</v>
      </c>
      <c r="AK233" s="3" cm="1">
        <f t="array" ref="AK233">IF(AL$231=-1,AL233,IF(AL$231=99,AJ233,IF(AL$231=0,INDEX($E161:$M161,0,AL$229),(INDEX($E161:$M161,0,AL$231+1)-INDEX($E161:$M161,0,AL$231))/(INDEX($E$160:$M$160,0,AL$231+1)-INDEX($E$160:$M$160,0,AL$231))+AJ233)))</f>
        <v>89.819101588346911</v>
      </c>
      <c r="AL233" s="3" cm="1">
        <f t="array" ref="AL233">IF(AM$231=-1,AM233,IF(AM$231=99,AK233,IF(AM$231=0,INDEX($E161:$M161,0,AM$229),(INDEX($E161:$M161,0,AM$231+1)-INDEX($E161:$M161,0,AM$231))/(INDEX($E$160:$M$160,0,AM$231+1)-INDEX($E$160:$M$160,0,AM$231))+AK233)))</f>
        <v>107.25193624787502</v>
      </c>
      <c r="AM233" s="3" cm="1">
        <f t="array" ref="AM233">IF(AN$231=-1,AN233,IF(AN$231=99,AL233,IF(AN$231=0,INDEX($E161:$M161,0,AN$229),(INDEX($E161:$M161,0,AN$231+1)-INDEX($E161:$M161,0,AN$231))/(INDEX($E$160:$M$160,0,AN$231+1)-INDEX($E$160:$M$160,0,AN$231))+AL233)))</f>
        <v>110.68030058479539</v>
      </c>
      <c r="AN233" s="3" cm="1">
        <f t="array" ref="AN233">IF(AO$231=-1,AO233,IF(AO$231=99,AM233,IF(AO$231=0,INDEX($E161:$M161,0,AO$229),(INDEX($E161:$M161,0,AO$231+1)-INDEX($E161:$M161,0,AO$231))/(INDEX($E$160:$M$160,0,AO$231+1)-INDEX($E$160:$M$160,0,AO$231))+AM233)))</f>
        <v>114.10866492171576</v>
      </c>
      <c r="AO233" s="3" cm="1">
        <f t="array" ref="AO233">IF(AP$231=-1,AP233,IF(AP$231=99,AN233,IF(AP$231=0,INDEX($E161:$M161,0,AP$229),(INDEX($E161:$M161,0,AP$231+1)-INDEX($E161:$M161,0,AP$231))/(INDEX($E$160:$M$160,0,AP$231+1)-INDEX($E$160:$M$160,0,AP$231))+AN233)))</f>
        <v>117.53702925863612</v>
      </c>
      <c r="AP233" s="3" cm="1">
        <f t="array" ref="AP233">IF(AQ$231=-1,AQ233,IF(AQ$231=99,AO233,IF(AQ$231=0,INDEX($E161:$M161,0,AQ$229),(INDEX($E161:$M161,0,AQ$231+1)-INDEX($E161:$M161,0,AQ$231))/(INDEX($E$160:$M$160,0,AQ$231+1)-INDEX($E$160:$M$160,0,AQ$231))+AO233)))</f>
        <v>120.96539359555649</v>
      </c>
      <c r="AQ233" s="3" cm="1">
        <f t="array" ref="AQ233">IF(AR$231=-1,AR233,IF(AR$231=99,AP233,IF(AR$231=0,INDEX($E161:$M161,0,AR$229),(INDEX($E161:$M161,0,AR$231+1)-INDEX($E161:$M161,0,AR$231))/(INDEX($E$160:$M$160,0,AR$231+1)-INDEX($E$160:$M$160,0,AR$231))+AP233)))</f>
        <v>124.39375793247686</v>
      </c>
      <c r="AR233" s="3" cm="1">
        <f t="array" ref="AR233">IF(AS$231=-1,AS233,IF(AS$231=99,AQ233,IF(AS$231=0,INDEX($E161:$M161,0,AS$229),(INDEX($E161:$M161,0,AS$231+1)-INDEX($E161:$M161,0,AS$231))/(INDEX($E$160:$M$160,0,AS$231+1)-INDEX($E$160:$M$160,0,AS$231))+AQ233)))</f>
        <v>127.82212226939723</v>
      </c>
      <c r="AS233" s="3" cm="1">
        <f t="array" ref="AS233">IF(AT$231=-1,AT233,IF(AT$231=99,AR233,IF(AT$231=0,INDEX($E161:$M161,0,AT$229),(INDEX($E161:$M161,0,AT$231+1)-INDEX($E161:$M161,0,AT$231))/(INDEX($E$160:$M$160,0,AT$231+1)-INDEX($E$160:$M$160,0,AT$231))+AR233)))</f>
        <v>131.25048660631759</v>
      </c>
      <c r="AT233" s="3" cm="1">
        <f t="array" ref="AT233">IF(AU$231=-1,AU233,IF(AU$231=99,AS233,IF(AU$231=0,INDEX($E161:$M161,0,AU$229),(INDEX($E161:$M161,0,AU$231+1)-INDEX($E161:$M161,0,AU$231))/(INDEX($E$160:$M$160,0,AU$231+1)-INDEX($E$160:$M$160,0,AU$231))+AS233)))</f>
        <v>134.67885094323796</v>
      </c>
      <c r="AU233" s="3" cm="1">
        <f t="array" ref="AU233">IF(AV$231=-1,AV233,IF(AV$231=99,AT233,IF(AV$231=0,INDEX($E161:$M161,0,AV$229),(INDEX($E161:$M161,0,AV$231+1)-INDEX($E161:$M161,0,AV$231))/(INDEX($E$160:$M$160,0,AV$231+1)-INDEX($E$160:$M$160,0,AV$231))+AT233)))</f>
        <v>138.10721528015833</v>
      </c>
      <c r="AV233" s="3" cm="1">
        <f t="array" ref="AV233">IF(AW$231=-1,AW233,IF(AW$231=99,AU233,IF(AW$231=0,INDEX($E161:$M161,0,AW$229),(INDEX($E161:$M161,0,AW$231+1)-INDEX($E161:$M161,0,AW$231))/(INDEX($E$160:$M$160,0,AW$231+1)-INDEX($E$160:$M$160,0,AW$231))+AU233)))</f>
        <v>138.10721528015836</v>
      </c>
      <c r="AW233" s="3" cm="1">
        <f t="array" ref="AW233">IF(AX$231=-1,AX233,IF(AX$231=99,AV233,IF(AX$231=0,INDEX($E161:$M161,0,AX$229),(INDEX($E161:$M161,0,AX$231+1)-INDEX($E161:$M161,0,AX$231))/(INDEX($E$160:$M$160,0,AX$231+1)-INDEX($E$160:$M$160,0,AX$231))+AV233)))</f>
        <v>138.10721528015836</v>
      </c>
      <c r="AX233" s="3" cm="1">
        <f t="array" ref="AX233">IF(AY$231=-1,AZ233,IF(AY$231=99,AW233,IF(AY$231=0,INDEX($E161:$M161,0,AY$229),(INDEX($E161:$M161,0,AY$231+1)-INDEX($E161:$M161,0,AY$231))/(INDEX($E$160:$M$160,0,AY$231+1)-INDEX($E$160:$M$160,0,AY$231))+AW233)))</f>
        <v>138.10721528015836</v>
      </c>
      <c r="AZ233" s="3"/>
      <c r="BA233" s="3"/>
      <c r="BB233" s="3"/>
      <c r="BC233" s="3"/>
      <c r="BD233" s="3"/>
      <c r="BE233" s="3"/>
    </row>
    <row r="234" spans="1:58">
      <c r="A234" t="s">
        <v>16</v>
      </c>
      <c r="B234" s="16" t="str">
        <f t="shared" si="614"/>
        <v/>
      </c>
      <c r="C234" s="17" t="str">
        <f t="shared" si="615"/>
        <v/>
      </c>
      <c r="E234" s="17" t="str">
        <f t="shared" si="616"/>
        <v/>
      </c>
      <c r="F234" s="17"/>
      <c r="G234" s="17" t="str">
        <f t="shared" si="616"/>
        <v/>
      </c>
      <c r="H234" s="17" t="str">
        <f t="shared" si="616"/>
        <v/>
      </c>
      <c r="I234" s="48" t="str">
        <f t="shared" si="617"/>
        <v>TPPRSUV</v>
      </c>
      <c r="J234" s="3">
        <f t="shared" si="618"/>
        <v>13.915131557209829</v>
      </c>
      <c r="K234" s="3" cm="1">
        <f t="array" ref="K234">IF(L$231=-1,L234,IF(L$231=99,J234,IF(L$231=0,INDEX($E162:$M162,0,L$229),(INDEX($E162:$M162,0,L$231+1)-INDEX($E162:$M162,0,L$231))/(INDEX($E$160:$M$160,0,L$231+1)-INDEX($E$160:$M$160,0,L$231))+J234)))</f>
        <v>15.459100350449605</v>
      </c>
      <c r="L234" s="3" cm="1">
        <f t="array" ref="L234">IF(M$231=-1,M234,IF(M$231=99,K234,IF(M$231=0,INDEX($E162:$M162,0,M$229),(INDEX($E162:$M162,0,M$231+1)-INDEX($E162:$M162,0,M$231))/(INDEX($E$160:$M$160,0,M$231+1)-INDEX($E$160:$M$160,0,M$231))+K234)))</f>
        <v>17.00306914368938</v>
      </c>
      <c r="M234" s="3" cm="1">
        <f t="array" ref="M234">IF(N$231=-1,N234,IF(N$231=99,L234,IF(N$231=0,INDEX($E162:$M162,0,N$229),(INDEX($E162:$M162,0,N$231+1)-INDEX($E162:$M162,0,N$231))/(INDEX($E$160:$M$160,0,N$231+1)-INDEX($E$160:$M$160,0,N$231))+L234)))</f>
        <v>18.547037936929154</v>
      </c>
      <c r="N234" s="3" cm="1">
        <f t="array" ref="N234">IF(O$231=-1,O234,IF(O$231=99,M234,IF(O$231=0,INDEX($E162:$M162,0,O$229),(INDEX($E162:$M162,0,O$231+1)-INDEX($E162:$M162,0,O$231))/(INDEX($E$160:$M$160,0,O$231+1)-INDEX($E$160:$M$160,0,O$231))+M234)))</f>
        <v>21.196211210608432</v>
      </c>
      <c r="O234" s="3" cm="1">
        <f t="array" ref="O234">IF(P$231=-1,P234,IF(P$231=99,N234,IF(P$231=0,INDEX($E162:$M162,0,P$229),(INDEX($E162:$M162,0,P$231+1)-INDEX($E162:$M162,0,P$231))/(INDEX($E$160:$M$160,0,P$231+1)-INDEX($E$160:$M$160,0,P$231))+N234)))</f>
        <v>23.845384484287713</v>
      </c>
      <c r="P234" s="3" cm="1">
        <f t="array" ref="P234">IF(Q$231=-1,Q234,IF(Q$231=99,O234,IF(Q$231=0,INDEX($E162:$M162,0,Q$229),(INDEX($E162:$M162,0,Q$231+1)-INDEX($E162:$M162,0,Q$231))/(INDEX($E$160:$M$160,0,Q$231+1)-INDEX($E$160:$M$160,0,Q$231))+O234)))</f>
        <v>24.436378764546415</v>
      </c>
      <c r="Q234" s="3" cm="1">
        <f t="array" ref="Q234">IF(R$231=-1,R234,IF(R$231=99,P234,IF(R$231=0,INDEX($E162:$M162,0,R$229),(INDEX($E162:$M162,0,R$231+1)-INDEX($E162:$M162,0,R$231))/(INDEX($E$160:$M$160,0,R$231+1)-INDEX($E$160:$M$160,0,R$231))+P234)))</f>
        <v>25.027373044805117</v>
      </c>
      <c r="R234" s="3" cm="1">
        <f t="array" ref="R234">IF(S$231=-1,S234,IF(S$231=99,Q234,IF(S$231=0,INDEX($E162:$M162,0,S$229),(INDEX($E162:$M162,0,S$231+1)-INDEX($E162:$M162,0,S$231))/(INDEX($E$160:$M$160,0,S$231+1)-INDEX($E$160:$M$160,0,S$231))+Q234)))</f>
        <v>25.027373044805117</v>
      </c>
      <c r="S234" s="3" cm="1">
        <f t="array" ref="S234">IF(T$231=-1,T234,IF(T$231=99,R234,IF(T$231=0,INDEX($E162:$M162,0,T$229),(INDEX($E162:$M162,0,T$231+1)-INDEX($E162:$M162,0,T$231))/(INDEX($E$160:$M$160,0,T$231+1)-INDEX($E$160:$M$160,0,T$231))+R234)))</f>
        <v>23.254096123317161</v>
      </c>
      <c r="T234" s="3" cm="1">
        <f t="array" ref="T234">IF(U$231=-1,U234,IF(U$231=99,S234,IF(U$231=0,INDEX($E162:$M162,0,U$229),(INDEX($E162:$M162,0,U$231+1)-INDEX($E162:$M162,0,U$231))/(INDEX($E$160:$M$160,0,U$231+1)-INDEX($E$160:$M$160,0,U$231))+S234)))</f>
        <v>21.480819201829206</v>
      </c>
      <c r="U234" s="3" cm="1">
        <f t="array" ref="U234">IF(V$231=-1,V234,IF(V$231=99,T234,IF(V$231=0,INDEX($E162:$M162,0,V$229),(INDEX($E162:$M162,0,V$231+1)-INDEX($E162:$M162,0,V$231))/(INDEX($E$160:$M$160,0,V$231+1)-INDEX($E$160:$M$160,0,V$231))+T234)))</f>
        <v>19.707542280341251</v>
      </c>
      <c r="V234" s="3" cm="1">
        <f t="array" ref="V234">IF(W$231=-1,W234,IF(W$231=99,U234,IF(W$231=0,INDEX($E162:$M162,0,W$229),(INDEX($E162:$M162,0,W$231+1)-INDEX($E162:$M162,0,W$231))/(INDEX($E$160:$M$160,0,W$231+1)-INDEX($E$160:$M$160,0,W$231))+U234)))</f>
        <v>17.934265358853295</v>
      </c>
      <c r="W234" s="3" cm="1">
        <f t="array" ref="W234">IF(X$231=-1,X234,IF(X$231=99,V234,IF(X$231=0,INDEX($E162:$M162,0,X$229),(INDEX($E162:$M162,0,X$231+1)-INDEX($E162:$M162,0,X$231))/(INDEX($E$160:$M$160,0,X$231+1)-INDEX($E$160:$M$160,0,X$231))+V234)))</f>
        <v>16.16098843736534</v>
      </c>
      <c r="X234" s="3" cm="1">
        <f t="array" ref="X234">IF(Y$231=-1,Y234,IF(Y$231=99,W234,IF(Y$231=0,INDEX($E162:$M162,0,Y$229),(INDEX($E162:$M162,0,Y$231+1)-INDEX($E162:$M162,0,Y$231))/(INDEX($E$160:$M$160,0,Y$231+1)-INDEX($E$160:$M$160,0,Y$231))+W234)))</f>
        <v>14.387711515877385</v>
      </c>
      <c r="Y234" s="3" cm="1">
        <f t="array" ref="Y234">IF(Z$231=-1,Z234,IF(Z$231=99,X234,IF(Z$231=0,INDEX($E162:$M162,0,Z$229),(INDEX($E162:$M162,0,Z$231+1)-INDEX($E162:$M162,0,Z$231))/(INDEX($E$160:$M$160,0,Z$231+1)-INDEX($E$160:$M$160,0,Z$231))+X234)))</f>
        <v>12.614434594389429</v>
      </c>
      <c r="Z234" s="3" cm="1">
        <f t="array" ref="Z234">IF(AA$231=-1,AA234,IF(AA$231=99,Y234,IF(AA$231=0,INDEX($E162:$M162,0,AA$229),(INDEX($E162:$M162,0,AA$231+1)-INDEX($E162:$M162,0,AA$231))/(INDEX($E$160:$M$160,0,AA$231+1)-INDEX($E$160:$M$160,0,AA$231))+Y234)))</f>
        <v>10.841157672901474</v>
      </c>
      <c r="AA234" s="3" cm="1">
        <f t="array" ref="AA234">IF(AB$231=-1,AB234,IF(AB$231=99,Z234,IF(AB$231=0,INDEX($E162:$M162,0,AB$229),(INDEX($E162:$M162,0,AB$231+1)-INDEX($E162:$M162,0,AB$231))/(INDEX($E$160:$M$160,0,AB$231+1)-INDEX($E$160:$M$160,0,AB$231))+Z234)))</f>
        <v>9.0678807514135187</v>
      </c>
      <c r="AB234" s="3" cm="1">
        <f t="array" ref="AB234">IF(AC$231=-1,AC234,IF(AC$231=99,AA234,IF(AC$231=0,INDEX($E162:$M162,0,AC$229),(INDEX($E162:$M162,0,AC$231+1)-INDEX($E162:$M162,0,AC$231))/(INDEX($E$160:$M$160,0,AC$231+1)-INDEX($E$160:$M$160,0,AC$231))+AA234)))</f>
        <v>23.254096123317161</v>
      </c>
      <c r="AC234" s="3" cm="1">
        <f t="array" ref="AC234">IF(AD$231=-1,AD234,IF(AD$231=99,AB234,IF(AD$231=0,INDEX($E162:$M162,0,AD$229),(INDEX($E162:$M162,0,AD$231+1)-INDEX($E162:$M162,0,AD$231))/(INDEX($E$160:$M$160,0,AD$231+1)-INDEX($E$160:$M$160,0,AD$231))+AB234)))</f>
        <v>22.791036452673445</v>
      </c>
      <c r="AD234" s="3" cm="1">
        <f t="array" ref="AD234">IF(AE$231=-1,AE234,IF(AE$231=99,AC234,IF(AE$231=0,INDEX($E162:$M162,0,AE$229),(INDEX($E162:$M162,0,AE$231+1)-INDEX($E162:$M162,0,AE$231))/(INDEX($E$160:$M$160,0,AE$231+1)-INDEX($E$160:$M$160,0,AE$231))+AC234)))</f>
        <v>22.327976782029729</v>
      </c>
      <c r="AE234" s="3" cm="1">
        <f t="array" ref="AE234">IF(AF$231=-1,AF234,IF(AF$231=99,AD234,IF(AF$231=0,INDEX($E162:$M162,0,AF$229),(INDEX($E162:$M162,0,AF$231+1)-INDEX($E162:$M162,0,AF$231))/(INDEX($E$160:$M$160,0,AF$231+1)-INDEX($E$160:$M$160,0,AF$231))+AD234)))</f>
        <v>21.864917111386013</v>
      </c>
      <c r="AF234" s="3" cm="1">
        <f t="array" ref="AF234">IF(AG$231=-1,AG234,IF(AG$231=99,AE234,IF(AG$231=0,INDEX($E162:$M162,0,AG$229),(INDEX($E162:$M162,0,AG$231+1)-INDEX($E162:$M162,0,AG$231))/(INDEX($E$160:$M$160,0,AG$231+1)-INDEX($E$160:$M$160,0,AG$231))+AE234)))</f>
        <v>21.401857440742297</v>
      </c>
      <c r="AG234" s="3" cm="1">
        <f t="array" ref="AG234">IF(AH$231=-1,AH234,IF(AH$231=99,AF234,IF(AH$231=0,INDEX($E162:$M162,0,AH$229),(INDEX($E162:$M162,0,AH$231+1)-INDEX($E162:$M162,0,AH$231))/(INDEX($E$160:$M$160,0,AH$231+1)-INDEX($E$160:$M$160,0,AH$231))+AF234)))</f>
        <v>20.938797770098581</v>
      </c>
      <c r="AH234" s="3" cm="1">
        <f t="array" ref="AH234">IF(AI$231=-1,AI234,IF(AI$231=99,AG234,IF(AI$231=0,INDEX($E162:$M162,0,AI$229),(INDEX($E162:$M162,0,AI$231+1)-INDEX($E162:$M162,0,AI$231))/(INDEX($E$160:$M$160,0,AI$231+1)-INDEX($E$160:$M$160,0,AI$231))+AG234)))</f>
        <v>20.475738099454865</v>
      </c>
      <c r="AI234" s="3" cm="1">
        <f t="array" ref="AI234">IF(AJ$231=-1,AJ234,IF(AJ$231=99,AH234,IF(AJ$231=0,INDEX($E162:$M162,0,AJ$229),(INDEX($E162:$M162,0,AJ$231+1)-INDEX($E162:$M162,0,AJ$231))/(INDEX($E$160:$M$160,0,AJ$231+1)-INDEX($E$160:$M$160,0,AJ$231))+AH234)))</f>
        <v>20.012678428811149</v>
      </c>
      <c r="AJ234" s="3" cm="1">
        <f t="array" ref="AJ234">IF(AK$231=-1,AK234,IF(AK$231=99,AI234,IF(AK$231=0,INDEX($E162:$M162,0,AK$229),(INDEX($E162:$M162,0,AK$231+1)-INDEX($E162:$M162,0,AK$231))/(INDEX($E$160:$M$160,0,AK$231+1)-INDEX($E$160:$M$160,0,AK$231))+AI234)))</f>
        <v>19.549618758167433</v>
      </c>
      <c r="AK234" s="3" cm="1">
        <f t="array" ref="AK234">IF(AL$231=-1,AL234,IF(AL$231=99,AJ234,IF(AL$231=0,INDEX($E162:$M162,0,AL$229),(INDEX($E162:$M162,0,AL$231+1)-INDEX($E162:$M162,0,AL$231))/(INDEX($E$160:$M$160,0,AL$231+1)-INDEX($E$160:$M$160,0,AL$231))+AJ234)))</f>
        <v>19.086559087523717</v>
      </c>
      <c r="AL234" s="3" cm="1">
        <f t="array" ref="AL234">IF(AM$231=-1,AM234,IF(AM$231=99,AK234,IF(AM$231=0,INDEX($E162:$M162,0,AM$229),(INDEX($E162:$M162,0,AM$231+1)-INDEX($E162:$M162,0,AM$231))/(INDEX($E$160:$M$160,0,AM$231+1)-INDEX($E$160:$M$160,0,AM$231))+AK234)))</f>
        <v>22.791036452673445</v>
      </c>
      <c r="AM234" s="3" cm="1">
        <f t="array" ref="AM234">IF(AN$231=-1,AN234,IF(AN$231=99,AL234,IF(AN$231=0,INDEX($E162:$M162,0,AN$229),(INDEX($E162:$M162,0,AN$231+1)-INDEX($E162:$M162,0,AN$231))/(INDEX($E$160:$M$160,0,AN$231+1)-INDEX($E$160:$M$160,0,AN$231))+AL234)))</f>
        <v>23.519563874269025</v>
      </c>
      <c r="AN234" s="3" cm="1">
        <f t="array" ref="AN234">IF(AO$231=-1,AO234,IF(AO$231=99,AM234,IF(AO$231=0,INDEX($E162:$M162,0,AO$229),(INDEX($E162:$M162,0,AO$231+1)-INDEX($E162:$M162,0,AO$231))/(INDEX($E$160:$M$160,0,AO$231+1)-INDEX($E$160:$M$160,0,AO$231))+AM234)))</f>
        <v>24.248091295864604</v>
      </c>
      <c r="AO234" s="3" cm="1">
        <f t="array" ref="AO234">IF(AP$231=-1,AP234,IF(AP$231=99,AN234,IF(AP$231=0,INDEX($E162:$M162,0,AP$229),(INDEX($E162:$M162,0,AP$231+1)-INDEX($E162:$M162,0,AP$231))/(INDEX($E$160:$M$160,0,AP$231+1)-INDEX($E$160:$M$160,0,AP$231))+AN234)))</f>
        <v>24.976618717460184</v>
      </c>
      <c r="AP234" s="3" cm="1">
        <f t="array" ref="AP234">IF(AQ$231=-1,AQ234,IF(AQ$231=99,AO234,IF(AQ$231=0,INDEX($E162:$M162,0,AQ$229),(INDEX($E162:$M162,0,AQ$231+1)-INDEX($E162:$M162,0,AQ$231))/(INDEX($E$160:$M$160,0,AQ$231+1)-INDEX($E$160:$M$160,0,AQ$231))+AO234)))</f>
        <v>25.705146139055763</v>
      </c>
      <c r="AQ234" s="3" cm="1">
        <f t="array" ref="AQ234">IF(AR$231=-1,AR234,IF(AR$231=99,AP234,IF(AR$231=0,INDEX($E162:$M162,0,AR$229),(INDEX($E162:$M162,0,AR$231+1)-INDEX($E162:$M162,0,AR$231))/(INDEX($E$160:$M$160,0,AR$231+1)-INDEX($E$160:$M$160,0,AR$231))+AP234)))</f>
        <v>26.433673560651343</v>
      </c>
      <c r="AR234" s="3" cm="1">
        <f t="array" ref="AR234">IF(AS$231=-1,AS234,IF(AS$231=99,AQ234,IF(AS$231=0,INDEX($E162:$M162,0,AS$229),(INDEX($E162:$M162,0,AS$231+1)-INDEX($E162:$M162,0,AS$231))/(INDEX($E$160:$M$160,0,AS$231+1)-INDEX($E$160:$M$160,0,AS$231))+AQ234)))</f>
        <v>27.162200982246922</v>
      </c>
      <c r="AS234" s="3" cm="1">
        <f t="array" ref="AS234">IF(AT$231=-1,AT234,IF(AT$231=99,AR234,IF(AT$231=0,INDEX($E162:$M162,0,AT$229),(INDEX($E162:$M162,0,AT$231+1)-INDEX($E162:$M162,0,AT$231))/(INDEX($E$160:$M$160,0,AT$231+1)-INDEX($E$160:$M$160,0,AT$231))+AR234)))</f>
        <v>27.890728403842502</v>
      </c>
      <c r="AT234" s="3" cm="1">
        <f t="array" ref="AT234">IF(AU$231=-1,AU234,IF(AU$231=99,AS234,IF(AU$231=0,INDEX($E162:$M162,0,AU$229),(INDEX($E162:$M162,0,AU$231+1)-INDEX($E162:$M162,0,AU$231))/(INDEX($E$160:$M$160,0,AU$231+1)-INDEX($E$160:$M$160,0,AU$231))+AS234)))</f>
        <v>28.619255825438081</v>
      </c>
      <c r="AU234" s="3" cm="1">
        <f t="array" ref="AU234">IF(AV$231=-1,AV234,IF(AV$231=99,AT234,IF(AV$231=0,INDEX($E162:$M162,0,AV$229),(INDEX($E162:$M162,0,AV$231+1)-INDEX($E162:$M162,0,AV$231))/(INDEX($E$160:$M$160,0,AV$231+1)-INDEX($E$160:$M$160,0,AV$231))+AT234)))</f>
        <v>29.347783247033661</v>
      </c>
      <c r="AV234" s="3" cm="1">
        <f t="array" ref="AV234">IF(AW$231=-1,AW234,IF(AW$231=99,AU234,IF(AW$231=0,INDEX($E162:$M162,0,AW$229),(INDEX($E162:$M162,0,AW$231+1)-INDEX($E162:$M162,0,AW$231))/(INDEX($E$160:$M$160,0,AW$231+1)-INDEX($E$160:$M$160,0,AW$231))+AU234)))</f>
        <v>29.347783247033657</v>
      </c>
      <c r="AW234" s="3" cm="1">
        <f t="array" ref="AW234">IF(AX$231=-1,AX234,IF(AX$231=99,AV234,IF(AX$231=0,INDEX($E162:$M162,0,AX$229),(INDEX($E162:$M162,0,AX$231+1)-INDEX($E162:$M162,0,AX$231))/(INDEX($E$160:$M$160,0,AX$231+1)-INDEX($E$160:$M$160,0,AX$231))+AV234)))</f>
        <v>29.347783247033657</v>
      </c>
      <c r="AX234" s="3" cm="1">
        <f t="array" ref="AX234">IF(AY$231=-1,AZ234,IF(AY$231=99,AW234,IF(AY$231=0,INDEX($E162:$M162,0,AY$229),(INDEX($E162:$M162,0,AY$231+1)-INDEX($E162:$M162,0,AY$231))/(INDEX($E$160:$M$160,0,AY$231+1)-INDEX($E$160:$M$160,0,AY$231))+AW234)))</f>
        <v>29.347783247033657</v>
      </c>
      <c r="AZ234" s="3"/>
      <c r="BA234" s="3"/>
      <c r="BB234" s="3"/>
      <c r="BC234" s="3"/>
      <c r="BD234" s="3"/>
      <c r="BE234" s="3"/>
    </row>
    <row r="235" spans="1:58">
      <c r="A235" t="s">
        <v>16</v>
      </c>
      <c r="B235" s="16" t="str">
        <f t="shared" si="614"/>
        <v/>
      </c>
      <c r="C235" s="17" t="str">
        <f t="shared" si="615"/>
        <v/>
      </c>
      <c r="E235" s="17" t="str">
        <f t="shared" si="616"/>
        <v/>
      </c>
      <c r="F235" s="17"/>
      <c r="G235" s="17" t="str">
        <f t="shared" si="616"/>
        <v/>
      </c>
      <c r="H235" s="17" t="str">
        <f t="shared" si="616"/>
        <v/>
      </c>
      <c r="I235" s="48" t="str">
        <f t="shared" si="617"/>
        <v>TPPRMOT</v>
      </c>
      <c r="J235" s="3">
        <f t="shared" si="618"/>
        <v>4.7105599865379668</v>
      </c>
      <c r="K235" s="3" cm="1">
        <f t="array" ref="K235">IF(L$231=-1,L235,IF(L$231=99,J235,IF(L$231=0,INDEX($E163:$M163,0,L$229),(INDEX($E163:$M163,0,L$231+1)-INDEX($E163:$M163,0,L$231))/(INDEX($E$160:$M$160,0,L$231+1)-INDEX($E$160:$M$160,0,L$231))+J235)))</f>
        <v>4.4651617484250128</v>
      </c>
      <c r="L235" s="3" cm="1">
        <f t="array" ref="L235">IF(M$231=-1,M235,IF(M$231=99,K235,IF(M$231=0,INDEX($E163:$M163,0,M$229),(INDEX($E163:$M163,0,M$231+1)-INDEX($E163:$M163,0,M$231))/(INDEX($E$160:$M$160,0,M$231+1)-INDEX($E$160:$M$160,0,M$231))+K235)))</f>
        <v>4.2197635103120588</v>
      </c>
      <c r="M235" s="3" cm="1">
        <f t="array" ref="M235">IF(N$231=-1,N235,IF(N$231=99,L235,IF(N$231=0,INDEX($E163:$M163,0,N$229),(INDEX($E163:$M163,0,N$231+1)-INDEX($E163:$M163,0,N$231))/(INDEX($E$160:$M$160,0,N$231+1)-INDEX($E$160:$M$160,0,N$231))+L235)))</f>
        <v>3.9743652721991038</v>
      </c>
      <c r="N235" s="3" cm="1">
        <f t="array" ref="N235">IF(O$231=-1,O235,IF(O$231=99,M235,IF(O$231=0,INDEX($E163:$M163,0,O$229),(INDEX($E163:$M163,0,O$231+1)-INDEX($E163:$M163,0,O$231))/(INDEX($E$160:$M$160,0,O$231+1)-INDEX($E$160:$M$160,0,O$231))+M235)))</f>
        <v>4.0911871494190564</v>
      </c>
      <c r="O235" s="3" cm="1">
        <f t="array" ref="O235">IF(P$231=-1,P235,IF(P$231=99,N235,IF(P$231=0,INDEX($E163:$M163,0,P$229),(INDEX($E163:$M163,0,P$231+1)-INDEX($E163:$M163,0,P$231))/(INDEX($E$160:$M$160,0,P$231+1)-INDEX($E$160:$M$160,0,P$231))+N235)))</f>
        <v>4.208009026639008</v>
      </c>
      <c r="P235" s="3" cm="1">
        <f t="array" ref="P235">IF(Q$231=-1,Q235,IF(Q$231=99,O235,IF(Q$231=0,INDEX($E163:$M163,0,Q$229),(INDEX($E163:$M163,0,Q$231+1)-INDEX($E163:$M163,0,Q$231))/(INDEX($E$160:$M$160,0,Q$231+1)-INDEX($E$160:$M$160,0,Q$231))+O235)))</f>
        <v>4.3123021349199551</v>
      </c>
      <c r="Q235" s="3" cm="1">
        <f t="array" ref="Q235">IF(R$231=-1,R235,IF(R$231=99,P235,IF(R$231=0,INDEX($E163:$M163,0,R$229),(INDEX($E163:$M163,0,R$231+1)-INDEX($E163:$M163,0,R$231))/(INDEX($E$160:$M$160,0,R$231+1)-INDEX($E$160:$M$160,0,R$231))+P235)))</f>
        <v>4.4165952432009021</v>
      </c>
      <c r="R235" s="3" cm="1">
        <f t="array" ref="R235">IF(S$231=-1,S235,IF(S$231=99,Q235,IF(S$231=0,INDEX($E163:$M163,0,S$229),(INDEX($E163:$M163,0,S$231+1)-INDEX($E163:$M163,0,S$231))/(INDEX($E$160:$M$160,0,S$231+1)-INDEX($E$160:$M$160,0,S$231))+Q235)))</f>
        <v>4.4165952432009021</v>
      </c>
      <c r="S235" s="3" cm="1">
        <f t="array" ref="S235">IF(T$231=-1,T235,IF(T$231=99,R235,IF(T$231=0,INDEX($E163:$M163,0,T$229),(INDEX($E163:$M163,0,T$231+1)-INDEX($E163:$M163,0,T$231))/(INDEX($E$160:$M$160,0,T$231+1)-INDEX($E$160:$M$160,0,T$231))+R235)))</f>
        <v>4.1036640217618512</v>
      </c>
      <c r="T235" s="3" cm="1">
        <f t="array" ref="T235">IF(U$231=-1,U235,IF(U$231=99,S235,IF(U$231=0,INDEX($E163:$M163,0,U$229),(INDEX($E163:$M163,0,U$231+1)-INDEX($E163:$M163,0,U$231))/(INDEX($E$160:$M$160,0,U$231+1)-INDEX($E$160:$M$160,0,U$231))+S235)))</f>
        <v>3.7907328003228002</v>
      </c>
      <c r="U235" s="3" cm="1">
        <f t="array" ref="U235">IF(V$231=-1,V235,IF(V$231=99,T235,IF(V$231=0,INDEX($E163:$M163,0,V$229),(INDEX($E163:$M163,0,V$231+1)-INDEX($E163:$M163,0,V$231))/(INDEX($E$160:$M$160,0,V$231+1)-INDEX($E$160:$M$160,0,V$231))+T235)))</f>
        <v>3.4778015788837493</v>
      </c>
      <c r="V235" s="3" cm="1">
        <f t="array" ref="V235">IF(W$231=-1,W235,IF(W$231=99,U235,IF(W$231=0,INDEX($E163:$M163,0,W$229),(INDEX($E163:$M163,0,W$231+1)-INDEX($E163:$M163,0,W$231))/(INDEX($E$160:$M$160,0,W$231+1)-INDEX($E$160:$M$160,0,W$231))+U235)))</f>
        <v>3.1648703574446984</v>
      </c>
      <c r="W235" s="3" cm="1">
        <f t="array" ref="W235">IF(X$231=-1,X235,IF(X$231=99,V235,IF(X$231=0,INDEX($E163:$M163,0,X$229),(INDEX($E163:$M163,0,X$231+1)-INDEX($E163:$M163,0,X$231))/(INDEX($E$160:$M$160,0,X$231+1)-INDEX($E$160:$M$160,0,X$231))+V235)))</f>
        <v>2.8519391360056474</v>
      </c>
      <c r="X235" s="3" cm="1">
        <f t="array" ref="X235">IF(Y$231=-1,Y235,IF(Y$231=99,W235,IF(Y$231=0,INDEX($E163:$M163,0,Y$229),(INDEX($E163:$M163,0,Y$231+1)-INDEX($E163:$M163,0,Y$231))/(INDEX($E$160:$M$160,0,Y$231+1)-INDEX($E$160:$M$160,0,Y$231))+W235)))</f>
        <v>2.5390079145665965</v>
      </c>
      <c r="Y235" s="3" cm="1">
        <f t="array" ref="Y235">IF(Z$231=-1,Z235,IF(Z$231=99,X235,IF(Z$231=0,INDEX($E163:$M163,0,Z$229),(INDEX($E163:$M163,0,Z$231+1)-INDEX($E163:$M163,0,Z$231))/(INDEX($E$160:$M$160,0,Z$231+1)-INDEX($E$160:$M$160,0,Z$231))+X235)))</f>
        <v>2.2260766931275455</v>
      </c>
      <c r="Z235" s="3" cm="1">
        <f t="array" ref="Z235">IF(AA$231=-1,AA235,IF(AA$231=99,Y235,IF(AA$231=0,INDEX($E163:$M163,0,AA$229),(INDEX($E163:$M163,0,AA$231+1)-INDEX($E163:$M163,0,AA$231))/(INDEX($E$160:$M$160,0,AA$231+1)-INDEX($E$160:$M$160,0,AA$231))+Y235)))</f>
        <v>1.9131454716884946</v>
      </c>
      <c r="AA235" s="3" cm="1">
        <f t="array" ref="AA235">IF(AB$231=-1,AB235,IF(AB$231=99,Z235,IF(AB$231=0,INDEX($E163:$M163,0,AB$229),(INDEX($E163:$M163,0,AB$231+1)-INDEX($E163:$M163,0,AB$231))/(INDEX($E$160:$M$160,0,AB$231+1)-INDEX($E$160:$M$160,0,AB$231))+Z235)))</f>
        <v>1.6002142502494436</v>
      </c>
      <c r="AB235" s="3" cm="1">
        <f t="array" ref="AB235">IF(AC$231=-1,AC235,IF(AC$231=99,AA235,IF(AC$231=0,INDEX($E163:$M163,0,AC$229),(INDEX($E163:$M163,0,AC$231+1)-INDEX($E163:$M163,0,AC$231))/(INDEX($E$160:$M$160,0,AC$231+1)-INDEX($E$160:$M$160,0,AC$231))+AA235)))</f>
        <v>4.1036640217618512</v>
      </c>
      <c r="AC235" s="3" cm="1">
        <f t="array" ref="AC235">IF(AD$231=-1,AD235,IF(AD$231=99,AB235,IF(AD$231=0,INDEX($E163:$M163,0,AD$229),(INDEX($E163:$M163,0,AD$231+1)-INDEX($E163:$M163,0,AD$231))/(INDEX($E$160:$M$160,0,AD$231+1)-INDEX($E$160:$M$160,0,AD$231))+AB235)))</f>
        <v>4.0219476092953137</v>
      </c>
      <c r="AD235" s="3" cm="1">
        <f t="array" ref="AD235">IF(AE$231=-1,AE235,IF(AE$231=99,AC235,IF(AE$231=0,INDEX($E163:$M163,0,AE$229),(INDEX($E163:$M163,0,AE$231+1)-INDEX($E163:$M163,0,AE$231))/(INDEX($E$160:$M$160,0,AE$231+1)-INDEX($E$160:$M$160,0,AE$231))+AC235)))</f>
        <v>3.9402311968287762</v>
      </c>
      <c r="AE235" s="3" cm="1">
        <f t="array" ref="AE235">IF(AF$231=-1,AF235,IF(AF$231=99,AD235,IF(AF$231=0,INDEX($E163:$M163,0,AF$229),(INDEX($E163:$M163,0,AF$231+1)-INDEX($E163:$M163,0,AF$231))/(INDEX($E$160:$M$160,0,AF$231+1)-INDEX($E$160:$M$160,0,AF$231))+AD235)))</f>
        <v>3.8585147843622387</v>
      </c>
      <c r="AF235" s="3" cm="1">
        <f t="array" ref="AF235">IF(AG$231=-1,AG235,IF(AG$231=99,AE235,IF(AG$231=0,INDEX($E163:$M163,0,AG$229),(INDEX($E163:$M163,0,AG$231+1)-INDEX($E163:$M163,0,AG$231))/(INDEX($E$160:$M$160,0,AG$231+1)-INDEX($E$160:$M$160,0,AG$231))+AE235)))</f>
        <v>3.7767983718957012</v>
      </c>
      <c r="AG235" s="3" cm="1">
        <f t="array" ref="AG235">IF(AH$231=-1,AH235,IF(AH$231=99,AF235,IF(AH$231=0,INDEX($E163:$M163,0,AH$229),(INDEX($E163:$M163,0,AH$231+1)-INDEX($E163:$M163,0,AH$231))/(INDEX($E$160:$M$160,0,AH$231+1)-INDEX($E$160:$M$160,0,AH$231))+AF235)))</f>
        <v>3.6950819594291637</v>
      </c>
      <c r="AH235" s="3" cm="1">
        <f t="array" ref="AH235">IF(AI$231=-1,AI235,IF(AI$231=99,AG235,IF(AI$231=0,INDEX($E163:$M163,0,AI$229),(INDEX($E163:$M163,0,AI$231+1)-INDEX($E163:$M163,0,AI$231))/(INDEX($E$160:$M$160,0,AI$231+1)-INDEX($E$160:$M$160,0,AI$231))+AG235)))</f>
        <v>3.6133655469626262</v>
      </c>
      <c r="AI235" s="3" cm="1">
        <f t="array" ref="AI235">IF(AJ$231=-1,AJ235,IF(AJ$231=99,AH235,IF(AJ$231=0,INDEX($E163:$M163,0,AJ$229),(INDEX($E163:$M163,0,AJ$231+1)-INDEX($E163:$M163,0,AJ$231))/(INDEX($E$160:$M$160,0,AJ$231+1)-INDEX($E$160:$M$160,0,AJ$231))+AH235)))</f>
        <v>3.5316491344960887</v>
      </c>
      <c r="AJ235" s="3" cm="1">
        <f t="array" ref="AJ235">IF(AK$231=-1,AK235,IF(AK$231=99,AI235,IF(AK$231=0,INDEX($E163:$M163,0,AK$229),(INDEX($E163:$M163,0,AK$231+1)-INDEX($E163:$M163,0,AK$231))/(INDEX($E$160:$M$160,0,AK$231+1)-INDEX($E$160:$M$160,0,AK$231))+AI235)))</f>
        <v>3.4499327220295513</v>
      </c>
      <c r="AK235" s="3" cm="1">
        <f t="array" ref="AK235">IF(AL$231=-1,AL235,IF(AL$231=99,AJ235,IF(AL$231=0,INDEX($E163:$M163,0,AL$229),(INDEX($E163:$M163,0,AL$231+1)-INDEX($E163:$M163,0,AL$231))/(INDEX($E$160:$M$160,0,AL$231+1)-INDEX($E$160:$M$160,0,AL$231))+AJ235)))</f>
        <v>3.3682163095630138</v>
      </c>
      <c r="AL235" s="3" cm="1">
        <f t="array" ref="AL235">IF(AM$231=-1,AM235,IF(AM$231=99,AK235,IF(AM$231=0,INDEX($E163:$M163,0,AM$229),(INDEX($E163:$M163,0,AM$231+1)-INDEX($E163:$M163,0,AM$231))/(INDEX($E$160:$M$160,0,AM$231+1)-INDEX($E$160:$M$160,0,AM$231))+AK235)))</f>
        <v>4.0219476092953137</v>
      </c>
      <c r="AM235" s="3" cm="1">
        <f t="array" ref="AM235">IF(AN$231=-1,AN235,IF(AN$231=99,AL235,IF(AN$231=0,INDEX($E163:$M163,0,AN$229),(INDEX($E163:$M163,0,AN$231+1)-INDEX($E163:$M163,0,AN$231))/(INDEX($E$160:$M$160,0,AN$231+1)-INDEX($E$160:$M$160,0,AN$231))+AL235)))</f>
        <v>4.1505112719298278</v>
      </c>
      <c r="AN235" s="3" cm="1">
        <f t="array" ref="AN235">IF(AO$231=-1,AO235,IF(AO$231=99,AM235,IF(AO$231=0,INDEX($E163:$M163,0,AO$229),(INDEX($E163:$M163,0,AO$231+1)-INDEX($E163:$M163,0,AO$231))/(INDEX($E$160:$M$160,0,AO$231+1)-INDEX($E$160:$M$160,0,AO$231))+AM235)))</f>
        <v>4.279074934564342</v>
      </c>
      <c r="AO235" s="3" cm="1">
        <f t="array" ref="AO235">IF(AP$231=-1,AP235,IF(AP$231=99,AN235,IF(AP$231=0,INDEX($E163:$M163,0,AP$229),(INDEX($E163:$M163,0,AP$231+1)-INDEX($E163:$M163,0,AP$231))/(INDEX($E$160:$M$160,0,AP$231+1)-INDEX($E$160:$M$160,0,AP$231))+AN235)))</f>
        <v>4.4076385971988561</v>
      </c>
      <c r="AP235" s="3" cm="1">
        <f t="array" ref="AP235">IF(AQ$231=-1,AQ235,IF(AQ$231=99,AO235,IF(AQ$231=0,INDEX($E163:$M163,0,AQ$229),(INDEX($E163:$M163,0,AQ$231+1)-INDEX($E163:$M163,0,AQ$231))/(INDEX($E$160:$M$160,0,AQ$231+1)-INDEX($E$160:$M$160,0,AQ$231))+AO235)))</f>
        <v>4.5362022598333702</v>
      </c>
      <c r="AQ235" s="3" cm="1">
        <f t="array" ref="AQ235">IF(AR$231=-1,AR235,IF(AR$231=99,AP235,IF(AR$231=0,INDEX($E163:$M163,0,AR$229),(INDEX($E163:$M163,0,AR$231+1)-INDEX($E163:$M163,0,AR$231))/(INDEX($E$160:$M$160,0,AR$231+1)-INDEX($E$160:$M$160,0,AR$231))+AP235)))</f>
        <v>4.6647659224678844</v>
      </c>
      <c r="AR235" s="3" cm="1">
        <f t="array" ref="AR235">IF(AS$231=-1,AS235,IF(AS$231=99,AQ235,IF(AS$231=0,INDEX($E163:$M163,0,AS$229),(INDEX($E163:$M163,0,AS$231+1)-INDEX($E163:$M163,0,AS$231))/(INDEX($E$160:$M$160,0,AS$231+1)-INDEX($E$160:$M$160,0,AS$231))+AQ235)))</f>
        <v>4.7933295851023985</v>
      </c>
      <c r="AS235" s="3" cm="1">
        <f t="array" ref="AS235">IF(AT$231=-1,AT235,IF(AT$231=99,AR235,IF(AT$231=0,INDEX($E163:$M163,0,AT$229),(INDEX($E163:$M163,0,AT$231+1)-INDEX($E163:$M163,0,AT$231))/(INDEX($E$160:$M$160,0,AT$231+1)-INDEX($E$160:$M$160,0,AT$231))+AR235)))</f>
        <v>4.9218932477369126</v>
      </c>
      <c r="AT235" s="3" cm="1">
        <f t="array" ref="AT235">IF(AU$231=-1,AU235,IF(AU$231=99,AS235,IF(AU$231=0,INDEX($E163:$M163,0,AU$229),(INDEX($E163:$M163,0,AU$231+1)-INDEX($E163:$M163,0,AU$231))/(INDEX($E$160:$M$160,0,AU$231+1)-INDEX($E$160:$M$160,0,AU$231))+AS235)))</f>
        <v>5.0504569103714267</v>
      </c>
      <c r="AU235" s="3" cm="1">
        <f t="array" ref="AU235">IF(AV$231=-1,AV235,IF(AV$231=99,AT235,IF(AV$231=0,INDEX($E163:$M163,0,AV$229),(INDEX($E163:$M163,0,AV$231+1)-INDEX($E163:$M163,0,AV$231))/(INDEX($E$160:$M$160,0,AV$231+1)-INDEX($E$160:$M$160,0,AV$231))+AT235)))</f>
        <v>5.1790205730059409</v>
      </c>
      <c r="AV235" s="3" cm="1">
        <f t="array" ref="AV235">IF(AW$231=-1,AW235,IF(AW$231=99,AU235,IF(AW$231=0,INDEX($E163:$M163,0,AW$229),(INDEX($E163:$M163,0,AW$231+1)-INDEX($E163:$M163,0,AW$231))/(INDEX($E$160:$M$160,0,AW$231+1)-INDEX($E$160:$M$160,0,AW$231))+AU235)))</f>
        <v>5.1790205730059391</v>
      </c>
      <c r="AW235" s="3" cm="1">
        <f t="array" ref="AW235">IF(AX$231=-1,AX235,IF(AX$231=99,AV235,IF(AX$231=0,INDEX($E163:$M163,0,AX$229),(INDEX($E163:$M163,0,AX$231+1)-INDEX($E163:$M163,0,AX$231))/(INDEX($E$160:$M$160,0,AX$231+1)-INDEX($E$160:$M$160,0,AX$231))+AV235)))</f>
        <v>5.1790205730059391</v>
      </c>
      <c r="AX235" s="3" cm="1">
        <f t="array" ref="AX235">IF(AY$231=-1,AZ235,IF(AY$231=99,AW235,IF(AY$231=0,INDEX($E163:$M163,0,AY$229),(INDEX($E163:$M163,0,AY$231+1)-INDEX($E163:$M163,0,AY$231))/(INDEX($E$160:$M$160,0,AY$231+1)-INDEX($E$160:$M$160,0,AY$231))+AW235)))</f>
        <v>5.1790205730059391</v>
      </c>
      <c r="AZ235" s="3"/>
      <c r="BA235" s="3"/>
      <c r="BB235" s="3"/>
      <c r="BC235" s="3"/>
      <c r="BD235" s="3"/>
      <c r="BE235" s="3"/>
    </row>
    <row r="236" spans="1:58">
      <c r="A236" t="s">
        <v>16</v>
      </c>
      <c r="B236" s="16" t="str">
        <f t="shared" si="614"/>
        <v/>
      </c>
      <c r="C236" s="17" t="str">
        <f t="shared" si="615"/>
        <v/>
      </c>
      <c r="E236" s="17" t="str">
        <f t="shared" si="616"/>
        <v/>
      </c>
      <c r="F236" s="17"/>
      <c r="G236" s="17" t="str">
        <f t="shared" si="616"/>
        <v/>
      </c>
      <c r="H236" s="17" t="str">
        <f t="shared" si="616"/>
        <v/>
      </c>
      <c r="I236" s="48" t="str">
        <f t="shared" si="617"/>
        <v>TPPUBUS</v>
      </c>
      <c r="J236" s="3">
        <f t="shared" si="618"/>
        <v>15.449787242939724</v>
      </c>
      <c r="K236" s="3" cm="1">
        <f t="array" ref="K236">IF(L$231=-1,L236,IF(L$231=99,J236,IF(L$231=0,INDEX($E164:$M164,0,L$229),(INDEX($E164:$M164,0,L$231+1)-INDEX($E164:$M164,0,L$231))/(INDEX($E$160:$M$160,0,L$231+1)-INDEX($E$160:$M$160,0,L$231))+J236)))</f>
        <v>19.689107768976417</v>
      </c>
      <c r="L236" s="3" cm="1">
        <f t="array" ref="L236">IF(M$231=-1,M236,IF(M$231=99,K236,IF(M$231=0,INDEX($E164:$M164,0,M$229),(INDEX($E164:$M164,0,M$231+1)-INDEX($E164:$M164,0,M$231))/(INDEX($E$160:$M$160,0,M$231+1)-INDEX($E$160:$M$160,0,M$231))+K236)))</f>
        <v>23.928428295013109</v>
      </c>
      <c r="M236" s="3" cm="1">
        <f t="array" ref="M236">IF(N$231=-1,N236,IF(N$231=99,L236,IF(N$231=0,INDEX($E164:$M164,0,N$229),(INDEX($E164:$M164,0,N$231+1)-INDEX($E164:$M164,0,N$231))/(INDEX($E$160:$M$160,0,N$231+1)-INDEX($E$160:$M$160,0,N$231))+L236)))</f>
        <v>28.167748821049805</v>
      </c>
      <c r="N236" s="3" cm="1">
        <f t="array" ref="N236">IF(O$231=-1,O236,IF(O$231=99,M236,IF(O$231=0,INDEX($E164:$M164,0,O$229),(INDEX($E164:$M164,0,O$231+1)-INDEX($E164:$M164,0,O$231))/(INDEX($E$160:$M$160,0,O$231+1)-INDEX($E$160:$M$160,0,O$231))+M236)))</f>
        <v>23.335007258707499</v>
      </c>
      <c r="O236" s="3" cm="1">
        <f t="array" ref="O236">IF(P$231=-1,P236,IF(P$231=99,N236,IF(P$231=0,INDEX($E164:$M164,0,P$229),(INDEX($E164:$M164,0,P$231+1)-INDEX($E164:$M164,0,P$231))/(INDEX($E$160:$M$160,0,P$231+1)-INDEX($E$160:$M$160,0,P$231))+N236)))</f>
        <v>18.502265696365193</v>
      </c>
      <c r="P236" s="3" cm="1">
        <f t="array" ref="P236">IF(Q$231=-1,Q236,IF(Q$231=99,O236,IF(Q$231=0,INDEX($E164:$M164,0,Q$229),(INDEX($E164:$M164,0,Q$231+1)-INDEX($E164:$M164,0,Q$231))/(INDEX($E$160:$M$160,0,Q$231+1)-INDEX($E$160:$M$160,0,Q$231))+O236)))</f>
        <v>18.714117122077631</v>
      </c>
      <c r="Q236" s="3" cm="1">
        <f t="array" ref="Q236">IF(R$231=-1,R236,IF(R$231=99,P236,IF(R$231=0,INDEX($E164:$M164,0,R$229),(INDEX($E164:$M164,0,R$231+1)-INDEX($E164:$M164,0,R$231))/(INDEX($E$160:$M$160,0,R$231+1)-INDEX($E$160:$M$160,0,R$231))+P236)))</f>
        <v>18.92596854779007</v>
      </c>
      <c r="R236" s="3" cm="1">
        <f t="array" ref="R236">IF(S$231=-1,S236,IF(S$231=99,Q236,IF(S$231=0,INDEX($E164:$M164,0,S$229),(INDEX($E164:$M164,0,S$231+1)-INDEX($E164:$M164,0,S$231))/(INDEX($E$160:$M$160,0,S$231+1)-INDEX($E$160:$M$160,0,S$231))+Q236)))</f>
        <v>18.925968547790067</v>
      </c>
      <c r="S236" s="3" cm="1">
        <f t="array" ref="S236">IF(T$231=-1,T236,IF(T$231=99,R236,IF(T$231=0,INDEX($E164:$M164,0,T$229),(INDEX($E164:$M164,0,T$231+1)-INDEX($E164:$M164,0,T$231))/(INDEX($E$160:$M$160,0,T$231+1)-INDEX($E$160:$M$160,0,T$231))+R236)))</f>
        <v>19.230136292558988</v>
      </c>
      <c r="T236" s="3" cm="1">
        <f t="array" ref="T236">IF(U$231=-1,U236,IF(U$231=99,S236,IF(U$231=0,INDEX($E164:$M164,0,U$229),(INDEX($E164:$M164,0,U$231+1)-INDEX($E164:$M164,0,U$231))/(INDEX($E$160:$M$160,0,U$231+1)-INDEX($E$160:$M$160,0,U$231))+S236)))</f>
        <v>19.53430403732791</v>
      </c>
      <c r="U236" s="3" cm="1">
        <f t="array" ref="U236">IF(V$231=-1,V236,IF(V$231=99,T236,IF(V$231=0,INDEX($E164:$M164,0,V$229),(INDEX($E164:$M164,0,V$231+1)-INDEX($E164:$M164,0,V$231))/(INDEX($E$160:$M$160,0,V$231+1)-INDEX($E$160:$M$160,0,V$231))+T236)))</f>
        <v>19.838471782096832</v>
      </c>
      <c r="V236" s="3" cm="1">
        <f t="array" ref="V236">IF(W$231=-1,W236,IF(W$231=99,U236,IF(W$231=0,INDEX($E164:$M164,0,W$229),(INDEX($E164:$M164,0,W$231+1)-INDEX($E164:$M164,0,W$231))/(INDEX($E$160:$M$160,0,W$231+1)-INDEX($E$160:$M$160,0,W$231))+U236)))</f>
        <v>20.142639526865754</v>
      </c>
      <c r="W236" s="3" cm="1">
        <f t="array" ref="W236">IF(X$231=-1,X236,IF(X$231=99,V236,IF(X$231=0,INDEX($E164:$M164,0,X$229),(INDEX($E164:$M164,0,X$231+1)-INDEX($E164:$M164,0,X$231))/(INDEX($E$160:$M$160,0,X$231+1)-INDEX($E$160:$M$160,0,X$231))+V236)))</f>
        <v>20.446807271634675</v>
      </c>
      <c r="X236" s="3" cm="1">
        <f t="array" ref="X236">IF(Y$231=-1,Y236,IF(Y$231=99,W236,IF(Y$231=0,INDEX($E164:$M164,0,Y$229),(INDEX($E164:$M164,0,Y$231+1)-INDEX($E164:$M164,0,Y$231))/(INDEX($E$160:$M$160,0,Y$231+1)-INDEX($E$160:$M$160,0,Y$231))+W236)))</f>
        <v>20.750975016403597</v>
      </c>
      <c r="Y236" s="3" cm="1">
        <f t="array" ref="Y236">IF(Z$231=-1,Z236,IF(Z$231=99,X236,IF(Z$231=0,INDEX($E164:$M164,0,Z$229),(INDEX($E164:$M164,0,Z$231+1)-INDEX($E164:$M164,0,Z$231))/(INDEX($E$160:$M$160,0,Z$231+1)-INDEX($E$160:$M$160,0,Z$231))+X236)))</f>
        <v>21.055142761172519</v>
      </c>
      <c r="Z236" s="3" cm="1">
        <f t="array" ref="Z236">IF(AA$231=-1,AA236,IF(AA$231=99,Y236,IF(AA$231=0,INDEX($E164:$M164,0,AA$229),(INDEX($E164:$M164,0,AA$231+1)-INDEX($E164:$M164,0,AA$231))/(INDEX($E$160:$M$160,0,AA$231+1)-INDEX($E$160:$M$160,0,AA$231))+Y236)))</f>
        <v>21.359310505941441</v>
      </c>
      <c r="AA236" s="3" cm="1">
        <f t="array" ref="AA236">IF(AB$231=-1,AB236,IF(AB$231=99,Z236,IF(AB$231=0,INDEX($E164:$M164,0,AB$229),(INDEX($E164:$M164,0,AB$231+1)-INDEX($E164:$M164,0,AB$231))/(INDEX($E$160:$M$160,0,AB$231+1)-INDEX($E$160:$M$160,0,AB$231))+Z236)))</f>
        <v>21.663478250710362</v>
      </c>
      <c r="AB236" s="3" cm="1">
        <f t="array" ref="AB236">IF(AC$231=-1,AC236,IF(AC$231=99,AA236,IF(AC$231=0,INDEX($E164:$M164,0,AC$229),(INDEX($E164:$M164,0,AC$231+1)-INDEX($E164:$M164,0,AC$231))/(INDEX($E$160:$M$160,0,AC$231+1)-INDEX($E$160:$M$160,0,AC$231))+AA236)))</f>
        <v>19.230136292558988</v>
      </c>
      <c r="AC236" s="3" cm="1">
        <f t="array" ref="AC236">IF(AD$231=-1,AD236,IF(AD$231=99,AB236,IF(AD$231=0,INDEX($E164:$M164,0,AD$229),(INDEX($E164:$M164,0,AD$231+1)-INDEX($E164:$M164,0,AD$231))/(INDEX($E$160:$M$160,0,AD$231+1)-INDEX($E$160:$M$160,0,AD$231))+AB236)))</f>
        <v>19.748573787144736</v>
      </c>
      <c r="AD236" s="3" cm="1">
        <f t="array" ref="AD236">IF(AE$231=-1,AE236,IF(AE$231=99,AC236,IF(AE$231=0,INDEX($E164:$M164,0,AE$229),(INDEX($E164:$M164,0,AE$231+1)-INDEX($E164:$M164,0,AE$231))/(INDEX($E$160:$M$160,0,AE$231+1)-INDEX($E$160:$M$160,0,AE$231))+AC236)))</f>
        <v>20.267011281730483</v>
      </c>
      <c r="AE236" s="3" cm="1">
        <f t="array" ref="AE236">IF(AF$231=-1,AF236,IF(AF$231=99,AD236,IF(AF$231=0,INDEX($E164:$M164,0,AF$229),(INDEX($E164:$M164,0,AF$231+1)-INDEX($E164:$M164,0,AF$231))/(INDEX($E$160:$M$160,0,AF$231+1)-INDEX($E$160:$M$160,0,AF$231))+AD236)))</f>
        <v>20.78544877631623</v>
      </c>
      <c r="AF236" s="3" cm="1">
        <f t="array" ref="AF236">IF(AG$231=-1,AG236,IF(AG$231=99,AE236,IF(AG$231=0,INDEX($E164:$M164,0,AG$229),(INDEX($E164:$M164,0,AG$231+1)-INDEX($E164:$M164,0,AG$231))/(INDEX($E$160:$M$160,0,AG$231+1)-INDEX($E$160:$M$160,0,AG$231))+AE236)))</f>
        <v>21.303886270901977</v>
      </c>
      <c r="AG236" s="3" cm="1">
        <f t="array" ref="AG236">IF(AH$231=-1,AH236,IF(AH$231=99,AF236,IF(AH$231=0,INDEX($E164:$M164,0,AH$229),(INDEX($E164:$M164,0,AH$231+1)-INDEX($E164:$M164,0,AH$231))/(INDEX($E$160:$M$160,0,AH$231+1)-INDEX($E$160:$M$160,0,AH$231))+AF236)))</f>
        <v>21.822323765487724</v>
      </c>
      <c r="AH236" s="3" cm="1">
        <f t="array" ref="AH236">IF(AI$231=-1,AI236,IF(AI$231=99,AG236,IF(AI$231=0,INDEX($E164:$M164,0,AI$229),(INDEX($E164:$M164,0,AI$231+1)-INDEX($E164:$M164,0,AI$231))/(INDEX($E$160:$M$160,0,AI$231+1)-INDEX($E$160:$M$160,0,AI$231))+AG236)))</f>
        <v>22.340761260073471</v>
      </c>
      <c r="AI236" s="3" cm="1">
        <f t="array" ref="AI236">IF(AJ$231=-1,AJ236,IF(AJ$231=99,AH236,IF(AJ$231=0,INDEX($E164:$M164,0,AJ$229),(INDEX($E164:$M164,0,AJ$231+1)-INDEX($E164:$M164,0,AJ$231))/(INDEX($E$160:$M$160,0,AJ$231+1)-INDEX($E$160:$M$160,0,AJ$231))+AH236)))</f>
        <v>22.859198754659218</v>
      </c>
      <c r="AJ236" s="3" cm="1">
        <f t="array" ref="AJ236">IF(AK$231=-1,AK236,IF(AK$231=99,AI236,IF(AK$231=0,INDEX($E164:$M164,0,AK$229),(INDEX($E164:$M164,0,AK$231+1)-INDEX($E164:$M164,0,AK$231))/(INDEX($E$160:$M$160,0,AK$231+1)-INDEX($E$160:$M$160,0,AK$231))+AI236)))</f>
        <v>23.377636249244965</v>
      </c>
      <c r="AK236" s="3" cm="1">
        <f t="array" ref="AK236">IF(AL$231=-1,AL236,IF(AL$231=99,AJ236,IF(AL$231=0,INDEX($E164:$M164,0,AL$229),(INDEX($E164:$M164,0,AL$231+1)-INDEX($E164:$M164,0,AL$231))/(INDEX($E$160:$M$160,0,AL$231+1)-INDEX($E$160:$M$160,0,AL$231))+AJ236)))</f>
        <v>23.896073743830712</v>
      </c>
      <c r="AL236" s="3" cm="1">
        <f t="array" ref="AL236">IF(AM$231=-1,AM236,IF(AM$231=99,AK236,IF(AM$231=0,INDEX($E164:$M164,0,AM$229),(INDEX($E164:$M164,0,AM$231+1)-INDEX($E164:$M164,0,AM$231))/(INDEX($E$160:$M$160,0,AM$231+1)-INDEX($E$160:$M$160,0,AM$231))+AK236)))</f>
        <v>19.748573787144736</v>
      </c>
      <c r="AM236" s="3" cm="1">
        <f t="array" ref="AM236">IF(AN$231=-1,AN236,IF(AN$231=99,AL236,IF(AN$231=0,INDEX($E164:$M164,0,AN$229),(INDEX($E164:$M164,0,AN$231+1)-INDEX($E164:$M164,0,AN$231))/(INDEX($E$160:$M$160,0,AN$231+1)-INDEX($E$160:$M$160,0,AN$231))+AL236)))</f>
        <v>19.8026016403462</v>
      </c>
      <c r="AN236" s="3" cm="1">
        <f t="array" ref="AN236">IF(AO$231=-1,AO236,IF(AO$231=99,AM236,IF(AO$231=0,INDEX($E164:$M164,0,AO$229),(INDEX($E164:$M164,0,AO$231+1)-INDEX($E164:$M164,0,AO$231))/(INDEX($E$160:$M$160,0,AO$231+1)-INDEX($E$160:$M$160,0,AO$231))+AM236)))</f>
        <v>19.856629493547665</v>
      </c>
      <c r="AO236" s="3" cm="1">
        <f t="array" ref="AO236">IF(AP$231=-1,AP236,IF(AP$231=99,AN236,IF(AP$231=0,INDEX($E164:$M164,0,AP$229),(INDEX($E164:$M164,0,AP$231+1)-INDEX($E164:$M164,0,AP$231))/(INDEX($E$160:$M$160,0,AP$231+1)-INDEX($E$160:$M$160,0,AP$231))+AN236)))</f>
        <v>19.910657346749129</v>
      </c>
      <c r="AP236" s="3" cm="1">
        <f t="array" ref="AP236">IF(AQ$231=-1,AQ236,IF(AQ$231=99,AO236,IF(AQ$231=0,INDEX($E164:$M164,0,AQ$229),(INDEX($E164:$M164,0,AQ$231+1)-INDEX($E164:$M164,0,AQ$231))/(INDEX($E$160:$M$160,0,AQ$231+1)-INDEX($E$160:$M$160,0,AQ$231))+AO236)))</f>
        <v>19.964685199950594</v>
      </c>
      <c r="AQ236" s="3" cm="1">
        <f t="array" ref="AQ236">IF(AR$231=-1,AR236,IF(AR$231=99,AP236,IF(AR$231=0,INDEX($E164:$M164,0,AR$229),(INDEX($E164:$M164,0,AR$231+1)-INDEX($E164:$M164,0,AR$231))/(INDEX($E$160:$M$160,0,AR$231+1)-INDEX($E$160:$M$160,0,AR$231))+AP236)))</f>
        <v>20.018713053152059</v>
      </c>
      <c r="AR236" s="3" cm="1">
        <f t="array" ref="AR236">IF(AS$231=-1,AS236,IF(AS$231=99,AQ236,IF(AS$231=0,INDEX($E164:$M164,0,AS$229),(INDEX($E164:$M164,0,AS$231+1)-INDEX($E164:$M164,0,AS$231))/(INDEX($E$160:$M$160,0,AS$231+1)-INDEX($E$160:$M$160,0,AS$231))+AQ236)))</f>
        <v>20.072740906353523</v>
      </c>
      <c r="AS236" s="3" cm="1">
        <f t="array" ref="AS236">IF(AT$231=-1,AT236,IF(AT$231=99,AR236,IF(AT$231=0,INDEX($E164:$M164,0,AT$229),(INDEX($E164:$M164,0,AT$231+1)-INDEX($E164:$M164,0,AT$231))/(INDEX($E$160:$M$160,0,AT$231+1)-INDEX($E$160:$M$160,0,AT$231))+AR236)))</f>
        <v>20.126768759554988</v>
      </c>
      <c r="AT236" s="3" cm="1">
        <f t="array" ref="AT236">IF(AU$231=-1,AU236,IF(AU$231=99,AS236,IF(AU$231=0,INDEX($E164:$M164,0,AU$229),(INDEX($E164:$M164,0,AU$231+1)-INDEX($E164:$M164,0,AU$231))/(INDEX($E$160:$M$160,0,AU$231+1)-INDEX($E$160:$M$160,0,AU$231))+AS236)))</f>
        <v>20.180796612756453</v>
      </c>
      <c r="AU236" s="3" cm="1">
        <f t="array" ref="AU236">IF(AV$231=-1,AV236,IF(AV$231=99,AT236,IF(AV$231=0,INDEX($E164:$M164,0,AV$229),(INDEX($E164:$M164,0,AV$231+1)-INDEX($E164:$M164,0,AV$231))/(INDEX($E$160:$M$160,0,AV$231+1)-INDEX($E$160:$M$160,0,AV$231))+AT236)))</f>
        <v>20.234824465957917</v>
      </c>
      <c r="AV236" s="3" cm="1">
        <f t="array" ref="AV236">IF(AW$231=-1,AW236,IF(AW$231=99,AU236,IF(AW$231=0,INDEX($E164:$M164,0,AW$229),(INDEX($E164:$M164,0,AW$231+1)-INDEX($E164:$M164,0,AW$231))/(INDEX($E$160:$M$160,0,AW$231+1)-INDEX($E$160:$M$160,0,AW$231))+AU236)))</f>
        <v>20.234824465957928</v>
      </c>
      <c r="AW236" s="3" cm="1">
        <f t="array" ref="AW236">IF(AX$231=-1,AX236,IF(AX$231=99,AV236,IF(AX$231=0,INDEX($E164:$M164,0,AX$229),(INDEX($E164:$M164,0,AX$231+1)-INDEX($E164:$M164,0,AX$231))/(INDEX($E$160:$M$160,0,AX$231+1)-INDEX($E$160:$M$160,0,AX$231))+AV236)))</f>
        <v>20.234824465957928</v>
      </c>
      <c r="AX236" s="3" cm="1">
        <f t="array" ref="AX236">IF(AY$231=-1,AZ236,IF(AY$231=99,AW236,IF(AY$231=0,INDEX($E164:$M164,0,AY$229),(INDEX($E164:$M164,0,AY$231+1)-INDEX($E164:$M164,0,AY$231))/(INDEX($E$160:$M$160,0,AY$231+1)-INDEX($E$160:$M$160,0,AY$231))+AW236)))</f>
        <v>20.234824465957928</v>
      </c>
      <c r="AZ236" s="3"/>
      <c r="BA236" s="3"/>
      <c r="BB236" s="3"/>
      <c r="BC236" s="3"/>
      <c r="BD236" s="3"/>
      <c r="BE236" s="3"/>
    </row>
    <row r="237" spans="1:58">
      <c r="A237" t="s">
        <v>16</v>
      </c>
      <c r="B237" s="16" t="str">
        <f t="shared" si="614"/>
        <v/>
      </c>
      <c r="C237" s="17" t="str">
        <f t="shared" si="615"/>
        <v/>
      </c>
      <c r="E237" s="17" t="str">
        <f t="shared" si="616"/>
        <v/>
      </c>
      <c r="F237" s="17"/>
      <c r="G237" s="17" t="str">
        <f t="shared" si="616"/>
        <v/>
      </c>
      <c r="H237" s="17" t="str">
        <f t="shared" si="616"/>
        <v/>
      </c>
      <c r="I237" s="48" t="str">
        <f t="shared" si="617"/>
        <v>TPPUMBT</v>
      </c>
      <c r="J237" s="3">
        <f t="shared" si="618"/>
        <v>82.177558676317133</v>
      </c>
      <c r="K237" s="3" cm="1">
        <f t="array" ref="K237">IF(L$231=-1,L237,IF(L$231=99,J237,IF(L$231=0,INDEX($E165:$M165,0,L$229),(INDEX($E165:$M165,0,L$231+1)-INDEX($E165:$M165,0,L$231))/(INDEX($E$160:$M$160,0,L$231+1)-INDEX($E$160:$M$160,0,L$231))+J237)))</f>
        <v>86.400989978231578</v>
      </c>
      <c r="L237" s="3" cm="1">
        <f t="array" ref="L237">IF(M$231=-1,M237,IF(M$231=99,K237,IF(M$231=0,INDEX($E165:$M165,0,M$229),(INDEX($E165:$M165,0,M$231+1)-INDEX($E165:$M165,0,M$231))/(INDEX($E$160:$M$160,0,M$231+1)-INDEX($E$160:$M$160,0,M$231))+K237)))</f>
        <v>90.624421280146024</v>
      </c>
      <c r="M237" s="3" cm="1">
        <f t="array" ref="M237">IF(N$231=-1,N237,IF(N$231=99,L237,IF(N$231=0,INDEX($E165:$M165,0,N$229),(INDEX($E165:$M165,0,N$231+1)-INDEX($E165:$M165,0,N$231))/(INDEX($E$160:$M$160,0,N$231+1)-INDEX($E$160:$M$160,0,N$231))+L237)))</f>
        <v>94.847852582060455</v>
      </c>
      <c r="N237" s="3" cm="1">
        <f t="array" ref="N237">IF(O$231=-1,O237,IF(O$231=99,M237,IF(O$231=0,INDEX($E165:$M165,0,O$229),(INDEX($E165:$M165,0,O$231+1)-INDEX($E165:$M165,0,O$231))/(INDEX($E$160:$M$160,0,O$231+1)-INDEX($E$160:$M$160,0,O$231))+M237)))</f>
        <v>96.367419670266528</v>
      </c>
      <c r="O237" s="3" cm="1">
        <f t="array" ref="O237">IF(P$231=-1,P237,IF(P$231=99,N237,IF(P$231=0,INDEX($E165:$M165,0,P$229),(INDEX($E165:$M165,0,P$231+1)-INDEX($E165:$M165,0,P$231))/(INDEX($E$160:$M$160,0,P$231+1)-INDEX($E$160:$M$160,0,P$231))+N237)))</f>
        <v>97.886986758472602</v>
      </c>
      <c r="P237" s="3" cm="1">
        <f t="array" ref="P237">IF(Q$231=-1,Q237,IF(Q$231=99,O237,IF(Q$231=0,INDEX($E165:$M165,0,Q$229),(INDEX($E165:$M165,0,Q$231+1)-INDEX($E165:$M165,0,Q$231))/(INDEX($E$160:$M$160,0,Q$231+1)-INDEX($E$160:$M$160,0,Q$231))+O237)))</f>
        <v>99.007795314775564</v>
      </c>
      <c r="Q237" s="3" cm="1">
        <f t="array" ref="Q237">IF(R$231=-1,R237,IF(R$231=99,P237,IF(R$231=0,INDEX($E165:$M165,0,R$229),(INDEX($E165:$M165,0,R$231+1)-INDEX($E165:$M165,0,R$231))/(INDEX($E$160:$M$160,0,R$231+1)-INDEX($E$160:$M$160,0,R$231))+P237)))</f>
        <v>100.12860387107852</v>
      </c>
      <c r="R237" s="3" cm="1">
        <f t="array" ref="R237">IF(S$231=-1,S237,IF(S$231=99,Q237,IF(S$231=0,INDEX($E165:$M165,0,S$229),(INDEX($E165:$M165,0,S$231+1)-INDEX($E165:$M165,0,S$231))/(INDEX($E$160:$M$160,0,S$231+1)-INDEX($E$160:$M$160,0,S$231))+Q237)))</f>
        <v>100.12860387107854</v>
      </c>
      <c r="S237" s="3" cm="1">
        <f t="array" ref="S237">IF(T$231=-1,T237,IF(T$231=99,R237,IF(T$231=0,INDEX($E165:$M165,0,T$229),(INDEX($E165:$M165,0,T$231+1)-INDEX($E165:$M165,0,T$231))/(INDEX($E$160:$M$160,0,T$231+1)-INDEX($E$160:$M$160,0,T$231))+R237)))</f>
        <v>101.7378156559033</v>
      </c>
      <c r="T237" s="3" cm="1">
        <f t="array" ref="T237">IF(U$231=-1,U237,IF(U$231=99,S237,IF(U$231=0,INDEX($E165:$M165,0,U$229),(INDEX($E165:$M165,0,U$231+1)-INDEX($E165:$M165,0,U$231))/(INDEX($E$160:$M$160,0,U$231+1)-INDEX($E$160:$M$160,0,U$231))+S237)))</f>
        <v>103.34702744072807</v>
      </c>
      <c r="U237" s="3" cm="1">
        <f t="array" ref="U237">IF(V$231=-1,V237,IF(V$231=99,T237,IF(V$231=0,INDEX($E165:$M165,0,V$229),(INDEX($E165:$M165,0,V$231+1)-INDEX($E165:$M165,0,V$231))/(INDEX($E$160:$M$160,0,V$231+1)-INDEX($E$160:$M$160,0,V$231))+T237)))</f>
        <v>104.95623922555284</v>
      </c>
      <c r="V237" s="3" cm="1">
        <f t="array" ref="V237">IF(W$231=-1,W237,IF(W$231=99,U237,IF(W$231=0,INDEX($E165:$M165,0,W$229),(INDEX($E165:$M165,0,W$231+1)-INDEX($E165:$M165,0,W$231))/(INDEX($E$160:$M$160,0,W$231+1)-INDEX($E$160:$M$160,0,W$231))+U237)))</f>
        <v>106.5654510103776</v>
      </c>
      <c r="W237" s="3" cm="1">
        <f t="array" ref="W237">IF(X$231=-1,X237,IF(X$231=99,V237,IF(X$231=0,INDEX($E165:$M165,0,X$229),(INDEX($E165:$M165,0,X$231+1)-INDEX($E165:$M165,0,X$231))/(INDEX($E$160:$M$160,0,X$231+1)-INDEX($E$160:$M$160,0,X$231))+V237)))</f>
        <v>108.17466279520237</v>
      </c>
      <c r="X237" s="3" cm="1">
        <f t="array" ref="X237">IF(Y$231=-1,Y237,IF(Y$231=99,W237,IF(Y$231=0,INDEX($E165:$M165,0,Y$229),(INDEX($E165:$M165,0,Y$231+1)-INDEX($E165:$M165,0,Y$231))/(INDEX($E$160:$M$160,0,Y$231+1)-INDEX($E$160:$M$160,0,Y$231))+W237)))</f>
        <v>109.78387458002713</v>
      </c>
      <c r="Y237" s="3" cm="1">
        <f t="array" ref="Y237">IF(Z$231=-1,Z237,IF(Z$231=99,X237,IF(Z$231=0,INDEX($E165:$M165,0,Z$229),(INDEX($E165:$M165,0,Z$231+1)-INDEX($E165:$M165,0,Z$231))/(INDEX($E$160:$M$160,0,Z$231+1)-INDEX($E$160:$M$160,0,Z$231))+X237)))</f>
        <v>111.3930863648519</v>
      </c>
      <c r="Z237" s="3" cm="1">
        <f t="array" ref="Z237">IF(AA$231=-1,AA237,IF(AA$231=99,Y237,IF(AA$231=0,INDEX($E165:$M165,0,AA$229),(INDEX($E165:$M165,0,AA$231+1)-INDEX($E165:$M165,0,AA$231))/(INDEX($E$160:$M$160,0,AA$231+1)-INDEX($E$160:$M$160,0,AA$231))+Y237)))</f>
        <v>113.00229814967666</v>
      </c>
      <c r="AA237" s="3" cm="1">
        <f t="array" ref="AA237">IF(AB$231=-1,AB237,IF(AB$231=99,Z237,IF(AB$231=0,INDEX($E165:$M165,0,AB$229),(INDEX($E165:$M165,0,AB$231+1)-INDEX($E165:$M165,0,AB$231))/(INDEX($E$160:$M$160,0,AB$231+1)-INDEX($E$160:$M$160,0,AB$231))+Z237)))</f>
        <v>114.61150993450143</v>
      </c>
      <c r="AB237" s="3" cm="1">
        <f t="array" ref="AB237">IF(AC$231=-1,AC237,IF(AC$231=99,AA237,IF(AC$231=0,INDEX($E165:$M165,0,AC$229),(INDEX($E165:$M165,0,AC$231+1)-INDEX($E165:$M165,0,AC$231))/(INDEX($E$160:$M$160,0,AC$231+1)-INDEX($E$160:$M$160,0,AC$231))+AA237)))</f>
        <v>101.7378156559033</v>
      </c>
      <c r="AC237" s="3" cm="1">
        <f t="array" ref="AC237">IF(AD$231=-1,AD237,IF(AD$231=99,AB237,IF(AD$231=0,INDEX($E165:$M165,0,AD$229),(INDEX($E165:$M165,0,AD$231+1)-INDEX($E165:$M165,0,AD$231))/(INDEX($E$160:$M$160,0,AD$231+1)-INDEX($E$160:$M$160,0,AD$231))+AB237)))</f>
        <v>104.48063023874546</v>
      </c>
      <c r="AD237" s="3" cm="1">
        <f t="array" ref="AD237">IF(AE$231=-1,AE237,IF(AE$231=99,AC237,IF(AE$231=0,INDEX($E165:$M165,0,AE$229),(INDEX($E165:$M165,0,AE$231+1)-INDEX($E165:$M165,0,AE$231))/(INDEX($E$160:$M$160,0,AE$231+1)-INDEX($E$160:$M$160,0,AE$231))+AC237)))</f>
        <v>107.22344482158762</v>
      </c>
      <c r="AE237" s="3" cm="1">
        <f t="array" ref="AE237">IF(AF$231=-1,AF237,IF(AF$231=99,AD237,IF(AF$231=0,INDEX($E165:$M165,0,AF$229),(INDEX($E165:$M165,0,AF$231+1)-INDEX($E165:$M165,0,AF$231))/(INDEX($E$160:$M$160,0,AF$231+1)-INDEX($E$160:$M$160,0,AF$231))+AD237)))</f>
        <v>109.96625940442978</v>
      </c>
      <c r="AF237" s="3" cm="1">
        <f t="array" ref="AF237">IF(AG$231=-1,AG237,IF(AG$231=99,AE237,IF(AG$231=0,INDEX($E165:$M165,0,AG$229),(INDEX($E165:$M165,0,AG$231+1)-INDEX($E165:$M165,0,AG$231))/(INDEX($E$160:$M$160,0,AG$231+1)-INDEX($E$160:$M$160,0,AG$231))+AE237)))</f>
        <v>112.70907398727194</v>
      </c>
      <c r="AG237" s="3" cm="1">
        <f t="array" ref="AG237">IF(AH$231=-1,AH237,IF(AH$231=99,AF237,IF(AH$231=0,INDEX($E165:$M165,0,AH$229),(INDEX($E165:$M165,0,AH$231+1)-INDEX($E165:$M165,0,AH$231))/(INDEX($E$160:$M$160,0,AH$231+1)-INDEX($E$160:$M$160,0,AH$231))+AF237)))</f>
        <v>115.45188857011409</v>
      </c>
      <c r="AH237" s="3" cm="1">
        <f t="array" ref="AH237">IF(AI$231=-1,AI237,IF(AI$231=99,AG237,IF(AI$231=0,INDEX($E165:$M165,0,AI$229),(INDEX($E165:$M165,0,AI$231+1)-INDEX($E165:$M165,0,AI$231))/(INDEX($E$160:$M$160,0,AI$231+1)-INDEX($E$160:$M$160,0,AI$231))+AG237)))</f>
        <v>118.19470315295625</v>
      </c>
      <c r="AI237" s="3" cm="1">
        <f t="array" ref="AI237">IF(AJ$231=-1,AJ237,IF(AJ$231=99,AH237,IF(AJ$231=0,INDEX($E165:$M165,0,AJ$229),(INDEX($E165:$M165,0,AJ$231+1)-INDEX($E165:$M165,0,AJ$231))/(INDEX($E$160:$M$160,0,AJ$231+1)-INDEX($E$160:$M$160,0,AJ$231))+AH237)))</f>
        <v>120.93751773579841</v>
      </c>
      <c r="AJ237" s="3" cm="1">
        <f t="array" ref="AJ237">IF(AK$231=-1,AK237,IF(AK$231=99,AI237,IF(AK$231=0,INDEX($E165:$M165,0,AK$229),(INDEX($E165:$M165,0,AK$231+1)-INDEX($E165:$M165,0,AK$231))/(INDEX($E$160:$M$160,0,AK$231+1)-INDEX($E$160:$M$160,0,AK$231))+AI237)))</f>
        <v>123.68033231864057</v>
      </c>
      <c r="AK237" s="3" cm="1">
        <f t="array" ref="AK237">IF(AL$231=-1,AL237,IF(AL$231=99,AJ237,IF(AL$231=0,INDEX($E165:$M165,0,AL$229),(INDEX($E165:$M165,0,AL$231+1)-INDEX($E165:$M165,0,AL$231))/(INDEX($E$160:$M$160,0,AL$231+1)-INDEX($E$160:$M$160,0,AL$231))+AJ237)))</f>
        <v>126.42314690148272</v>
      </c>
      <c r="AL237" s="3" cm="1">
        <f t="array" ref="AL237">IF(AM$231=-1,AM237,IF(AM$231=99,AK237,IF(AM$231=0,INDEX($E165:$M165,0,AM$229),(INDEX($E165:$M165,0,AM$231+1)-INDEX($E165:$M165,0,AM$231))/(INDEX($E$160:$M$160,0,AM$231+1)-INDEX($E$160:$M$160,0,AM$231))+AK237)))</f>
        <v>104.48063023874546</v>
      </c>
      <c r="AM237" s="3" cm="1">
        <f t="array" ref="AM237">IF(AN$231=-1,AN237,IF(AN$231=99,AL237,IF(AN$231=0,INDEX($E165:$M165,0,AN$229),(INDEX($E165:$M165,0,AN$231+1)-INDEX($E165:$M165,0,AN$231))/(INDEX($E$160:$M$160,0,AN$231+1)-INDEX($E$160:$M$160,0,AN$231))+AL237)))</f>
        <v>104.76646678642619</v>
      </c>
      <c r="AN237" s="3" cm="1">
        <f t="array" ref="AN237">IF(AO$231=-1,AO237,IF(AO$231=99,AM237,IF(AO$231=0,INDEX($E165:$M165,0,AO$229),(INDEX($E165:$M165,0,AO$231+1)-INDEX($E165:$M165,0,AO$231))/(INDEX($E$160:$M$160,0,AO$231+1)-INDEX($E$160:$M$160,0,AO$231))+AM237)))</f>
        <v>105.05230333410692</v>
      </c>
      <c r="AO237" s="3" cm="1">
        <f t="array" ref="AO237">IF(AP$231=-1,AP237,IF(AP$231=99,AN237,IF(AP$231=0,INDEX($E165:$M165,0,AP$229),(INDEX($E165:$M165,0,AP$231+1)-INDEX($E165:$M165,0,AP$231))/(INDEX($E$160:$M$160,0,AP$231+1)-INDEX($E$160:$M$160,0,AP$231))+AN237)))</f>
        <v>105.33813988178765</v>
      </c>
      <c r="AP237" s="3" cm="1">
        <f t="array" ref="AP237">IF(AQ$231=-1,AQ237,IF(AQ$231=99,AO237,IF(AQ$231=0,INDEX($E165:$M165,0,AQ$229),(INDEX($E165:$M165,0,AQ$231+1)-INDEX($E165:$M165,0,AQ$231))/(INDEX($E$160:$M$160,0,AQ$231+1)-INDEX($E$160:$M$160,0,AQ$231))+AO237)))</f>
        <v>105.62397642946839</v>
      </c>
      <c r="AQ237" s="3" cm="1">
        <f t="array" ref="AQ237">IF(AR$231=-1,AR237,IF(AR$231=99,AP237,IF(AR$231=0,INDEX($E165:$M165,0,AR$229),(INDEX($E165:$M165,0,AR$231+1)-INDEX($E165:$M165,0,AR$231))/(INDEX($E$160:$M$160,0,AR$231+1)-INDEX($E$160:$M$160,0,AR$231))+AP237)))</f>
        <v>105.90981297714912</v>
      </c>
      <c r="AR237" s="3" cm="1">
        <f t="array" ref="AR237">IF(AS$231=-1,AS237,IF(AS$231=99,AQ237,IF(AS$231=0,INDEX($E165:$M165,0,AS$229),(INDEX($E165:$M165,0,AS$231+1)-INDEX($E165:$M165,0,AS$231))/(INDEX($E$160:$M$160,0,AS$231+1)-INDEX($E$160:$M$160,0,AS$231))+AQ237)))</f>
        <v>106.19564952482985</v>
      </c>
      <c r="AS237" s="3" cm="1">
        <f t="array" ref="AS237">IF(AT$231=-1,AT237,IF(AT$231=99,AR237,IF(AT$231=0,INDEX($E165:$M165,0,AT$229),(INDEX($E165:$M165,0,AT$231+1)-INDEX($E165:$M165,0,AT$231))/(INDEX($E$160:$M$160,0,AT$231+1)-INDEX($E$160:$M$160,0,AT$231))+AR237)))</f>
        <v>106.48148607251058</v>
      </c>
      <c r="AT237" s="3" cm="1">
        <f t="array" ref="AT237">IF(AU$231=-1,AU237,IF(AU$231=99,AS237,IF(AU$231=0,INDEX($E165:$M165,0,AU$229),(INDEX($E165:$M165,0,AU$231+1)-INDEX($E165:$M165,0,AU$231))/(INDEX($E$160:$M$160,0,AU$231+1)-INDEX($E$160:$M$160,0,AU$231))+AS237)))</f>
        <v>106.76732262019131</v>
      </c>
      <c r="AU237" s="3" cm="1">
        <f t="array" ref="AU237">IF(AV$231=-1,AV237,IF(AV$231=99,AT237,IF(AV$231=0,INDEX($E165:$M165,0,AV$229),(INDEX($E165:$M165,0,AV$231+1)-INDEX($E165:$M165,0,AV$231))/(INDEX($E$160:$M$160,0,AV$231+1)-INDEX($E$160:$M$160,0,AV$231))+AT237)))</f>
        <v>107.05315916787204</v>
      </c>
      <c r="AV237" s="3" cm="1">
        <f t="array" ref="AV237">IF(AW$231=-1,AW237,IF(AW$231=99,AU237,IF(AW$231=0,INDEX($E165:$M165,0,AW$229),(INDEX($E165:$M165,0,AW$231+1)-INDEX($E165:$M165,0,AW$231))/(INDEX($E$160:$M$160,0,AW$231+1)-INDEX($E$160:$M$160,0,AW$231))+AU237)))</f>
        <v>107.05315916787201</v>
      </c>
      <c r="AW237" s="3" cm="1">
        <f t="array" ref="AW237">IF(AX$231=-1,AX237,IF(AX$231=99,AV237,IF(AX$231=0,INDEX($E165:$M165,0,AX$229),(INDEX($E165:$M165,0,AX$231+1)-INDEX($E165:$M165,0,AX$231))/(INDEX($E$160:$M$160,0,AX$231+1)-INDEX($E$160:$M$160,0,AX$231))+AV237)))</f>
        <v>107.05315916787201</v>
      </c>
      <c r="AX237" s="3" cm="1">
        <f t="array" ref="AX237">IF(AY$231=-1,AZ237,IF(AY$231=99,AW237,IF(AY$231=0,INDEX($E165:$M165,0,AY$229),(INDEX($E165:$M165,0,AY$231+1)-INDEX($E165:$M165,0,AY$231))/(INDEX($E$160:$M$160,0,AY$231+1)-INDEX($E$160:$M$160,0,AY$231))+AW237)))</f>
        <v>107.05315916787201</v>
      </c>
      <c r="AZ237" s="3"/>
      <c r="BA237" s="3"/>
      <c r="BB237" s="3"/>
      <c r="BC237" s="3"/>
      <c r="BD237" s="3"/>
      <c r="BE237" s="3"/>
    </row>
    <row r="238" spans="1:58">
      <c r="A238" t="s">
        <v>16</v>
      </c>
      <c r="B238" s="16" t="str">
        <f t="shared" si="614"/>
        <v/>
      </c>
      <c r="C238" s="17" t="str">
        <f t="shared" si="615"/>
        <v/>
      </c>
      <c r="E238" s="17" t="str">
        <f t="shared" si="616"/>
        <v/>
      </c>
      <c r="F238" s="17"/>
      <c r="G238" s="17" t="str">
        <f t="shared" si="616"/>
        <v/>
      </c>
      <c r="H238" s="17" t="str">
        <f t="shared" si="616"/>
        <v/>
      </c>
      <c r="I238" s="48" t="str">
        <f t="shared" si="617"/>
        <v>TPPUBRT</v>
      </c>
      <c r="J238" s="3">
        <f t="shared" si="618"/>
        <v>0.52719357125417843</v>
      </c>
      <c r="K238" s="3" cm="1">
        <f t="array" ref="K238">IF(L$231=-1,L238,IF(L$231=99,J238,IF(L$231=0,INDEX($E166:$M166,0,L$229),(INDEX($E166:$M166,0,L$231+1)-INDEX($E166:$M166,0,L$231))/(INDEX($E$160:$M$160,0,L$231+1)-INDEX($E$160:$M$160,0,L$231))+J238)))</f>
        <v>0.61859155098152763</v>
      </c>
      <c r="L238" s="3" cm="1">
        <f t="array" ref="L238">IF(M$231=-1,M238,IF(M$231=99,K238,IF(M$231=0,INDEX($E166:$M166,0,M$229),(INDEX($E166:$M166,0,M$231+1)-INDEX($E166:$M166,0,M$231))/(INDEX($E$160:$M$160,0,M$231+1)-INDEX($E$160:$M$160,0,M$231))+K238)))</f>
        <v>0.70998953070887683</v>
      </c>
      <c r="M238" s="3" cm="1">
        <f t="array" ref="M238">IF(N$231=-1,N238,IF(N$231=99,L238,IF(N$231=0,INDEX($E166:$M166,0,N$229),(INDEX($E166:$M166,0,N$231+1)-INDEX($E166:$M166,0,N$231))/(INDEX($E$160:$M$160,0,N$231+1)-INDEX($E$160:$M$160,0,N$231))+L238)))</f>
        <v>0.80138751043622602</v>
      </c>
      <c r="N238" s="3" cm="1">
        <f t="array" ref="N238">IF(O$231=-1,O238,IF(O$231=99,M238,IF(O$231=0,INDEX($E166:$M166,0,O$229),(INDEX($E166:$M166,0,O$231+1)-INDEX($E166:$M166,0,O$231))/(INDEX($E$160:$M$160,0,O$231+1)-INDEX($E$160:$M$160,0,O$231))+M238)))</f>
        <v>1.1879780473754518</v>
      </c>
      <c r="O238" s="3" cm="1">
        <f t="array" ref="O238">IF(P$231=-1,P238,IF(P$231=99,N238,IF(P$231=0,INDEX($E166:$M166,0,P$229),(INDEX($E166:$M166,0,P$231+1)-INDEX($E166:$M166,0,P$231))/(INDEX($E$160:$M$160,0,P$231+1)-INDEX($E$160:$M$160,0,P$231))+N238)))</f>
        <v>1.5745685843146777</v>
      </c>
      <c r="P238" s="3" cm="1">
        <f t="array" ref="P238">IF(Q$231=-1,Q238,IF(Q$231=99,O238,IF(Q$231=0,INDEX($E166:$M166,0,Q$229),(INDEX($E166:$M166,0,Q$231+1)-INDEX($E166:$M166,0,Q$231))/(INDEX($E$160:$M$160,0,Q$231+1)-INDEX($E$160:$M$160,0,Q$231))+O238)))</f>
        <v>2.0495198984839198</v>
      </c>
      <c r="Q238" s="3" cm="1">
        <f t="array" ref="Q238">IF(R$231=-1,R238,IF(R$231=99,P238,IF(R$231=0,INDEX($E166:$M166,0,R$229),(INDEX($E166:$M166,0,R$231+1)-INDEX($E166:$M166,0,R$231))/(INDEX($E$160:$M$160,0,R$231+1)-INDEX($E$160:$M$160,0,R$231))+P238)))</f>
        <v>2.5244712126531619</v>
      </c>
      <c r="R238" s="3" cm="1">
        <f t="array" ref="R238">IF(S$231=-1,S238,IF(S$231=99,Q238,IF(S$231=0,INDEX($E166:$M166,0,S$229),(INDEX($E166:$M166,0,S$231+1)-INDEX($E166:$M166,0,S$231))/(INDEX($E$160:$M$160,0,S$231+1)-INDEX($E$160:$M$160,0,S$231))+Q238)))</f>
        <v>2.5244712126531619</v>
      </c>
      <c r="S238" s="3" cm="1">
        <f t="array" ref="S238">IF(T$231=-1,T238,IF(T$231=99,R238,IF(T$231=0,INDEX($E166:$M166,0,T$229),(INDEX($E166:$M166,0,T$231+1)-INDEX($E166:$M166,0,T$231))/(INDEX($E$160:$M$160,0,T$231+1)-INDEX($E$160:$M$160,0,T$231))+R238)))</f>
        <v>2.5547042090015273</v>
      </c>
      <c r="T238" s="3" cm="1">
        <f t="array" ref="T238">IF(U$231=-1,U238,IF(U$231=99,S238,IF(U$231=0,INDEX($E166:$M166,0,U$229),(INDEX($E166:$M166,0,U$231+1)-INDEX($E166:$M166,0,U$231))/(INDEX($E$160:$M$160,0,U$231+1)-INDEX($E$160:$M$160,0,U$231))+S238)))</f>
        <v>2.5849372053498927</v>
      </c>
      <c r="U238" s="3" cm="1">
        <f t="array" ref="U238">IF(V$231=-1,V238,IF(V$231=99,T238,IF(V$231=0,INDEX($E166:$M166,0,V$229),(INDEX($E166:$M166,0,V$231+1)-INDEX($E166:$M166,0,V$231))/(INDEX($E$160:$M$160,0,V$231+1)-INDEX($E$160:$M$160,0,V$231))+T238)))</f>
        <v>2.6151702016982581</v>
      </c>
      <c r="V238" s="3" cm="1">
        <f t="array" ref="V238">IF(W$231=-1,W238,IF(W$231=99,U238,IF(W$231=0,INDEX($E166:$M166,0,W$229),(INDEX($E166:$M166,0,W$231+1)-INDEX($E166:$M166,0,W$231))/(INDEX($E$160:$M$160,0,W$231+1)-INDEX($E$160:$M$160,0,W$231))+U238)))</f>
        <v>2.6454031980466235</v>
      </c>
      <c r="W238" s="3" cm="1">
        <f t="array" ref="W238">IF(X$231=-1,X238,IF(X$231=99,V238,IF(X$231=0,INDEX($E166:$M166,0,X$229),(INDEX($E166:$M166,0,X$231+1)-INDEX($E166:$M166,0,X$231))/(INDEX($E$160:$M$160,0,X$231+1)-INDEX($E$160:$M$160,0,X$231))+V238)))</f>
        <v>2.6756361943949889</v>
      </c>
      <c r="X238" s="3" cm="1">
        <f t="array" ref="X238">IF(Y$231=-1,Y238,IF(Y$231=99,W238,IF(Y$231=0,INDEX($E166:$M166,0,Y$229),(INDEX($E166:$M166,0,Y$231+1)-INDEX($E166:$M166,0,Y$231))/(INDEX($E$160:$M$160,0,Y$231+1)-INDEX($E$160:$M$160,0,Y$231))+W238)))</f>
        <v>2.7058691907433543</v>
      </c>
      <c r="Y238" s="3" cm="1">
        <f t="array" ref="Y238">IF(Z$231=-1,Z238,IF(Z$231=99,X238,IF(Z$231=0,INDEX($E166:$M166,0,Z$229),(INDEX($E166:$M166,0,Z$231+1)-INDEX($E166:$M166,0,Z$231))/(INDEX($E$160:$M$160,0,Z$231+1)-INDEX($E$160:$M$160,0,Z$231))+X238)))</f>
        <v>2.7361021870917197</v>
      </c>
      <c r="Z238" s="3" cm="1">
        <f t="array" ref="Z238">IF(AA$231=-1,AA238,IF(AA$231=99,Y238,IF(AA$231=0,INDEX($E166:$M166,0,AA$229),(INDEX($E166:$M166,0,AA$231+1)-INDEX($E166:$M166,0,AA$231))/(INDEX($E$160:$M$160,0,AA$231+1)-INDEX($E$160:$M$160,0,AA$231))+Y238)))</f>
        <v>2.7663351834400851</v>
      </c>
      <c r="AA238" s="3" cm="1">
        <f t="array" ref="AA238">IF(AB$231=-1,AB238,IF(AB$231=99,Z238,IF(AB$231=0,INDEX($E166:$M166,0,AB$229),(INDEX($E166:$M166,0,AB$231+1)-INDEX($E166:$M166,0,AB$231))/(INDEX($E$160:$M$160,0,AB$231+1)-INDEX($E$160:$M$160,0,AB$231))+Z238)))</f>
        <v>2.7965681797884505</v>
      </c>
      <c r="AB238" s="3" cm="1">
        <f t="array" ref="AB238">IF(AC$231=-1,AC238,IF(AC$231=99,AA238,IF(AC$231=0,INDEX($E166:$M166,0,AC$229),(INDEX($E166:$M166,0,AC$231+1)-INDEX($E166:$M166,0,AC$231))/(INDEX($E$160:$M$160,0,AC$231+1)-INDEX($E$160:$M$160,0,AC$231))+AA238)))</f>
        <v>2.5547042090015273</v>
      </c>
      <c r="AC238" s="3" cm="1">
        <f t="array" ref="AC238">IF(AD$231=-1,AD238,IF(AD$231=99,AB238,IF(AD$231=0,INDEX($E166:$M166,0,AD$229),(INDEX($E166:$M166,0,AD$231+1)-INDEX($E166:$M166,0,AD$231))/(INDEX($E$160:$M$160,0,AD$231+1)-INDEX($E$160:$M$160,0,AD$231))+AB238)))</f>
        <v>7.3955309497646695</v>
      </c>
      <c r="AD238" s="3" cm="1">
        <f t="array" ref="AD238">IF(AE$231=-1,AE238,IF(AE$231=99,AC238,IF(AE$231=0,INDEX($E166:$M166,0,AE$229),(INDEX($E166:$M166,0,AE$231+1)-INDEX($E166:$M166,0,AE$231))/(INDEX($E$160:$M$160,0,AE$231+1)-INDEX($E$160:$M$160,0,AE$231))+AC238)))</f>
        <v>12.236357690527811</v>
      </c>
      <c r="AE238" s="3" cm="1">
        <f t="array" ref="AE238">IF(AF$231=-1,AF238,IF(AF$231=99,AD238,IF(AF$231=0,INDEX($E166:$M166,0,AF$229),(INDEX($E166:$M166,0,AF$231+1)-INDEX($E166:$M166,0,AF$231))/(INDEX($E$160:$M$160,0,AF$231+1)-INDEX($E$160:$M$160,0,AF$231))+AD238)))</f>
        <v>17.077184431290952</v>
      </c>
      <c r="AF238" s="3" cm="1">
        <f t="array" ref="AF238">IF(AG$231=-1,AG238,IF(AG$231=99,AE238,IF(AG$231=0,INDEX($E166:$M166,0,AG$229),(INDEX($E166:$M166,0,AG$231+1)-INDEX($E166:$M166,0,AG$231))/(INDEX($E$160:$M$160,0,AG$231+1)-INDEX($E$160:$M$160,0,AG$231))+AE238)))</f>
        <v>21.918011172054094</v>
      </c>
      <c r="AG238" s="3" cm="1">
        <f t="array" ref="AG238">IF(AH$231=-1,AH238,IF(AH$231=99,AF238,IF(AH$231=0,INDEX($E166:$M166,0,AH$229),(INDEX($E166:$M166,0,AH$231+1)-INDEX($E166:$M166,0,AH$231))/(INDEX($E$160:$M$160,0,AH$231+1)-INDEX($E$160:$M$160,0,AH$231))+AF238)))</f>
        <v>26.758837912817235</v>
      </c>
      <c r="AH238" s="3" cm="1">
        <f t="array" ref="AH238">IF(AI$231=-1,AI238,IF(AI$231=99,AG238,IF(AI$231=0,INDEX($E166:$M166,0,AI$229),(INDEX($E166:$M166,0,AI$231+1)-INDEX($E166:$M166,0,AI$231))/(INDEX($E$160:$M$160,0,AI$231+1)-INDEX($E$160:$M$160,0,AI$231))+AG238)))</f>
        <v>31.599664653580376</v>
      </c>
      <c r="AI238" s="3" cm="1">
        <f t="array" ref="AI238">IF(AJ$231=-1,AJ238,IF(AJ$231=99,AH238,IF(AJ$231=0,INDEX($E166:$M166,0,AJ$229),(INDEX($E166:$M166,0,AJ$231+1)-INDEX($E166:$M166,0,AJ$231))/(INDEX($E$160:$M$160,0,AJ$231+1)-INDEX($E$160:$M$160,0,AJ$231))+AH238)))</f>
        <v>36.440491394343518</v>
      </c>
      <c r="AJ238" s="3" cm="1">
        <f t="array" ref="AJ238">IF(AK$231=-1,AK238,IF(AK$231=99,AI238,IF(AK$231=0,INDEX($E166:$M166,0,AK$229),(INDEX($E166:$M166,0,AK$231+1)-INDEX($E166:$M166,0,AK$231))/(INDEX($E$160:$M$160,0,AK$231+1)-INDEX($E$160:$M$160,0,AK$231))+AI238)))</f>
        <v>41.281318135106659</v>
      </c>
      <c r="AK238" s="3" cm="1">
        <f t="array" ref="AK238">IF(AL$231=-1,AL238,IF(AL$231=99,AJ238,IF(AL$231=0,INDEX($E166:$M166,0,AL$229),(INDEX($E166:$M166,0,AL$231+1)-INDEX($E166:$M166,0,AL$231))/(INDEX($E$160:$M$160,0,AL$231+1)-INDEX($E$160:$M$160,0,AL$231))+AJ238)))</f>
        <v>46.1221448758698</v>
      </c>
      <c r="AL238" s="3" cm="1">
        <f t="array" ref="AL238">IF(AM$231=-1,AM238,IF(AM$231=99,AK238,IF(AM$231=0,INDEX($E166:$M166,0,AM$229),(INDEX($E166:$M166,0,AM$231+1)-INDEX($E166:$M166,0,AM$231))/(INDEX($E$160:$M$160,0,AM$231+1)-INDEX($E$160:$M$160,0,AM$231))+AK238)))</f>
        <v>7.3955309497646695</v>
      </c>
      <c r="AM238" s="3" cm="1">
        <f t="array" ref="AM238">IF(AN$231=-1,AN238,IF(AN$231=99,AL238,IF(AN$231=0,INDEX($E166:$M166,0,AN$229),(INDEX($E166:$M166,0,AN$231+1)-INDEX($E166:$M166,0,AN$231))/(INDEX($E$160:$M$160,0,AN$231+1)-INDEX($E$160:$M$160,0,AN$231))+AL238)))</f>
        <v>8.1686307589742331</v>
      </c>
      <c r="AN238" s="3" cm="1">
        <f t="array" ref="AN238">IF(AO$231=-1,AO238,IF(AO$231=99,AM238,IF(AO$231=0,INDEX($E166:$M166,0,AO$229),(INDEX($E166:$M166,0,AO$231+1)-INDEX($E166:$M166,0,AO$231))/(INDEX($E$160:$M$160,0,AO$231+1)-INDEX($E$160:$M$160,0,AO$231))+AM238)))</f>
        <v>8.9417305681837966</v>
      </c>
      <c r="AO238" s="3" cm="1">
        <f t="array" ref="AO238">IF(AP$231=-1,AP238,IF(AP$231=99,AN238,IF(AP$231=0,INDEX($E166:$M166,0,AP$229),(INDEX($E166:$M166,0,AP$231+1)-INDEX($E166:$M166,0,AP$231))/(INDEX($E$160:$M$160,0,AP$231+1)-INDEX($E$160:$M$160,0,AP$231))+AN238)))</f>
        <v>9.7148303773933602</v>
      </c>
      <c r="AP238" s="3" cm="1">
        <f t="array" ref="AP238">IF(AQ$231=-1,AQ238,IF(AQ$231=99,AO238,IF(AQ$231=0,INDEX($E166:$M166,0,AQ$229),(INDEX($E166:$M166,0,AQ$231+1)-INDEX($E166:$M166,0,AQ$231))/(INDEX($E$160:$M$160,0,AQ$231+1)-INDEX($E$160:$M$160,0,AQ$231))+AO238)))</f>
        <v>10.487930186602924</v>
      </c>
      <c r="AQ238" s="3" cm="1">
        <f t="array" ref="AQ238">IF(AR$231=-1,AR238,IF(AR$231=99,AP238,IF(AR$231=0,INDEX($E166:$M166,0,AR$229),(INDEX($E166:$M166,0,AR$231+1)-INDEX($E166:$M166,0,AR$231))/(INDEX($E$160:$M$160,0,AR$231+1)-INDEX($E$160:$M$160,0,AR$231))+AP238)))</f>
        <v>11.261029995812487</v>
      </c>
      <c r="AR238" s="3" cm="1">
        <f t="array" ref="AR238">IF(AS$231=-1,AS238,IF(AS$231=99,AQ238,IF(AS$231=0,INDEX($E166:$M166,0,AS$229),(INDEX($E166:$M166,0,AS$231+1)-INDEX($E166:$M166,0,AS$231))/(INDEX($E$160:$M$160,0,AS$231+1)-INDEX($E$160:$M$160,0,AS$231))+AQ238)))</f>
        <v>12.034129805022051</v>
      </c>
      <c r="AS238" s="3" cm="1">
        <f t="array" ref="AS238">IF(AT$231=-1,AT238,IF(AT$231=99,AR238,IF(AT$231=0,INDEX($E166:$M166,0,AT$229),(INDEX($E166:$M166,0,AT$231+1)-INDEX($E166:$M166,0,AT$231))/(INDEX($E$160:$M$160,0,AT$231+1)-INDEX($E$160:$M$160,0,AT$231))+AR238)))</f>
        <v>12.807229614231614</v>
      </c>
      <c r="AT238" s="3" cm="1">
        <f t="array" ref="AT238">IF(AU$231=-1,AU238,IF(AU$231=99,AS238,IF(AU$231=0,INDEX($E166:$M166,0,AU$229),(INDEX($E166:$M166,0,AU$231+1)-INDEX($E166:$M166,0,AU$231))/(INDEX($E$160:$M$160,0,AU$231+1)-INDEX($E$160:$M$160,0,AU$231))+AS238)))</f>
        <v>13.580329423441178</v>
      </c>
      <c r="AU238" s="3" cm="1">
        <f t="array" ref="AU238">IF(AV$231=-1,AV238,IF(AV$231=99,AT238,IF(AV$231=0,INDEX($E166:$M166,0,AV$229),(INDEX($E166:$M166,0,AV$231+1)-INDEX($E166:$M166,0,AV$231))/(INDEX($E$160:$M$160,0,AV$231+1)-INDEX($E$160:$M$160,0,AV$231))+AT238)))</f>
        <v>14.353429232650742</v>
      </c>
      <c r="AV238" s="3" cm="1">
        <f t="array" ref="AV238">IF(AW$231=-1,AW238,IF(AW$231=99,AU238,IF(AW$231=0,INDEX($E166:$M166,0,AW$229),(INDEX($E166:$M166,0,AW$231+1)-INDEX($E166:$M166,0,AW$231))/(INDEX($E$160:$M$160,0,AW$231+1)-INDEX($E$160:$M$160,0,AW$231))+AU238)))</f>
        <v>14.353429232650743</v>
      </c>
      <c r="AW238" s="3" cm="1">
        <f t="array" ref="AW238">IF(AX$231=-1,AX238,IF(AX$231=99,AV238,IF(AX$231=0,INDEX($E166:$M166,0,AX$229),(INDEX($E166:$M166,0,AX$231+1)-INDEX($E166:$M166,0,AX$231))/(INDEX($E$160:$M$160,0,AX$231+1)-INDEX($E$160:$M$160,0,AX$231))+AV238)))</f>
        <v>14.353429232650743</v>
      </c>
      <c r="AX238" s="3" cm="1">
        <f t="array" ref="AX238">IF(AY$231=-1,AZ238,IF(AY$231=99,AW238,IF(AY$231=0,INDEX($E166:$M166,0,AY$229),(INDEX($E166:$M166,0,AY$231+1)-INDEX($E166:$M166,0,AY$231))/(INDEX($E$160:$M$160,0,AY$231+1)-INDEX($E$160:$M$160,0,AY$231))+AW238)))</f>
        <v>14.353429232650743</v>
      </c>
      <c r="AZ238" s="3"/>
      <c r="BA238" s="3"/>
      <c r="BB238" s="3"/>
      <c r="BC238" s="3"/>
      <c r="BD238" s="3"/>
      <c r="BE238" s="3"/>
    </row>
    <row r="239" spans="1:58">
      <c r="A239" t="s">
        <v>16</v>
      </c>
      <c r="B239" s="16"/>
      <c r="C239" s="17"/>
      <c r="E239" s="17"/>
      <c r="F239" s="17"/>
      <c r="G239" s="17"/>
      <c r="H239" s="17"/>
      <c r="I239" s="48" t="str">
        <f t="shared" si="617"/>
        <v>TPPUMER</v>
      </c>
      <c r="J239" s="3">
        <f t="shared" si="618"/>
        <v>15.023482841814213</v>
      </c>
      <c r="K239" s="3" cm="1">
        <f t="array" ref="K239">IF(L$231=-1,L239,IF(L$231=99,J239,IF(L$231=0,INDEX($E167:$M167,0,L$229),(INDEX($E167:$M167,0,L$231+1)-INDEX($E167:$M167,0,L$231))/(INDEX($E$160:$M$160,0,L$231+1)-INDEX($E$160:$M$160,0,L$231))+J239)))</f>
        <v>14.123137325530998</v>
      </c>
      <c r="L239" s="3" cm="1">
        <f t="array" ref="L239">IF(M$231=-1,M239,IF(M$231=99,K239,IF(M$231=0,INDEX($E167:$M167,0,M$229),(INDEX($E167:$M167,0,M$231+1)-INDEX($E167:$M167,0,M$231))/(INDEX($E$160:$M$160,0,M$231+1)-INDEX($E$160:$M$160,0,M$231))+K239)))</f>
        <v>13.222791809247783</v>
      </c>
      <c r="M239" s="3" cm="1">
        <f t="array" ref="M239">IF(N$231=-1,N239,IF(N$231=99,L239,IF(N$231=0,INDEX($E167:$M167,0,N$229),(INDEX($E167:$M167,0,N$231+1)-INDEX($E167:$M167,0,N$231))/(INDEX($E$160:$M$160,0,N$231+1)-INDEX($E$160:$M$160,0,N$231))+L239)))</f>
        <v>12.322446292964566</v>
      </c>
      <c r="N239" s="3" cm="1">
        <f t="array" ref="N239">IF(O$231=-1,O239,IF(O$231=99,M239,IF(O$231=0,INDEX($E167:$M167,0,O$229),(INDEX($E167:$M167,0,O$231+1)-INDEX($E167:$M167,0,O$231))/(INDEX($E$160:$M$160,0,O$231+1)-INDEX($E$160:$M$160,0,O$231))+M239)))</f>
        <v>10.474251298675517</v>
      </c>
      <c r="O239" s="3" cm="1">
        <f t="array" ref="O239">IF(P$231=-1,P239,IF(P$231=99,N239,IF(P$231=0,INDEX($E167:$M167,0,P$229),(INDEX($E167:$M167,0,P$231+1)-INDEX($E167:$M167,0,P$231))/(INDEX($E$160:$M$160,0,P$231+1)-INDEX($E$160:$M$160,0,P$231))+N239)))</f>
        <v>8.6260563043864682</v>
      </c>
      <c r="P239" s="3" cm="1">
        <f t="array" ref="P239">IF(Q$231=-1,Q239,IF(Q$231=99,O239,IF(Q$231=0,INDEX($E167:$M167,0,Q$229),(INDEX($E167:$M167,0,Q$231+1)-INDEX($E167:$M167,0,Q$231))/(INDEX($E$160:$M$160,0,Q$231+1)-INDEX($E$160:$M$160,0,Q$231))+O239)))</f>
        <v>8.7248248744821311</v>
      </c>
      <c r="Q239" s="3" cm="1">
        <f t="array" ref="Q239">IF(R$231=-1,R239,IF(R$231=99,P239,IF(R$231=0,INDEX($E167:$M167,0,R$229),(INDEX($E167:$M167,0,R$231+1)-INDEX($E167:$M167,0,R$231))/(INDEX($E$160:$M$160,0,R$231+1)-INDEX($E$160:$M$160,0,R$231))+P239)))</f>
        <v>8.8235934445777957</v>
      </c>
      <c r="R239" s="3" cm="1">
        <f t="array" ref="R239">IF(S$231=-1,S239,IF(S$231=99,Q239,IF(S$231=0,INDEX($E167:$M167,0,S$229),(INDEX($E167:$M167,0,S$231+1)-INDEX($E167:$M167,0,S$231))/(INDEX($E$160:$M$160,0,S$231+1)-INDEX($E$160:$M$160,0,S$231))+Q239)))</f>
        <v>8.8235934445777957</v>
      </c>
      <c r="S239" s="3" cm="1">
        <f t="array" ref="S239">IF(T$231=-1,T239,IF(T$231=99,R239,IF(T$231=0,INDEX($E167:$M167,0,T$229),(INDEX($E167:$M167,0,T$231+1)-INDEX($E167:$M167,0,T$231))/(INDEX($E$160:$M$160,0,T$231+1)-INDEX($E$160:$M$160,0,T$231))+R239)))</f>
        <v>8.9654013796389815</v>
      </c>
      <c r="T239" s="3" cm="1">
        <f t="array" ref="T239">IF(U$231=-1,U239,IF(U$231=99,S239,IF(U$231=0,INDEX($E167:$M167,0,U$229),(INDEX($E167:$M167,0,U$231+1)-INDEX($E167:$M167,0,U$231))/(INDEX($E$160:$M$160,0,U$231+1)-INDEX($E$160:$M$160,0,U$231))+S239)))</f>
        <v>9.1072093147001674</v>
      </c>
      <c r="U239" s="3" cm="1">
        <f t="array" ref="U239">IF(V$231=-1,V239,IF(V$231=99,T239,IF(V$231=0,INDEX($E167:$M167,0,V$229),(INDEX($E167:$M167,0,V$231+1)-INDEX($E167:$M167,0,V$231))/(INDEX($E$160:$M$160,0,V$231+1)-INDEX($E$160:$M$160,0,V$231))+T239)))</f>
        <v>9.2490172497613532</v>
      </c>
      <c r="V239" s="3" cm="1">
        <f t="array" ref="V239">IF(W$231=-1,W239,IF(W$231=99,U239,IF(W$231=0,INDEX($E167:$M167,0,W$229),(INDEX($E167:$M167,0,W$231+1)-INDEX($E167:$M167,0,W$231))/(INDEX($E$160:$M$160,0,W$231+1)-INDEX($E$160:$M$160,0,W$231))+U239)))</f>
        <v>9.390825184822539</v>
      </c>
      <c r="W239" s="3" cm="1">
        <f t="array" ref="W239">IF(X$231=-1,X239,IF(X$231=99,V239,IF(X$231=0,INDEX($E167:$M167,0,X$229),(INDEX($E167:$M167,0,X$231+1)-INDEX($E167:$M167,0,X$231))/(INDEX($E$160:$M$160,0,X$231+1)-INDEX($E$160:$M$160,0,X$231))+V239)))</f>
        <v>9.5326331198837249</v>
      </c>
      <c r="X239" s="3" cm="1">
        <f t="array" ref="X239">IF(Y$231=-1,Y239,IF(Y$231=99,W239,IF(Y$231=0,INDEX($E167:$M167,0,Y$229),(INDEX($E167:$M167,0,Y$231+1)-INDEX($E167:$M167,0,Y$231))/(INDEX($E$160:$M$160,0,Y$231+1)-INDEX($E$160:$M$160,0,Y$231))+W239)))</f>
        <v>9.6744410549449107</v>
      </c>
      <c r="Y239" s="3" cm="1">
        <f t="array" ref="Y239">IF(Z$231=-1,Z239,IF(Z$231=99,X239,IF(Z$231=0,INDEX($E167:$M167,0,Z$229),(INDEX($E167:$M167,0,Z$231+1)-INDEX($E167:$M167,0,Z$231))/(INDEX($E$160:$M$160,0,Z$231+1)-INDEX($E$160:$M$160,0,Z$231))+X239)))</f>
        <v>9.8162489900060965</v>
      </c>
      <c r="Z239" s="3" cm="1">
        <f t="array" ref="Z239">IF(AA$231=-1,AA239,IF(AA$231=99,Y239,IF(AA$231=0,INDEX($E167:$M167,0,AA$229),(INDEX($E167:$M167,0,AA$231+1)-INDEX($E167:$M167,0,AA$231))/(INDEX($E$160:$M$160,0,AA$231+1)-INDEX($E$160:$M$160,0,AA$231))+Y239)))</f>
        <v>9.9580569250672824</v>
      </c>
      <c r="AA239" s="3" cm="1">
        <f t="array" ref="AA239">IF(AB$231=-1,AB239,IF(AB$231=99,Z239,IF(AB$231=0,INDEX($E167:$M167,0,AB$229),(INDEX($E167:$M167,0,AB$231+1)-INDEX($E167:$M167,0,AB$231))/(INDEX($E$160:$M$160,0,AB$231+1)-INDEX($E$160:$M$160,0,AB$231))+Z239)))</f>
        <v>10.099864860128468</v>
      </c>
      <c r="AB239" s="3" cm="1">
        <f t="array" ref="AB239">IF(AC$231=-1,AC239,IF(AC$231=99,AA239,IF(AC$231=0,INDEX($E167:$M167,0,AC$229),(INDEX($E167:$M167,0,AC$231+1)-INDEX($E167:$M167,0,AC$231))/(INDEX($E$160:$M$160,0,AC$231+1)-INDEX($E$160:$M$160,0,AC$231))+AA239)))</f>
        <v>8.9654013796389815</v>
      </c>
      <c r="AC239" s="3" cm="1">
        <f t="array" ref="AC239">IF(AD$231=-1,AD239,IF(AD$231=99,AB239,IF(AD$231=0,INDEX($E167:$M167,0,AD$229),(INDEX($E167:$M167,0,AD$231+1)-INDEX($E167:$M167,0,AD$231))/(INDEX($E$160:$M$160,0,AD$231+1)-INDEX($E$160:$M$160,0,AD$231))+AB239)))</f>
        <v>9.2071053467093638</v>
      </c>
      <c r="AD239" s="3" cm="1">
        <f t="array" ref="AD239">IF(AE$231=-1,AE239,IF(AE$231=99,AC239,IF(AE$231=0,INDEX($E167:$M167,0,AE$229),(INDEX($E167:$M167,0,AE$231+1)-INDEX($E167:$M167,0,AE$231))/(INDEX($E$160:$M$160,0,AE$231+1)-INDEX($E$160:$M$160,0,AE$231))+AC239)))</f>
        <v>9.448809313779746</v>
      </c>
      <c r="AE239" s="3" cm="1">
        <f t="array" ref="AE239">IF(AF$231=-1,AF239,IF(AF$231=99,AD239,IF(AF$231=0,INDEX($E167:$M167,0,AF$229),(INDEX($E167:$M167,0,AF$231+1)-INDEX($E167:$M167,0,AF$231))/(INDEX($E$160:$M$160,0,AF$231+1)-INDEX($E$160:$M$160,0,AF$231))+AD239)))</f>
        <v>9.6905132808501282</v>
      </c>
      <c r="AF239" s="3" cm="1">
        <f t="array" ref="AF239">IF(AG$231=-1,AG239,IF(AG$231=99,AE239,IF(AG$231=0,INDEX($E167:$M167,0,AG$229),(INDEX($E167:$M167,0,AG$231+1)-INDEX($E167:$M167,0,AG$231))/(INDEX($E$160:$M$160,0,AG$231+1)-INDEX($E$160:$M$160,0,AG$231))+AE239)))</f>
        <v>9.9322172479205104</v>
      </c>
      <c r="AG239" s="3" cm="1">
        <f t="array" ref="AG239">IF(AH$231=-1,AH239,IF(AH$231=99,AF239,IF(AH$231=0,INDEX($E167:$M167,0,AH$229),(INDEX($E167:$M167,0,AH$231+1)-INDEX($E167:$M167,0,AH$231))/(INDEX($E$160:$M$160,0,AH$231+1)-INDEX($E$160:$M$160,0,AH$231))+AF239)))</f>
        <v>10.173921214990893</v>
      </c>
      <c r="AH239" s="3" cm="1">
        <f t="array" ref="AH239">IF(AI$231=-1,AI239,IF(AI$231=99,AG239,IF(AI$231=0,INDEX($E167:$M167,0,AI$229),(INDEX($E167:$M167,0,AI$231+1)-INDEX($E167:$M167,0,AI$231))/(INDEX($E$160:$M$160,0,AI$231+1)-INDEX($E$160:$M$160,0,AI$231))+AG239)))</f>
        <v>10.415625182061275</v>
      </c>
      <c r="AI239" s="3" cm="1">
        <f t="array" ref="AI239">IF(AJ$231=-1,AJ239,IF(AJ$231=99,AH239,IF(AJ$231=0,INDEX($E167:$M167,0,AJ$229),(INDEX($E167:$M167,0,AJ$231+1)-INDEX($E167:$M167,0,AJ$231))/(INDEX($E$160:$M$160,0,AJ$231+1)-INDEX($E$160:$M$160,0,AJ$231))+AH239)))</f>
        <v>10.657329149131657</v>
      </c>
      <c r="AJ239" s="3" cm="1">
        <f t="array" ref="AJ239">IF(AK$231=-1,AK239,IF(AK$231=99,AI239,IF(AK$231=0,INDEX($E167:$M167,0,AK$229),(INDEX($E167:$M167,0,AK$231+1)-INDEX($E167:$M167,0,AK$231))/(INDEX($E$160:$M$160,0,AK$231+1)-INDEX($E$160:$M$160,0,AK$231))+AI239)))</f>
        <v>10.899033116202039</v>
      </c>
      <c r="AK239" s="3" cm="1">
        <f t="array" ref="AK239">IF(AL$231=-1,AL239,IF(AL$231=99,AJ239,IF(AL$231=0,INDEX($E167:$M167,0,AL$229),(INDEX($E167:$M167,0,AL$231+1)-INDEX($E167:$M167,0,AL$231))/(INDEX($E$160:$M$160,0,AL$231+1)-INDEX($E$160:$M$160,0,AL$231))+AJ239)))</f>
        <v>11.140737083272422</v>
      </c>
      <c r="AL239" s="3" cm="1">
        <f t="array" ref="AL239">IF(AM$231=-1,AM239,IF(AM$231=99,AK239,IF(AM$231=0,INDEX($E167:$M167,0,AM$229),(INDEX($E167:$M167,0,AM$231+1)-INDEX($E167:$M167,0,AM$231))/(INDEX($E$160:$M$160,0,AM$231+1)-INDEX($E$160:$M$160,0,AM$231))+AK239)))</f>
        <v>9.2071053467093638</v>
      </c>
      <c r="AM239" s="3" cm="1">
        <f t="array" ref="AM239">IF(AN$231=-1,AN239,IF(AN$231=99,AL239,IF(AN$231=0,INDEX($E167:$M167,0,AN$229),(INDEX($E167:$M167,0,AN$231+1)-INDEX($E167:$M167,0,AN$231))/(INDEX($E$160:$M$160,0,AN$231+1)-INDEX($E$160:$M$160,0,AN$231))+AL239)))</f>
        <v>9.2322940079992364</v>
      </c>
      <c r="AN239" s="3" cm="1">
        <f t="array" ref="AN239">IF(AO$231=-1,AO239,IF(AO$231=99,AM239,IF(AO$231=0,INDEX($E167:$M167,0,AO$229),(INDEX($E167:$M167,0,AO$231+1)-INDEX($E167:$M167,0,AO$231))/(INDEX($E$160:$M$160,0,AO$231+1)-INDEX($E$160:$M$160,0,AO$231))+AM239)))</f>
        <v>9.257482669289109</v>
      </c>
      <c r="AO239" s="3" cm="1">
        <f t="array" ref="AO239">IF(AP$231=-1,AP239,IF(AP$231=99,AN239,IF(AP$231=0,INDEX($E167:$M167,0,AP$229),(INDEX($E167:$M167,0,AP$231+1)-INDEX($E167:$M167,0,AP$231))/(INDEX($E$160:$M$160,0,AP$231+1)-INDEX($E$160:$M$160,0,AP$231))+AN239)))</f>
        <v>9.2826713305789816</v>
      </c>
      <c r="AP239" s="3" cm="1">
        <f t="array" ref="AP239">IF(AQ$231=-1,AQ239,IF(AQ$231=99,AO239,IF(AQ$231=0,INDEX($E167:$M167,0,AQ$229),(INDEX($E167:$M167,0,AQ$231+1)-INDEX($E167:$M167,0,AQ$231))/(INDEX($E$160:$M$160,0,AQ$231+1)-INDEX($E$160:$M$160,0,AQ$231))+AO239)))</f>
        <v>9.3078599918688543</v>
      </c>
      <c r="AQ239" s="3" cm="1">
        <f t="array" ref="AQ239">IF(AR$231=-1,AR239,IF(AR$231=99,AP239,IF(AR$231=0,INDEX($E167:$M167,0,AR$229),(INDEX($E167:$M167,0,AR$231+1)-INDEX($E167:$M167,0,AR$231))/(INDEX($E$160:$M$160,0,AR$231+1)-INDEX($E$160:$M$160,0,AR$231))+AP239)))</f>
        <v>9.3330486531587269</v>
      </c>
      <c r="AR239" s="3" cm="1">
        <f t="array" ref="AR239">IF(AS$231=-1,AS239,IF(AS$231=99,AQ239,IF(AS$231=0,INDEX($E167:$M167,0,AS$229),(INDEX($E167:$M167,0,AS$231+1)-INDEX($E167:$M167,0,AS$231))/(INDEX($E$160:$M$160,0,AS$231+1)-INDEX($E$160:$M$160,0,AS$231))+AQ239)))</f>
        <v>9.3582373144485995</v>
      </c>
      <c r="AS239" s="3" cm="1">
        <f t="array" ref="AS239">IF(AT$231=-1,AT239,IF(AT$231=99,AR239,IF(AT$231=0,INDEX($E167:$M167,0,AT$229),(INDEX($E167:$M167,0,AT$231+1)-INDEX($E167:$M167,0,AT$231))/(INDEX($E$160:$M$160,0,AT$231+1)-INDEX($E$160:$M$160,0,AT$231))+AR239)))</f>
        <v>9.3834259757384721</v>
      </c>
      <c r="AT239" s="3" cm="1">
        <f t="array" ref="AT239">IF(AU$231=-1,AU239,IF(AU$231=99,AS239,IF(AU$231=0,INDEX($E167:$M167,0,AU$229),(INDEX($E167:$M167,0,AU$231+1)-INDEX($E167:$M167,0,AU$231))/(INDEX($E$160:$M$160,0,AU$231+1)-INDEX($E$160:$M$160,0,AU$231))+AS239)))</f>
        <v>9.4086146370283448</v>
      </c>
      <c r="AU239" s="3" cm="1">
        <f t="array" ref="AU239">IF(AV$231=-1,AV239,IF(AV$231=99,AT239,IF(AV$231=0,INDEX($E167:$M167,0,AV$229),(INDEX($E167:$M167,0,AV$231+1)-INDEX($E167:$M167,0,AV$231))/(INDEX($E$160:$M$160,0,AV$231+1)-INDEX($E$160:$M$160,0,AV$231))+AT239)))</f>
        <v>9.4338032983182174</v>
      </c>
      <c r="AV239" s="3" cm="1">
        <f t="array" ref="AV239">IF(AW$231=-1,AW239,IF(AW$231=99,AU239,IF(AW$231=0,INDEX($E167:$M167,0,AW$229),(INDEX($E167:$M167,0,AW$231+1)-INDEX($E167:$M167,0,AW$231))/(INDEX($E$160:$M$160,0,AW$231+1)-INDEX($E$160:$M$160,0,AW$231))+AU239)))</f>
        <v>9.4338032983182156</v>
      </c>
      <c r="AW239" s="3" cm="1">
        <f t="array" ref="AW239">IF(AX$231=-1,AX239,IF(AX$231=99,AV239,IF(AX$231=0,INDEX($E167:$M167,0,AX$229),(INDEX($E167:$M167,0,AX$231+1)-INDEX($E167:$M167,0,AX$231))/(INDEX($E$160:$M$160,0,AX$231+1)-INDEX($E$160:$M$160,0,AX$231))+AV239)))</f>
        <v>9.4338032983182156</v>
      </c>
      <c r="AX239" s="3" cm="1">
        <f t="array" ref="AX239">IF(AY$231=-1,AZ239,IF(AY$231=99,AW239,IF(AY$231=0,INDEX($E167:$M167,0,AY$229),(INDEX($E167:$M167,0,AY$231+1)-INDEX($E167:$M167,0,AY$231))/(INDEX($E$160:$M$160,0,AY$231+1)-INDEX($E$160:$M$160,0,AY$231))+AW239)))</f>
        <v>9.4338032983182156</v>
      </c>
      <c r="AZ239" s="3"/>
      <c r="BA239" s="3"/>
      <c r="BB239" s="3"/>
      <c r="BC239" s="3"/>
      <c r="BD239" s="3"/>
      <c r="BE239" s="3"/>
    </row>
    <row r="240" spans="1:58">
      <c r="A240" t="s">
        <v>16</v>
      </c>
      <c r="B240" s="16"/>
      <c r="C240" s="17"/>
      <c r="E240" s="17"/>
      <c r="F240" s="17"/>
      <c r="G240" s="17"/>
      <c r="H240" s="17"/>
      <c r="I240" s="48" t="str">
        <f t="shared" si="617"/>
        <v>TPPUGAT</v>
      </c>
      <c r="J240" s="3">
        <f t="shared" si="618"/>
        <v>0.53459848266953358</v>
      </c>
      <c r="K240" s="3" cm="1">
        <f t="array" ref="K240">IF(L$231=-1,L240,IF(L$231=99,J240,IF(L$231=0,INDEX($E168:$M168,0,L$229),(INDEX($E168:$M168,0,L$231+1)-INDEX($E168:$M168,0,L$231))/(INDEX($E$160:$M$160,0,L$231+1)-INDEX($E$160:$M$160,0,L$231))+J240)))</f>
        <v>0.55947822475115061</v>
      </c>
      <c r="L240" s="3" cm="1">
        <f t="array" ref="L240">IF(M$231=-1,M240,IF(M$231=99,K240,IF(M$231=0,INDEX($E168:$M168,0,M$229),(INDEX($E168:$M168,0,M$231+1)-INDEX($E168:$M168,0,M$231))/(INDEX($E$160:$M$160,0,M$231+1)-INDEX($E$160:$M$160,0,M$231))+K240)))</f>
        <v>0.58435796683276764</v>
      </c>
      <c r="M240" s="3" cm="1">
        <f t="array" ref="M240">IF(N$231=-1,N240,IF(N$231=99,L240,IF(N$231=0,INDEX($E168:$M168,0,N$229),(INDEX($E168:$M168,0,N$231+1)-INDEX($E168:$M168,0,N$231))/(INDEX($E$160:$M$160,0,N$231+1)-INDEX($E$160:$M$160,0,N$231))+L240)))</f>
        <v>0.60923770891438467</v>
      </c>
      <c r="N240" s="3" cm="1">
        <f t="array" ref="N240">IF(O$231=-1,O240,IF(O$231=99,M240,IF(O$231=0,INDEX($E168:$M168,0,O$229),(INDEX($E168:$M168,0,O$231+1)-INDEX($E168:$M168,0,O$231))/(INDEX($E$160:$M$160,0,O$231+1)-INDEX($E$160:$M$160,0,O$231))+M240)))</f>
        <v>0.62888953865325536</v>
      </c>
      <c r="O240" s="3" cm="1">
        <f t="array" ref="O240">IF(P$231=-1,P240,IF(P$231=99,N240,IF(P$231=0,INDEX($E168:$M168,0,P$229),(INDEX($E168:$M168,0,P$231+1)-INDEX($E168:$M168,0,P$231))/(INDEX($E$160:$M$160,0,P$231+1)-INDEX($E$160:$M$160,0,P$231))+N240)))</f>
        <v>0.64854136839212595</v>
      </c>
      <c r="P240" s="3" cm="1">
        <f t="array" ref="P240">IF(Q$231=-1,Q240,IF(Q$231=99,O240,IF(Q$231=0,INDEX($E168:$M168,0,Q$229),(INDEX($E168:$M168,0,Q$231+1)-INDEX($E168:$M168,0,Q$231))/(INDEX($E$160:$M$160,0,Q$231+1)-INDEX($E$160:$M$160,0,Q$231))+O240)))</f>
        <v>0.67405613843991108</v>
      </c>
      <c r="Q240" s="3" cm="1">
        <f t="array" ref="Q240">IF(R$231=-1,R240,IF(R$231=99,P240,IF(R$231=0,INDEX($E168:$M168,0,R$229),(INDEX($E168:$M168,0,R$231+1)-INDEX($E168:$M168,0,R$231))/(INDEX($E$160:$M$160,0,R$231+1)-INDEX($E$160:$M$160,0,R$231))+P240)))</f>
        <v>0.69957090848769621</v>
      </c>
      <c r="R240" s="3" cm="1">
        <f t="array" ref="R240">IF(S$231=-1,S240,IF(S$231=99,Q240,IF(S$231=0,INDEX($E168:$M168,0,S$229),(INDEX($E168:$M168,0,S$231+1)-INDEX($E168:$M168,0,S$231))/(INDEX($E$160:$M$160,0,S$231+1)-INDEX($E$160:$M$160,0,S$231))+Q240)))</f>
        <v>0.6995709084876961</v>
      </c>
      <c r="S240" s="3" cm="1">
        <f t="array" ref="S240">IF(T$231=-1,T240,IF(T$231=99,R240,IF(T$231=0,INDEX($E168:$M168,0,T$229),(INDEX($E168:$M168,0,T$231+1)-INDEX($E168:$M168,0,T$231))/(INDEX($E$160:$M$160,0,T$231+1)-INDEX($E$160:$M$160,0,T$231))+R240)))</f>
        <v>0.64248252977129328</v>
      </c>
      <c r="T240" s="3" cm="1">
        <f t="array" ref="T240">IF(U$231=-1,U240,IF(U$231=99,S240,IF(U$231=0,INDEX($E168:$M168,0,U$229),(INDEX($E168:$M168,0,U$231+1)-INDEX($E168:$M168,0,U$231))/(INDEX($E$160:$M$160,0,U$231+1)-INDEX($E$160:$M$160,0,U$231))+S240)))</f>
        <v>0.58539415105489045</v>
      </c>
      <c r="U240" s="3" cm="1">
        <f t="array" ref="U240">IF(V$231=-1,V240,IF(V$231=99,T240,IF(V$231=0,INDEX($E168:$M168,0,V$229),(INDEX($E168:$M168,0,V$231+1)-INDEX($E168:$M168,0,V$231))/(INDEX($E$160:$M$160,0,V$231+1)-INDEX($E$160:$M$160,0,V$231))+T240)))</f>
        <v>0.52830577233848763</v>
      </c>
      <c r="V240" s="3" cm="1">
        <f t="array" ref="V240">IF(W$231=-1,W240,IF(W$231=99,U240,IF(W$231=0,INDEX($E168:$M168,0,W$229),(INDEX($E168:$M168,0,W$231+1)-INDEX($E168:$M168,0,W$231))/(INDEX($E$160:$M$160,0,W$231+1)-INDEX($E$160:$M$160,0,W$231))+U240)))</f>
        <v>0.47121739362208481</v>
      </c>
      <c r="W240" s="3" cm="1">
        <f t="array" ref="W240">IF(X$231=-1,X240,IF(X$231=99,V240,IF(X$231=0,INDEX($E168:$M168,0,X$229),(INDEX($E168:$M168,0,X$231+1)-INDEX($E168:$M168,0,X$231))/(INDEX($E$160:$M$160,0,X$231+1)-INDEX($E$160:$M$160,0,X$231))+V240)))</f>
        <v>0.41412901490568199</v>
      </c>
      <c r="X240" s="3" cm="1">
        <f t="array" ref="X240">IF(Y$231=-1,Y240,IF(Y$231=99,W240,IF(Y$231=0,INDEX($E168:$M168,0,Y$229),(INDEX($E168:$M168,0,Y$231+1)-INDEX($E168:$M168,0,Y$231))/(INDEX($E$160:$M$160,0,Y$231+1)-INDEX($E$160:$M$160,0,Y$231))+W240)))</f>
        <v>0.35704063618927917</v>
      </c>
      <c r="Y240" s="3" cm="1">
        <f t="array" ref="Y240">IF(Z$231=-1,Z240,IF(Z$231=99,X240,IF(Z$231=0,INDEX($E168:$M168,0,Z$229),(INDEX($E168:$M168,0,Z$231+1)-INDEX($E168:$M168,0,Z$231))/(INDEX($E$160:$M$160,0,Z$231+1)-INDEX($E$160:$M$160,0,Z$231))+X240)))</f>
        <v>0.29995225747287635</v>
      </c>
      <c r="Z240" s="3" cm="1">
        <f t="array" ref="Z240">IF(AA$231=-1,AA240,IF(AA$231=99,Y240,IF(AA$231=0,INDEX($E168:$M168,0,AA$229),(INDEX($E168:$M168,0,AA$231+1)-INDEX($E168:$M168,0,AA$231))/(INDEX($E$160:$M$160,0,AA$231+1)-INDEX($E$160:$M$160,0,AA$231))+Y240)))</f>
        <v>0.24286387875647353</v>
      </c>
      <c r="AA240" s="3" cm="1">
        <f t="array" ref="AA240">IF(AB$231=-1,AB240,IF(AB$231=99,Z240,IF(AB$231=0,INDEX($E168:$M168,0,AB$229),(INDEX($E168:$M168,0,AB$231+1)-INDEX($E168:$M168,0,AB$231))/(INDEX($E$160:$M$160,0,AB$231+1)-INDEX($E$160:$M$160,0,AB$231))+Z240)))</f>
        <v>0.18577550004007071</v>
      </c>
      <c r="AB240" s="3" cm="1">
        <f t="array" ref="AB240">IF(AC$231=-1,AC240,IF(AC$231=99,AA240,IF(AC$231=0,INDEX($E168:$M168,0,AC$229),(INDEX($E168:$M168,0,AC$231+1)-INDEX($E168:$M168,0,AC$231))/(INDEX($E$160:$M$160,0,AC$231+1)-INDEX($E$160:$M$160,0,AC$231))+AA240)))</f>
        <v>0.64248252977129328</v>
      </c>
      <c r="AC240" s="3" cm="1">
        <f t="array" ref="AC240">IF(AD$231=-1,AD240,IF(AD$231=99,AB240,IF(AD$231=0,INDEX($E168:$M168,0,AD$229),(INDEX($E168:$M168,0,AD$231+1)-INDEX($E168:$M168,0,AD$231))/(INDEX($E$160:$M$160,0,AD$231+1)-INDEX($E$160:$M$160,0,AD$231))+AB240)))</f>
        <v>0.61850242942963696</v>
      </c>
      <c r="AD240" s="3" cm="1">
        <f t="array" ref="AD240">IF(AE$231=-1,AE240,IF(AE$231=99,AC240,IF(AE$231=0,INDEX($E168:$M168,0,AE$229),(INDEX($E168:$M168,0,AE$231+1)-INDEX($E168:$M168,0,AE$231))/(INDEX($E$160:$M$160,0,AE$231+1)-INDEX($E$160:$M$160,0,AE$231))+AC240)))</f>
        <v>0.59452232908798064</v>
      </c>
      <c r="AE240" s="3" cm="1">
        <f t="array" ref="AE240">IF(AF$231=-1,AF240,IF(AF$231=99,AD240,IF(AF$231=0,INDEX($E168:$M168,0,AF$229),(INDEX($E168:$M168,0,AF$231+1)-INDEX($E168:$M168,0,AF$231))/(INDEX($E$160:$M$160,0,AF$231+1)-INDEX($E$160:$M$160,0,AF$231))+AD240)))</f>
        <v>0.57054222874632432</v>
      </c>
      <c r="AF240" s="3" cm="1">
        <f t="array" ref="AF240">IF(AG$231=-1,AG240,IF(AG$231=99,AE240,IF(AG$231=0,INDEX($E168:$M168,0,AG$229),(INDEX($E168:$M168,0,AG$231+1)-INDEX($E168:$M168,0,AG$231))/(INDEX($E$160:$M$160,0,AG$231+1)-INDEX($E$160:$M$160,0,AG$231))+AE240)))</f>
        <v>0.546562128404668</v>
      </c>
      <c r="AG240" s="3" cm="1">
        <f t="array" ref="AG240">IF(AH$231=-1,AH240,IF(AH$231=99,AF240,IF(AH$231=0,INDEX($E168:$M168,0,AH$229),(INDEX($E168:$M168,0,AH$231+1)-INDEX($E168:$M168,0,AH$231))/(INDEX($E$160:$M$160,0,AH$231+1)-INDEX($E$160:$M$160,0,AH$231))+AF240)))</f>
        <v>0.52258202806301168</v>
      </c>
      <c r="AH240" s="3" cm="1">
        <f t="array" ref="AH240">IF(AI$231=-1,AI240,IF(AI$231=99,AG240,IF(AI$231=0,INDEX($E168:$M168,0,AI$229),(INDEX($E168:$M168,0,AI$231+1)-INDEX($E168:$M168,0,AI$231))/(INDEX($E$160:$M$160,0,AI$231+1)-INDEX($E$160:$M$160,0,AI$231))+AG240)))</f>
        <v>0.49860192772135536</v>
      </c>
      <c r="AI240" s="3" cm="1">
        <f t="array" ref="AI240">IF(AJ$231=-1,AJ240,IF(AJ$231=99,AH240,IF(AJ$231=0,INDEX($E168:$M168,0,AJ$229),(INDEX($E168:$M168,0,AJ$231+1)-INDEX($E168:$M168,0,AJ$231))/(INDEX($E$160:$M$160,0,AJ$231+1)-INDEX($E$160:$M$160,0,AJ$231))+AH240)))</f>
        <v>0.47462182737969905</v>
      </c>
      <c r="AJ240" s="3" cm="1">
        <f t="array" ref="AJ240">IF(AK$231=-1,AK240,IF(AK$231=99,AI240,IF(AK$231=0,INDEX($E168:$M168,0,AK$229),(INDEX($E168:$M168,0,AK$231+1)-INDEX($E168:$M168,0,AK$231))/(INDEX($E$160:$M$160,0,AK$231+1)-INDEX($E$160:$M$160,0,AK$231))+AI240)))</f>
        <v>0.45064172703804273</v>
      </c>
      <c r="AK240" s="3" cm="1">
        <f t="array" ref="AK240">IF(AL$231=-1,AL240,IF(AL$231=99,AJ240,IF(AL$231=0,INDEX($E168:$M168,0,AL$229),(INDEX($E168:$M168,0,AL$231+1)-INDEX($E168:$M168,0,AL$231))/(INDEX($E$160:$M$160,0,AL$231+1)-INDEX($E$160:$M$160,0,AL$231))+AJ240)))</f>
        <v>0.42666162669638641</v>
      </c>
      <c r="AL240" s="3" cm="1">
        <f t="array" ref="AL240">IF(AM$231=-1,AM240,IF(AM$231=99,AK240,IF(AM$231=0,INDEX($E168:$M168,0,AM$229),(INDEX($E168:$M168,0,AM$231+1)-INDEX($E168:$M168,0,AM$231))/(INDEX($E$160:$M$160,0,AM$231+1)-INDEX($E$160:$M$160,0,AM$231))+AK240)))</f>
        <v>0.61850242942963696</v>
      </c>
      <c r="AM240" s="3" cm="1">
        <f t="array" ref="AM240">IF(AN$231=-1,AN240,IF(AN$231=99,AL240,IF(AN$231=0,INDEX($E168:$M168,0,AN$229),(INDEX($E168:$M168,0,AN$231+1)-INDEX($E168:$M168,0,AN$231))/(INDEX($E$160:$M$160,0,AN$231+1)-INDEX($E$160:$M$160,0,AN$231))+AL240)))</f>
        <v>0.63688726621526692</v>
      </c>
      <c r="AN240" s="3" cm="1">
        <f t="array" ref="AN240">IF(AO$231=-1,AO240,IF(AO$231=99,AM240,IF(AO$231=0,INDEX($E168:$M168,0,AO$229),(INDEX($E168:$M168,0,AO$231+1)-INDEX($E168:$M168,0,AO$231))/(INDEX($E$160:$M$160,0,AO$231+1)-INDEX($E$160:$M$160,0,AO$231))+AM240)))</f>
        <v>0.65527210300089689</v>
      </c>
      <c r="AO240" s="3" cm="1">
        <f t="array" ref="AO240">IF(AP$231=-1,AP240,IF(AP$231=99,AN240,IF(AP$231=0,INDEX($E168:$M168,0,AP$229),(INDEX($E168:$M168,0,AP$231+1)-INDEX($E168:$M168,0,AP$231))/(INDEX($E$160:$M$160,0,AP$231+1)-INDEX($E$160:$M$160,0,AP$231))+AN240)))</f>
        <v>0.67365693978652685</v>
      </c>
      <c r="AP240" s="3" cm="1">
        <f t="array" ref="AP240">IF(AQ$231=-1,AQ240,IF(AQ$231=99,AO240,IF(AQ$231=0,INDEX($E168:$M168,0,AQ$229),(INDEX($E168:$M168,0,AQ$231+1)-INDEX($E168:$M168,0,AQ$231))/(INDEX($E$160:$M$160,0,AQ$231+1)-INDEX($E$160:$M$160,0,AQ$231))+AO240)))</f>
        <v>0.69204177657215682</v>
      </c>
      <c r="AQ240" s="3" cm="1">
        <f t="array" ref="AQ240">IF(AR$231=-1,AR240,IF(AR$231=99,AP240,IF(AR$231=0,INDEX($E168:$M168,0,AR$229),(INDEX($E168:$M168,0,AR$231+1)-INDEX($E168:$M168,0,AR$231))/(INDEX($E$160:$M$160,0,AR$231+1)-INDEX($E$160:$M$160,0,AR$231))+AP240)))</f>
        <v>0.71042661335778678</v>
      </c>
      <c r="AR240" s="3" cm="1">
        <f t="array" ref="AR240">IF(AS$231=-1,AS240,IF(AS$231=99,AQ240,IF(AS$231=0,INDEX($E168:$M168,0,AS$229),(INDEX($E168:$M168,0,AS$231+1)-INDEX($E168:$M168,0,AS$231))/(INDEX($E$160:$M$160,0,AS$231+1)-INDEX($E$160:$M$160,0,AS$231))+AQ240)))</f>
        <v>0.72881145014341675</v>
      </c>
      <c r="AS240" s="3" cm="1">
        <f t="array" ref="AS240">IF(AT$231=-1,AT240,IF(AT$231=99,AR240,IF(AT$231=0,INDEX($E168:$M168,0,AT$229),(INDEX($E168:$M168,0,AT$231+1)-INDEX($E168:$M168,0,AT$231))/(INDEX($E$160:$M$160,0,AT$231+1)-INDEX($E$160:$M$160,0,AT$231))+AR240)))</f>
        <v>0.74719628692904672</v>
      </c>
      <c r="AT240" s="3" cm="1">
        <f t="array" ref="AT240">IF(AU$231=-1,AU240,IF(AU$231=99,AS240,IF(AU$231=0,INDEX($E168:$M168,0,AU$229),(INDEX($E168:$M168,0,AU$231+1)-INDEX($E168:$M168,0,AU$231))/(INDEX($E$160:$M$160,0,AU$231+1)-INDEX($E$160:$M$160,0,AU$231))+AS240)))</f>
        <v>0.76558112371467668</v>
      </c>
      <c r="AU240" s="3" cm="1">
        <f t="array" ref="AU240">IF(AV$231=-1,AV240,IF(AV$231=99,AT240,IF(AV$231=0,INDEX($E168:$M168,0,AV$229),(INDEX($E168:$M168,0,AV$231+1)-INDEX($E168:$M168,0,AV$231))/(INDEX($E$160:$M$160,0,AV$231+1)-INDEX($E$160:$M$160,0,AV$231))+AT240)))</f>
        <v>0.78396596050030665</v>
      </c>
      <c r="AV240" s="3" cm="1">
        <f t="array" ref="AV240">IF(AW$231=-1,AW240,IF(AW$231=99,AU240,IF(AW$231=0,INDEX($E168:$M168,0,AW$229),(INDEX($E168:$M168,0,AW$231+1)-INDEX($E168:$M168,0,AW$231))/(INDEX($E$160:$M$160,0,AW$231+1)-INDEX($E$160:$M$160,0,AW$231))+AU240)))</f>
        <v>0.78396596050030642</v>
      </c>
      <c r="AW240" s="3" cm="1">
        <f t="array" ref="AW240">IF(AX$231=-1,AX240,IF(AX$231=99,AV240,IF(AX$231=0,INDEX($E168:$M168,0,AX$229),(INDEX($E168:$M168,0,AX$231+1)-INDEX($E168:$M168,0,AX$231))/(INDEX($E$160:$M$160,0,AX$231+1)-INDEX($E$160:$M$160,0,AX$231))+AV240)))</f>
        <v>0.78396596050030642</v>
      </c>
      <c r="AX240" s="3" cm="1">
        <f t="array" ref="AX240">IF(AY$231=-1,AZ240,IF(AY$231=99,AW240,IF(AY$231=0,INDEX($E168:$M168,0,AY$229),(INDEX($E168:$M168,0,AY$231+1)-INDEX($E168:$M168,0,AY$231))/(INDEX($E$160:$M$160,0,AY$231+1)-INDEX($E$160:$M$160,0,AY$231))+AW240)))</f>
        <v>0.78396596050030642</v>
      </c>
      <c r="AZ240" s="3"/>
      <c r="BA240" s="3"/>
      <c r="BB240" s="3"/>
      <c r="BC240" s="3"/>
      <c r="BD240" s="3"/>
      <c r="BE240" s="3"/>
    </row>
    <row r="241" spans="1:58">
      <c r="B241" s="16"/>
      <c r="C241" s="17"/>
      <c r="E241" s="17"/>
      <c r="F241" s="17"/>
      <c r="G241" s="17"/>
      <c r="H241" s="17"/>
      <c r="I241" s="17"/>
      <c r="J241" s="17"/>
      <c r="K241" s="48"/>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row>
    <row r="242" spans="1:58">
      <c r="B242" s="16"/>
      <c r="C242" s="17"/>
      <c r="E242" s="17"/>
      <c r="F242" s="17"/>
      <c r="G242" s="17"/>
      <c r="H242" s="17"/>
      <c r="I242" s="17"/>
      <c r="J242" s="17"/>
      <c r="K242" s="48"/>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row>
    <row r="243" spans="1:58">
      <c r="B243" s="16"/>
      <c r="C243" s="17"/>
      <c r="E243" s="17"/>
      <c r="F243" s="17"/>
      <c r="G243" s="17"/>
      <c r="H243" s="17"/>
      <c r="I243" s="17"/>
      <c r="J243" s="17"/>
      <c r="K243" s="48"/>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row>
    <row r="244" spans="1:58">
      <c r="B244" s="16"/>
      <c r="C244" s="17"/>
      <c r="E244" s="17"/>
      <c r="F244" s="17"/>
      <c r="G244" s="17"/>
      <c r="H244" s="17"/>
      <c r="I244" s="17"/>
      <c r="J244" s="17"/>
      <c r="K244" s="48"/>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row>
    <row r="245" spans="1:58">
      <c r="B245" s="16"/>
      <c r="C245" s="17"/>
      <c r="E245" s="17"/>
      <c r="F245" s="17"/>
      <c r="G245" s="17"/>
      <c r="H245" s="17"/>
      <c r="I245" s="17"/>
      <c r="J245" s="17"/>
      <c r="K245" s="48"/>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row>
    <row r="246" spans="1:58">
      <c r="B246" s="16"/>
      <c r="C246" s="17"/>
      <c r="E246" s="17"/>
      <c r="F246" s="17"/>
      <c r="G246" s="17"/>
      <c r="H246" s="17"/>
      <c r="I246" s="17"/>
      <c r="J246" s="17"/>
      <c r="K246" s="48"/>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row>
    <row r="247" spans="1:58">
      <c r="B247" s="16"/>
      <c r="C247" s="17"/>
      <c r="E247" s="17"/>
      <c r="F247" s="17"/>
      <c r="G247" s="17"/>
      <c r="H247" s="17"/>
      <c r="I247" s="17"/>
      <c r="J247" s="17"/>
      <c r="K247" s="48"/>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row>
    <row r="248" spans="1:58">
      <c r="A248" t="s">
        <v>16</v>
      </c>
      <c r="L248"/>
      <c r="M248" s="34"/>
    </row>
    <row r="249" spans="1:58">
      <c r="A249" t="s">
        <v>16</v>
      </c>
      <c r="C249">
        <f>C228</f>
        <v>1</v>
      </c>
      <c r="D249">
        <v>2012</v>
      </c>
      <c r="E249">
        <f>E228</f>
        <v>2015</v>
      </c>
      <c r="F249">
        <v>2017</v>
      </c>
      <c r="G249">
        <f>G228</f>
        <v>2020</v>
      </c>
      <c r="H249">
        <f>H228</f>
        <v>2030</v>
      </c>
      <c r="I249">
        <f t="shared" ref="I249:J249" si="619">I228</f>
        <v>2040</v>
      </c>
      <c r="J249">
        <f t="shared" si="619"/>
        <v>2050</v>
      </c>
      <c r="K249">
        <f>J228</f>
        <v>2050</v>
      </c>
      <c r="L249" s="102">
        <f>MATCH(J$259,$D$249:$K$249,$C249)</f>
        <v>1</v>
      </c>
      <c r="M249" s="103">
        <f t="shared" ref="M249:V250" si="620">MATCH(K$232,$D$228:$J$228,$C249)</f>
        <v>1</v>
      </c>
      <c r="N249" s="103">
        <f t="shared" si="620"/>
        <v>1</v>
      </c>
      <c r="O249" s="103">
        <f t="shared" si="620"/>
        <v>2</v>
      </c>
      <c r="P249" s="103">
        <f t="shared" si="620"/>
        <v>2</v>
      </c>
      <c r="Q249" s="103">
        <f t="shared" si="620"/>
        <v>3</v>
      </c>
      <c r="R249" s="103">
        <f t="shared" si="620"/>
        <v>3</v>
      </c>
      <c r="S249" s="103">
        <f t="shared" si="620"/>
        <v>3</v>
      </c>
      <c r="T249" s="103">
        <f t="shared" si="620"/>
        <v>4</v>
      </c>
      <c r="U249" s="103">
        <f t="shared" si="620"/>
        <v>4</v>
      </c>
      <c r="V249" s="103">
        <f t="shared" si="620"/>
        <v>4</v>
      </c>
      <c r="W249" s="103">
        <f t="shared" ref="W249:AF250" si="621">MATCH(U$232,$D$228:$J$228,$C249)</f>
        <v>4</v>
      </c>
      <c r="X249" s="103">
        <f t="shared" si="621"/>
        <v>4</v>
      </c>
      <c r="Y249" s="103">
        <f t="shared" si="621"/>
        <v>4</v>
      </c>
      <c r="Z249" s="103">
        <f t="shared" si="621"/>
        <v>4</v>
      </c>
      <c r="AA249" s="103">
        <f t="shared" si="621"/>
        <v>4</v>
      </c>
      <c r="AB249" s="103">
        <f t="shared" si="621"/>
        <v>4</v>
      </c>
      <c r="AC249" s="103">
        <f t="shared" si="621"/>
        <v>4</v>
      </c>
      <c r="AD249" s="103">
        <f t="shared" si="621"/>
        <v>5</v>
      </c>
      <c r="AE249" s="103">
        <f t="shared" si="621"/>
        <v>5</v>
      </c>
      <c r="AF249" s="103">
        <f t="shared" si="621"/>
        <v>5</v>
      </c>
      <c r="AG249" s="103">
        <f t="shared" ref="AG249:AP250" si="622">MATCH(AE$232,$D$228:$J$228,$C249)</f>
        <v>5</v>
      </c>
      <c r="AH249" s="103">
        <f t="shared" si="622"/>
        <v>5</v>
      </c>
      <c r="AI249" s="103">
        <f t="shared" si="622"/>
        <v>5</v>
      </c>
      <c r="AJ249" s="103">
        <f t="shared" si="622"/>
        <v>5</v>
      </c>
      <c r="AK249" s="103">
        <f t="shared" si="622"/>
        <v>5</v>
      </c>
      <c r="AL249" s="103">
        <f t="shared" si="622"/>
        <v>5</v>
      </c>
      <c r="AM249" s="103">
        <f t="shared" si="622"/>
        <v>5</v>
      </c>
      <c r="AN249" s="103">
        <f t="shared" si="622"/>
        <v>6</v>
      </c>
      <c r="AO249" s="103">
        <f t="shared" si="622"/>
        <v>6</v>
      </c>
      <c r="AP249" s="103">
        <f t="shared" si="622"/>
        <v>6</v>
      </c>
      <c r="AQ249" s="103">
        <f t="shared" ref="AQ249:AR250" si="623">MATCH(AO$232,$D$228:$J$228,$C249)</f>
        <v>6</v>
      </c>
      <c r="AR249" s="103">
        <f t="shared" si="623"/>
        <v>6</v>
      </c>
      <c r="AS249" s="103">
        <f t="shared" ref="AS249:BF250" si="624">MATCH(AQ$259,$D$228:$J$228,$C249)</f>
        <v>6</v>
      </c>
      <c r="AT249" s="103">
        <f t="shared" si="624"/>
        <v>6</v>
      </c>
      <c r="AU249" s="103">
        <f t="shared" si="624"/>
        <v>6</v>
      </c>
      <c r="AV249" s="103">
        <f t="shared" si="624"/>
        <v>6</v>
      </c>
      <c r="AW249" s="103">
        <f t="shared" si="624"/>
        <v>6</v>
      </c>
      <c r="AX249" s="103">
        <f t="shared" si="624"/>
        <v>7</v>
      </c>
      <c r="AY249" s="103">
        <f t="shared" si="624"/>
        <v>7</v>
      </c>
      <c r="AZ249" s="103">
        <f t="shared" si="624"/>
        <v>7</v>
      </c>
      <c r="BA249" s="103">
        <f t="shared" si="624"/>
        <v>7</v>
      </c>
      <c r="BB249" s="103">
        <f t="shared" si="624"/>
        <v>7</v>
      </c>
      <c r="BC249" s="103">
        <f t="shared" si="624"/>
        <v>7</v>
      </c>
      <c r="BD249" s="103">
        <f t="shared" si="624"/>
        <v>7</v>
      </c>
      <c r="BE249" s="103">
        <f t="shared" si="624"/>
        <v>7</v>
      </c>
      <c r="BF249" s="103">
        <f t="shared" si="624"/>
        <v>7</v>
      </c>
    </row>
    <row r="250" spans="1:58">
      <c r="A250" t="s">
        <v>16</v>
      </c>
      <c r="C250">
        <f>C229</f>
        <v>0</v>
      </c>
      <c r="D250">
        <f t="shared" ref="D250:J251" si="625">D229</f>
        <v>2050</v>
      </c>
      <c r="E250">
        <f t="shared" si="625"/>
        <v>2040</v>
      </c>
      <c r="F250">
        <f t="shared" si="625"/>
        <v>2030</v>
      </c>
      <c r="G250">
        <f t="shared" si="625"/>
        <v>2020</v>
      </c>
      <c r="H250">
        <f t="shared" si="625"/>
        <v>2017</v>
      </c>
      <c r="I250">
        <f t="shared" si="625"/>
        <v>2015</v>
      </c>
      <c r="J250">
        <f t="shared" si="625"/>
        <v>2006</v>
      </c>
      <c r="K250">
        <v>2012</v>
      </c>
      <c r="L250" s="34">
        <f>MATCH(J$259,$D$249:$K$249,$C250)</f>
        <v>1</v>
      </c>
      <c r="M250" t="e">
        <f t="shared" si="620"/>
        <v>#N/A</v>
      </c>
      <c r="N250" t="e">
        <f t="shared" si="620"/>
        <v>#N/A</v>
      </c>
      <c r="O250">
        <f t="shared" si="620"/>
        <v>2</v>
      </c>
      <c r="P250" t="e">
        <f t="shared" si="620"/>
        <v>#N/A</v>
      </c>
      <c r="Q250">
        <f t="shared" si="620"/>
        <v>3</v>
      </c>
      <c r="R250" t="e">
        <f t="shared" si="620"/>
        <v>#N/A</v>
      </c>
      <c r="S250" t="e">
        <f t="shared" si="620"/>
        <v>#N/A</v>
      </c>
      <c r="T250">
        <f t="shared" si="620"/>
        <v>4</v>
      </c>
      <c r="U250" t="e">
        <f t="shared" si="620"/>
        <v>#N/A</v>
      </c>
      <c r="V250" t="e">
        <f t="shared" si="620"/>
        <v>#N/A</v>
      </c>
      <c r="W250" t="e">
        <f t="shared" si="621"/>
        <v>#N/A</v>
      </c>
      <c r="X250" t="e">
        <f t="shared" si="621"/>
        <v>#N/A</v>
      </c>
      <c r="Y250" t="e">
        <f t="shared" si="621"/>
        <v>#N/A</v>
      </c>
      <c r="Z250" t="e">
        <f t="shared" si="621"/>
        <v>#N/A</v>
      </c>
      <c r="AA250" t="e">
        <f t="shared" si="621"/>
        <v>#N/A</v>
      </c>
      <c r="AB250" t="e">
        <f t="shared" si="621"/>
        <v>#N/A</v>
      </c>
      <c r="AC250" t="e">
        <f t="shared" si="621"/>
        <v>#N/A</v>
      </c>
      <c r="AD250">
        <f t="shared" si="621"/>
        <v>5</v>
      </c>
      <c r="AE250" t="e">
        <f t="shared" si="621"/>
        <v>#N/A</v>
      </c>
      <c r="AF250" t="e">
        <f t="shared" si="621"/>
        <v>#N/A</v>
      </c>
      <c r="AG250" t="e">
        <f t="shared" si="622"/>
        <v>#N/A</v>
      </c>
      <c r="AH250" t="e">
        <f t="shared" si="622"/>
        <v>#N/A</v>
      </c>
      <c r="AI250" t="e">
        <f t="shared" si="622"/>
        <v>#N/A</v>
      </c>
      <c r="AJ250" t="e">
        <f t="shared" si="622"/>
        <v>#N/A</v>
      </c>
      <c r="AK250" t="e">
        <f t="shared" si="622"/>
        <v>#N/A</v>
      </c>
      <c r="AL250" t="e">
        <f t="shared" si="622"/>
        <v>#N/A</v>
      </c>
      <c r="AM250" t="e">
        <f t="shared" si="622"/>
        <v>#N/A</v>
      </c>
      <c r="AN250">
        <f t="shared" si="622"/>
        <v>6</v>
      </c>
      <c r="AO250" t="e">
        <f t="shared" si="622"/>
        <v>#N/A</v>
      </c>
      <c r="AP250" t="e">
        <f t="shared" si="622"/>
        <v>#N/A</v>
      </c>
      <c r="AQ250" t="e">
        <f t="shared" si="623"/>
        <v>#N/A</v>
      </c>
      <c r="AR250" t="e">
        <f t="shared" si="623"/>
        <v>#N/A</v>
      </c>
      <c r="AS250" t="e">
        <f t="shared" si="624"/>
        <v>#N/A</v>
      </c>
      <c r="AT250" t="e">
        <f t="shared" si="624"/>
        <v>#N/A</v>
      </c>
      <c r="AU250" t="e">
        <f t="shared" si="624"/>
        <v>#N/A</v>
      </c>
      <c r="AV250" t="e">
        <f t="shared" si="624"/>
        <v>#N/A</v>
      </c>
      <c r="AW250" t="e">
        <f t="shared" si="624"/>
        <v>#N/A</v>
      </c>
      <c r="AX250">
        <f t="shared" si="624"/>
        <v>7</v>
      </c>
      <c r="AY250" t="e">
        <f t="shared" si="624"/>
        <v>#N/A</v>
      </c>
      <c r="AZ250" t="e">
        <f t="shared" si="624"/>
        <v>#N/A</v>
      </c>
      <c r="BA250" t="e">
        <f t="shared" si="624"/>
        <v>#N/A</v>
      </c>
      <c r="BB250" t="e">
        <f t="shared" si="624"/>
        <v>#N/A</v>
      </c>
      <c r="BC250" t="e">
        <f t="shared" si="624"/>
        <v>#N/A</v>
      </c>
      <c r="BD250" t="e">
        <f t="shared" si="624"/>
        <v>#N/A</v>
      </c>
      <c r="BE250" t="e">
        <f t="shared" si="624"/>
        <v>#N/A</v>
      </c>
      <c r="BF250" t="e">
        <f t="shared" si="624"/>
        <v>#N/A</v>
      </c>
    </row>
    <row r="251" spans="1:58">
      <c r="A251" t="s">
        <v>16</v>
      </c>
      <c r="C251">
        <f>C230</f>
        <v>-1</v>
      </c>
      <c r="D251">
        <f t="shared" si="625"/>
        <v>0</v>
      </c>
      <c r="E251">
        <f t="shared" si="625"/>
        <v>1</v>
      </c>
      <c r="F251">
        <v>2</v>
      </c>
      <c r="G251">
        <v>3</v>
      </c>
      <c r="H251">
        <v>4</v>
      </c>
      <c r="I251">
        <v>5</v>
      </c>
      <c r="J251">
        <v>6</v>
      </c>
      <c r="K251">
        <v>7</v>
      </c>
      <c r="L251">
        <f>MATCH(J$259,$D$250:$K$250,$C251)</f>
        <v>6</v>
      </c>
      <c r="M251">
        <f t="shared" ref="M251:AR251" si="626">MATCH(K$232,$D$229:$J$229,$C251)</f>
        <v>6</v>
      </c>
      <c r="N251">
        <f t="shared" si="626"/>
        <v>6</v>
      </c>
      <c r="O251">
        <f t="shared" si="626"/>
        <v>6</v>
      </c>
      <c r="P251">
        <f t="shared" si="626"/>
        <v>5</v>
      </c>
      <c r="Q251">
        <f t="shared" si="626"/>
        <v>5</v>
      </c>
      <c r="R251">
        <f t="shared" si="626"/>
        <v>4</v>
      </c>
      <c r="S251">
        <f t="shared" si="626"/>
        <v>4</v>
      </c>
      <c r="T251">
        <f t="shared" si="626"/>
        <v>4</v>
      </c>
      <c r="U251">
        <f t="shared" si="626"/>
        <v>3</v>
      </c>
      <c r="V251">
        <f t="shared" si="626"/>
        <v>3</v>
      </c>
      <c r="W251">
        <f t="shared" si="626"/>
        <v>3</v>
      </c>
      <c r="X251">
        <f t="shared" si="626"/>
        <v>3</v>
      </c>
      <c r="Y251">
        <f t="shared" si="626"/>
        <v>3</v>
      </c>
      <c r="Z251">
        <f t="shared" si="626"/>
        <v>3</v>
      </c>
      <c r="AA251">
        <f t="shared" si="626"/>
        <v>3</v>
      </c>
      <c r="AB251">
        <f t="shared" si="626"/>
        <v>3</v>
      </c>
      <c r="AC251">
        <f t="shared" si="626"/>
        <v>3</v>
      </c>
      <c r="AD251">
        <f t="shared" si="626"/>
        <v>3</v>
      </c>
      <c r="AE251">
        <f t="shared" si="626"/>
        <v>2</v>
      </c>
      <c r="AF251">
        <f t="shared" si="626"/>
        <v>2</v>
      </c>
      <c r="AG251">
        <f t="shared" si="626"/>
        <v>2</v>
      </c>
      <c r="AH251">
        <f t="shared" si="626"/>
        <v>2</v>
      </c>
      <c r="AI251">
        <f t="shared" si="626"/>
        <v>2</v>
      </c>
      <c r="AJ251">
        <f t="shared" si="626"/>
        <v>2</v>
      </c>
      <c r="AK251">
        <f t="shared" si="626"/>
        <v>2</v>
      </c>
      <c r="AL251">
        <f t="shared" si="626"/>
        <v>2</v>
      </c>
      <c r="AM251">
        <f t="shared" si="626"/>
        <v>2</v>
      </c>
      <c r="AN251">
        <f t="shared" si="626"/>
        <v>2</v>
      </c>
      <c r="AO251">
        <f t="shared" si="626"/>
        <v>1</v>
      </c>
      <c r="AP251">
        <f t="shared" si="626"/>
        <v>1</v>
      </c>
      <c r="AQ251">
        <f t="shared" si="626"/>
        <v>1</v>
      </c>
      <c r="AR251">
        <f t="shared" si="626"/>
        <v>1</v>
      </c>
      <c r="AS251">
        <f t="shared" ref="AS251:BF251" si="627">MATCH(AQ$259,$D$229:$J$229,$C251)</f>
        <v>1</v>
      </c>
      <c r="AT251">
        <f t="shared" si="627"/>
        <v>1</v>
      </c>
      <c r="AU251">
        <f t="shared" si="627"/>
        <v>1</v>
      </c>
      <c r="AV251">
        <f t="shared" si="627"/>
        <v>1</v>
      </c>
      <c r="AW251">
        <f t="shared" si="627"/>
        <v>1</v>
      </c>
      <c r="AX251">
        <f t="shared" si="627"/>
        <v>1</v>
      </c>
      <c r="AY251" t="e">
        <f t="shared" si="627"/>
        <v>#N/A</v>
      </c>
      <c r="AZ251" t="e">
        <f t="shared" si="627"/>
        <v>#N/A</v>
      </c>
      <c r="BA251" t="e">
        <f t="shared" si="627"/>
        <v>#N/A</v>
      </c>
      <c r="BB251" t="e">
        <f t="shared" si="627"/>
        <v>#N/A</v>
      </c>
      <c r="BC251" t="e">
        <f t="shared" si="627"/>
        <v>#N/A</v>
      </c>
      <c r="BD251" t="e">
        <f t="shared" si="627"/>
        <v>#N/A</v>
      </c>
      <c r="BE251" t="e">
        <f t="shared" si="627"/>
        <v>#N/A</v>
      </c>
      <c r="BF251" t="e">
        <f t="shared" si="627"/>
        <v>#N/A</v>
      </c>
    </row>
    <row r="252" spans="1:58">
      <c r="A252" t="s">
        <v>16</v>
      </c>
      <c r="L252" s="71">
        <f>IF(ISNA(L249),-1,IF(ISNA(L251),99,IF(ISNA(L250),L249,0)))</f>
        <v>0</v>
      </c>
      <c r="M252" s="71">
        <f>IF(ISNA(M249),-1,IF(ISNA(M251),99,IF(ISNA(M250),M249,0)))</f>
        <v>1</v>
      </c>
      <c r="N252" s="71">
        <f t="shared" ref="N252:BF252" si="628">IF(ISNA(N249),-1,IF(ISNA(N251),99,IF(ISNA(N250),N249,0)))</f>
        <v>1</v>
      </c>
      <c r="O252" s="71">
        <f t="shared" si="628"/>
        <v>0</v>
      </c>
      <c r="P252" s="71">
        <f t="shared" si="628"/>
        <v>2</v>
      </c>
      <c r="Q252" s="71">
        <f t="shared" si="628"/>
        <v>0</v>
      </c>
      <c r="R252" s="71">
        <f t="shared" si="628"/>
        <v>3</v>
      </c>
      <c r="S252" s="71">
        <f t="shared" si="628"/>
        <v>3</v>
      </c>
      <c r="T252" s="71">
        <f t="shared" si="628"/>
        <v>0</v>
      </c>
      <c r="U252" s="71">
        <f t="shared" si="628"/>
        <v>4</v>
      </c>
      <c r="V252" s="71">
        <f t="shared" si="628"/>
        <v>4</v>
      </c>
      <c r="W252" s="71">
        <f t="shared" si="628"/>
        <v>4</v>
      </c>
      <c r="X252" s="71">
        <f t="shared" si="628"/>
        <v>4</v>
      </c>
      <c r="Y252" s="71">
        <f t="shared" si="628"/>
        <v>4</v>
      </c>
      <c r="Z252" s="71">
        <f t="shared" si="628"/>
        <v>4</v>
      </c>
      <c r="AA252" s="71">
        <f t="shared" si="628"/>
        <v>4</v>
      </c>
      <c r="AB252" s="71">
        <f t="shared" si="628"/>
        <v>4</v>
      </c>
      <c r="AC252" s="71">
        <f t="shared" si="628"/>
        <v>4</v>
      </c>
      <c r="AD252" s="71">
        <f t="shared" si="628"/>
        <v>0</v>
      </c>
      <c r="AE252" s="71">
        <f t="shared" si="628"/>
        <v>5</v>
      </c>
      <c r="AF252" s="71">
        <f t="shared" si="628"/>
        <v>5</v>
      </c>
      <c r="AG252" s="71">
        <f t="shared" si="628"/>
        <v>5</v>
      </c>
      <c r="AH252" s="71">
        <f t="shared" si="628"/>
        <v>5</v>
      </c>
      <c r="AI252" s="71">
        <f t="shared" si="628"/>
        <v>5</v>
      </c>
      <c r="AJ252" s="71">
        <f t="shared" si="628"/>
        <v>5</v>
      </c>
      <c r="AK252" s="71">
        <f t="shared" si="628"/>
        <v>5</v>
      </c>
      <c r="AL252" s="71">
        <f t="shared" si="628"/>
        <v>5</v>
      </c>
      <c r="AM252" s="71">
        <f t="shared" si="628"/>
        <v>5</v>
      </c>
      <c r="AN252" s="71">
        <f t="shared" si="628"/>
        <v>0</v>
      </c>
      <c r="AO252" s="71">
        <f t="shared" si="628"/>
        <v>6</v>
      </c>
      <c r="AP252" s="71">
        <f t="shared" si="628"/>
        <v>6</v>
      </c>
      <c r="AQ252" s="71">
        <f t="shared" si="628"/>
        <v>6</v>
      </c>
      <c r="AR252" s="71">
        <f t="shared" si="628"/>
        <v>6</v>
      </c>
      <c r="AS252" s="71">
        <f t="shared" si="628"/>
        <v>6</v>
      </c>
      <c r="AT252" s="71">
        <f t="shared" si="628"/>
        <v>6</v>
      </c>
      <c r="AU252" s="71">
        <f t="shared" si="628"/>
        <v>6</v>
      </c>
      <c r="AV252" s="71">
        <f t="shared" si="628"/>
        <v>6</v>
      </c>
      <c r="AW252" s="71">
        <f t="shared" si="628"/>
        <v>6</v>
      </c>
      <c r="AX252" s="71">
        <f t="shared" si="628"/>
        <v>0</v>
      </c>
      <c r="AY252" s="71">
        <f t="shared" si="628"/>
        <v>99</v>
      </c>
      <c r="AZ252" s="71">
        <f t="shared" si="628"/>
        <v>99</v>
      </c>
      <c r="BA252" s="71">
        <f t="shared" si="628"/>
        <v>99</v>
      </c>
      <c r="BB252" s="71">
        <f t="shared" si="628"/>
        <v>99</v>
      </c>
      <c r="BC252" s="71">
        <f t="shared" si="628"/>
        <v>99</v>
      </c>
      <c r="BD252" s="71">
        <f t="shared" si="628"/>
        <v>99</v>
      </c>
      <c r="BE252" s="71">
        <f t="shared" si="628"/>
        <v>99</v>
      </c>
      <c r="BF252" s="71">
        <f t="shared" si="628"/>
        <v>99</v>
      </c>
    </row>
    <row r="253" spans="1:58">
      <c r="A253" t="s">
        <v>16</v>
      </c>
      <c r="B253" t="s">
        <v>275</v>
      </c>
      <c r="C253" s="3" t="s">
        <v>440</v>
      </c>
      <c r="D253" s="97">
        <f t="shared" ref="D253:E255" si="629">E107/E$111</f>
        <v>1.1549875398385373E-2</v>
      </c>
      <c r="E253" s="97">
        <f t="shared" si="629"/>
        <v>1.0019598628971359E-2</v>
      </c>
      <c r="F253" s="97"/>
      <c r="G253" s="97">
        <f>I107/I$111</f>
        <v>1.0203443025017283E-2</v>
      </c>
      <c r="H253" s="97">
        <f t="shared" ref="H253:J255" si="630">K107/K$111</f>
        <v>8.8898648809151281E-3</v>
      </c>
      <c r="I253" s="97">
        <f t="shared" si="630"/>
        <v>5.8147233997552306E-3</v>
      </c>
      <c r="J253" s="97">
        <f t="shared" si="630"/>
        <v>4.1149161432836225E-3</v>
      </c>
      <c r="K253" s="97">
        <f>M107/M$111</f>
        <v>4.1149161432836225E-3</v>
      </c>
      <c r="L253"/>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row>
    <row r="254" spans="1:58">
      <c r="A254" t="s">
        <v>16</v>
      </c>
      <c r="B254" t="s">
        <v>276</v>
      </c>
      <c r="C254" s="3" t="s">
        <v>440</v>
      </c>
      <c r="D254" s="97">
        <f t="shared" si="629"/>
        <v>0.3844632221246076</v>
      </c>
      <c r="E254" s="97">
        <f t="shared" si="629"/>
        <v>0.36053450857058728</v>
      </c>
      <c r="F254" s="97"/>
      <c r="G254" s="97">
        <f>I108/I$111</f>
        <v>0.40489995485153513</v>
      </c>
      <c r="H254" s="97">
        <f t="shared" si="630"/>
        <v>0.34710602621663111</v>
      </c>
      <c r="I254" s="97">
        <f t="shared" si="630"/>
        <v>0.30641868397220906</v>
      </c>
      <c r="J254" s="97">
        <f t="shared" si="630"/>
        <v>0.2768789751388997</v>
      </c>
      <c r="K254" s="97">
        <f>M108/M$111</f>
        <v>0.2768789751388997</v>
      </c>
      <c r="L25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row>
    <row r="255" spans="1:58">
      <c r="A255" t="s">
        <v>16</v>
      </c>
      <c r="B255" t="s">
        <v>277</v>
      </c>
      <c r="C255" s="3" t="s">
        <v>440</v>
      </c>
      <c r="D255" s="97">
        <f t="shared" si="629"/>
        <v>0.5288514326728635</v>
      </c>
      <c r="E255" s="97">
        <f t="shared" si="629"/>
        <v>0.55481814651556505</v>
      </c>
      <c r="F255" s="97"/>
      <c r="G255" s="97">
        <f>I109/I$111</f>
        <v>0.5129307485850968</v>
      </c>
      <c r="H255" s="97">
        <f t="shared" si="630"/>
        <v>0.5793459741838014</v>
      </c>
      <c r="I255" s="97">
        <f t="shared" si="630"/>
        <v>0.62996263374168471</v>
      </c>
      <c r="J255" s="97">
        <f t="shared" si="630"/>
        <v>0.66666753242215748</v>
      </c>
      <c r="K255" s="97">
        <f>M109/M$111</f>
        <v>0.66666753242215748</v>
      </c>
      <c r="L255"/>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row>
    <row r="256" spans="1:58">
      <c r="A256" t="s">
        <v>16</v>
      </c>
      <c r="B256" t="str">
        <f>B253</f>
        <v>hhd-le</v>
      </c>
      <c r="C256" s="3" t="s">
        <v>439</v>
      </c>
      <c r="D256" s="97">
        <f t="shared" ref="D256:E256" si="631">SUM(E115:E117)/SUM(E$127:E$129)</f>
        <v>0.62362325125617091</v>
      </c>
      <c r="E256" s="97">
        <f t="shared" si="631"/>
        <v>0.58283520392321231</v>
      </c>
      <c r="F256" s="97"/>
      <c r="G256" s="97">
        <f>SUM(I115:I117)/SUM(I$127:I$129)</f>
        <v>0.57353422247513386</v>
      </c>
      <c r="H256" s="97">
        <f>SUM(K115:K117)/SUM(K$127:K$129)</f>
        <v>0.56829075334228629</v>
      </c>
      <c r="I256" s="97">
        <f>SUM(L115:L117)/SUM(L$127:L$129)</f>
        <v>0.48673839570362509</v>
      </c>
      <c r="J256" s="97">
        <f>SUM(M115:M117)/SUM(M$127:M$129)</f>
        <v>0.42735800109174471</v>
      </c>
      <c r="K256" s="97">
        <f>SUM(M115:M117)/SUM(M$127:M$129)</f>
        <v>0.42735800109174471</v>
      </c>
      <c r="L256"/>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row>
    <row r="257" spans="1:56">
      <c r="A257" t="s">
        <v>16</v>
      </c>
      <c r="B257" t="str">
        <f>B254</f>
        <v>hhd-me</v>
      </c>
      <c r="C257" s="3" t="s">
        <v>439</v>
      </c>
      <c r="D257" s="97">
        <f t="shared" ref="D257:E257" si="632">SUM(E119:E121)/SUM(E$127:E$129)</f>
        <v>0.27049531864175524</v>
      </c>
      <c r="E257" s="97">
        <f t="shared" si="632"/>
        <v>0.28312327008832416</v>
      </c>
      <c r="F257" s="97"/>
      <c r="G257" s="97">
        <f>SUM(I119:I121)/SUM(I$127:I$129)</f>
        <v>0.30698116910371603</v>
      </c>
      <c r="H257" s="97">
        <f>SUM(K119:K121)/SUM(K$127:K$129)</f>
        <v>0.30199299025214599</v>
      </c>
      <c r="I257" s="97">
        <f>SUM(L119:L121)/SUM(L$127:L$129)</f>
        <v>0.3527998273310507</v>
      </c>
      <c r="J257" s="97">
        <f>SUM(M119:M121)/SUM(M$127:M$129)</f>
        <v>0.39941133830250736</v>
      </c>
      <c r="K257" s="97">
        <f>SUM(M119:M121)/SUM(M$127:M$129)</f>
        <v>0.39941133830250736</v>
      </c>
      <c r="L257"/>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row>
    <row r="258" spans="1:56">
      <c r="A258" t="s">
        <v>16</v>
      </c>
      <c r="B258" t="str">
        <f>B255</f>
        <v>hhd-he</v>
      </c>
      <c r="C258" s="3" t="s">
        <v>439</v>
      </c>
      <c r="D258" s="97">
        <f t="shared" ref="D258:E258" si="633">SUM(E123:E125)/SUM(E$127:E$129)</f>
        <v>0.1058814301020739</v>
      </c>
      <c r="E258" s="97">
        <f t="shared" si="633"/>
        <v>0.13404152598846353</v>
      </c>
      <c r="F258" s="97"/>
      <c r="G258" s="97">
        <f>SUM(I123:I125)/SUM(I$127:I$129)</f>
        <v>0.11948460842115009</v>
      </c>
      <c r="H258" s="97">
        <f>SUM(K123:K125)/SUM(K$127:K$129)</f>
        <v>0.12971625640556778</v>
      </c>
      <c r="I258" s="97">
        <f>SUM(L123:L125)/SUM(L$127:L$129)</f>
        <v>0.16046177696532421</v>
      </c>
      <c r="J258" s="97">
        <f>SUM(M123:M125)/SUM(M$127:M$129)</f>
        <v>0.17323066060574788</v>
      </c>
      <c r="K258" s="97">
        <f>SUM(M123:M125)/SUM(M$127:M$129)</f>
        <v>0.17323066060574788</v>
      </c>
      <c r="L258"/>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row>
    <row r="259" spans="1:56">
      <c r="A259" t="s">
        <v>16</v>
      </c>
      <c r="G259" s="2" t="s">
        <v>438</v>
      </c>
      <c r="J259">
        <f t="shared" ref="J259:AR259" si="634">J232</f>
        <v>2012</v>
      </c>
      <c r="K259">
        <f t="shared" si="634"/>
        <v>2013</v>
      </c>
      <c r="L259">
        <f t="shared" si="634"/>
        <v>2014</v>
      </c>
      <c r="M259">
        <f t="shared" si="634"/>
        <v>2015</v>
      </c>
      <c r="N259">
        <f t="shared" si="634"/>
        <v>2016</v>
      </c>
      <c r="O259">
        <f t="shared" si="634"/>
        <v>2017</v>
      </c>
      <c r="P259">
        <f t="shared" si="634"/>
        <v>2018</v>
      </c>
      <c r="Q259">
        <f t="shared" si="634"/>
        <v>2019</v>
      </c>
      <c r="R259">
        <f t="shared" si="634"/>
        <v>2020</v>
      </c>
      <c r="S259">
        <f t="shared" si="634"/>
        <v>2021</v>
      </c>
      <c r="T259">
        <f t="shared" si="634"/>
        <v>2022</v>
      </c>
      <c r="U259">
        <f t="shared" si="634"/>
        <v>2023</v>
      </c>
      <c r="V259">
        <f t="shared" si="634"/>
        <v>2024</v>
      </c>
      <c r="W259">
        <f t="shared" si="634"/>
        <v>2025</v>
      </c>
      <c r="X259">
        <f t="shared" si="634"/>
        <v>2026</v>
      </c>
      <c r="Y259">
        <f t="shared" si="634"/>
        <v>2027</v>
      </c>
      <c r="Z259">
        <f t="shared" si="634"/>
        <v>2028</v>
      </c>
      <c r="AA259">
        <f t="shared" si="634"/>
        <v>2029</v>
      </c>
      <c r="AB259">
        <f t="shared" si="634"/>
        <v>2030</v>
      </c>
      <c r="AC259">
        <f t="shared" si="634"/>
        <v>2031</v>
      </c>
      <c r="AD259">
        <f t="shared" si="634"/>
        <v>2032</v>
      </c>
      <c r="AE259">
        <f t="shared" si="634"/>
        <v>2033</v>
      </c>
      <c r="AF259">
        <f t="shared" si="634"/>
        <v>2034</v>
      </c>
      <c r="AG259">
        <f t="shared" si="634"/>
        <v>2035</v>
      </c>
      <c r="AH259">
        <f t="shared" si="634"/>
        <v>2036</v>
      </c>
      <c r="AI259">
        <f t="shared" si="634"/>
        <v>2037</v>
      </c>
      <c r="AJ259">
        <f t="shared" si="634"/>
        <v>2038</v>
      </c>
      <c r="AK259">
        <f t="shared" si="634"/>
        <v>2039</v>
      </c>
      <c r="AL259">
        <f t="shared" si="634"/>
        <v>2040</v>
      </c>
      <c r="AM259">
        <f t="shared" si="634"/>
        <v>2041</v>
      </c>
      <c r="AN259">
        <f t="shared" si="634"/>
        <v>2042</v>
      </c>
      <c r="AO259">
        <f t="shared" si="634"/>
        <v>2043</v>
      </c>
      <c r="AP259">
        <f t="shared" si="634"/>
        <v>2044</v>
      </c>
      <c r="AQ259">
        <f t="shared" si="634"/>
        <v>2045</v>
      </c>
      <c r="AR259">
        <f t="shared" si="634"/>
        <v>2046</v>
      </c>
      <c r="AS259">
        <f>AR259+1</f>
        <v>2047</v>
      </c>
      <c r="AT259">
        <f t="shared" ref="AT259:BB259" si="635">AS259+1</f>
        <v>2048</v>
      </c>
      <c r="AU259">
        <f t="shared" si="635"/>
        <v>2049</v>
      </c>
      <c r="AV259">
        <f t="shared" si="635"/>
        <v>2050</v>
      </c>
      <c r="AW259">
        <f t="shared" si="635"/>
        <v>2051</v>
      </c>
      <c r="AX259">
        <f t="shared" si="635"/>
        <v>2052</v>
      </c>
      <c r="AY259">
        <f t="shared" si="635"/>
        <v>2053</v>
      </c>
      <c r="AZ259">
        <f t="shared" si="635"/>
        <v>2054</v>
      </c>
      <c r="BA259">
        <f t="shared" si="635"/>
        <v>2055</v>
      </c>
      <c r="BB259">
        <f t="shared" si="635"/>
        <v>2056</v>
      </c>
      <c r="BC259">
        <v>2060</v>
      </c>
      <c r="BD259">
        <v>2070</v>
      </c>
    </row>
    <row r="260" spans="1:56">
      <c r="A260" t="s">
        <v>16</v>
      </c>
      <c r="E260" t="s">
        <v>441</v>
      </c>
      <c r="F260" t="s">
        <v>441</v>
      </c>
      <c r="G260" t="s">
        <v>435</v>
      </c>
      <c r="H260" s="3" t="s">
        <v>440</v>
      </c>
      <c r="I260" t="s">
        <v>275</v>
      </c>
      <c r="J260" s="3">
        <f t="shared" ref="J260:J265" si="636">D253</f>
        <v>1.1549875398385373E-2</v>
      </c>
      <c r="K260" s="3" cm="1">
        <f t="array" ref="K260">IF(M$252=-1,L260,IF(M$252=99,J260,IF(M$252=0,INDEX($D253:$K253,0,M$250),(INDEX($D253:$K253,0,M$252+1)-INDEX($D253:$K253,0,M$252))/(INDEX($D$249:$K$249,0,M$252+1)-INDEX($D$249:$K$249,0,M$252))+J260)))</f>
        <v>1.1039783141914035E-2</v>
      </c>
      <c r="L260" s="3" cm="1">
        <f t="array" ref="L260">IF(N$252=-1,M260,IF(N$252=99,K260,IF(N$252=0,INDEX($D253:$K253,0,N$250),(INDEX($D253:$K253,0,N$252+1)-INDEX($D253:$K253,0,N$252))/(INDEX($D$249:$K$249,0,N$252+1)-INDEX($D$249:$K$249,0,N$252))+K260)))</f>
        <v>1.0529690885442698E-2</v>
      </c>
      <c r="M260" s="3" cm="1">
        <f t="array" ref="M260">IF(O$252=-1,N260,IF(O$252=99,L260,IF(O$252=0,INDEX($D253:$K253,0,O$250),(INDEX($D253:$K253,0,O$252+1)-INDEX($D253:$K253,0,O$252))/(INDEX($D$249:$K$249,0,O$252+1)-INDEX($D$249:$K$249,0,O$252))+L260)))</f>
        <v>1.0019598628971359E-2</v>
      </c>
      <c r="N260" s="3" cm="1">
        <f t="array" ref="N260">IF(P$252=-1,O260,IF(P$252=99,M260,IF(P$252=0,INDEX($D253:$K253,0,P$250),(INDEX($D253:$K253,0,P$252+1)-INDEX($D253:$K253,0,P$252))/(INDEX($D$249:$K$249,0,P$252+1)-INDEX($D$249:$K$249,0,P$252))+M260)))</f>
        <v>5.0097993144856794E-3</v>
      </c>
      <c r="O260" s="3" cm="1">
        <f t="array" ref="O260">IF(Q$252=-1,P260,IF(Q$252=99,N260,IF(Q$252=0,INDEX($D253:$K253,0,Q$250),(INDEX($D253:$K253,0,Q$252+1)-INDEX($D253:$K253,0,Q$252))/(INDEX($D$249:$K$249,0,Q$252+1)-INDEX($D$249:$K$249,0,Q$252))+N260)))</f>
        <v>0</v>
      </c>
      <c r="P260" s="3" cm="1">
        <f t="array" ref="P260">IF(R$252=-1,Q260,IF(R$252=99,O260,IF(R$252=0,INDEX($D253:$K253,0,R$250),(INDEX($D253:$K253,0,R$252+1)-INDEX($D253:$K253,0,R$252))/(INDEX($D$249:$K$249,0,R$252+1)-INDEX($D$249:$K$249,0,R$252))+O260)))</f>
        <v>3.4011476750057611E-3</v>
      </c>
      <c r="Q260" s="3" cm="1">
        <f t="array" ref="Q260">IF(S$252=-1,R260,IF(S$252=99,P260,IF(S$252=0,INDEX($D253:$K253,0,S$250),(INDEX($D253:$K253,0,S$252+1)-INDEX($D253:$K253,0,S$252))/(INDEX($D$249:$K$249,0,S$252+1)-INDEX($D$249:$K$249,0,S$252))+P260)))</f>
        <v>6.8022953500115222E-3</v>
      </c>
      <c r="R260" s="3" cm="1">
        <f t="array" ref="R260">IF(T$252=-1,S260,IF(T$252=99,Q260,IF(T$252=0,INDEX($D253:$K253,0,T$250),(INDEX($D253:$K253,0,T$252+1)-INDEX($D253:$K253,0,T$252))/(INDEX($D$249:$K$249,0,T$252+1)-INDEX($D$249:$K$249,0,T$252))+Q260)))</f>
        <v>1.0203443025017283E-2</v>
      </c>
      <c r="S260" s="3" cm="1">
        <f t="array" ref="S260">IF(U$252=-1,T260,IF(U$252=99,R260,IF(U$252=0,INDEX($D253:$K253,0,U$250),(INDEX($D253:$K253,0,U$252+1)-INDEX($D253:$K253,0,U$252))/(INDEX($D$249:$K$249,0,U$252+1)-INDEX($D$249:$K$249,0,U$252))+R260)))</f>
        <v>1.0072085210607068E-2</v>
      </c>
      <c r="T260" s="3" cm="1">
        <f t="array" ref="T260">IF(V$252=-1,U260,IF(V$252=99,S260,IF(V$252=0,INDEX($D253:$K253,0,V$250),(INDEX($D253:$K253,0,V$252+1)-INDEX($D253:$K253,0,V$252))/(INDEX($D$249:$K$249,0,V$252+1)-INDEX($D$249:$K$249,0,V$252))+S260)))</f>
        <v>9.940727396196853E-3</v>
      </c>
      <c r="U260" s="3" cm="1">
        <f t="array" ref="U260">IF(W$252=-1,V260,IF(W$252=99,T260,IF(W$252=0,INDEX($D253:$K253,0,W$250),(INDEX($D253:$K253,0,W$252+1)-INDEX($D253:$K253,0,W$252))/(INDEX($D$249:$K$249,0,W$252+1)-INDEX($D$249:$K$249,0,W$252))+T260)))</f>
        <v>9.809369581786638E-3</v>
      </c>
      <c r="V260" s="3" cm="1">
        <f t="array" ref="V260">IF(X$252=-1,W260,IF(X$252=99,U260,IF(X$252=0,INDEX($D253:$K253,0,X$250),(INDEX($D253:$K253,0,X$252+1)-INDEX($D253:$K253,0,X$252))/(INDEX($D$249:$K$249,0,X$252+1)-INDEX($D$249:$K$249,0,X$252))+U260)))</f>
        <v>9.6780117673764231E-3</v>
      </c>
      <c r="W260" s="3" cm="1">
        <f t="array" ref="W260">IF(Y$252=-1,X260,IF(Y$252=99,V260,IF(Y$252=0,INDEX($D253:$K253,0,Y$250),(INDEX($D253:$K253,0,Y$252+1)-INDEX($D253:$K253,0,Y$252))/(INDEX($D$249:$K$249,0,Y$252+1)-INDEX($D$249:$K$249,0,Y$252))+V260)))</f>
        <v>9.5466539529662081E-3</v>
      </c>
      <c r="X260" s="3" cm="1">
        <f t="array" ref="X260">IF(Z$252=-1,Y260,IF(Z$252=99,W260,IF(Z$252=0,INDEX($D253:$K253,0,Z$250),(INDEX($D253:$K253,0,Z$252+1)-INDEX($D253:$K253,0,Z$252))/(INDEX($D$249:$K$249,0,Z$252+1)-INDEX($D$249:$K$249,0,Z$252))+W260)))</f>
        <v>9.4152961385559931E-3</v>
      </c>
      <c r="Y260" s="3" cm="1">
        <f t="array" ref="Y260">IF(AA$252=-1,Z260,IF(AA$252=99,X260,IF(AA$252=0,INDEX($D253:$K253,0,AA$250),(INDEX($D253:$K253,0,AA$252+1)-INDEX($D253:$K253,0,AA$252))/(INDEX($D$249:$K$249,0,AA$252+1)-INDEX($D$249:$K$249,0,AA$252))+X260)))</f>
        <v>9.2839383241457782E-3</v>
      </c>
      <c r="Z260" s="3" cm="1">
        <f t="array" ref="Z260">IF(AB$252=-1,AA260,IF(AB$252=99,Y260,IF(AB$252=0,INDEX($D253:$K253,0,AB$250),(INDEX($D253:$K253,0,AB$252+1)-INDEX($D253:$K253,0,AB$252))/(INDEX($D$249:$K$249,0,AB$252+1)-INDEX($D$249:$K$249,0,AB$252))+Y260)))</f>
        <v>9.1525805097355632E-3</v>
      </c>
      <c r="AA260" s="3" cm="1">
        <f t="array" ref="AA260">IF(AC$252=-1,AB260,IF(AC$252=99,Z260,IF(AC$252=0,INDEX($D253:$K253,0,AC$250),(INDEX($D253:$K253,0,AC$252+1)-INDEX($D253:$K253,0,AC$252))/(INDEX($D$249:$K$249,0,AC$252+1)-INDEX($D$249:$K$249,0,AC$252))+Z260)))</f>
        <v>9.0212226953253483E-3</v>
      </c>
      <c r="AB260" s="3" cm="1">
        <f t="array" ref="AB260">IF(AD$252=-1,AC260,IF(AD$252=99,AA260,IF(AD$252=0,INDEX($D253:$K253,0,AD$250),(INDEX($D253:$K253,0,AD$252+1)-INDEX($D253:$K253,0,AD$252))/(INDEX($D$249:$K$249,0,AD$252+1)-INDEX($D$249:$K$249,0,AD$252))+AA260)))</f>
        <v>8.8898648809151281E-3</v>
      </c>
      <c r="AC260" s="3" cm="1">
        <f t="array" ref="AC260">IF(AE$252=-1,AD260,IF(AE$252=99,AB260,IF(AE$252=0,INDEX($D253:$K253,0,AE$250),(INDEX($D253:$K253,0,AE$252+1)-INDEX($D253:$K253,0,AE$252))/(INDEX($D$249:$K$249,0,AE$252+1)-INDEX($D$249:$K$249,0,AE$252))+AB260)))</f>
        <v>8.5823507327991381E-3</v>
      </c>
      <c r="AD260" s="3" cm="1">
        <f t="array" ref="AD260">IF(AF$252=-1,AE260,IF(AF$252=99,AC260,IF(AF$252=0,INDEX($D253:$K253,0,AF$250),(INDEX($D253:$K253,0,AF$252+1)-INDEX($D253:$K253,0,AF$252))/(INDEX($D$249:$K$249,0,AF$252+1)-INDEX($D$249:$K$249,0,AF$252))+AC260)))</f>
        <v>8.2748365846831481E-3</v>
      </c>
      <c r="AE260" s="3" cm="1">
        <f t="array" ref="AE260">IF(AG$252=-1,AF260,IF(AG$252=99,AD260,IF(AG$252=0,INDEX($D253:$K253,0,AG$250),(INDEX($D253:$K253,0,AG$252+1)-INDEX($D253:$K253,0,AG$252))/(INDEX($D$249:$K$249,0,AG$252+1)-INDEX($D$249:$K$249,0,AG$252))+AD260)))</f>
        <v>7.9673224365671581E-3</v>
      </c>
      <c r="AF260" s="3" cm="1">
        <f t="array" ref="AF260">IF(AH$252=-1,AG260,IF(AH$252=99,AE260,IF(AH$252=0,INDEX($D253:$K253,0,AH$250),(INDEX($D253:$K253,0,AH$252+1)-INDEX($D253:$K253,0,AH$252))/(INDEX($D$249:$K$249,0,AH$252+1)-INDEX($D$249:$K$249,0,AH$252))+AE260)))</f>
        <v>7.6598082884511681E-3</v>
      </c>
      <c r="AG260" s="3" cm="1">
        <f t="array" ref="AG260">IF(AI$252=-1,AH260,IF(AI$252=99,AF260,IF(AI$252=0,INDEX($D253:$K253,0,AI$250),(INDEX($D253:$K253,0,AI$252+1)-INDEX($D253:$K253,0,AI$252))/(INDEX($D$249:$K$249,0,AI$252+1)-INDEX($D$249:$K$249,0,AI$252))+AF260)))</f>
        <v>7.352294140335178E-3</v>
      </c>
      <c r="AH260" s="3" cm="1">
        <f t="array" ref="AH260">IF(AJ$252=-1,AI260,IF(AJ$252=99,AG260,IF(AJ$252=0,INDEX($D253:$K253,0,AJ$250),(INDEX($D253:$K253,0,AJ$252+1)-INDEX($D253:$K253,0,AJ$252))/(INDEX($D$249:$K$249,0,AJ$252+1)-INDEX($D$249:$K$249,0,AJ$252))+AG260)))</f>
        <v>7.044779992219188E-3</v>
      </c>
      <c r="AI260" s="3" cm="1">
        <f t="array" ref="AI260">IF(AK$252=-1,AJ260,IF(AK$252=99,AH260,IF(AK$252=0,INDEX($D253:$K253,0,AK$250),(INDEX($D253:$K253,0,AK$252+1)-INDEX($D253:$K253,0,AK$252))/(INDEX($D$249:$K$249,0,AK$252+1)-INDEX($D$249:$K$249,0,AK$252))+AH260)))</f>
        <v>6.737265844103198E-3</v>
      </c>
      <c r="AJ260" s="3" cm="1">
        <f t="array" ref="AJ260">IF(AL$252=-1,AK260,IF(AL$252=99,AI260,IF(AL$252=0,INDEX($D253:$K253,0,AL$250),(INDEX($D253:$K253,0,AL$252+1)-INDEX($D253:$K253,0,AL$252))/(INDEX($D$249:$K$249,0,AL$252+1)-INDEX($D$249:$K$249,0,AL$252))+AI260)))</f>
        <v>6.429751695987208E-3</v>
      </c>
      <c r="AK260" s="3" cm="1">
        <f t="array" ref="AK260">IF(AM$252=-1,AL260,IF(AM$252=99,AJ260,IF(AM$252=0,INDEX($D253:$K253,0,AM$250),(INDEX($D253:$K253,0,AM$252+1)-INDEX($D253:$K253,0,AM$252))/(INDEX($D$249:$K$249,0,AM$252+1)-INDEX($D$249:$K$249,0,AM$252))+AJ260)))</f>
        <v>6.122237547871218E-3</v>
      </c>
      <c r="AL260" s="3" cm="1">
        <f t="array" ref="AL260">IF(AN$252=-1,AM260,IF(AN$252=99,AK260,IF(AN$252=0,INDEX($D253:$K253,0,AN$250),(INDEX($D253:$K253,0,AN$252+1)-INDEX($D253:$K253,0,AN$252))/(INDEX($D$249:$K$249,0,AN$252+1)-INDEX($D$249:$K$249,0,AN$252))+AK260)))</f>
        <v>5.8147233997552306E-3</v>
      </c>
      <c r="AM260" s="3" cm="1">
        <f t="array" ref="AM260">IF(AO$252=-1,AN260,IF(AO$252=99,AL260,IF(AO$252=0,INDEX($D253:$K253,0,AO$250),(INDEX($D253:$K253,0,AO$252+1)-INDEX($D253:$K253,0,AO$252))/(INDEX($D$249:$K$249,0,AO$252+1)-INDEX($D$249:$K$249,0,AO$252))+AL260)))</f>
        <v>5.64474267410807E-3</v>
      </c>
      <c r="AN260" s="3" cm="1">
        <f t="array" ref="AN260">IF(AP$252=-1,AO260,IF(AP$252=99,AM260,IF(AP$252=0,INDEX($D253:$K253,0,AP$250),(INDEX($D253:$K253,0,AP$252+1)-INDEX($D253:$K253,0,AP$252))/(INDEX($D$249:$K$249,0,AP$252+1)-INDEX($D$249:$K$249,0,AP$252))+AM260)))</f>
        <v>5.4747619484609095E-3</v>
      </c>
      <c r="AO260" s="3" cm="1">
        <f t="array" ref="AO260">IF(AQ$252=-1,AP260,IF(AQ$252=99,AN260,IF(AQ$252=0,INDEX($D253:$K253,0,AQ$250),(INDEX($D253:$K253,0,AQ$252+1)-INDEX($D253:$K253,0,AQ$252))/(INDEX($D$249:$K$249,0,AQ$252+1)-INDEX($D$249:$K$249,0,AQ$252))+AN260)))</f>
        <v>5.304781222813749E-3</v>
      </c>
      <c r="AP260" s="3" cm="1">
        <f t="array" ref="AP260">IF(AR$252=-1,AQ260,IF(AR$252=99,AO260,IF(AR$252=0,INDEX($D253:$K253,0,AR$250),(INDEX($D253:$K253,0,AR$252+1)-INDEX($D253:$K253,0,AR$252))/(INDEX($D$249:$K$249,0,AR$252+1)-INDEX($D$249:$K$249,0,AR$252))+AO260)))</f>
        <v>5.1348004971665884E-3</v>
      </c>
      <c r="AQ260" s="3" cm="1">
        <f t="array" ref="AQ260">IF(AS$252=-1,AR260,IF(AS$252=99,AP260,IF(AS$252=0,INDEX($D253:$K253,0,AS$250),(INDEX($D253:$K253,0,AS$252+1)-INDEX($D253:$K253,0,AS$252))/(INDEX($D$249:$K$249,0,AS$252+1)-INDEX($D$249:$K$249,0,AS$252))+AP260)))</f>
        <v>4.9648197715194279E-3</v>
      </c>
      <c r="AR260" s="3" cm="1">
        <f t="array" ref="AR260">IF(AT$252=-1,AW260,IF(AT$252=99,AQ260,IF(AT$252=0,INDEX($D253:$K253,0,AT$250),(INDEX($D253:$K253,0,AT$252+1)-INDEX($D253:$K253,0,AT$252))/(INDEX($D$249:$K$249,0,AT$252+1)-INDEX($D$249:$K$249,0,AT$252))+AQ260)))</f>
        <v>4.7948390458722673E-3</v>
      </c>
      <c r="AS260" s="3" cm="1">
        <f t="array" ref="AS260">IF(AU$252=-1,AX260,IF(AU$252=99,AR260,IF(AU$252=0,INDEX($D253:$K253,0,AU$250),(INDEX($D253:$K253,0,AU$252+1)-INDEX($D253:$K253,0,AU$252))/(INDEX($D$249:$K$249,0,AU$252+1)-INDEX($D$249:$K$249,0,AU$252))+AR260)))</f>
        <v>4.6248583202251068E-3</v>
      </c>
      <c r="AT260" s="3" cm="1">
        <f t="array" ref="AT260">IF(AV$252=-1,AY260,IF(AV$252=99,AS260,IF(AV$252=0,INDEX($D253:$K253,0,AV$250),(INDEX($D253:$K253,0,AV$252+1)-INDEX($D253:$K253,0,AV$252))/(INDEX($D$249:$K$249,0,AV$252+1)-INDEX($D$249:$K$249,0,AV$252))+AS260)))</f>
        <v>4.4548775945779462E-3</v>
      </c>
      <c r="AU260" s="3" cm="1">
        <f t="array" ref="AU260">IF(AW$252=-1,AZ260,IF(AW$252=99,AT260,IF(AW$252=0,INDEX($D253:$K253,0,AW$250),(INDEX($D253:$K253,0,AW$252+1)-INDEX($D253:$K253,0,AW$252))/(INDEX($D$249:$K$249,0,AW$252+1)-INDEX($D$249:$K$249,0,AW$252))+AT260)))</f>
        <v>4.2848968689307857E-3</v>
      </c>
      <c r="AV260" s="3" cm="1">
        <f t="array" ref="AV260">IF(AX$252=-1,BA260,IF(AX$252=99,AU260,IF(AX$252=0,INDEX($D253:$K253,0,AX$250),(INDEX($D253:$K253,0,AX$252+1)-INDEX($D253:$K253,0,AX$252))/(INDEX($D$249:$K$249,0,AX$252+1)-INDEX($D$249:$K$249,0,AX$252))+AU260)))</f>
        <v>4.1149161432836225E-3</v>
      </c>
      <c r="AW260" s="3" cm="1">
        <f t="array" ref="AW260">IF(AY$252=-1,BB260,IF(AY$252=99,AV260,IF(AY$252=0,INDEX($D253:$K253,0,AY$250),(INDEX($D253:$K253,0,AY$252+1)-INDEX($D253:$K253,0,AY$252))/(INDEX($D$249:$K$249,0,AY$252+1)-INDEX($D$249:$K$249,0,AY$252))+AV260)))</f>
        <v>4.1149161432836225E-3</v>
      </c>
      <c r="AX260" s="3" cm="1">
        <f t="array" ref="AX260">IF(AV$252=-1,AZ260,IF(AV$252=99,AW260,IF(AV$252=0,INDEX($D253:$K253,0,AV$250),(INDEX($D253:$K253,0,AV$252+1)-INDEX($D253:$K253,0,AV$252))/(INDEX($D$249:$K$249,0,AV$252+1)-INDEX($D$249:$K$249,0,AV$252))+AW260)))</f>
        <v>3.944935417636462E-3</v>
      </c>
      <c r="AY260" s="3" cm="1">
        <f t="array" ref="AY260">IF(AW$252=-1,BA260,IF(AW$252=99,AX260,IF(AW$252=0,INDEX($D253:$K253,0,AW$250),(INDEX($D253:$K253,0,AW$252+1)-INDEX($D253:$K253,0,AW$252))/(INDEX($D$249:$K$249,0,AW$252+1)-INDEX($D$249:$K$249,0,AW$252))+AX260)))</f>
        <v>3.774954691989301E-3</v>
      </c>
      <c r="AZ260" s="3" cm="1">
        <f t="array" ref="AZ260">IF(AX$252=-1,BB260,IF(AX$252=99,AY260,IF(AX$252=0,INDEX($D253:$K253,0,AX$250),(INDEX($D253:$K253,0,AX$252+1)-INDEX($D253:$K253,0,AX$252))/(INDEX($D$249:$K$249,0,AX$252+1)-INDEX($D$249:$K$249,0,AX$252))+AY260)))</f>
        <v>4.1149161432836225E-3</v>
      </c>
      <c r="BA260" s="3" cm="1">
        <f t="array" ref="BA260">IF(AY$252=-1,BC260,IF(AY$252=99,AZ260,IF(AY$252=0,INDEX($D253:$K253,0,AY$250),(INDEX($D253:$K253,0,AY$252+1)-INDEX($D253:$K253,0,AY$252))/(INDEX($D$249:$K$249,0,AY$252+1)-INDEX($D$249:$K$249,0,AY$252))+AZ260)))</f>
        <v>4.1149161432836225E-3</v>
      </c>
      <c r="BB260" s="3" cm="1">
        <f t="array" ref="BB260">IF(AZ$252=-1,BD260,IF(AZ$252=99,BA260,IF(AZ$252=0,INDEX($D253:$K253,0,AZ$250),(INDEX($D253:$K253,0,AZ$252+1)-INDEX($D253:$K253,0,AZ$252))/(INDEX($D$249:$K$249,0,AZ$252+1)-INDEX($D$249:$K$249,0,AZ$252))+BA260)))</f>
        <v>4.1149161432836225E-3</v>
      </c>
      <c r="BC260" s="3" cm="1">
        <f t="array" ref="BC260">IF(BA$252=-1,BE260,IF(BA$252=99,BB260,IF(BA$252=0,INDEX($D253:$K253,0,BA$250),(INDEX($D253:$K253,0,BA$252+1)-INDEX($D253:$K253,0,BA$252))/(INDEX($D$249:$K$249,0,BA$252+1)-INDEX($D$249:$K$249,0,BA$252))+BB260)))</f>
        <v>4.1149161432836225E-3</v>
      </c>
      <c r="BD260" s="3" cm="1">
        <f t="array" ref="BD260">IF(BB$252=-1,BF260,IF(BB$252=99,BC260,IF(BB$252=0,INDEX($D253:$K253,0,BB$250),(INDEX($D253:$K253,0,BB$252+1)-INDEX($D253:$K253,0,BB$252))/(INDEX($D$249:$K$249,0,BB$252+1)-INDEX($D$249:$K$249,0,BB$252))+BC260)))</f>
        <v>4.1149161432836225E-3</v>
      </c>
    </row>
    <row r="261" spans="1:56">
      <c r="A261" t="s">
        <v>16</v>
      </c>
      <c r="E261" t="s">
        <v>441</v>
      </c>
      <c r="F261" t="s">
        <v>441</v>
      </c>
      <c r="G261" t="s">
        <v>436</v>
      </c>
      <c r="H261" s="3" t="s">
        <v>440</v>
      </c>
      <c r="I261" t="s">
        <v>276</v>
      </c>
      <c r="J261" s="3">
        <f t="shared" si="636"/>
        <v>0.3844632221246076</v>
      </c>
      <c r="K261" s="3" cm="1">
        <f t="array" ref="K261">IF(M$252=-1,L261,IF(M$252=99,J261,IF(M$252=0,INDEX($D254:$K254,0,M$250),(INDEX($D254:$K254,0,M$252+1)-INDEX($D254:$K254,0,M$252))/(INDEX($D$249:$K$249,0,M$252+1)-INDEX($D$249:$K$249,0,M$252))+J261)))</f>
        <v>0.37648698427326749</v>
      </c>
      <c r="L261" s="3" cm="1">
        <f t="array" ref="L261">IF(N$252=-1,M261,IF(N$252=99,K261,IF(N$252=0,INDEX($D254:$K254,0,N$250),(INDEX($D254:$K254,0,N$252+1)-INDEX($D254:$K254,0,N$252))/(INDEX($D$249:$K$249,0,N$252+1)-INDEX($D$249:$K$249,0,N$252))+K261)))</f>
        <v>0.36851074642192738</v>
      </c>
      <c r="M261" s="3" cm="1">
        <f t="array" ref="M261">IF(O$252=-1,N261,IF(O$252=99,L261,IF(O$252=0,INDEX($D254:$K254,0,O$250),(INDEX($D254:$K254,0,O$252+1)-INDEX($D254:$K254,0,O$252))/(INDEX($D$249:$K$249,0,O$252+1)-INDEX($D$249:$K$249,0,O$252))+L261)))</f>
        <v>0.36053450857058728</v>
      </c>
      <c r="N261" s="3" cm="1">
        <f t="array" ref="N261">IF(P$252=-1,O261,IF(P$252=99,M261,IF(P$252=0,INDEX($D254:$K254,0,P$250),(INDEX($D254:$K254,0,P$252+1)-INDEX($D254:$K254,0,P$252))/(INDEX($D$249:$K$249,0,P$252+1)-INDEX($D$249:$K$249,0,P$252))+M261)))</f>
        <v>0.18026725428529364</v>
      </c>
      <c r="O261" s="3" cm="1">
        <f t="array" ref="O261">IF(Q$252=-1,P261,IF(Q$252=99,N261,IF(Q$252=0,INDEX($D254:$K254,0,Q$250),(INDEX($D254:$K254,0,Q$252+1)-INDEX($D254:$K254,0,Q$252))/(INDEX($D$249:$K$249,0,Q$252+1)-INDEX($D$249:$K$249,0,Q$252))+N261)))</f>
        <v>0</v>
      </c>
      <c r="P261" s="3" cm="1">
        <f t="array" ref="P261">IF(R$252=-1,Q261,IF(R$252=99,O261,IF(R$252=0,INDEX($D254:$K254,0,R$250),(INDEX($D254:$K254,0,R$252+1)-INDEX($D254:$K254,0,R$252))/(INDEX($D$249:$K$249,0,R$252+1)-INDEX($D$249:$K$249,0,R$252))+O261)))</f>
        <v>0.13496665161717838</v>
      </c>
      <c r="Q261" s="3" cm="1">
        <f t="array" ref="Q261">IF(S$252=-1,R261,IF(S$252=99,P261,IF(S$252=0,INDEX($D254:$K254,0,S$250),(INDEX($D254:$K254,0,S$252+1)-INDEX($D254:$K254,0,S$252))/(INDEX($D$249:$K$249,0,S$252+1)-INDEX($D$249:$K$249,0,S$252))+P261)))</f>
        <v>0.26993330323435677</v>
      </c>
      <c r="R261" s="3" cm="1">
        <f t="array" ref="R261">IF(T$252=-1,S261,IF(T$252=99,Q261,IF(T$252=0,INDEX($D254:$K254,0,T$250),(INDEX($D254:$K254,0,T$252+1)-INDEX($D254:$K254,0,T$252))/(INDEX($D$249:$K$249,0,T$252+1)-INDEX($D$249:$K$249,0,T$252))+Q261)))</f>
        <v>0.40489995485153513</v>
      </c>
      <c r="S261" s="3" cm="1">
        <f t="array" ref="S261">IF(U$252=-1,T261,IF(U$252=99,R261,IF(U$252=0,INDEX($D254:$K254,0,U$250),(INDEX($D254:$K254,0,U$252+1)-INDEX($D254:$K254,0,U$252))/(INDEX($D$249:$K$249,0,U$252+1)-INDEX($D$249:$K$249,0,U$252))+R261)))</f>
        <v>0.39912056198804474</v>
      </c>
      <c r="T261" s="3" cm="1">
        <f t="array" ref="T261">IF(V$252=-1,U261,IF(V$252=99,S261,IF(V$252=0,INDEX($D254:$K254,0,V$250),(INDEX($D254:$K254,0,V$252+1)-INDEX($D254:$K254,0,V$252))/(INDEX($D$249:$K$249,0,V$252+1)-INDEX($D$249:$K$249,0,V$252))+S261)))</f>
        <v>0.39334116912455436</v>
      </c>
      <c r="U261" s="3" cm="1">
        <f t="array" ref="U261">IF(W$252=-1,V261,IF(W$252=99,T261,IF(W$252=0,INDEX($D254:$K254,0,W$250),(INDEX($D254:$K254,0,W$252+1)-INDEX($D254:$K254,0,W$252))/(INDEX($D$249:$K$249,0,W$252+1)-INDEX($D$249:$K$249,0,W$252))+T261)))</f>
        <v>0.38756177626106397</v>
      </c>
      <c r="V261" s="3" cm="1">
        <f t="array" ref="V261">IF(X$252=-1,W261,IF(X$252=99,U261,IF(X$252=0,INDEX($D254:$K254,0,X$250),(INDEX($D254:$K254,0,X$252+1)-INDEX($D254:$K254,0,X$252))/(INDEX($D$249:$K$249,0,X$252+1)-INDEX($D$249:$K$249,0,X$252))+U261)))</f>
        <v>0.38178238339757359</v>
      </c>
      <c r="W261" s="3" cm="1">
        <f t="array" ref="W261">IF(Y$252=-1,X261,IF(Y$252=99,V261,IF(Y$252=0,INDEX($D254:$K254,0,Y$250),(INDEX($D254:$K254,0,Y$252+1)-INDEX($D254:$K254,0,Y$252))/(INDEX($D$249:$K$249,0,Y$252+1)-INDEX($D$249:$K$249,0,Y$252))+V261)))</f>
        <v>0.3760029905340832</v>
      </c>
      <c r="X261" s="3" cm="1">
        <f t="array" ref="X261">IF(Z$252=-1,Y261,IF(Z$252=99,W261,IF(Z$252=0,INDEX($D254:$K254,0,Z$250),(INDEX($D254:$K254,0,Z$252+1)-INDEX($D254:$K254,0,Z$252))/(INDEX($D$249:$K$249,0,Z$252+1)-INDEX($D$249:$K$249,0,Z$252))+W261)))</f>
        <v>0.37022359767059282</v>
      </c>
      <c r="Y261" s="3" cm="1">
        <f t="array" ref="Y261">IF(AA$252=-1,Z261,IF(AA$252=99,X261,IF(AA$252=0,INDEX($D254:$K254,0,AA$250),(INDEX($D254:$K254,0,AA$252+1)-INDEX($D254:$K254,0,AA$252))/(INDEX($D$249:$K$249,0,AA$252+1)-INDEX($D$249:$K$249,0,AA$252))+X261)))</f>
        <v>0.36444420480710243</v>
      </c>
      <c r="Z261" s="3" cm="1">
        <f t="array" ref="Z261">IF(AB$252=-1,AA261,IF(AB$252=99,Y261,IF(AB$252=0,INDEX($D254:$K254,0,AB$250),(INDEX($D254:$K254,0,AB$252+1)-INDEX($D254:$K254,0,AB$252))/(INDEX($D$249:$K$249,0,AB$252+1)-INDEX($D$249:$K$249,0,AB$252))+Y261)))</f>
        <v>0.35866481194361205</v>
      </c>
      <c r="AA261" s="3" cm="1">
        <f t="array" ref="AA261">IF(AC$252=-1,AB261,IF(AC$252=99,Z261,IF(AC$252=0,INDEX($D254:$K254,0,AC$250),(INDEX($D254:$K254,0,AC$252+1)-INDEX($D254:$K254,0,AC$252))/(INDEX($D$249:$K$249,0,AC$252+1)-INDEX($D$249:$K$249,0,AC$252))+Z261)))</f>
        <v>0.35288541908012167</v>
      </c>
      <c r="AB261" s="3" cm="1">
        <f t="array" ref="AB261">IF(AD$252=-1,AC261,IF(AD$252=99,AA261,IF(AD$252=0,INDEX($D254:$K254,0,AD$250),(INDEX($D254:$K254,0,AD$252+1)-INDEX($D254:$K254,0,AD$252))/(INDEX($D$249:$K$249,0,AD$252+1)-INDEX($D$249:$K$249,0,AD$252))+AA261)))</f>
        <v>0.34710602621663111</v>
      </c>
      <c r="AC261" s="3" cm="1">
        <f t="array" ref="AC261">IF(AE$252=-1,AD261,IF(AE$252=99,AB261,IF(AE$252=0,INDEX($D254:$K254,0,AE$250),(INDEX($D254:$K254,0,AE$252+1)-INDEX($D254:$K254,0,AE$252))/(INDEX($D$249:$K$249,0,AE$252+1)-INDEX($D$249:$K$249,0,AE$252))+AB261)))</f>
        <v>0.34303729199218891</v>
      </c>
      <c r="AD261" s="3" cm="1">
        <f t="array" ref="AD261">IF(AF$252=-1,AE261,IF(AF$252=99,AC261,IF(AF$252=0,INDEX($D254:$K254,0,AF$250),(INDEX($D254:$K254,0,AF$252+1)-INDEX($D254:$K254,0,AF$252))/(INDEX($D$249:$K$249,0,AF$252+1)-INDEX($D$249:$K$249,0,AF$252))+AC261)))</f>
        <v>0.3389685577677467</v>
      </c>
      <c r="AE261" s="3" cm="1">
        <f t="array" ref="AE261">IF(AG$252=-1,AF261,IF(AG$252=99,AD261,IF(AG$252=0,INDEX($D254:$K254,0,AG$250),(INDEX($D254:$K254,0,AG$252+1)-INDEX($D254:$K254,0,AG$252))/(INDEX($D$249:$K$249,0,AG$252+1)-INDEX($D$249:$K$249,0,AG$252))+AD261)))</f>
        <v>0.3348998235433045</v>
      </c>
      <c r="AF261" s="3" cm="1">
        <f t="array" ref="AF261">IF(AH$252=-1,AG261,IF(AH$252=99,AE261,IF(AH$252=0,INDEX($D254:$K254,0,AH$250),(INDEX($D254:$K254,0,AH$252+1)-INDEX($D254:$K254,0,AH$252))/(INDEX($D$249:$K$249,0,AH$252+1)-INDEX($D$249:$K$249,0,AH$252))+AE261)))</f>
        <v>0.33083108931886229</v>
      </c>
      <c r="AG261" s="3" cm="1">
        <f t="array" ref="AG261">IF(AI$252=-1,AH261,IF(AI$252=99,AF261,IF(AI$252=0,INDEX($D254:$K254,0,AI$250),(INDEX($D254:$K254,0,AI$252+1)-INDEX($D254:$K254,0,AI$252))/(INDEX($D$249:$K$249,0,AI$252+1)-INDEX($D$249:$K$249,0,AI$252))+AF261)))</f>
        <v>0.32676235509442009</v>
      </c>
      <c r="AH261" s="3" cm="1">
        <f t="array" ref="AH261">IF(AJ$252=-1,AI261,IF(AJ$252=99,AG261,IF(AJ$252=0,INDEX($D254:$K254,0,AJ$250),(INDEX($D254:$K254,0,AJ$252+1)-INDEX($D254:$K254,0,AJ$252))/(INDEX($D$249:$K$249,0,AJ$252+1)-INDEX($D$249:$K$249,0,AJ$252))+AG261)))</f>
        <v>0.32269362086997788</v>
      </c>
      <c r="AI261" s="3" cm="1">
        <f t="array" ref="AI261">IF(AK$252=-1,AJ261,IF(AK$252=99,AH261,IF(AK$252=0,INDEX($D254:$K254,0,AK$250),(INDEX($D254:$K254,0,AK$252+1)-INDEX($D254:$K254,0,AK$252))/(INDEX($D$249:$K$249,0,AK$252+1)-INDEX($D$249:$K$249,0,AK$252))+AH261)))</f>
        <v>0.31862488664553568</v>
      </c>
      <c r="AJ261" s="3" cm="1">
        <f t="array" ref="AJ261">IF(AL$252=-1,AK261,IF(AL$252=99,AI261,IF(AL$252=0,INDEX($D254:$K254,0,AL$250),(INDEX($D254:$K254,0,AL$252+1)-INDEX($D254:$K254,0,AL$252))/(INDEX($D$249:$K$249,0,AL$252+1)-INDEX($D$249:$K$249,0,AL$252))+AI261)))</f>
        <v>0.31455615242109347</v>
      </c>
      <c r="AK261" s="3" cm="1">
        <f t="array" ref="AK261">IF(AM$252=-1,AL261,IF(AM$252=99,AJ261,IF(AM$252=0,INDEX($D254:$K254,0,AM$250),(INDEX($D254:$K254,0,AM$252+1)-INDEX($D254:$K254,0,AM$252))/(INDEX($D$249:$K$249,0,AM$252+1)-INDEX($D$249:$K$249,0,AM$252))+AJ261)))</f>
        <v>0.31048741819665127</v>
      </c>
      <c r="AL261" s="3" cm="1">
        <f t="array" ref="AL261">IF(AN$252=-1,AM261,IF(AN$252=99,AK261,IF(AN$252=0,INDEX($D254:$K254,0,AN$250),(INDEX($D254:$K254,0,AN$252+1)-INDEX($D254:$K254,0,AN$252))/(INDEX($D$249:$K$249,0,AN$252+1)-INDEX($D$249:$K$249,0,AN$252))+AK261)))</f>
        <v>0.30641868397220906</v>
      </c>
      <c r="AM261" s="3" cm="1">
        <f t="array" ref="AM261">IF(AO$252=-1,AN261,IF(AO$252=99,AL261,IF(AO$252=0,INDEX($D254:$K254,0,AO$250),(INDEX($D254:$K254,0,AO$252+1)-INDEX($D254:$K254,0,AO$252))/(INDEX($D$249:$K$249,0,AO$252+1)-INDEX($D$249:$K$249,0,AO$252))+AL261)))</f>
        <v>0.30346471308887812</v>
      </c>
      <c r="AN261" s="3" cm="1">
        <f t="array" ref="AN261">IF(AP$252=-1,AO261,IF(AP$252=99,AM261,IF(AP$252=0,INDEX($D254:$K254,0,AP$250),(INDEX($D254:$K254,0,AP$252+1)-INDEX($D254:$K254,0,AP$252))/(INDEX($D$249:$K$249,0,AP$252+1)-INDEX($D$249:$K$249,0,AP$252))+AM261)))</f>
        <v>0.30051074220554719</v>
      </c>
      <c r="AO261" s="3" cm="1">
        <f t="array" ref="AO261">IF(AQ$252=-1,AP261,IF(AQ$252=99,AN261,IF(AQ$252=0,INDEX($D254:$K254,0,AQ$250),(INDEX($D254:$K254,0,AQ$252+1)-INDEX($D254:$K254,0,AQ$252))/(INDEX($D$249:$K$249,0,AQ$252+1)-INDEX($D$249:$K$249,0,AQ$252))+AN261)))</f>
        <v>0.29755677132221625</v>
      </c>
      <c r="AP261" s="3" cm="1">
        <f t="array" ref="AP261">IF(AR$252=-1,AQ261,IF(AR$252=99,AO261,IF(AR$252=0,INDEX($D254:$K254,0,AR$250),(INDEX($D254:$K254,0,AR$252+1)-INDEX($D254:$K254,0,AR$252))/(INDEX($D$249:$K$249,0,AR$252+1)-INDEX($D$249:$K$249,0,AR$252))+AO261)))</f>
        <v>0.29460280043888531</v>
      </c>
      <c r="AQ261" s="3" cm="1">
        <f t="array" ref="AQ261">IF(AS$252=-1,AR261,IF(AS$252=99,AP261,IF(AS$252=0,INDEX($D254:$K254,0,AS$250),(INDEX($D254:$K254,0,AS$252+1)-INDEX($D254:$K254,0,AS$252))/(INDEX($D$249:$K$249,0,AS$252+1)-INDEX($D$249:$K$249,0,AS$252))+AP261)))</f>
        <v>0.29164882955555438</v>
      </c>
      <c r="AR261" s="3" cm="1">
        <f t="array" ref="AR261">IF(AT$252=-1,AW261,IF(AT$252=99,AQ261,IF(AT$252=0,INDEX($D254:$K254,0,AT$250),(INDEX($D254:$K254,0,AT$252+1)-INDEX($D254:$K254,0,AT$252))/(INDEX($D$249:$K$249,0,AT$252+1)-INDEX($D$249:$K$249,0,AT$252))+AQ261)))</f>
        <v>0.28869485867222344</v>
      </c>
      <c r="AS261" s="3" cm="1">
        <f t="array" ref="AS261">IF(AU$252=-1,AX261,IF(AU$252=99,AR261,IF(AU$252=0,INDEX($D254:$K254,0,AU$250),(INDEX($D254:$K254,0,AU$252+1)-INDEX($D254:$K254,0,AU$252))/(INDEX($D$249:$K$249,0,AU$252+1)-INDEX($D$249:$K$249,0,AU$252))+AR261)))</f>
        <v>0.28574088778889251</v>
      </c>
      <c r="AT261" s="3" cm="1">
        <f t="array" ref="AT261">IF(AV$252=-1,AY261,IF(AV$252=99,AS261,IF(AV$252=0,INDEX($D254:$K254,0,AV$250),(INDEX($D254:$K254,0,AV$252+1)-INDEX($D254:$K254,0,AV$252))/(INDEX($D$249:$K$249,0,AV$252+1)-INDEX($D$249:$K$249,0,AV$252))+AS261)))</f>
        <v>0.28278691690556157</v>
      </c>
      <c r="AU261" s="3" cm="1">
        <f t="array" ref="AU261">IF(AW$252=-1,AZ261,IF(AW$252=99,AT261,IF(AW$252=0,INDEX($D254:$K254,0,AW$250),(INDEX($D254:$K254,0,AW$252+1)-INDEX($D254:$K254,0,AW$252))/(INDEX($D$249:$K$249,0,AW$252+1)-INDEX($D$249:$K$249,0,AW$252))+AT261)))</f>
        <v>0.27983294602223063</v>
      </c>
      <c r="AV261" s="3" cm="1">
        <f t="array" ref="AV261">IF(AX$252=-1,BA261,IF(AX$252=99,AU261,IF(AX$252=0,INDEX($D254:$K254,0,AX$250),(INDEX($D254:$K254,0,AX$252+1)-INDEX($D254:$K254,0,AX$252))/(INDEX($D$249:$K$249,0,AX$252+1)-INDEX($D$249:$K$249,0,AX$252))+AU261)))</f>
        <v>0.2768789751388997</v>
      </c>
      <c r="AW261" s="3" cm="1">
        <f t="array" ref="AW261">IF(AY$252=-1,BB261,IF(AY$252=99,AV261,IF(AY$252=0,INDEX($D254:$K254,0,AY$250),(INDEX($D254:$K254,0,AY$252+1)-INDEX($D254:$K254,0,AY$252))/(INDEX($D$249:$K$249,0,AY$252+1)-INDEX($D$249:$K$249,0,AY$252))+AV261)))</f>
        <v>0.2768789751388997</v>
      </c>
      <c r="AX261" s="3" cm="1">
        <f t="array" ref="AX261">IF(AV$252=-1,AZ261,IF(AV$252=99,AW261,IF(AV$252=0,INDEX($D254:$K254,0,AV$250),(INDEX($D254:$K254,0,AV$252+1)-INDEX($D254:$K254,0,AV$252))/(INDEX($D$249:$K$249,0,AV$252+1)-INDEX($D$249:$K$249,0,AV$252))+AW261)))</f>
        <v>0.27392500425556876</v>
      </c>
      <c r="AY261" s="3" cm="1">
        <f t="array" ref="AY261">IF(AW$252=-1,BA261,IF(AW$252=99,AX261,IF(AW$252=0,INDEX($D254:$K254,0,AW$250),(INDEX($D254:$K254,0,AW$252+1)-INDEX($D254:$K254,0,AW$252))/(INDEX($D$249:$K$249,0,AW$252+1)-INDEX($D$249:$K$249,0,AW$252))+AX261)))</f>
        <v>0.27097103337223782</v>
      </c>
      <c r="AZ261" s="3" cm="1">
        <f t="array" ref="AZ261">IF(AX$252=-1,BB261,IF(AX$252=99,AY261,IF(AX$252=0,INDEX($D254:$K254,0,AX$250),(INDEX($D254:$K254,0,AX$252+1)-INDEX($D254:$K254,0,AX$252))/(INDEX($D$249:$K$249,0,AX$252+1)-INDEX($D$249:$K$249,0,AX$252))+AY261)))</f>
        <v>0.2768789751388997</v>
      </c>
      <c r="BA261" s="3" cm="1">
        <f t="array" ref="BA261">IF(AY$252=-1,BC261,IF(AY$252=99,AZ261,IF(AY$252=0,INDEX($D254:$K254,0,AY$250),(INDEX($D254:$K254,0,AY$252+1)-INDEX($D254:$K254,0,AY$252))/(INDEX($D$249:$K$249,0,AY$252+1)-INDEX($D$249:$K$249,0,AY$252))+AZ261)))</f>
        <v>0.2768789751388997</v>
      </c>
      <c r="BB261" s="3" cm="1">
        <f t="array" ref="BB261">IF(AZ$252=-1,BD261,IF(AZ$252=99,BA261,IF(AZ$252=0,INDEX($D254:$K254,0,AZ$250),(INDEX($D254:$K254,0,AZ$252+1)-INDEX($D254:$K254,0,AZ$252))/(INDEX($D$249:$K$249,0,AZ$252+1)-INDEX($D$249:$K$249,0,AZ$252))+BA261)))</f>
        <v>0.2768789751388997</v>
      </c>
      <c r="BC261" s="3" cm="1">
        <f t="array" ref="BC261">IF(BA$252=-1,BE261,IF(BA$252=99,BB261,IF(BA$252=0,INDEX($D254:$K254,0,BA$250),(INDEX($D254:$K254,0,BA$252+1)-INDEX($D254:$K254,0,BA$252))/(INDEX($D$249:$K$249,0,BA$252+1)-INDEX($D$249:$K$249,0,BA$252))+BB261)))</f>
        <v>0.2768789751388997</v>
      </c>
      <c r="BD261" s="3" cm="1">
        <f t="array" ref="BD261">IF(BB$252=-1,BF261,IF(BB$252=99,BC261,IF(BB$252=0,INDEX($D254:$K254,0,BB$250),(INDEX($D254:$K254,0,BB$252+1)-INDEX($D254:$K254,0,BB$252))/(INDEX($D$249:$K$249,0,BB$252+1)-INDEX($D$249:$K$249,0,BB$252))+BC261)))</f>
        <v>0.2768789751388997</v>
      </c>
    </row>
    <row r="262" spans="1:56">
      <c r="A262" t="s">
        <v>16</v>
      </c>
      <c r="E262" t="s">
        <v>441</v>
      </c>
      <c r="F262" t="s">
        <v>441</v>
      </c>
      <c r="G262" t="s">
        <v>437</v>
      </c>
      <c r="H262" s="3" t="s">
        <v>440</v>
      </c>
      <c r="I262" t="s">
        <v>277</v>
      </c>
      <c r="J262" s="3">
        <f t="shared" si="636"/>
        <v>0.5288514326728635</v>
      </c>
      <c r="K262" s="3" cm="1">
        <f t="array" ref="K262">IF(M$252=-1,L262,IF(M$252=99,J262,IF(M$252=0,INDEX($D255:$K255,0,M$250),(INDEX($D255:$K255,0,M$252+1)-INDEX($D255:$K255,0,M$252))/(INDEX($D$249:$K$249,0,M$252+1)-INDEX($D$249:$K$249,0,M$252))+J262)))</f>
        <v>0.53750700395376405</v>
      </c>
      <c r="L262" s="3" cm="1">
        <f t="array" ref="L262">IF(N$252=-1,M262,IF(N$252=99,K262,IF(N$252=0,INDEX($D255:$K255,0,N$250),(INDEX($D255:$K255,0,N$252+1)-INDEX($D255:$K255,0,N$252))/(INDEX($D$249:$K$249,0,N$252+1)-INDEX($D$249:$K$249,0,N$252))+K262)))</f>
        <v>0.5461625752346646</v>
      </c>
      <c r="M262" s="3" cm="1">
        <f t="array" ref="M262">IF(O$252=-1,N262,IF(O$252=99,L262,IF(O$252=0,INDEX($D255:$K255,0,O$250),(INDEX($D255:$K255,0,O$252+1)-INDEX($D255:$K255,0,O$252))/(INDEX($D$249:$K$249,0,O$252+1)-INDEX($D$249:$K$249,0,O$252))+L262)))</f>
        <v>0.55481814651556505</v>
      </c>
      <c r="N262" s="3" cm="1">
        <f t="array" ref="N262">IF(P$252=-1,O262,IF(P$252=99,M262,IF(P$252=0,INDEX($D255:$K255,0,P$250),(INDEX($D255:$K255,0,P$252+1)-INDEX($D255:$K255,0,P$252))/(INDEX($D$249:$K$249,0,P$252+1)-INDEX($D$249:$K$249,0,P$252))+M262)))</f>
        <v>0.27740907325778252</v>
      </c>
      <c r="O262" s="3" cm="1">
        <f t="array" ref="O262">IF(Q$252=-1,P262,IF(Q$252=99,N262,IF(Q$252=0,INDEX($D255:$K255,0,Q$250),(INDEX($D255:$K255,0,Q$252+1)-INDEX($D255:$K255,0,Q$252))/(INDEX($D$249:$K$249,0,Q$252+1)-INDEX($D$249:$K$249,0,Q$252))+N262)))</f>
        <v>0</v>
      </c>
      <c r="P262" s="3" cm="1">
        <f t="array" ref="P262">IF(R$252=-1,Q262,IF(R$252=99,O262,IF(R$252=0,INDEX($D255:$K255,0,R$250),(INDEX($D255:$K255,0,R$252+1)-INDEX($D255:$K255,0,R$252))/(INDEX($D$249:$K$249,0,R$252+1)-INDEX($D$249:$K$249,0,R$252))+O262)))</f>
        <v>0.17097691619503227</v>
      </c>
      <c r="Q262" s="3" cm="1">
        <f t="array" ref="Q262">IF(S$252=-1,R262,IF(S$252=99,P262,IF(S$252=0,INDEX($D255:$K255,0,S$250),(INDEX($D255:$K255,0,S$252+1)-INDEX($D255:$K255,0,S$252))/(INDEX($D$249:$K$249,0,S$252+1)-INDEX($D$249:$K$249,0,S$252))+P262)))</f>
        <v>0.34195383239006455</v>
      </c>
      <c r="R262" s="3" cm="1">
        <f t="array" ref="R262">IF(T$252=-1,S262,IF(T$252=99,Q262,IF(T$252=0,INDEX($D255:$K255,0,T$250),(INDEX($D255:$K255,0,T$252+1)-INDEX($D255:$K255,0,T$252))/(INDEX($D$249:$K$249,0,T$252+1)-INDEX($D$249:$K$249,0,T$252))+Q262)))</f>
        <v>0.5129307485850968</v>
      </c>
      <c r="S262" s="3" cm="1">
        <f t="array" ref="S262">IF(U$252=-1,T262,IF(U$252=99,R262,IF(U$252=0,INDEX($D255:$K255,0,U$250),(INDEX($D255:$K255,0,U$252+1)-INDEX($D255:$K255,0,U$252))/(INDEX($D$249:$K$249,0,U$252+1)-INDEX($D$249:$K$249,0,U$252))+R262)))</f>
        <v>0.51957227114496729</v>
      </c>
      <c r="T262" s="3" cm="1">
        <f t="array" ref="T262">IF(V$252=-1,U262,IF(V$252=99,S262,IF(V$252=0,INDEX($D255:$K255,0,V$250),(INDEX($D255:$K255,0,V$252+1)-INDEX($D255:$K255,0,V$252))/(INDEX($D$249:$K$249,0,V$252+1)-INDEX($D$249:$K$249,0,V$252))+S262)))</f>
        <v>0.52621379370483778</v>
      </c>
      <c r="U262" s="3" cm="1">
        <f t="array" ref="U262">IF(W$252=-1,V262,IF(W$252=99,T262,IF(W$252=0,INDEX($D255:$K255,0,W$250),(INDEX($D255:$K255,0,W$252+1)-INDEX($D255:$K255,0,W$252))/(INDEX($D$249:$K$249,0,W$252+1)-INDEX($D$249:$K$249,0,W$252))+T262)))</f>
        <v>0.53285531626470828</v>
      </c>
      <c r="V262" s="3" cm="1">
        <f t="array" ref="V262">IF(X$252=-1,W262,IF(X$252=99,U262,IF(X$252=0,INDEX($D255:$K255,0,X$250),(INDEX($D255:$K255,0,X$252+1)-INDEX($D255:$K255,0,X$252))/(INDEX($D$249:$K$249,0,X$252+1)-INDEX($D$249:$K$249,0,X$252))+U262)))</f>
        <v>0.53949683882457877</v>
      </c>
      <c r="W262" s="3" cm="1">
        <f t="array" ref="W262">IF(Y$252=-1,X262,IF(Y$252=99,V262,IF(Y$252=0,INDEX($D255:$K255,0,Y$250),(INDEX($D255:$K255,0,Y$252+1)-INDEX($D255:$K255,0,Y$252))/(INDEX($D$249:$K$249,0,Y$252+1)-INDEX($D$249:$K$249,0,Y$252))+V262)))</f>
        <v>0.54613836138444927</v>
      </c>
      <c r="X262" s="3" cm="1">
        <f t="array" ref="X262">IF(Z$252=-1,Y262,IF(Z$252=99,W262,IF(Z$252=0,INDEX($D255:$K255,0,Z$250),(INDEX($D255:$K255,0,Z$252+1)-INDEX($D255:$K255,0,Z$252))/(INDEX($D$249:$K$249,0,Z$252+1)-INDEX($D$249:$K$249,0,Z$252))+W262)))</f>
        <v>0.55277988394431976</v>
      </c>
      <c r="Y262" s="3" cm="1">
        <f t="array" ref="Y262">IF(AA$252=-1,Z262,IF(AA$252=99,X262,IF(AA$252=0,INDEX($D255:$K255,0,AA$250),(INDEX($D255:$K255,0,AA$252+1)-INDEX($D255:$K255,0,AA$252))/(INDEX($D$249:$K$249,0,AA$252+1)-INDEX($D$249:$K$249,0,AA$252))+X262)))</f>
        <v>0.55942140650419026</v>
      </c>
      <c r="Z262" s="3" cm="1">
        <f t="array" ref="Z262">IF(AB$252=-1,AA262,IF(AB$252=99,Y262,IF(AB$252=0,INDEX($D255:$K255,0,AB$250),(INDEX($D255:$K255,0,AB$252+1)-INDEX($D255:$K255,0,AB$252))/(INDEX($D$249:$K$249,0,AB$252+1)-INDEX($D$249:$K$249,0,AB$252))+Y262)))</f>
        <v>0.56606292906406075</v>
      </c>
      <c r="AA262" s="3" cm="1">
        <f t="array" ref="AA262">IF(AC$252=-1,AB262,IF(AC$252=99,Z262,IF(AC$252=0,INDEX($D255:$K255,0,AC$250),(INDEX($D255:$K255,0,AC$252+1)-INDEX($D255:$K255,0,AC$252))/(INDEX($D$249:$K$249,0,AC$252+1)-INDEX($D$249:$K$249,0,AC$252))+Z262)))</f>
        <v>0.57270445162393124</v>
      </c>
      <c r="AB262" s="3" cm="1">
        <f t="array" ref="AB262">IF(AD$252=-1,AC262,IF(AD$252=99,AA262,IF(AD$252=0,INDEX($D255:$K255,0,AD$250),(INDEX($D255:$K255,0,AD$252+1)-INDEX($D255:$K255,0,AD$252))/(INDEX($D$249:$K$249,0,AD$252+1)-INDEX($D$249:$K$249,0,AD$252))+AA262)))</f>
        <v>0.5793459741838014</v>
      </c>
      <c r="AC262" s="3" cm="1">
        <f t="array" ref="AC262">IF(AE$252=-1,AD262,IF(AE$252=99,AB262,IF(AE$252=0,INDEX($D255:$K255,0,AE$250),(INDEX($D255:$K255,0,AE$252+1)-INDEX($D255:$K255,0,AE$252))/(INDEX($D$249:$K$249,0,AE$252+1)-INDEX($D$249:$K$249,0,AE$252))+AB262)))</f>
        <v>0.58440764013958968</v>
      </c>
      <c r="AD262" s="3" cm="1">
        <f t="array" ref="AD262">IF(AF$252=-1,AE262,IF(AF$252=99,AC262,IF(AF$252=0,INDEX($D255:$K255,0,AF$250),(INDEX($D255:$K255,0,AF$252+1)-INDEX($D255:$K255,0,AF$252))/(INDEX($D$249:$K$249,0,AF$252+1)-INDEX($D$249:$K$249,0,AF$252))+AC262)))</f>
        <v>0.58946930609537795</v>
      </c>
      <c r="AE262" s="3" cm="1">
        <f t="array" ref="AE262">IF(AG$252=-1,AF262,IF(AG$252=99,AD262,IF(AG$252=0,INDEX($D255:$K255,0,AG$250),(INDEX($D255:$K255,0,AG$252+1)-INDEX($D255:$K255,0,AG$252))/(INDEX($D$249:$K$249,0,AG$252+1)-INDEX($D$249:$K$249,0,AG$252))+AD262)))</f>
        <v>0.59453097205116623</v>
      </c>
      <c r="AF262" s="3" cm="1">
        <f t="array" ref="AF262">IF(AH$252=-1,AG262,IF(AH$252=99,AE262,IF(AH$252=0,INDEX($D255:$K255,0,AH$250),(INDEX($D255:$K255,0,AH$252+1)-INDEX($D255:$K255,0,AH$252))/(INDEX($D$249:$K$249,0,AH$252+1)-INDEX($D$249:$K$249,0,AH$252))+AE262)))</f>
        <v>0.5995926380069545</v>
      </c>
      <c r="AG262" s="3" cm="1">
        <f t="array" ref="AG262">IF(AI$252=-1,AH262,IF(AI$252=99,AF262,IF(AI$252=0,INDEX($D255:$K255,0,AI$250),(INDEX($D255:$K255,0,AI$252+1)-INDEX($D255:$K255,0,AI$252))/(INDEX($D$249:$K$249,0,AI$252+1)-INDEX($D$249:$K$249,0,AI$252))+AF262)))</f>
        <v>0.60465430396274278</v>
      </c>
      <c r="AH262" s="3" cm="1">
        <f t="array" ref="AH262">IF(AJ$252=-1,AI262,IF(AJ$252=99,AG262,IF(AJ$252=0,INDEX($D255:$K255,0,AJ$250),(INDEX($D255:$K255,0,AJ$252+1)-INDEX($D255:$K255,0,AJ$252))/(INDEX($D$249:$K$249,0,AJ$252+1)-INDEX($D$249:$K$249,0,AJ$252))+AG262)))</f>
        <v>0.60971596991853105</v>
      </c>
      <c r="AI262" s="3" cm="1">
        <f t="array" ref="AI262">IF(AK$252=-1,AJ262,IF(AK$252=99,AH262,IF(AK$252=0,INDEX($D255:$K255,0,AK$250),(INDEX($D255:$K255,0,AK$252+1)-INDEX($D255:$K255,0,AK$252))/(INDEX($D$249:$K$249,0,AK$252+1)-INDEX($D$249:$K$249,0,AK$252))+AH262)))</f>
        <v>0.61477763587431933</v>
      </c>
      <c r="AJ262" s="3" cm="1">
        <f t="array" ref="AJ262">IF(AL$252=-1,AK262,IF(AL$252=99,AI262,IF(AL$252=0,INDEX($D255:$K255,0,AL$250),(INDEX($D255:$K255,0,AL$252+1)-INDEX($D255:$K255,0,AL$252))/(INDEX($D$249:$K$249,0,AL$252+1)-INDEX($D$249:$K$249,0,AL$252))+AI262)))</f>
        <v>0.6198393018301076</v>
      </c>
      <c r="AK262" s="3" cm="1">
        <f t="array" ref="AK262">IF(AM$252=-1,AL262,IF(AM$252=99,AJ262,IF(AM$252=0,INDEX($D255:$K255,0,AM$250),(INDEX($D255:$K255,0,AM$252+1)-INDEX($D255:$K255,0,AM$252))/(INDEX($D$249:$K$249,0,AM$252+1)-INDEX($D$249:$K$249,0,AM$252))+AJ262)))</f>
        <v>0.62490096778589588</v>
      </c>
      <c r="AL262" s="3" cm="1">
        <f t="array" ref="AL262">IF(AN$252=-1,AM262,IF(AN$252=99,AK262,IF(AN$252=0,INDEX($D255:$K255,0,AN$250),(INDEX($D255:$K255,0,AN$252+1)-INDEX($D255:$K255,0,AN$252))/(INDEX($D$249:$K$249,0,AN$252+1)-INDEX($D$249:$K$249,0,AN$252))+AK262)))</f>
        <v>0.62996263374168471</v>
      </c>
      <c r="AM262" s="3" cm="1">
        <f t="array" ref="AM262">IF(AO$252=-1,AN262,IF(AO$252=99,AL262,IF(AO$252=0,INDEX($D255:$K255,0,AO$250),(INDEX($D255:$K255,0,AO$252+1)-INDEX($D255:$K255,0,AO$252))/(INDEX($D$249:$K$249,0,AO$252+1)-INDEX($D$249:$K$249,0,AO$252))+AL262)))</f>
        <v>0.63363312360973201</v>
      </c>
      <c r="AN262" s="3" cm="1">
        <f t="array" ref="AN262">IF(AP$252=-1,AO262,IF(AP$252=99,AM262,IF(AP$252=0,INDEX($D255:$K255,0,AP$250),(INDEX($D255:$K255,0,AP$252+1)-INDEX($D255:$K255,0,AP$252))/(INDEX($D$249:$K$249,0,AP$252+1)-INDEX($D$249:$K$249,0,AP$252))+AM262)))</f>
        <v>0.63730361347777931</v>
      </c>
      <c r="AO262" s="3" cm="1">
        <f t="array" ref="AO262">IF(AQ$252=-1,AP262,IF(AQ$252=99,AN262,IF(AQ$252=0,INDEX($D255:$K255,0,AQ$250),(INDEX($D255:$K255,0,AQ$252+1)-INDEX($D255:$K255,0,AQ$252))/(INDEX($D$249:$K$249,0,AQ$252+1)-INDEX($D$249:$K$249,0,AQ$252))+AN262)))</f>
        <v>0.64097410334582661</v>
      </c>
      <c r="AP262" s="3" cm="1">
        <f t="array" ref="AP262">IF(AR$252=-1,AQ262,IF(AR$252=99,AO262,IF(AR$252=0,INDEX($D255:$K255,0,AR$250),(INDEX($D255:$K255,0,AR$252+1)-INDEX($D255:$K255,0,AR$252))/(INDEX($D$249:$K$249,0,AR$252+1)-INDEX($D$249:$K$249,0,AR$252))+AO262)))</f>
        <v>0.64464459321387391</v>
      </c>
      <c r="AQ262" s="3" cm="1">
        <f t="array" ref="AQ262">IF(AS$252=-1,AR262,IF(AS$252=99,AP262,IF(AS$252=0,INDEX($D255:$K255,0,AS$250),(INDEX($D255:$K255,0,AS$252+1)-INDEX($D255:$K255,0,AS$252))/(INDEX($D$249:$K$249,0,AS$252+1)-INDEX($D$249:$K$249,0,AS$252))+AP262)))</f>
        <v>0.64831508308192121</v>
      </c>
      <c r="AR262" s="3" cm="1">
        <f t="array" ref="AR262">IF(AT$252=-1,AW262,IF(AT$252=99,AQ262,IF(AT$252=0,INDEX($D255:$K255,0,AT$250),(INDEX($D255:$K255,0,AT$252+1)-INDEX($D255:$K255,0,AT$252))/(INDEX($D$249:$K$249,0,AT$252+1)-INDEX($D$249:$K$249,0,AT$252))+AQ262)))</f>
        <v>0.65198557294996851</v>
      </c>
      <c r="AS262" s="3" cm="1">
        <f t="array" ref="AS262">IF(AU$252=-1,AX262,IF(AU$252=99,AR262,IF(AU$252=0,INDEX($D255:$K255,0,AU$250),(INDEX($D255:$K255,0,AU$252+1)-INDEX($D255:$K255,0,AU$252))/(INDEX($D$249:$K$249,0,AU$252+1)-INDEX($D$249:$K$249,0,AU$252))+AR262)))</f>
        <v>0.65565606281801581</v>
      </c>
      <c r="AT262" s="3" cm="1">
        <f t="array" ref="AT262">IF(AV$252=-1,AY262,IF(AV$252=99,AS262,IF(AV$252=0,INDEX($D255:$K255,0,AV$250),(INDEX($D255:$K255,0,AV$252+1)-INDEX($D255:$K255,0,AV$252))/(INDEX($D$249:$K$249,0,AV$252+1)-INDEX($D$249:$K$249,0,AV$252))+AS262)))</f>
        <v>0.65932655268606311</v>
      </c>
      <c r="AU262" s="3" cm="1">
        <f t="array" ref="AU262">IF(AW$252=-1,AZ262,IF(AW$252=99,AT262,IF(AW$252=0,INDEX($D255:$K255,0,AW$250),(INDEX($D255:$K255,0,AW$252+1)-INDEX($D255:$K255,0,AW$252))/(INDEX($D$249:$K$249,0,AW$252+1)-INDEX($D$249:$K$249,0,AW$252))+AT262)))</f>
        <v>0.66299704255411041</v>
      </c>
      <c r="AV262" s="3" cm="1">
        <f t="array" ref="AV262">IF(AX$252=-1,BA262,IF(AX$252=99,AU262,IF(AX$252=0,INDEX($D255:$K255,0,AX$250),(INDEX($D255:$K255,0,AX$252+1)-INDEX($D255:$K255,0,AX$252))/(INDEX($D$249:$K$249,0,AX$252+1)-INDEX($D$249:$K$249,0,AX$252))+AU262)))</f>
        <v>0.66666753242215748</v>
      </c>
      <c r="AW262" s="3" cm="1">
        <f t="array" ref="AW262">IF(AY$252=-1,BB262,IF(AY$252=99,AV262,IF(AY$252=0,INDEX($D255:$K255,0,AY$250),(INDEX($D255:$K255,0,AY$252+1)-INDEX($D255:$K255,0,AY$252))/(INDEX($D$249:$K$249,0,AY$252+1)-INDEX($D$249:$K$249,0,AY$252))+AV262)))</f>
        <v>0.66666753242215748</v>
      </c>
      <c r="AX262" s="3" cm="1">
        <f t="array" ref="AX262">IF(AV$252=-1,AZ262,IF(AV$252=99,AW262,IF(AV$252=0,INDEX($D255:$K255,0,AV$250),(INDEX($D255:$K255,0,AV$252+1)-INDEX($D255:$K255,0,AV$252))/(INDEX($D$249:$K$249,0,AV$252+1)-INDEX($D$249:$K$249,0,AV$252))+AW262)))</f>
        <v>0.67033802229020478</v>
      </c>
      <c r="AY262" s="3" cm="1">
        <f t="array" ref="AY262">IF(AW$252=-1,BA262,IF(AW$252=99,AX262,IF(AW$252=0,INDEX($D255:$K255,0,AW$250),(INDEX($D255:$K255,0,AW$252+1)-INDEX($D255:$K255,0,AW$252))/(INDEX($D$249:$K$249,0,AW$252+1)-INDEX($D$249:$K$249,0,AW$252))+AX262)))</f>
        <v>0.67400851215825208</v>
      </c>
      <c r="AZ262" s="3" cm="1">
        <f t="array" ref="AZ262">IF(AX$252=-1,BB262,IF(AX$252=99,AY262,IF(AX$252=0,INDEX($D255:$K255,0,AX$250),(INDEX($D255:$K255,0,AX$252+1)-INDEX($D255:$K255,0,AX$252))/(INDEX($D$249:$K$249,0,AX$252+1)-INDEX($D$249:$K$249,0,AX$252))+AY262)))</f>
        <v>0.66666753242215748</v>
      </c>
      <c r="BA262" s="3" cm="1">
        <f t="array" ref="BA262">IF(AY$252=-1,BC262,IF(AY$252=99,AZ262,IF(AY$252=0,INDEX($D255:$K255,0,AY$250),(INDEX($D255:$K255,0,AY$252+1)-INDEX($D255:$K255,0,AY$252))/(INDEX($D$249:$K$249,0,AY$252+1)-INDEX($D$249:$K$249,0,AY$252))+AZ262)))</f>
        <v>0.66666753242215748</v>
      </c>
      <c r="BB262" s="3" cm="1">
        <f t="array" ref="BB262">IF(AZ$252=-1,BD262,IF(AZ$252=99,BA262,IF(AZ$252=0,INDEX($D255:$K255,0,AZ$250),(INDEX($D255:$K255,0,AZ$252+1)-INDEX($D255:$K255,0,AZ$252))/(INDEX($D$249:$K$249,0,AZ$252+1)-INDEX($D$249:$K$249,0,AZ$252))+BA262)))</f>
        <v>0.66666753242215748</v>
      </c>
      <c r="BC262" s="3" cm="1">
        <f t="array" ref="BC262">IF(BA$252=-1,BE262,IF(BA$252=99,BB262,IF(BA$252=0,INDEX($D255:$K255,0,BA$250),(INDEX($D255:$K255,0,BA$252+1)-INDEX($D255:$K255,0,BA$252))/(INDEX($D$249:$K$249,0,BA$252+1)-INDEX($D$249:$K$249,0,BA$252))+BB262)))</f>
        <v>0.66666753242215748</v>
      </c>
      <c r="BD262" s="3" cm="1">
        <f t="array" ref="BD262">IF(BB$252=-1,BF262,IF(BB$252=99,BC262,IF(BB$252=0,INDEX($D255:$K255,0,BB$250),(INDEX($D255:$K255,0,BB$252+1)-INDEX($D255:$K255,0,BB$252))/(INDEX($D$249:$K$249,0,BB$252+1)-INDEX($D$249:$K$249,0,BB$252))+BC262)))</f>
        <v>0.66666753242215748</v>
      </c>
    </row>
    <row r="263" spans="1:56">
      <c r="A263" t="s">
        <v>16</v>
      </c>
      <c r="E263" t="s">
        <v>442</v>
      </c>
      <c r="F263" t="s">
        <v>442</v>
      </c>
      <c r="G263" t="str">
        <f>G260</f>
        <v>low income</v>
      </c>
      <c r="H263" s="3" t="s">
        <v>439</v>
      </c>
      <c r="I263" t="str">
        <f>I260</f>
        <v>hhd-le</v>
      </c>
      <c r="J263" s="3">
        <f t="shared" si="636"/>
        <v>0.62362325125617091</v>
      </c>
      <c r="K263" s="3" cm="1">
        <f t="array" ref="K263">IF(M$252=-1,L263,IF(M$252=99,J263,IF(M$252=0,INDEX($D256:$K256,0,M$250),(INDEX($D256:$K256,0,M$252+1)-INDEX($D256:$K256,0,M$252))/(INDEX($D$249:$K$249,0,M$252+1)-INDEX($D$249:$K$249,0,M$252))+J263)))</f>
        <v>0.610027235478518</v>
      </c>
      <c r="L263" s="3" cm="1">
        <f t="array" ref="L263">IF(N$252=-1,M263,IF(N$252=99,K263,IF(N$252=0,INDEX($D256:$K256,0,N$250),(INDEX($D256:$K256,0,N$252+1)-INDEX($D256:$K256,0,N$252))/(INDEX($D$249:$K$249,0,N$252+1)-INDEX($D$249:$K$249,0,N$252))+K263)))</f>
        <v>0.5964312197008651</v>
      </c>
      <c r="M263" s="3" cm="1">
        <f t="array" ref="M263">IF(O$252=-1,N263,IF(O$252=99,L263,IF(O$252=0,INDEX($D256:$K256,0,O$250),(INDEX($D256:$K256,0,O$252+1)-INDEX($D256:$K256,0,O$252))/(INDEX($D$249:$K$249,0,O$252+1)-INDEX($D$249:$K$249,0,O$252))+L263)))</f>
        <v>0.58283520392321231</v>
      </c>
      <c r="N263" s="3" cm="1">
        <f t="array" ref="N263">IF(P$252=-1,O263,IF(P$252=99,M263,IF(P$252=0,INDEX($D256:$K256,0,P$250),(INDEX($D256:$K256,0,P$252+1)-INDEX($D256:$K256,0,P$252))/(INDEX($D$249:$K$249,0,P$252+1)-INDEX($D$249:$K$249,0,P$252))+M263)))</f>
        <v>0.29141760196160615</v>
      </c>
      <c r="O263" s="3" cm="1">
        <f t="array" ref="O263">IF(Q$252=-1,P263,IF(Q$252=99,N263,IF(Q$252=0,INDEX($D256:$K256,0,Q$250),(INDEX($D256:$K256,0,Q$252+1)-INDEX($D256:$K256,0,Q$252))/(INDEX($D$249:$K$249,0,Q$252+1)-INDEX($D$249:$K$249,0,Q$252))+N263)))</f>
        <v>0</v>
      </c>
      <c r="P263" s="3" cm="1">
        <f t="array" ref="P263">IF(R$252=-1,Q263,IF(R$252=99,O263,IF(R$252=0,INDEX($D256:$K256,0,R$250),(INDEX($D256:$K256,0,R$252+1)-INDEX($D256:$K256,0,R$252))/(INDEX($D$249:$K$249,0,R$252+1)-INDEX($D$249:$K$249,0,R$252))+O263)))</f>
        <v>0.19117807415837795</v>
      </c>
      <c r="Q263" s="3" cm="1">
        <f t="array" ref="Q263">IF(S$252=-1,R263,IF(S$252=99,P263,IF(S$252=0,INDEX($D256:$K256,0,S$250),(INDEX($D256:$K256,0,S$252+1)-INDEX($D256:$K256,0,S$252))/(INDEX($D$249:$K$249,0,S$252+1)-INDEX($D$249:$K$249,0,S$252))+P263)))</f>
        <v>0.38235614831675591</v>
      </c>
      <c r="R263" s="3" cm="1">
        <f t="array" ref="R263">IF(T$252=-1,S263,IF(T$252=99,Q263,IF(T$252=0,INDEX($D256:$K256,0,T$250),(INDEX($D256:$K256,0,T$252+1)-INDEX($D256:$K256,0,T$252))/(INDEX($D$249:$K$249,0,T$252+1)-INDEX($D$249:$K$249,0,T$252))+Q263)))</f>
        <v>0.57353422247513386</v>
      </c>
      <c r="S263" s="3" cm="1">
        <f t="array" ref="S263">IF(U$252=-1,T263,IF(U$252=99,R263,IF(U$252=0,INDEX($D256:$K256,0,U$250),(INDEX($D256:$K256,0,U$252+1)-INDEX($D256:$K256,0,U$252))/(INDEX($D$249:$K$249,0,U$252+1)-INDEX($D$249:$K$249,0,U$252))+R263)))</f>
        <v>0.57300987556184912</v>
      </c>
      <c r="T263" s="3" cm="1">
        <f t="array" ref="T263">IF(V$252=-1,U263,IF(V$252=99,S263,IF(V$252=0,INDEX($D256:$K256,0,V$250),(INDEX($D256:$K256,0,V$252+1)-INDEX($D256:$K256,0,V$252))/(INDEX($D$249:$K$249,0,V$252+1)-INDEX($D$249:$K$249,0,V$252))+S263)))</f>
        <v>0.57248552864856439</v>
      </c>
      <c r="U263" s="3" cm="1">
        <f t="array" ref="U263">IF(W$252=-1,V263,IF(W$252=99,T263,IF(W$252=0,INDEX($D256:$K256,0,W$250),(INDEX($D256:$K256,0,W$252+1)-INDEX($D256:$K256,0,W$252))/(INDEX($D$249:$K$249,0,W$252+1)-INDEX($D$249:$K$249,0,W$252))+T263)))</f>
        <v>0.57196118173527966</v>
      </c>
      <c r="V263" s="3" cm="1">
        <f t="array" ref="V263">IF(X$252=-1,W263,IF(X$252=99,U263,IF(X$252=0,INDEX($D256:$K256,0,X$250),(INDEX($D256:$K256,0,X$252+1)-INDEX($D256:$K256,0,X$252))/(INDEX($D$249:$K$249,0,X$252+1)-INDEX($D$249:$K$249,0,X$252))+U263)))</f>
        <v>0.57143683482199492</v>
      </c>
      <c r="W263" s="3" cm="1">
        <f t="array" ref="W263">IF(Y$252=-1,X263,IF(Y$252=99,V263,IF(Y$252=0,INDEX($D256:$K256,0,Y$250),(INDEX($D256:$K256,0,Y$252+1)-INDEX($D256:$K256,0,Y$252))/(INDEX($D$249:$K$249,0,Y$252+1)-INDEX($D$249:$K$249,0,Y$252))+V263)))</f>
        <v>0.57091248790871019</v>
      </c>
      <c r="X263" s="3" cm="1">
        <f t="array" ref="X263">IF(Z$252=-1,Y263,IF(Z$252=99,W263,IF(Z$252=0,INDEX($D256:$K256,0,Z$250),(INDEX($D256:$K256,0,Z$252+1)-INDEX($D256:$K256,0,Z$252))/(INDEX($D$249:$K$249,0,Z$252+1)-INDEX($D$249:$K$249,0,Z$252))+W263)))</f>
        <v>0.57038814099542545</v>
      </c>
      <c r="Y263" s="3" cm="1">
        <f t="array" ref="Y263">IF(AA$252=-1,Z263,IF(AA$252=99,X263,IF(AA$252=0,INDEX($D256:$K256,0,AA$250),(INDEX($D256:$K256,0,AA$252+1)-INDEX($D256:$K256,0,AA$252))/(INDEX($D$249:$K$249,0,AA$252+1)-INDEX($D$249:$K$249,0,AA$252))+X263)))</f>
        <v>0.56986379408214072</v>
      </c>
      <c r="Z263" s="3" cm="1">
        <f t="array" ref="Z263">IF(AB$252=-1,AA263,IF(AB$252=99,Y263,IF(AB$252=0,INDEX($D256:$K256,0,AB$250),(INDEX($D256:$K256,0,AB$252+1)-INDEX($D256:$K256,0,AB$252))/(INDEX($D$249:$K$249,0,AB$252+1)-INDEX($D$249:$K$249,0,AB$252))+Y263)))</f>
        <v>0.56933944716885598</v>
      </c>
      <c r="AA263" s="3" cm="1">
        <f t="array" ref="AA263">IF(AC$252=-1,AB263,IF(AC$252=99,Z263,IF(AC$252=0,INDEX($D256:$K256,0,AC$250),(INDEX($D256:$K256,0,AC$252+1)-INDEX($D256:$K256,0,AC$252))/(INDEX($D$249:$K$249,0,AC$252+1)-INDEX($D$249:$K$249,0,AC$252))+Z263)))</f>
        <v>0.56881510025557125</v>
      </c>
      <c r="AB263" s="3" cm="1">
        <f t="array" ref="AB263">IF(AD$252=-1,AC263,IF(AD$252=99,AA263,IF(AD$252=0,INDEX($D256:$K256,0,AD$250),(INDEX($D256:$K256,0,AD$252+1)-INDEX($D256:$K256,0,AD$252))/(INDEX($D$249:$K$249,0,AD$252+1)-INDEX($D$249:$K$249,0,AD$252))+AA263)))</f>
        <v>0.56829075334228629</v>
      </c>
      <c r="AC263" s="3" cm="1">
        <f t="array" ref="AC263">IF(AE$252=-1,AD263,IF(AE$252=99,AB263,IF(AE$252=0,INDEX($D256:$K256,0,AE$250),(INDEX($D256:$K256,0,AE$252+1)-INDEX($D256:$K256,0,AE$252))/(INDEX($D$249:$K$249,0,AE$252+1)-INDEX($D$249:$K$249,0,AE$252))+AB263)))</f>
        <v>0.56013551757842017</v>
      </c>
      <c r="AD263" s="3" cm="1">
        <f t="array" ref="AD263">IF(AF$252=-1,AE263,IF(AF$252=99,AC263,IF(AF$252=0,INDEX($D256:$K256,0,AF$250),(INDEX($D256:$K256,0,AF$252+1)-INDEX($D256:$K256,0,AF$252))/(INDEX($D$249:$K$249,0,AF$252+1)-INDEX($D$249:$K$249,0,AF$252))+AC263)))</f>
        <v>0.55198028181455405</v>
      </c>
      <c r="AE263" s="3" cm="1">
        <f t="array" ref="AE263">IF(AG$252=-1,AF263,IF(AG$252=99,AD263,IF(AG$252=0,INDEX($D256:$K256,0,AG$250),(INDEX($D256:$K256,0,AG$252+1)-INDEX($D256:$K256,0,AG$252))/(INDEX($D$249:$K$249,0,AG$252+1)-INDEX($D$249:$K$249,0,AG$252))+AD263)))</f>
        <v>0.54382504605068793</v>
      </c>
      <c r="AF263" s="3" cm="1">
        <f t="array" ref="AF263">IF(AH$252=-1,AG263,IF(AH$252=99,AE263,IF(AH$252=0,INDEX($D256:$K256,0,AH$250),(INDEX($D256:$K256,0,AH$252+1)-INDEX($D256:$K256,0,AH$252))/(INDEX($D$249:$K$249,0,AH$252+1)-INDEX($D$249:$K$249,0,AH$252))+AE263)))</f>
        <v>0.53566981028682181</v>
      </c>
      <c r="AG263" s="3" cm="1">
        <f t="array" ref="AG263">IF(AI$252=-1,AH263,IF(AI$252=99,AF263,IF(AI$252=0,INDEX($D256:$K256,0,AI$250),(INDEX($D256:$K256,0,AI$252+1)-INDEX($D256:$K256,0,AI$252))/(INDEX($D$249:$K$249,0,AI$252+1)-INDEX($D$249:$K$249,0,AI$252))+AF263)))</f>
        <v>0.52751457452295569</v>
      </c>
      <c r="AH263" s="3" cm="1">
        <f t="array" ref="AH263">IF(AJ$252=-1,AI263,IF(AJ$252=99,AG263,IF(AJ$252=0,INDEX($D256:$K256,0,AJ$250),(INDEX($D256:$K256,0,AJ$252+1)-INDEX($D256:$K256,0,AJ$252))/(INDEX($D$249:$K$249,0,AJ$252+1)-INDEX($D$249:$K$249,0,AJ$252))+AG263)))</f>
        <v>0.51935933875908957</v>
      </c>
      <c r="AI263" s="3" cm="1">
        <f t="array" ref="AI263">IF(AK$252=-1,AJ263,IF(AK$252=99,AH263,IF(AK$252=0,INDEX($D256:$K256,0,AK$250),(INDEX($D256:$K256,0,AK$252+1)-INDEX($D256:$K256,0,AK$252))/(INDEX($D$249:$K$249,0,AK$252+1)-INDEX($D$249:$K$249,0,AK$252))+AH263)))</f>
        <v>0.51120410299522345</v>
      </c>
      <c r="AJ263" s="3" cm="1">
        <f t="array" ref="AJ263">IF(AL$252=-1,AK263,IF(AL$252=99,AI263,IF(AL$252=0,INDEX($D256:$K256,0,AL$250),(INDEX($D256:$K256,0,AL$252+1)-INDEX($D256:$K256,0,AL$252))/(INDEX($D$249:$K$249,0,AL$252+1)-INDEX($D$249:$K$249,0,AL$252))+AI263)))</f>
        <v>0.50304886723135733</v>
      </c>
      <c r="AK263" s="3" cm="1">
        <f t="array" ref="AK263">IF(AM$252=-1,AL263,IF(AM$252=99,AJ263,IF(AM$252=0,INDEX($D256:$K256,0,AM$250),(INDEX($D256:$K256,0,AM$252+1)-INDEX($D256:$K256,0,AM$252))/(INDEX($D$249:$K$249,0,AM$252+1)-INDEX($D$249:$K$249,0,AM$252))+AJ263)))</f>
        <v>0.49489363146749121</v>
      </c>
      <c r="AL263" s="3" cm="1">
        <f t="array" ref="AL263">IF(AN$252=-1,AM263,IF(AN$252=99,AK263,IF(AN$252=0,INDEX($D256:$K256,0,AN$250),(INDEX($D256:$K256,0,AN$252+1)-INDEX($D256:$K256,0,AN$252))/(INDEX($D$249:$K$249,0,AN$252+1)-INDEX($D$249:$K$249,0,AN$252))+AK263)))</f>
        <v>0.48673839570362509</v>
      </c>
      <c r="AM263" s="3" cm="1">
        <f t="array" ref="AM263">IF(AO$252=-1,AN263,IF(AO$252=99,AL263,IF(AO$252=0,INDEX($D256:$K256,0,AO$250),(INDEX($D256:$K256,0,AO$252+1)-INDEX($D256:$K256,0,AO$252))/(INDEX($D$249:$K$249,0,AO$252+1)-INDEX($D$249:$K$249,0,AO$252))+AL263)))</f>
        <v>0.48080035624243705</v>
      </c>
      <c r="AN263" s="3" cm="1">
        <f t="array" ref="AN263">IF(AP$252=-1,AO263,IF(AP$252=99,AM263,IF(AP$252=0,INDEX($D256:$K256,0,AP$250),(INDEX($D256:$K256,0,AP$252+1)-INDEX($D256:$K256,0,AP$252))/(INDEX($D$249:$K$249,0,AP$252+1)-INDEX($D$249:$K$249,0,AP$252))+AM263)))</f>
        <v>0.47486231678124902</v>
      </c>
      <c r="AO263" s="3" cm="1">
        <f t="array" ref="AO263">IF(AQ$252=-1,AP263,IF(AQ$252=99,AN263,IF(AQ$252=0,INDEX($D256:$K256,0,AQ$250),(INDEX($D256:$K256,0,AQ$252+1)-INDEX($D256:$K256,0,AQ$252))/(INDEX($D$249:$K$249,0,AQ$252+1)-INDEX($D$249:$K$249,0,AQ$252))+AN263)))</f>
        <v>0.46892427732006098</v>
      </c>
      <c r="AP263" s="3" cm="1">
        <f t="array" ref="AP263">IF(AR$252=-1,AQ263,IF(AR$252=99,AO263,IF(AR$252=0,INDEX($D256:$K256,0,AR$250),(INDEX($D256:$K256,0,AR$252+1)-INDEX($D256:$K256,0,AR$252))/(INDEX($D$249:$K$249,0,AR$252+1)-INDEX($D$249:$K$249,0,AR$252))+AO263)))</f>
        <v>0.46298623785887294</v>
      </c>
      <c r="AQ263" s="3" cm="1">
        <f t="array" ref="AQ263">IF(AS$252=-1,AR263,IF(AS$252=99,AP263,IF(AS$252=0,INDEX($D256:$K256,0,AS$250),(INDEX($D256:$K256,0,AS$252+1)-INDEX($D256:$K256,0,AS$252))/(INDEX($D$249:$K$249,0,AS$252+1)-INDEX($D$249:$K$249,0,AS$252))+AP263)))</f>
        <v>0.4570481983976849</v>
      </c>
      <c r="AR263" s="3" cm="1">
        <f t="array" ref="AR263">IF(AT$252=-1,AW263,IF(AT$252=99,AQ263,IF(AT$252=0,INDEX($D256:$K256,0,AT$250),(INDEX($D256:$K256,0,AT$252+1)-INDEX($D256:$K256,0,AT$252))/(INDEX($D$249:$K$249,0,AT$252+1)-INDEX($D$249:$K$249,0,AT$252))+AQ263)))</f>
        <v>0.45111015893649686</v>
      </c>
      <c r="AS263" s="3" cm="1">
        <f t="array" ref="AS263">IF(AU$252=-1,AX263,IF(AU$252=99,AR263,IF(AU$252=0,INDEX($D256:$K256,0,AU$250),(INDEX($D256:$K256,0,AU$252+1)-INDEX($D256:$K256,0,AU$252))/(INDEX($D$249:$K$249,0,AU$252+1)-INDEX($D$249:$K$249,0,AU$252))+AR263)))</f>
        <v>0.44517211947530883</v>
      </c>
      <c r="AT263" s="3" cm="1">
        <f t="array" ref="AT263">IF(AV$252=-1,AY263,IF(AV$252=99,AS263,IF(AV$252=0,INDEX($D256:$K256,0,AV$250),(INDEX($D256:$K256,0,AV$252+1)-INDEX($D256:$K256,0,AV$252))/(INDEX($D$249:$K$249,0,AV$252+1)-INDEX($D$249:$K$249,0,AV$252))+AS263)))</f>
        <v>0.43923408001412079</v>
      </c>
      <c r="AU263" s="3" cm="1">
        <f t="array" ref="AU263">IF(AW$252=-1,AZ263,IF(AW$252=99,AT263,IF(AW$252=0,INDEX($D256:$K256,0,AW$250),(INDEX($D256:$K256,0,AW$252+1)-INDEX($D256:$K256,0,AW$252))/(INDEX($D$249:$K$249,0,AW$252+1)-INDEX($D$249:$K$249,0,AW$252))+AT263)))</f>
        <v>0.43329604055293275</v>
      </c>
      <c r="AV263" s="3" cm="1">
        <f t="array" ref="AV263">IF(AX$252=-1,BA263,IF(AX$252=99,AU263,IF(AX$252=0,INDEX($D256:$K256,0,AX$250),(INDEX($D256:$K256,0,AX$252+1)-INDEX($D256:$K256,0,AX$252))/(INDEX($D$249:$K$249,0,AX$252+1)-INDEX($D$249:$K$249,0,AX$252))+AU263)))</f>
        <v>0.42735800109174471</v>
      </c>
      <c r="AW263" s="3" cm="1">
        <f t="array" ref="AW263">IF(AY$252=-1,BB263,IF(AY$252=99,AV263,IF(AY$252=0,INDEX($D256:$K256,0,AY$250),(INDEX($D256:$K256,0,AY$252+1)-INDEX($D256:$K256,0,AY$252))/(INDEX($D$249:$K$249,0,AY$252+1)-INDEX($D$249:$K$249,0,AY$252))+AV263)))</f>
        <v>0.42735800109174471</v>
      </c>
      <c r="AX263" s="3" cm="1">
        <f t="array" ref="AX263">IF(AV$252=-1,AZ263,IF(AV$252=99,AW263,IF(AV$252=0,INDEX($D256:$K256,0,AV$250),(INDEX($D256:$K256,0,AV$252+1)-INDEX($D256:$K256,0,AV$252))/(INDEX($D$249:$K$249,0,AV$252+1)-INDEX($D$249:$K$249,0,AV$252))+AW263)))</f>
        <v>0.42141996163055667</v>
      </c>
      <c r="AY263" s="3" cm="1">
        <f t="array" ref="AY263">IF(AW$252=-1,BA263,IF(AW$252=99,AX263,IF(AW$252=0,INDEX($D256:$K256,0,AW$250),(INDEX($D256:$K256,0,AW$252+1)-INDEX($D256:$K256,0,AW$252))/(INDEX($D$249:$K$249,0,AW$252+1)-INDEX($D$249:$K$249,0,AW$252))+AX263)))</f>
        <v>0.41548192216936863</v>
      </c>
      <c r="AZ263" s="3" cm="1">
        <f t="array" ref="AZ263">IF(AX$252=-1,BB263,IF(AX$252=99,AY263,IF(AX$252=0,INDEX($D256:$K256,0,AX$250),(INDEX($D256:$K256,0,AX$252+1)-INDEX($D256:$K256,0,AX$252))/(INDEX($D$249:$K$249,0,AX$252+1)-INDEX($D$249:$K$249,0,AX$252))+AY263)))</f>
        <v>0.42735800109174471</v>
      </c>
      <c r="BA263" s="3" cm="1">
        <f t="array" ref="BA263">IF(AY$252=-1,BC263,IF(AY$252=99,AZ263,IF(AY$252=0,INDEX($D256:$K256,0,AY$250),(INDEX($D256:$K256,0,AY$252+1)-INDEX($D256:$K256,0,AY$252))/(INDEX($D$249:$K$249,0,AY$252+1)-INDEX($D$249:$K$249,0,AY$252))+AZ263)))</f>
        <v>0.42735800109174471</v>
      </c>
      <c r="BB263" s="3" cm="1">
        <f t="array" ref="BB263">IF(AZ$252=-1,BD263,IF(AZ$252=99,BA263,IF(AZ$252=0,INDEX($D256:$K256,0,AZ$250),(INDEX($D256:$K256,0,AZ$252+1)-INDEX($D256:$K256,0,AZ$252))/(INDEX($D$249:$K$249,0,AZ$252+1)-INDEX($D$249:$K$249,0,AZ$252))+BA263)))</f>
        <v>0.42735800109174471</v>
      </c>
      <c r="BC263" s="3" cm="1">
        <f t="array" ref="BC263">IF(BA$252=-1,BE263,IF(BA$252=99,BB263,IF(BA$252=0,INDEX($D256:$K256,0,BA$250),(INDEX($D256:$K256,0,BA$252+1)-INDEX($D256:$K256,0,BA$252))/(INDEX($D$249:$K$249,0,BA$252+1)-INDEX($D$249:$K$249,0,BA$252))+BB263)))</f>
        <v>0.42735800109174471</v>
      </c>
      <c r="BD263" s="3" cm="1">
        <f t="array" ref="BD263">IF(BB$252=-1,BF263,IF(BB$252=99,BC263,IF(BB$252=0,INDEX($D256:$K256,0,BB$250),(INDEX($D256:$K256,0,BB$252+1)-INDEX($D256:$K256,0,BB$252))/(INDEX($D$249:$K$249,0,BB$252+1)-INDEX($D$249:$K$249,0,BB$252))+BC263)))</f>
        <v>0.42735800109174471</v>
      </c>
    </row>
    <row r="264" spans="1:56">
      <c r="A264" t="s">
        <v>16</v>
      </c>
      <c r="E264" t="s">
        <v>442</v>
      </c>
      <c r="F264" t="s">
        <v>442</v>
      </c>
      <c r="G264" t="str">
        <f>G261</f>
        <v>medium income</v>
      </c>
      <c r="H264" s="3" t="s">
        <v>439</v>
      </c>
      <c r="I264" t="str">
        <f>I261</f>
        <v>hhd-me</v>
      </c>
      <c r="J264" s="3">
        <f t="shared" si="636"/>
        <v>0.27049531864175524</v>
      </c>
      <c r="K264" s="3" cm="1">
        <f t="array" ref="K264">IF(M$252=-1,L264,IF(M$252=99,J264,IF(M$252=0,INDEX($D257:$K257,0,M$250),(INDEX($D257:$K257,0,M$252+1)-INDEX($D257:$K257,0,M$252))/(INDEX($D$249:$K$249,0,M$252+1)-INDEX($D$249:$K$249,0,M$252))+J264)))</f>
        <v>0.27470463579061155</v>
      </c>
      <c r="L264" s="3" cm="1">
        <f t="array" ref="L264">IF(N$252=-1,M264,IF(N$252=99,K264,IF(N$252=0,INDEX($D257:$K257,0,N$250),(INDEX($D257:$K257,0,N$252+1)-INDEX($D257:$K257,0,N$252))/(INDEX($D$249:$K$249,0,N$252+1)-INDEX($D$249:$K$249,0,N$252))+K264)))</f>
        <v>0.27891395293946786</v>
      </c>
      <c r="M264" s="3" cm="1">
        <f t="array" ref="M264">IF(O$252=-1,N264,IF(O$252=99,L264,IF(O$252=0,INDEX($D257:$K257,0,O$250),(INDEX($D257:$K257,0,O$252+1)-INDEX($D257:$K257,0,O$252))/(INDEX($D$249:$K$249,0,O$252+1)-INDEX($D$249:$K$249,0,O$252))+L264)))</f>
        <v>0.28312327008832416</v>
      </c>
      <c r="N264" s="3" cm="1">
        <f t="array" ref="N264">IF(P$252=-1,O264,IF(P$252=99,M264,IF(P$252=0,INDEX($D257:$K257,0,P$250),(INDEX($D257:$K257,0,P$252+1)-INDEX($D257:$K257,0,P$252))/(INDEX($D$249:$K$249,0,P$252+1)-INDEX($D$249:$K$249,0,P$252))+M264)))</f>
        <v>0.14156163504416208</v>
      </c>
      <c r="O264" s="3" cm="1">
        <f t="array" ref="O264">IF(Q$252=-1,P264,IF(Q$252=99,N264,IF(Q$252=0,INDEX($D257:$K257,0,Q$250),(INDEX($D257:$K257,0,Q$252+1)-INDEX($D257:$K257,0,Q$252))/(INDEX($D$249:$K$249,0,Q$252+1)-INDEX($D$249:$K$249,0,Q$252))+N264)))</f>
        <v>0</v>
      </c>
      <c r="P264" s="3" cm="1">
        <f t="array" ref="P264">IF(R$252=-1,Q264,IF(R$252=99,O264,IF(R$252=0,INDEX($D257:$K257,0,R$250),(INDEX($D257:$K257,0,R$252+1)-INDEX($D257:$K257,0,R$252))/(INDEX($D$249:$K$249,0,R$252+1)-INDEX($D$249:$K$249,0,R$252))+O264)))</f>
        <v>0.10232705636790534</v>
      </c>
      <c r="Q264" s="3" cm="1">
        <f t="array" ref="Q264">IF(S$252=-1,R264,IF(S$252=99,P264,IF(S$252=0,INDEX($D257:$K257,0,S$250),(INDEX($D257:$K257,0,S$252+1)-INDEX($D257:$K257,0,S$252))/(INDEX($D$249:$K$249,0,S$252+1)-INDEX($D$249:$K$249,0,S$252))+P264)))</f>
        <v>0.20465411273581069</v>
      </c>
      <c r="R264" s="3" cm="1">
        <f t="array" ref="R264">IF(T$252=-1,S264,IF(T$252=99,Q264,IF(T$252=0,INDEX($D257:$K257,0,T$250),(INDEX($D257:$K257,0,T$252+1)-INDEX($D257:$K257,0,T$252))/(INDEX($D$249:$K$249,0,T$252+1)-INDEX($D$249:$K$249,0,T$252))+Q264)))</f>
        <v>0.30698116910371603</v>
      </c>
      <c r="S264" s="3" cm="1">
        <f t="array" ref="S264">IF(U$252=-1,T264,IF(U$252=99,R264,IF(U$252=0,INDEX($D257:$K257,0,U$250),(INDEX($D257:$K257,0,U$252+1)-INDEX($D257:$K257,0,U$252))/(INDEX($D$249:$K$249,0,U$252+1)-INDEX($D$249:$K$249,0,U$252))+R264)))</f>
        <v>0.30648235121855905</v>
      </c>
      <c r="T264" s="3" cm="1">
        <f t="array" ref="T264">IF(V$252=-1,U264,IF(V$252=99,S264,IF(V$252=0,INDEX($D257:$K257,0,V$250),(INDEX($D257:$K257,0,V$252+1)-INDEX($D257:$K257,0,V$252))/(INDEX($D$249:$K$249,0,V$252+1)-INDEX($D$249:$K$249,0,V$252))+S264)))</f>
        <v>0.30598353333340206</v>
      </c>
      <c r="U264" s="3" cm="1">
        <f t="array" ref="U264">IF(W$252=-1,V264,IF(W$252=99,T264,IF(W$252=0,INDEX($D257:$K257,0,W$250),(INDEX($D257:$K257,0,W$252+1)-INDEX($D257:$K257,0,W$252))/(INDEX($D$249:$K$249,0,W$252+1)-INDEX($D$249:$K$249,0,W$252))+T264)))</f>
        <v>0.30548471544824507</v>
      </c>
      <c r="V264" s="3" cm="1">
        <f t="array" ref="V264">IF(X$252=-1,W264,IF(X$252=99,U264,IF(X$252=0,INDEX($D257:$K257,0,X$250),(INDEX($D257:$K257,0,X$252+1)-INDEX($D257:$K257,0,X$252))/(INDEX($D$249:$K$249,0,X$252+1)-INDEX($D$249:$K$249,0,X$252))+U264)))</f>
        <v>0.30498589756308808</v>
      </c>
      <c r="W264" s="3" cm="1">
        <f t="array" ref="W264">IF(Y$252=-1,X264,IF(Y$252=99,V264,IF(Y$252=0,INDEX($D257:$K257,0,Y$250),(INDEX($D257:$K257,0,Y$252+1)-INDEX($D257:$K257,0,Y$252))/(INDEX($D$249:$K$249,0,Y$252+1)-INDEX($D$249:$K$249,0,Y$252))+V264)))</f>
        <v>0.30448707967793109</v>
      </c>
      <c r="X264" s="3" cm="1">
        <f t="array" ref="X264">IF(Z$252=-1,Y264,IF(Z$252=99,W264,IF(Z$252=0,INDEX($D257:$K257,0,Z$250),(INDEX($D257:$K257,0,Z$252+1)-INDEX($D257:$K257,0,Z$252))/(INDEX($D$249:$K$249,0,Z$252+1)-INDEX($D$249:$K$249,0,Z$252))+W264)))</f>
        <v>0.30398826179277411</v>
      </c>
      <c r="Y264" s="3" cm="1">
        <f t="array" ref="Y264">IF(AA$252=-1,Z264,IF(AA$252=99,X264,IF(AA$252=0,INDEX($D257:$K257,0,AA$250),(INDEX($D257:$K257,0,AA$252+1)-INDEX($D257:$K257,0,AA$252))/(INDEX($D$249:$K$249,0,AA$252+1)-INDEX($D$249:$K$249,0,AA$252))+X264)))</f>
        <v>0.30348944390761712</v>
      </c>
      <c r="Z264" s="3" cm="1">
        <f t="array" ref="Z264">IF(AB$252=-1,AA264,IF(AB$252=99,Y264,IF(AB$252=0,INDEX($D257:$K257,0,AB$250),(INDEX($D257:$K257,0,AB$252+1)-INDEX($D257:$K257,0,AB$252))/(INDEX($D$249:$K$249,0,AB$252+1)-INDEX($D$249:$K$249,0,AB$252))+Y264)))</f>
        <v>0.30299062602246013</v>
      </c>
      <c r="AA264" s="3" cm="1">
        <f t="array" ref="AA264">IF(AC$252=-1,AB264,IF(AC$252=99,Z264,IF(AC$252=0,INDEX($D257:$K257,0,AC$250),(INDEX($D257:$K257,0,AC$252+1)-INDEX($D257:$K257,0,AC$252))/(INDEX($D$249:$K$249,0,AC$252+1)-INDEX($D$249:$K$249,0,AC$252))+Z264)))</f>
        <v>0.30249180813730314</v>
      </c>
      <c r="AB264" s="3" cm="1">
        <f t="array" ref="AB264">IF(AD$252=-1,AC264,IF(AD$252=99,AA264,IF(AD$252=0,INDEX($D257:$K257,0,AD$250),(INDEX($D257:$K257,0,AD$252+1)-INDEX($D257:$K257,0,AD$252))/(INDEX($D$249:$K$249,0,AD$252+1)-INDEX($D$249:$K$249,0,AD$252))+AA264)))</f>
        <v>0.30199299025214599</v>
      </c>
      <c r="AC264" s="3" cm="1">
        <f t="array" ref="AC264">IF(AE$252=-1,AD264,IF(AE$252=99,AB264,IF(AE$252=0,INDEX($D257:$K257,0,AE$250),(INDEX($D257:$K257,0,AE$252+1)-INDEX($D257:$K257,0,AE$252))/(INDEX($D$249:$K$249,0,AE$252+1)-INDEX($D$249:$K$249,0,AE$252))+AB264)))</f>
        <v>0.30707367396003649</v>
      </c>
      <c r="AD264" s="3" cm="1">
        <f t="array" ref="AD264">IF(AF$252=-1,AE264,IF(AF$252=99,AC264,IF(AF$252=0,INDEX($D257:$K257,0,AF$250),(INDEX($D257:$K257,0,AF$252+1)-INDEX($D257:$K257,0,AF$252))/(INDEX($D$249:$K$249,0,AF$252+1)-INDEX($D$249:$K$249,0,AF$252))+AC264)))</f>
        <v>0.31215435766792698</v>
      </c>
      <c r="AE264" s="3" cm="1">
        <f t="array" ref="AE264">IF(AG$252=-1,AF264,IF(AG$252=99,AD264,IF(AG$252=0,INDEX($D257:$K257,0,AG$250),(INDEX($D257:$K257,0,AG$252+1)-INDEX($D257:$K257,0,AG$252))/(INDEX($D$249:$K$249,0,AG$252+1)-INDEX($D$249:$K$249,0,AG$252))+AD264)))</f>
        <v>0.31723504137581748</v>
      </c>
      <c r="AF264" s="3" cm="1">
        <f t="array" ref="AF264">IF(AH$252=-1,AG264,IF(AH$252=99,AE264,IF(AH$252=0,INDEX($D257:$K257,0,AH$250),(INDEX($D257:$K257,0,AH$252+1)-INDEX($D257:$K257,0,AH$252))/(INDEX($D$249:$K$249,0,AH$252+1)-INDEX($D$249:$K$249,0,AH$252))+AE264)))</f>
        <v>0.32231572508370798</v>
      </c>
      <c r="AG264" s="3" cm="1">
        <f t="array" ref="AG264">IF(AI$252=-1,AH264,IF(AI$252=99,AF264,IF(AI$252=0,INDEX($D257:$K257,0,AI$250),(INDEX($D257:$K257,0,AI$252+1)-INDEX($D257:$K257,0,AI$252))/(INDEX($D$249:$K$249,0,AI$252+1)-INDEX($D$249:$K$249,0,AI$252))+AF264)))</f>
        <v>0.32739640879159848</v>
      </c>
      <c r="AH264" s="3" cm="1">
        <f t="array" ref="AH264">IF(AJ$252=-1,AI264,IF(AJ$252=99,AG264,IF(AJ$252=0,INDEX($D257:$K257,0,AJ$250),(INDEX($D257:$K257,0,AJ$252+1)-INDEX($D257:$K257,0,AJ$252))/(INDEX($D$249:$K$249,0,AJ$252+1)-INDEX($D$249:$K$249,0,AJ$252))+AG264)))</f>
        <v>0.33247709249948898</v>
      </c>
      <c r="AI264" s="3" cm="1">
        <f t="array" ref="AI264">IF(AK$252=-1,AJ264,IF(AK$252=99,AH264,IF(AK$252=0,INDEX($D257:$K257,0,AK$250),(INDEX($D257:$K257,0,AK$252+1)-INDEX($D257:$K257,0,AK$252))/(INDEX($D$249:$K$249,0,AK$252+1)-INDEX($D$249:$K$249,0,AK$252))+AH264)))</f>
        <v>0.33755777620737948</v>
      </c>
      <c r="AJ264" s="3" cm="1">
        <f t="array" ref="AJ264">IF(AL$252=-1,AK264,IF(AL$252=99,AI264,IF(AL$252=0,INDEX($D257:$K257,0,AL$250),(INDEX($D257:$K257,0,AL$252+1)-INDEX($D257:$K257,0,AL$252))/(INDEX($D$249:$K$249,0,AL$252+1)-INDEX($D$249:$K$249,0,AL$252))+AI264)))</f>
        <v>0.34263845991526998</v>
      </c>
      <c r="AK264" s="3" cm="1">
        <f t="array" ref="AK264">IF(AM$252=-1,AL264,IF(AM$252=99,AJ264,IF(AM$252=0,INDEX($D257:$K257,0,AM$250),(INDEX($D257:$K257,0,AM$252+1)-INDEX($D257:$K257,0,AM$252))/(INDEX($D$249:$K$249,0,AM$252+1)-INDEX($D$249:$K$249,0,AM$252))+AJ264)))</f>
        <v>0.34771914362316048</v>
      </c>
      <c r="AL264" s="3" cm="1">
        <f t="array" ref="AL264">IF(AN$252=-1,AM264,IF(AN$252=99,AK264,IF(AN$252=0,INDEX($D257:$K257,0,AN$250),(INDEX($D257:$K257,0,AN$252+1)-INDEX($D257:$K257,0,AN$252))/(INDEX($D$249:$K$249,0,AN$252+1)-INDEX($D$249:$K$249,0,AN$252))+AK264)))</f>
        <v>0.3527998273310507</v>
      </c>
      <c r="AM264" s="3" cm="1">
        <f t="array" ref="AM264">IF(AO$252=-1,AN264,IF(AO$252=99,AL264,IF(AO$252=0,INDEX($D257:$K257,0,AO$250),(INDEX($D257:$K257,0,AO$252+1)-INDEX($D257:$K257,0,AO$252))/(INDEX($D$249:$K$249,0,AO$252+1)-INDEX($D$249:$K$249,0,AO$252))+AL264)))</f>
        <v>0.35746097842819635</v>
      </c>
      <c r="AN264" s="3" cm="1">
        <f t="array" ref="AN264">IF(AP$252=-1,AO264,IF(AP$252=99,AM264,IF(AP$252=0,INDEX($D257:$K257,0,AP$250),(INDEX($D257:$K257,0,AP$252+1)-INDEX($D257:$K257,0,AP$252))/(INDEX($D$249:$K$249,0,AP$252+1)-INDEX($D$249:$K$249,0,AP$252))+AM264)))</f>
        <v>0.36212212952534201</v>
      </c>
      <c r="AO264" s="3" cm="1">
        <f t="array" ref="AO264">IF(AQ$252=-1,AP264,IF(AQ$252=99,AN264,IF(AQ$252=0,INDEX($D257:$K257,0,AQ$250),(INDEX($D257:$K257,0,AQ$252+1)-INDEX($D257:$K257,0,AQ$252))/(INDEX($D$249:$K$249,0,AQ$252+1)-INDEX($D$249:$K$249,0,AQ$252))+AN264)))</f>
        <v>0.36678328062248766</v>
      </c>
      <c r="AP264" s="3" cm="1">
        <f t="array" ref="AP264">IF(AR$252=-1,AQ264,IF(AR$252=99,AO264,IF(AR$252=0,INDEX($D257:$K257,0,AR$250),(INDEX($D257:$K257,0,AR$252+1)-INDEX($D257:$K257,0,AR$252))/(INDEX($D$249:$K$249,0,AR$252+1)-INDEX($D$249:$K$249,0,AR$252))+AO264)))</f>
        <v>0.37144443171963332</v>
      </c>
      <c r="AQ264" s="3" cm="1">
        <f t="array" ref="AQ264">IF(AS$252=-1,AR264,IF(AS$252=99,AP264,IF(AS$252=0,INDEX($D257:$K257,0,AS$250),(INDEX($D257:$K257,0,AS$252+1)-INDEX($D257:$K257,0,AS$252))/(INDEX($D$249:$K$249,0,AS$252+1)-INDEX($D$249:$K$249,0,AS$252))+AP264)))</f>
        <v>0.37610558281677897</v>
      </c>
      <c r="AR264" s="3" cm="1">
        <f t="array" ref="AR264">IF(AT$252=-1,AW264,IF(AT$252=99,AQ264,IF(AT$252=0,INDEX($D257:$K257,0,AT$250),(INDEX($D257:$K257,0,AT$252+1)-INDEX($D257:$K257,0,AT$252))/(INDEX($D$249:$K$249,0,AT$252+1)-INDEX($D$249:$K$249,0,AT$252))+AQ264)))</f>
        <v>0.38076673391392463</v>
      </c>
      <c r="AS264" s="3" cm="1">
        <f t="array" ref="AS264">IF(AU$252=-1,AX264,IF(AU$252=99,AR264,IF(AU$252=0,INDEX($D257:$K257,0,AU$250),(INDEX($D257:$K257,0,AU$252+1)-INDEX($D257:$K257,0,AU$252))/(INDEX($D$249:$K$249,0,AU$252+1)-INDEX($D$249:$K$249,0,AU$252))+AR264)))</f>
        <v>0.38542788501107028</v>
      </c>
      <c r="AT264" s="3" cm="1">
        <f t="array" ref="AT264">IF(AV$252=-1,AY264,IF(AV$252=99,AS264,IF(AV$252=0,INDEX($D257:$K257,0,AV$250),(INDEX($D257:$K257,0,AV$252+1)-INDEX($D257:$K257,0,AV$252))/(INDEX($D$249:$K$249,0,AV$252+1)-INDEX($D$249:$K$249,0,AV$252))+AS264)))</f>
        <v>0.39008903610821594</v>
      </c>
      <c r="AU264" s="3" cm="1">
        <f t="array" ref="AU264">IF(AW$252=-1,AZ264,IF(AW$252=99,AT264,IF(AW$252=0,INDEX($D257:$K257,0,AW$250),(INDEX($D257:$K257,0,AW$252+1)-INDEX($D257:$K257,0,AW$252))/(INDEX($D$249:$K$249,0,AW$252+1)-INDEX($D$249:$K$249,0,AW$252))+AT264)))</f>
        <v>0.39475018720536159</v>
      </c>
      <c r="AV264" s="3" cm="1">
        <f t="array" ref="AV264">IF(AX$252=-1,BA264,IF(AX$252=99,AU264,IF(AX$252=0,INDEX($D257:$K257,0,AX$250),(INDEX($D257:$K257,0,AX$252+1)-INDEX($D257:$K257,0,AX$252))/(INDEX($D$249:$K$249,0,AX$252+1)-INDEX($D$249:$K$249,0,AX$252))+AU264)))</f>
        <v>0.39941133830250736</v>
      </c>
      <c r="AW264" s="3" cm="1">
        <f t="array" ref="AW264">IF(AY$252=-1,BB264,IF(AY$252=99,AV264,IF(AY$252=0,INDEX($D257:$K257,0,AY$250),(INDEX($D257:$K257,0,AY$252+1)-INDEX($D257:$K257,0,AY$252))/(INDEX($D$249:$K$249,0,AY$252+1)-INDEX($D$249:$K$249,0,AY$252))+AV264)))</f>
        <v>0.39941133830250736</v>
      </c>
      <c r="AX264" s="3" cm="1">
        <f t="array" ref="AX264">IF(AV$252=-1,AZ264,IF(AV$252=99,AW264,IF(AV$252=0,INDEX($D257:$K257,0,AV$250),(INDEX($D257:$K257,0,AV$252+1)-INDEX($D257:$K257,0,AV$252))/(INDEX($D$249:$K$249,0,AV$252+1)-INDEX($D$249:$K$249,0,AV$252))+AW264)))</f>
        <v>0.40407248939965301</v>
      </c>
      <c r="AY264" s="3" cm="1">
        <f t="array" ref="AY264">IF(AW$252=-1,BA264,IF(AW$252=99,AX264,IF(AW$252=0,INDEX($D257:$K257,0,AW$250),(INDEX($D257:$K257,0,AW$252+1)-INDEX($D257:$K257,0,AW$252))/(INDEX($D$249:$K$249,0,AW$252+1)-INDEX($D$249:$K$249,0,AW$252))+AX264)))</f>
        <v>0.40873364049679867</v>
      </c>
      <c r="AZ264" s="3" cm="1">
        <f t="array" ref="AZ264">IF(AX$252=-1,BB264,IF(AX$252=99,AY264,IF(AX$252=0,INDEX($D257:$K257,0,AX$250),(INDEX($D257:$K257,0,AX$252+1)-INDEX($D257:$K257,0,AX$252))/(INDEX($D$249:$K$249,0,AX$252+1)-INDEX($D$249:$K$249,0,AX$252))+AY264)))</f>
        <v>0.39941133830250736</v>
      </c>
      <c r="BA264" s="3" cm="1">
        <f t="array" ref="BA264">IF(AY$252=-1,BC264,IF(AY$252=99,AZ264,IF(AY$252=0,INDEX($D257:$K257,0,AY$250),(INDEX($D257:$K257,0,AY$252+1)-INDEX($D257:$K257,0,AY$252))/(INDEX($D$249:$K$249,0,AY$252+1)-INDEX($D$249:$K$249,0,AY$252))+AZ264)))</f>
        <v>0.39941133830250736</v>
      </c>
      <c r="BB264" s="3" cm="1">
        <f t="array" ref="BB264">IF(AZ$252=-1,BD264,IF(AZ$252=99,BA264,IF(AZ$252=0,INDEX($D257:$K257,0,AZ$250),(INDEX($D257:$K257,0,AZ$252+1)-INDEX($D257:$K257,0,AZ$252))/(INDEX($D$249:$K$249,0,AZ$252+1)-INDEX($D$249:$K$249,0,AZ$252))+BA264)))</f>
        <v>0.39941133830250736</v>
      </c>
      <c r="BC264" s="3" cm="1">
        <f t="array" ref="BC264">IF(BA$252=-1,BE264,IF(BA$252=99,BB264,IF(BA$252=0,INDEX($D257:$K257,0,BA$250),(INDEX($D257:$K257,0,BA$252+1)-INDEX($D257:$K257,0,BA$252))/(INDEX($D$249:$K$249,0,BA$252+1)-INDEX($D$249:$K$249,0,BA$252))+BB264)))</f>
        <v>0.39941133830250736</v>
      </c>
      <c r="BD264" s="3" cm="1">
        <f t="array" ref="BD264">IF(BB$252=-1,BF264,IF(BB$252=99,BC264,IF(BB$252=0,INDEX($D257:$K257,0,BB$250),(INDEX($D257:$K257,0,BB$252+1)-INDEX($D257:$K257,0,BB$252))/(INDEX($D$249:$K$249,0,BB$252+1)-INDEX($D$249:$K$249,0,BB$252))+BC264)))</f>
        <v>0.39941133830250736</v>
      </c>
    </row>
    <row r="265" spans="1:56">
      <c r="A265" t="s">
        <v>16</v>
      </c>
      <c r="E265" t="s">
        <v>442</v>
      </c>
      <c r="F265" t="s">
        <v>442</v>
      </c>
      <c r="G265" t="str">
        <f>G262</f>
        <v>high income</v>
      </c>
      <c r="H265" s="3" t="s">
        <v>439</v>
      </c>
      <c r="I265" t="str">
        <f>I262</f>
        <v>hhd-he</v>
      </c>
      <c r="J265" s="3">
        <f t="shared" si="636"/>
        <v>0.1058814301020739</v>
      </c>
      <c r="K265" s="3" cm="1">
        <f t="array" ref="K265">IF(M$252=-1,L265,IF(M$252=99,J265,IF(M$252=0,INDEX($D258:$K258,0,M$250),(INDEX($D258:$K258,0,M$252+1)-INDEX($D258:$K258,0,M$252))/(INDEX($D$249:$K$249,0,M$252+1)-INDEX($D$249:$K$249,0,M$252))+J265)))</f>
        <v>0.11526812873087044</v>
      </c>
      <c r="L265" s="3" cm="1">
        <f t="array" ref="L265">IF(N$252=-1,M265,IF(N$252=99,K265,IF(N$252=0,INDEX($D258:$K258,0,N$250),(INDEX($D258:$K258,0,N$252+1)-INDEX($D258:$K258,0,N$252))/(INDEX($D$249:$K$249,0,N$252+1)-INDEX($D$249:$K$249,0,N$252))+K265)))</f>
        <v>0.12465482735966699</v>
      </c>
      <c r="M265" s="3" cm="1">
        <f t="array" ref="M265">IF(O$252=-1,N265,IF(O$252=99,L265,IF(O$252=0,INDEX($D258:$K258,0,O$250),(INDEX($D258:$K258,0,O$252+1)-INDEX($D258:$K258,0,O$252))/(INDEX($D$249:$K$249,0,O$252+1)-INDEX($D$249:$K$249,0,O$252))+L265)))</f>
        <v>0.13404152598846353</v>
      </c>
      <c r="N265" s="3" cm="1">
        <f t="array" ref="N265">IF(P$252=-1,O265,IF(P$252=99,M265,IF(P$252=0,INDEX($D258:$K258,0,P$250),(INDEX($D258:$K258,0,P$252+1)-INDEX($D258:$K258,0,P$252))/(INDEX($D$249:$K$249,0,P$252+1)-INDEX($D$249:$K$249,0,P$252))+M265)))</f>
        <v>6.7020762994231764E-2</v>
      </c>
      <c r="O265" s="3" cm="1">
        <f t="array" ref="O265">IF(Q$252=-1,P265,IF(Q$252=99,N265,IF(Q$252=0,INDEX($D258:$K258,0,Q$250),(INDEX($D258:$K258,0,Q$252+1)-INDEX($D258:$K258,0,Q$252))/(INDEX($D$249:$K$249,0,Q$252+1)-INDEX($D$249:$K$249,0,Q$252))+N265)))</f>
        <v>0</v>
      </c>
      <c r="P265" s="3" cm="1">
        <f t="array" ref="P265">IF(R$252=-1,Q265,IF(R$252=99,O265,IF(R$252=0,INDEX($D258:$K258,0,R$250),(INDEX($D258:$K258,0,R$252+1)-INDEX($D258:$K258,0,R$252))/(INDEX($D$249:$K$249,0,R$252+1)-INDEX($D$249:$K$249,0,R$252))+O265)))</f>
        <v>3.9828202807050031E-2</v>
      </c>
      <c r="Q265" s="3" cm="1">
        <f t="array" ref="Q265">IF(S$252=-1,R265,IF(S$252=99,P265,IF(S$252=0,INDEX($D258:$K258,0,S$250),(INDEX($D258:$K258,0,S$252+1)-INDEX($D258:$K258,0,S$252))/(INDEX($D$249:$K$249,0,S$252+1)-INDEX($D$249:$K$249,0,S$252))+P265)))</f>
        <v>7.9656405614100062E-2</v>
      </c>
      <c r="R265" s="3" cm="1">
        <f t="array" ref="R265">IF(T$252=-1,S265,IF(T$252=99,Q265,IF(T$252=0,INDEX($D258:$K258,0,T$250),(INDEX($D258:$K258,0,T$252+1)-INDEX($D258:$K258,0,T$252))/(INDEX($D$249:$K$249,0,T$252+1)-INDEX($D$249:$K$249,0,T$252))+Q265)))</f>
        <v>0.11948460842115009</v>
      </c>
      <c r="S265" s="3" cm="1">
        <f t="array" ref="S265">IF(U$252=-1,T265,IF(U$252=99,R265,IF(U$252=0,INDEX($D258:$K258,0,U$250),(INDEX($D258:$K258,0,U$252+1)-INDEX($D258:$K258,0,U$252))/(INDEX($D$249:$K$249,0,U$252+1)-INDEX($D$249:$K$249,0,U$252))+R265)))</f>
        <v>0.12050777321959186</v>
      </c>
      <c r="T265" s="3" cm="1">
        <f t="array" ref="T265">IF(V$252=-1,U265,IF(V$252=99,S265,IF(V$252=0,INDEX($D258:$K258,0,V$250),(INDEX($D258:$K258,0,V$252+1)-INDEX($D258:$K258,0,V$252))/(INDEX($D$249:$K$249,0,V$252+1)-INDEX($D$249:$K$249,0,V$252))+S265)))</f>
        <v>0.12153093801803362</v>
      </c>
      <c r="U265" s="3" cm="1">
        <f t="array" ref="U265">IF(W$252=-1,V265,IF(W$252=99,T265,IF(W$252=0,INDEX($D258:$K258,0,W$250),(INDEX($D258:$K258,0,W$252+1)-INDEX($D258:$K258,0,W$252))/(INDEX($D$249:$K$249,0,W$252+1)-INDEX($D$249:$K$249,0,W$252))+T265)))</f>
        <v>0.12255410281647539</v>
      </c>
      <c r="V265" s="3" cm="1">
        <f t="array" ref="V265">IF(X$252=-1,W265,IF(X$252=99,U265,IF(X$252=0,INDEX($D258:$K258,0,X$250),(INDEX($D258:$K258,0,X$252+1)-INDEX($D258:$K258,0,X$252))/(INDEX($D$249:$K$249,0,X$252+1)-INDEX($D$249:$K$249,0,X$252))+U265)))</f>
        <v>0.12357726761491715</v>
      </c>
      <c r="W265" s="3" cm="1">
        <f t="array" ref="W265">IF(Y$252=-1,X265,IF(Y$252=99,V265,IF(Y$252=0,INDEX($D258:$K258,0,Y$250),(INDEX($D258:$K258,0,Y$252+1)-INDEX($D258:$K258,0,Y$252))/(INDEX($D$249:$K$249,0,Y$252+1)-INDEX($D$249:$K$249,0,Y$252))+V265)))</f>
        <v>0.12460043241335891</v>
      </c>
      <c r="X265" s="3" cm="1">
        <f t="array" ref="X265">IF(Z$252=-1,Y265,IF(Z$252=99,W265,IF(Z$252=0,INDEX($D258:$K258,0,Z$250),(INDEX($D258:$K258,0,Z$252+1)-INDEX($D258:$K258,0,Z$252))/(INDEX($D$249:$K$249,0,Z$252+1)-INDEX($D$249:$K$249,0,Z$252))+W265)))</f>
        <v>0.12562359721180069</v>
      </c>
      <c r="Y265" s="3" cm="1">
        <f t="array" ref="Y265">IF(AA$252=-1,Z265,IF(AA$252=99,X265,IF(AA$252=0,INDEX($D258:$K258,0,AA$250),(INDEX($D258:$K258,0,AA$252+1)-INDEX($D258:$K258,0,AA$252))/(INDEX($D$249:$K$249,0,AA$252+1)-INDEX($D$249:$K$249,0,AA$252))+X265)))</f>
        <v>0.12664676201024247</v>
      </c>
      <c r="Z265" s="3" cm="1">
        <f t="array" ref="Z265">IF(AB$252=-1,AA265,IF(AB$252=99,Y265,IF(AB$252=0,INDEX($D258:$K258,0,AB$250),(INDEX($D258:$K258,0,AB$252+1)-INDEX($D258:$K258,0,AB$252))/(INDEX($D$249:$K$249,0,AB$252+1)-INDEX($D$249:$K$249,0,AB$252))+Y265)))</f>
        <v>0.12766992680868425</v>
      </c>
      <c r="AA265" s="3" cm="1">
        <f t="array" ref="AA265">IF(AC$252=-1,AB265,IF(AC$252=99,Z265,IF(AC$252=0,INDEX($D258:$K258,0,AC$250),(INDEX($D258:$K258,0,AC$252+1)-INDEX($D258:$K258,0,AC$252))/(INDEX($D$249:$K$249,0,AC$252+1)-INDEX($D$249:$K$249,0,AC$252))+Z265)))</f>
        <v>0.12869309160712603</v>
      </c>
      <c r="AB265" s="3" cm="1">
        <f t="array" ref="AB265">IF(AD$252=-1,AC265,IF(AD$252=99,AA265,IF(AD$252=0,INDEX($D258:$K258,0,AD$250),(INDEX($D258:$K258,0,AD$252+1)-INDEX($D258:$K258,0,AD$252))/(INDEX($D$249:$K$249,0,AD$252+1)-INDEX($D$249:$K$249,0,AD$252))+AA265)))</f>
        <v>0.12971625640556778</v>
      </c>
      <c r="AC265" s="3" cm="1">
        <f t="array" ref="AC265">IF(AE$252=-1,AD265,IF(AE$252=99,AB265,IF(AE$252=0,INDEX($D258:$K258,0,AE$250),(INDEX($D258:$K258,0,AE$252+1)-INDEX($D258:$K258,0,AE$252))/(INDEX($D$249:$K$249,0,AE$252+1)-INDEX($D$249:$K$249,0,AE$252))+AB265)))</f>
        <v>0.13279080846154342</v>
      </c>
      <c r="AD265" s="3" cm="1">
        <f t="array" ref="AD265">IF(AF$252=-1,AE265,IF(AF$252=99,AC265,IF(AF$252=0,INDEX($D258:$K258,0,AF$250),(INDEX($D258:$K258,0,AF$252+1)-INDEX($D258:$K258,0,AF$252))/(INDEX($D$249:$K$249,0,AF$252+1)-INDEX($D$249:$K$249,0,AF$252))+AC265)))</f>
        <v>0.13586536051751907</v>
      </c>
      <c r="AE265" s="3" cm="1">
        <f t="array" ref="AE265">IF(AG$252=-1,AF265,IF(AG$252=99,AD265,IF(AG$252=0,INDEX($D258:$K258,0,AG$250),(INDEX($D258:$K258,0,AG$252+1)-INDEX($D258:$K258,0,AG$252))/(INDEX($D$249:$K$249,0,AG$252+1)-INDEX($D$249:$K$249,0,AG$252))+AD265)))</f>
        <v>0.13893991257349472</v>
      </c>
      <c r="AF265" s="3" cm="1">
        <f t="array" ref="AF265">IF(AH$252=-1,AG265,IF(AH$252=99,AE265,IF(AH$252=0,INDEX($D258:$K258,0,AH$250),(INDEX($D258:$K258,0,AH$252+1)-INDEX($D258:$K258,0,AH$252))/(INDEX($D$249:$K$249,0,AH$252+1)-INDEX($D$249:$K$249,0,AH$252))+AE265)))</f>
        <v>0.14201446462947037</v>
      </c>
      <c r="AG265" s="3" cm="1">
        <f t="array" ref="AG265">IF(AI$252=-1,AH265,IF(AI$252=99,AF265,IF(AI$252=0,INDEX($D258:$K258,0,AI$250),(INDEX($D258:$K258,0,AI$252+1)-INDEX($D258:$K258,0,AI$252))/(INDEX($D$249:$K$249,0,AI$252+1)-INDEX($D$249:$K$249,0,AI$252))+AF265)))</f>
        <v>0.14508901668544602</v>
      </c>
      <c r="AH265" s="3" cm="1">
        <f t="array" ref="AH265">IF(AJ$252=-1,AI265,IF(AJ$252=99,AG265,IF(AJ$252=0,INDEX($D258:$K258,0,AJ$250),(INDEX($D258:$K258,0,AJ$252+1)-INDEX($D258:$K258,0,AJ$252))/(INDEX($D$249:$K$249,0,AJ$252+1)-INDEX($D$249:$K$249,0,AJ$252))+AG265)))</f>
        <v>0.14816356874142167</v>
      </c>
      <c r="AI265" s="3" cm="1">
        <f t="array" ref="AI265">IF(AK$252=-1,AJ265,IF(AK$252=99,AH265,IF(AK$252=0,INDEX($D258:$K258,0,AK$250),(INDEX($D258:$K258,0,AK$252+1)-INDEX($D258:$K258,0,AK$252))/(INDEX($D$249:$K$249,0,AK$252+1)-INDEX($D$249:$K$249,0,AK$252))+AH265)))</f>
        <v>0.15123812079739732</v>
      </c>
      <c r="AJ265" s="3" cm="1">
        <f t="array" ref="AJ265">IF(AL$252=-1,AK265,IF(AL$252=99,AI265,IF(AL$252=0,INDEX($D258:$K258,0,AL$250),(INDEX($D258:$K258,0,AL$252+1)-INDEX($D258:$K258,0,AL$252))/(INDEX($D$249:$K$249,0,AL$252+1)-INDEX($D$249:$K$249,0,AL$252))+AI265)))</f>
        <v>0.15431267285337297</v>
      </c>
      <c r="AK265" s="3" cm="1">
        <f t="array" ref="AK265">IF(AM$252=-1,AL265,IF(AM$252=99,AJ265,IF(AM$252=0,INDEX($D258:$K258,0,AM$250),(INDEX($D258:$K258,0,AM$252+1)-INDEX($D258:$K258,0,AM$252))/(INDEX($D$249:$K$249,0,AM$252+1)-INDEX($D$249:$K$249,0,AM$252))+AJ265)))</f>
        <v>0.15738722490934862</v>
      </c>
      <c r="AL265" s="3" cm="1">
        <f t="array" ref="AL265">IF(AN$252=-1,AM265,IF(AN$252=99,AK265,IF(AN$252=0,INDEX($D258:$K258,0,AN$250),(INDEX($D258:$K258,0,AN$252+1)-INDEX($D258:$K258,0,AN$252))/(INDEX($D$249:$K$249,0,AN$252+1)-INDEX($D$249:$K$249,0,AN$252))+AK265)))</f>
        <v>0.16046177696532421</v>
      </c>
      <c r="AM265" s="3" cm="1">
        <f t="array" ref="AM265">IF(AO$252=-1,AN265,IF(AO$252=99,AL265,IF(AO$252=0,INDEX($D258:$K258,0,AO$250),(INDEX($D258:$K258,0,AO$252+1)-INDEX($D258:$K258,0,AO$252))/(INDEX($D$249:$K$249,0,AO$252+1)-INDEX($D$249:$K$249,0,AO$252))+AL265)))</f>
        <v>0.16173866532936657</v>
      </c>
      <c r="AN265" s="3" cm="1">
        <f t="array" ref="AN265">IF(AP$252=-1,AO265,IF(AP$252=99,AM265,IF(AP$252=0,INDEX($D258:$K258,0,AP$250),(INDEX($D258:$K258,0,AP$252+1)-INDEX($D258:$K258,0,AP$252))/(INDEX($D$249:$K$249,0,AP$252+1)-INDEX($D$249:$K$249,0,AP$252))+AM265)))</f>
        <v>0.16301555369340892</v>
      </c>
      <c r="AO265" s="3" cm="1">
        <f t="array" ref="AO265">IF(AQ$252=-1,AP265,IF(AQ$252=99,AN265,IF(AQ$252=0,INDEX($D258:$K258,0,AQ$250),(INDEX($D258:$K258,0,AQ$252+1)-INDEX($D258:$K258,0,AQ$252))/(INDEX($D$249:$K$249,0,AQ$252+1)-INDEX($D$249:$K$249,0,AQ$252))+AN265)))</f>
        <v>0.16429244205745128</v>
      </c>
      <c r="AP265" s="3" cm="1">
        <f t="array" ref="AP265">IF(AR$252=-1,AQ265,IF(AR$252=99,AO265,IF(AR$252=0,INDEX($D258:$K258,0,AR$250),(INDEX($D258:$K258,0,AR$252+1)-INDEX($D258:$K258,0,AR$252))/(INDEX($D$249:$K$249,0,AR$252+1)-INDEX($D$249:$K$249,0,AR$252))+AO265)))</f>
        <v>0.16556933042149363</v>
      </c>
      <c r="AQ265" s="3" cm="1">
        <f t="array" ref="AQ265">IF(AS$252=-1,AR265,IF(AS$252=99,AP265,IF(AS$252=0,INDEX($D258:$K258,0,AS$250),(INDEX($D258:$K258,0,AS$252+1)-INDEX($D258:$K258,0,AS$252))/(INDEX($D$249:$K$249,0,AS$252+1)-INDEX($D$249:$K$249,0,AS$252))+AP265)))</f>
        <v>0.16684621878553599</v>
      </c>
      <c r="AR265" s="3" cm="1">
        <f t="array" ref="AR265">IF(AT$252=-1,AW265,IF(AT$252=99,AQ265,IF(AT$252=0,INDEX($D258:$K258,0,AT$250),(INDEX($D258:$K258,0,AT$252+1)-INDEX($D258:$K258,0,AT$252))/(INDEX($D$249:$K$249,0,AT$252+1)-INDEX($D$249:$K$249,0,AT$252))+AQ265)))</f>
        <v>0.16812310714957834</v>
      </c>
      <c r="AS265" s="3" cm="1">
        <f t="array" ref="AS265">IF(AU$252=-1,AX265,IF(AU$252=99,AR265,IF(AU$252=0,INDEX($D258:$K258,0,AU$250),(INDEX($D258:$K258,0,AU$252+1)-INDEX($D258:$K258,0,AU$252))/(INDEX($D$249:$K$249,0,AU$252+1)-INDEX($D$249:$K$249,0,AU$252))+AR265)))</f>
        <v>0.1693999955136207</v>
      </c>
      <c r="AT265" s="3" cm="1">
        <f t="array" ref="AT265">IF(AV$252=-1,AY265,IF(AV$252=99,AS265,IF(AV$252=0,INDEX($D258:$K258,0,AV$250),(INDEX($D258:$K258,0,AV$252+1)-INDEX($D258:$K258,0,AV$252))/(INDEX($D$249:$K$249,0,AV$252+1)-INDEX($D$249:$K$249,0,AV$252))+AS265)))</f>
        <v>0.17067688387766305</v>
      </c>
      <c r="AU265" s="3" cm="1">
        <f t="array" ref="AU265">IF(AW$252=-1,AZ265,IF(AW$252=99,AT265,IF(AW$252=0,INDEX($D258:$K258,0,AW$250),(INDEX($D258:$K258,0,AW$252+1)-INDEX($D258:$K258,0,AW$252))/(INDEX($D$249:$K$249,0,AW$252+1)-INDEX($D$249:$K$249,0,AW$252))+AT265)))</f>
        <v>0.17195377224170541</v>
      </c>
      <c r="AV265" s="3" cm="1">
        <f t="array" ref="AV265">IF(AX$252=-1,BA265,IF(AX$252=99,AU265,IF(AX$252=0,INDEX($D258:$K258,0,AX$250),(INDEX($D258:$K258,0,AX$252+1)-INDEX($D258:$K258,0,AX$252))/(INDEX($D$249:$K$249,0,AX$252+1)-INDEX($D$249:$K$249,0,AX$252))+AU265)))</f>
        <v>0.17323066060574788</v>
      </c>
      <c r="AW265" s="3" cm="1">
        <f t="array" ref="AW265">IF(AY$252=-1,BB265,IF(AY$252=99,AV265,IF(AY$252=0,INDEX($D258:$K258,0,AY$250),(INDEX($D258:$K258,0,AY$252+1)-INDEX($D258:$K258,0,AY$252))/(INDEX($D$249:$K$249,0,AY$252+1)-INDEX($D$249:$K$249,0,AY$252))+AV265)))</f>
        <v>0.17323066060574788</v>
      </c>
      <c r="AX265" s="3" cm="1">
        <f t="array" ref="AX265">IF(AV$252=-1,AZ265,IF(AV$252=99,AW265,IF(AV$252=0,INDEX($D258:$K258,0,AV$250),(INDEX($D258:$K258,0,AV$252+1)-INDEX($D258:$K258,0,AV$252))/(INDEX($D$249:$K$249,0,AV$252+1)-INDEX($D$249:$K$249,0,AV$252))+AW265)))</f>
        <v>0.17450754896979023</v>
      </c>
      <c r="AY265" s="3" cm="1">
        <f t="array" ref="AY265">IF(AW$252=-1,BA265,IF(AW$252=99,AX265,IF(AW$252=0,INDEX($D258:$K258,0,AW$250),(INDEX($D258:$K258,0,AW$252+1)-INDEX($D258:$K258,0,AW$252))/(INDEX($D$249:$K$249,0,AW$252+1)-INDEX($D$249:$K$249,0,AW$252))+AX265)))</f>
        <v>0.17578443733383259</v>
      </c>
      <c r="AZ265" s="3" cm="1">
        <f t="array" ref="AZ265">IF(AX$252=-1,BB265,IF(AX$252=99,AY265,IF(AX$252=0,INDEX($D258:$K258,0,AX$250),(INDEX($D258:$K258,0,AX$252+1)-INDEX($D258:$K258,0,AX$252))/(INDEX($D$249:$K$249,0,AX$252+1)-INDEX($D$249:$K$249,0,AX$252))+AY265)))</f>
        <v>0.17323066060574788</v>
      </c>
      <c r="BA265" s="3" cm="1">
        <f t="array" ref="BA265">IF(AY$252=-1,BC265,IF(AY$252=99,AZ265,IF(AY$252=0,INDEX($D258:$K258,0,AY$250),(INDEX($D258:$K258,0,AY$252+1)-INDEX($D258:$K258,0,AY$252))/(INDEX($D$249:$K$249,0,AY$252+1)-INDEX($D$249:$K$249,0,AY$252))+AZ265)))</f>
        <v>0.17323066060574788</v>
      </c>
      <c r="BB265" s="3" cm="1">
        <f t="array" ref="BB265">IF(AZ$252=-1,BD265,IF(AZ$252=99,BA265,IF(AZ$252=0,INDEX($D258:$K258,0,AZ$250),(INDEX($D258:$K258,0,AZ$252+1)-INDEX($D258:$K258,0,AZ$252))/(INDEX($D$249:$K$249,0,AZ$252+1)-INDEX($D$249:$K$249,0,AZ$252))+BA265)))</f>
        <v>0.17323066060574788</v>
      </c>
      <c r="BC265" s="3" cm="1">
        <f t="array" ref="BC265">IF(BA$252=-1,BE265,IF(BA$252=99,BB265,IF(BA$252=0,INDEX($D258:$K258,0,BA$250),(INDEX($D258:$K258,0,BA$252+1)-INDEX($D258:$K258,0,BA$252))/(INDEX($D$249:$K$249,0,BA$252+1)-INDEX($D$249:$K$249,0,BA$252))+BB265)))</f>
        <v>0.17323066060574788</v>
      </c>
      <c r="BD265" s="3" cm="1">
        <f t="array" ref="BD265">IF(BB$252=-1,BF265,IF(BB$252=99,BC265,IF(BB$252=0,INDEX($D258:$K258,0,BB$250),(INDEX($D258:$K258,0,BB$252+1)-INDEX($D258:$K258,0,BB$252))/(INDEX($D$249:$K$249,0,BB$252+1)-INDEX($D$249:$K$249,0,BB$252))+BC265)))</f>
        <v>0.17323066060574788</v>
      </c>
    </row>
    <row r="266" spans="1:56">
      <c r="A266" t="s">
        <v>16</v>
      </c>
    </row>
    <row r="267" spans="1:56">
      <c r="A267" t="s">
        <v>16</v>
      </c>
    </row>
    <row r="268" spans="1:56">
      <c r="A268" t="s">
        <v>16</v>
      </c>
    </row>
    <row r="269" spans="1:56">
      <c r="A269" t="s">
        <v>16</v>
      </c>
    </row>
    <row r="270" spans="1:56">
      <c r="A270" t="s">
        <v>16</v>
      </c>
    </row>
    <row r="271" spans="1:56">
      <c r="A271" t="s">
        <v>16</v>
      </c>
    </row>
    <row r="272" spans="1:56">
      <c r="A272" t="s">
        <v>16</v>
      </c>
    </row>
    <row r="273" spans="1:1">
      <c r="A273" t="s">
        <v>16</v>
      </c>
    </row>
    <row r="274" spans="1:1">
      <c r="A274" t="s">
        <v>16</v>
      </c>
    </row>
    <row r="275" spans="1:1">
      <c r="A275" t="s">
        <v>16</v>
      </c>
    </row>
    <row r="276" spans="1:1">
      <c r="A276" t="s">
        <v>16</v>
      </c>
    </row>
    <row r="277" spans="1:1">
      <c r="A277" t="s">
        <v>16</v>
      </c>
    </row>
    <row r="278" spans="1:1">
      <c r="A278" t="s">
        <v>16</v>
      </c>
    </row>
    <row r="279" spans="1:1">
      <c r="A279" t="s">
        <v>16</v>
      </c>
    </row>
    <row r="280" spans="1:1">
      <c r="A280" t="s">
        <v>16</v>
      </c>
    </row>
    <row r="281" spans="1:1">
      <c r="A281" t="s">
        <v>16</v>
      </c>
    </row>
    <row r="282" spans="1:1">
      <c r="A282"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workbookViewId="0">
      <selection activeCell="B5" sqref="B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4"/>
    </row>
    <row r="2" spans="1:43" ht="15.75" thickBot="1">
      <c r="A2" t="s">
        <v>16</v>
      </c>
      <c r="B2" s="311" t="s">
        <v>296</v>
      </c>
      <c r="C2" s="311"/>
      <c r="J2" s="34"/>
    </row>
    <row r="3" spans="1:43">
      <c r="A3" t="s">
        <v>16</v>
      </c>
      <c r="B3" s="232" t="s">
        <v>628</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MATCH(R4,Drivers!$C$5:$AG$5,0)</f>
        <v>31</v>
      </c>
      <c r="AD3" s="12"/>
      <c r="AE3" s="12"/>
      <c r="AF3" s="12"/>
      <c r="AG3" s="12"/>
      <c r="AH3" s="12"/>
      <c r="AI3" s="12"/>
      <c r="AJ3" s="12"/>
      <c r="AK3" s="12"/>
      <c r="AL3" s="12"/>
      <c r="AM3" s="12"/>
      <c r="AN3" s="12"/>
      <c r="AO3" s="12"/>
      <c r="AP3" s="12"/>
      <c r="AQ3" s="12"/>
    </row>
    <row r="4" spans="1:43" ht="18" thickBot="1">
      <c r="A4" t="s">
        <v>16</v>
      </c>
      <c r="B4" s="54" t="s">
        <v>156</v>
      </c>
      <c r="C4" s="9"/>
      <c r="D4" s="9" t="s">
        <v>135</v>
      </c>
      <c r="E4" s="9"/>
      <c r="F4" s="9"/>
      <c r="G4" s="9"/>
      <c r="H4" s="9"/>
      <c r="I4" s="9" t="s">
        <v>135</v>
      </c>
      <c r="J4">
        <v>2012</v>
      </c>
      <c r="K4">
        <v>2015</v>
      </c>
      <c r="L4">
        <v>2017</v>
      </c>
      <c r="M4">
        <v>2019</v>
      </c>
      <c r="N4">
        <v>2020</v>
      </c>
      <c r="O4">
        <v>2021</v>
      </c>
      <c r="P4">
        <v>2030</v>
      </c>
      <c r="Q4">
        <v>2040</v>
      </c>
      <c r="R4">
        <v>2050</v>
      </c>
    </row>
    <row r="5" spans="1:43" ht="15.75" thickTop="1">
      <c r="A5" t="s">
        <v>16</v>
      </c>
      <c r="B5" s="3" t="s">
        <v>595</v>
      </c>
      <c r="C5" s="3" t="s">
        <v>596</v>
      </c>
      <c r="D5">
        <f>MATCH(B5,Drivers!$A$7:$A$25,0)</f>
        <v>19</v>
      </c>
      <c r="E5" s="3"/>
      <c r="J5" s="18" cm="1">
        <f t="array" ref="J5">INDEX(Drivers!$C$7:$AG$25,$D5,J$3)</f>
        <v>6.4158612357306808</v>
      </c>
      <c r="K5" s="18" cm="1">
        <f t="array" ref="K5">INDEX(Drivers!$C$7:$AG$25,$D5,K$3)</f>
        <v>6.9251895229982949</v>
      </c>
      <c r="L5" s="18" cm="1">
        <f t="array" ref="L5">INDEX(Drivers!$C$7:$AG$25,$D5,L$3)</f>
        <v>7.0969867972742753</v>
      </c>
      <c r="M5" s="18" cm="1">
        <f t="array" ref="M5">INDEX(Drivers!$C$7:$AG$25,$D5,M$3)</f>
        <v>7.29</v>
      </c>
      <c r="N5" s="18" cm="1">
        <f t="array" ref="N5">INDEX(Drivers!$C$7:$AG$25,$D5,N$3)</f>
        <v>6.9</v>
      </c>
      <c r="O5" s="18" cm="1">
        <f t="array" ref="O5">INDEX(Drivers!$C$7:$AG$25,$D5,O$3)</f>
        <v>7.2243589743589753</v>
      </c>
      <c r="P5" s="18" cm="1">
        <f t="array" ref="P5">INDEX(Drivers!$C$7:$AG$25,$D5,P$3)</f>
        <v>9.0623931623931657</v>
      </c>
      <c r="Q5" s="18" cm="1">
        <f t="array" ref="Q5">INDEX(Drivers!$C$7:$AG$25,$D5,Q$3)</f>
        <v>11.234615384615383</v>
      </c>
      <c r="R5" s="18" cm="1">
        <f t="array" ref="R5">INDEX(Drivers!$C$7:$AG$25,$D5,R$3)</f>
        <v>13.377350427350425</v>
      </c>
      <c r="S5" s="3"/>
      <c r="T5" s="3"/>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689</v>
      </c>
      <c r="V6" s="3"/>
      <c r="W6" s="3"/>
      <c r="X6" s="3"/>
      <c r="Y6" s="3"/>
      <c r="Z6" s="3"/>
      <c r="AA6" s="3"/>
      <c r="AB6" s="3"/>
      <c r="AC6" s="3"/>
      <c r="AD6" s="3"/>
      <c r="AE6" s="3"/>
      <c r="AF6" s="3"/>
      <c r="AG6" s="3"/>
      <c r="AH6" s="3"/>
      <c r="AI6" s="3"/>
      <c r="AJ6" s="3"/>
      <c r="AK6" s="3"/>
      <c r="AL6" s="3"/>
      <c r="AM6" s="3"/>
      <c r="AN6" s="3"/>
      <c r="AO6" s="3"/>
    </row>
    <row r="7" spans="1:43" ht="15.75" thickBot="1">
      <c r="A7" t="s">
        <v>16</v>
      </c>
      <c r="B7" s="9" t="s">
        <v>105</v>
      </c>
      <c r="C7" s="9"/>
      <c r="D7">
        <f>D32</f>
        <v>2012</v>
      </c>
      <c r="E7">
        <f>E32</f>
        <v>2015</v>
      </c>
      <c r="F7">
        <f>F32</f>
        <v>2020</v>
      </c>
      <c r="G7">
        <f>G32</f>
        <v>2030</v>
      </c>
      <c r="H7">
        <f>H32</f>
        <v>2050</v>
      </c>
      <c r="U7" s="301" t="str">
        <f>$C$14</f>
        <v>No improvement</v>
      </c>
      <c r="V7" s="301"/>
      <c r="W7" s="301"/>
      <c r="X7" s="301"/>
      <c r="Y7" s="301"/>
      <c r="Z7" s="301"/>
      <c r="AA7" s="105"/>
      <c r="AB7" s="105"/>
      <c r="AC7" s="105"/>
      <c r="AD7" s="105"/>
      <c r="AE7" s="105"/>
      <c r="AF7" s="105"/>
      <c r="AG7" s="105"/>
      <c r="AH7" s="105"/>
      <c r="AI7" s="105"/>
      <c r="AJ7" s="105"/>
      <c r="AK7" s="105"/>
      <c r="AL7" s="105"/>
      <c r="AM7" s="105"/>
      <c r="AN7" s="3"/>
    </row>
    <row r="8" spans="1:43">
      <c r="A8" t="s">
        <v>16</v>
      </c>
      <c r="B8" t="s">
        <v>700</v>
      </c>
      <c r="U8" t="s">
        <v>692</v>
      </c>
      <c r="AB8" s="298">
        <v>2012</v>
      </c>
      <c r="AC8" s="298">
        <v>2013</v>
      </c>
      <c r="AD8" s="298">
        <v>2014</v>
      </c>
      <c r="AE8" s="298">
        <v>2015</v>
      </c>
      <c r="AF8" s="298">
        <v>2016</v>
      </c>
      <c r="AG8" s="298">
        <v>2017</v>
      </c>
      <c r="AH8" s="298">
        <v>2018</v>
      </c>
      <c r="AI8" s="298">
        <v>2019</v>
      </c>
      <c r="AJ8" s="299">
        <v>2020</v>
      </c>
      <c r="AK8" s="299">
        <v>2030</v>
      </c>
      <c r="AL8" s="299">
        <v>2040</v>
      </c>
      <c r="AM8" s="299">
        <v>2050</v>
      </c>
      <c r="AN8" s="3"/>
    </row>
    <row r="9" spans="1:43">
      <c r="A9" t="s">
        <v>16</v>
      </c>
      <c r="U9" t="s">
        <v>693</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s="3"/>
    </row>
    <row r="10" spans="1:43">
      <c r="A10" t="s">
        <v>16</v>
      </c>
      <c r="AN10" s="3"/>
    </row>
    <row r="11" spans="1:43">
      <c r="A11" t="s">
        <v>16</v>
      </c>
      <c r="U11" t="s">
        <v>690</v>
      </c>
      <c r="Y11" s="302" t="s">
        <v>697</v>
      </c>
      <c r="AI11" s="3">
        <f>AI30</f>
        <v>10.9</v>
      </c>
      <c r="AK11" s="3">
        <f>AJ29+AI$9-AI11</f>
        <v>10.999999999999998</v>
      </c>
      <c r="AM11" s="3">
        <f>AK29+AI9-AI11</f>
        <v>10.1</v>
      </c>
      <c r="AN11" s="3"/>
    </row>
    <row r="12" spans="1:43">
      <c r="A12" t="s">
        <v>16</v>
      </c>
      <c r="U12" t="s">
        <v>691</v>
      </c>
      <c r="Y12" t="s">
        <v>696</v>
      </c>
      <c r="AI12" s="3">
        <f>AI30</f>
        <v>10.9</v>
      </c>
      <c r="AK12" s="3">
        <f>AJ30</f>
        <v>7.2</v>
      </c>
      <c r="AM12" s="3">
        <f>AK30</f>
        <v>6.1</v>
      </c>
      <c r="AN12" s="3"/>
    </row>
    <row r="13" spans="1:43">
      <c r="A13" t="s">
        <v>16</v>
      </c>
      <c r="AN13" s="3"/>
    </row>
    <row r="14" spans="1:43">
      <c r="A14" t="s">
        <v>16</v>
      </c>
      <c r="B14" s="45" t="s">
        <v>93</v>
      </c>
      <c r="C14" s="300"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6"/>
      <c r="T14" s="6"/>
      <c r="U14" t="s">
        <v>695</v>
      </c>
      <c r="AG14">
        <v>1</v>
      </c>
      <c r="AJ14">
        <v>1</v>
      </c>
      <c r="AK14">
        <v>1</v>
      </c>
      <c r="AL14">
        <v>1</v>
      </c>
      <c r="AM14">
        <v>1</v>
      </c>
      <c r="AN14" s="3"/>
    </row>
    <row r="15" spans="1:43">
      <c r="A15" t="s">
        <v>16</v>
      </c>
      <c r="B15" s="45" t="s">
        <v>106</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6"/>
      <c r="T15" s="6"/>
      <c r="U15" t="s">
        <v>690</v>
      </c>
      <c r="W15" t="s">
        <v>48</v>
      </c>
      <c r="X15" t="s">
        <v>694</v>
      </c>
      <c r="AG15">
        <f>AG9/AG9</f>
        <v>1</v>
      </c>
      <c r="AJ15">
        <v>1</v>
      </c>
      <c r="AK15">
        <f>AK11/AF9</f>
        <v>0.82706766917293217</v>
      </c>
      <c r="AL15">
        <f>AVERAGE(AK15,AM15)</f>
        <v>0.8019953730480045</v>
      </c>
      <c r="AM15">
        <f>AM11/AG9</f>
        <v>0.77692307692307694</v>
      </c>
      <c r="AN15" s="3"/>
    </row>
    <row r="16" spans="1:43">
      <c r="A16" t="s">
        <v>16</v>
      </c>
      <c r="B16" t="s">
        <v>95</v>
      </c>
      <c r="C16" t="s">
        <v>695</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c r="T16" s="6"/>
      <c r="U16" t="s">
        <v>691</v>
      </c>
      <c r="V16" s="6"/>
      <c r="W16" s="6" t="s">
        <v>48</v>
      </c>
      <c r="X16" t="s">
        <v>694</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103</v>
      </c>
      <c r="C19" s="9"/>
      <c r="D19">
        <f>D7</f>
        <v>2012</v>
      </c>
      <c r="E19">
        <f>E7</f>
        <v>2015</v>
      </c>
      <c r="F19">
        <f>F7</f>
        <v>2020</v>
      </c>
      <c r="G19">
        <f>G7</f>
        <v>2030</v>
      </c>
      <c r="H19">
        <f>H7</f>
        <v>2050</v>
      </c>
      <c r="I19" s="44"/>
    </row>
    <row r="20" spans="1:43">
      <c r="A20" t="s">
        <v>16</v>
      </c>
      <c r="B20" t="s">
        <v>92</v>
      </c>
      <c r="E20" s="3"/>
      <c r="F20" s="3"/>
      <c r="G20" s="3"/>
      <c r="H20" s="3"/>
    </row>
    <row r="21" spans="1:43">
      <c r="A21" t="s">
        <v>16</v>
      </c>
      <c r="B21" t="s">
        <v>93</v>
      </c>
      <c r="C21" s="3">
        <v>1</v>
      </c>
      <c r="D21" s="3">
        <f>C21</f>
        <v>1</v>
      </c>
      <c r="E21" s="3">
        <f>D21</f>
        <v>1</v>
      </c>
      <c r="F21" s="3">
        <f>E21</f>
        <v>1</v>
      </c>
      <c r="G21" s="3">
        <f>F21</f>
        <v>1</v>
      </c>
      <c r="H21" s="3">
        <f>G21</f>
        <v>1</v>
      </c>
      <c r="I21" s="22" t="s">
        <v>38</v>
      </c>
      <c r="J21" s="101">
        <f>E27</f>
        <v>60.368000000000002</v>
      </c>
      <c r="K21" s="30">
        <f>J21*(1+$C$21*(K5/J5-1))</f>
        <v>65.160362072068665</v>
      </c>
      <c r="L21" s="30">
        <f>K21*(1+$C$21*(L5/K5-1))</f>
        <v>66.776833730734651</v>
      </c>
      <c r="M21" s="30">
        <f>L21*(1+$C$21*(M5/L5-1))</f>
        <v>68.592929901464814</v>
      </c>
      <c r="N21" s="30">
        <f>M21*(1+$C$21*(N5/M5-1))</f>
        <v>64.92334928945229</v>
      </c>
      <c r="O21" s="30">
        <f>N21*(1+$C$21*(O5/N5-1))</f>
        <v>67.975301606477828</v>
      </c>
      <c r="P21" s="30">
        <f>N21*(1+$C$21*(P5/N5-1))</f>
        <v>85.269698069622549</v>
      </c>
      <c r="Q21" s="30">
        <f>P21*(1+$C$21*(Q5/P5-1))</f>
        <v>105.70853025333896</v>
      </c>
      <c r="R21" s="30">
        <f>Q21*(1+$C$21*(R5/Q5-1))</f>
        <v>125.86991222641673</v>
      </c>
      <c r="S21" s="30"/>
      <c r="T21" s="30"/>
      <c r="V21" s="30"/>
      <c r="W21" s="30"/>
      <c r="X21" s="30"/>
      <c r="Y21" s="30"/>
      <c r="Z21" s="30"/>
      <c r="AA21" s="30"/>
      <c r="AB21" s="30"/>
      <c r="AC21" s="30"/>
      <c r="AD21" s="30"/>
      <c r="AE21" s="30"/>
      <c r="AF21" s="30"/>
      <c r="AG21" s="30"/>
      <c r="AH21" s="30"/>
      <c r="AI21" s="30"/>
    </row>
    <row r="22" spans="1:43">
      <c r="A22" t="s">
        <v>16</v>
      </c>
      <c r="B22" t="s">
        <v>94</v>
      </c>
      <c r="C22" s="3">
        <v>1</v>
      </c>
      <c r="D22" s="3">
        <v>1</v>
      </c>
      <c r="E22" s="3">
        <v>1</v>
      </c>
      <c r="F22" s="3">
        <v>1</v>
      </c>
      <c r="G22" s="3">
        <v>1</v>
      </c>
      <c r="H22" s="3">
        <v>1</v>
      </c>
      <c r="I22" s="22" t="s">
        <v>38</v>
      </c>
      <c r="J22" s="101">
        <f>E28</f>
        <v>20.123000000000001</v>
      </c>
      <c r="K22" s="30">
        <f>J22*(1+$C$22*(K5/J5-1))</f>
        <v>21.720480485956763</v>
      </c>
      <c r="L22" s="30">
        <f>K22*(1+$C$22*(L5/K5-1))</f>
        <v>22.259313297832851</v>
      </c>
      <c r="M22" s="30">
        <f>L22*(1+$C$22*(M5/L5-1))</f>
        <v>22.864688715994838</v>
      </c>
      <c r="N22" s="30">
        <f>M22*(1+$C$22*(N5/M5-1))</f>
        <v>21.641474916373717</v>
      </c>
      <c r="O22" s="30">
        <f>N22*(1+$C$22*(O5/N5-1))</f>
        <v>22.658809207314363</v>
      </c>
      <c r="P22" s="30">
        <f>N22*(1+$C$22*(P5/N5-1))</f>
        <v>28.42370352264469</v>
      </c>
      <c r="Q22" s="30">
        <f>P22*(1+$C$22*(Q5/P5-1))</f>
        <v>35.236760440762325</v>
      </c>
      <c r="R22" s="30">
        <f>Q22*(1+$C$22*(R5/Q5-1))</f>
        <v>41.957332423339913</v>
      </c>
      <c r="S22" s="30"/>
      <c r="T22" s="30"/>
      <c r="V22" s="30"/>
      <c r="W22" s="30"/>
      <c r="X22" s="30"/>
      <c r="Y22" s="30"/>
      <c r="Z22" s="30"/>
      <c r="AA22" s="30"/>
      <c r="AB22" s="30"/>
      <c r="AC22" s="30"/>
      <c r="AD22" s="30"/>
      <c r="AE22" s="30"/>
      <c r="AF22" s="30"/>
      <c r="AG22" s="30"/>
      <c r="AH22" s="30"/>
      <c r="AI22" s="30"/>
    </row>
    <row r="23" spans="1:43">
      <c r="A23" t="s">
        <v>16</v>
      </c>
      <c r="B23" t="s">
        <v>94</v>
      </c>
      <c r="C23" s="3">
        <v>1</v>
      </c>
      <c r="D23" s="3">
        <v>1</v>
      </c>
      <c r="E23" s="3">
        <v>1</v>
      </c>
      <c r="F23" s="3">
        <v>1</v>
      </c>
      <c r="G23" s="3">
        <v>1</v>
      </c>
      <c r="H23" s="3">
        <v>1</v>
      </c>
      <c r="I23" s="22" t="s">
        <v>38</v>
      </c>
      <c r="J23" s="101">
        <f>E29</f>
        <v>1.0701311035156249</v>
      </c>
      <c r="K23" s="30">
        <f>J23*(1+$C$23*(K5/J5-1))</f>
        <v>1.155084319004448</v>
      </c>
      <c r="L23" s="30">
        <f>K23*(1+$C$23*(L5/K5-1))</f>
        <v>1.1837391791934546</v>
      </c>
      <c r="M23" s="30">
        <f>L23*(1+$C$23*(M5/L5-1))</f>
        <v>1.2159327419961641</v>
      </c>
      <c r="N23" s="30">
        <f>M23*(1+$C$23*(N5/M5-1))</f>
        <v>1.1508828422185915</v>
      </c>
      <c r="O23" s="30">
        <f>N23*(1+$C$23*(O5/N5-1))</f>
        <v>1.2049841724083543</v>
      </c>
      <c r="P23" s="30">
        <f>N23*(1+$C$23*(P5/N5-1))</f>
        <v>1.5115583768170109</v>
      </c>
      <c r="Q23" s="30">
        <f>P23*(1+$C$23*(Q5/P5-1))</f>
        <v>1.8738733456636036</v>
      </c>
      <c r="R23" s="30">
        <f>Q23*(1+$C$23*(R5/Q5-1))</f>
        <v>2.2312700117656732</v>
      </c>
      <c r="S23" s="30"/>
      <c r="T23" s="30"/>
      <c r="U23" s="30"/>
      <c r="V23" s="30"/>
      <c r="W23" s="30"/>
      <c r="X23" s="30"/>
      <c r="Y23" s="30"/>
      <c r="Z23" s="30"/>
      <c r="AA23" s="30"/>
      <c r="AB23" s="30"/>
      <c r="AC23" s="30"/>
      <c r="AD23" s="30"/>
      <c r="AE23" s="30"/>
      <c r="AF23" s="30"/>
      <c r="AG23" s="30"/>
      <c r="AH23" s="30"/>
      <c r="AI23" s="30"/>
    </row>
    <row r="24" spans="1:43">
      <c r="A24" t="s">
        <v>16</v>
      </c>
      <c r="H24" s="6"/>
      <c r="I24" s="6"/>
      <c r="J24" s="6"/>
      <c r="K24" s="7"/>
      <c r="L24" s="7"/>
    </row>
    <row r="25" spans="1:43">
      <c r="A25" t="s">
        <v>16</v>
      </c>
      <c r="H25" s="6"/>
      <c r="I25" s="6"/>
    </row>
    <row r="26" spans="1:43">
      <c r="A26" t="s">
        <v>16</v>
      </c>
      <c r="C26" s="2" t="s">
        <v>97</v>
      </c>
      <c r="E26" t="s">
        <v>15</v>
      </c>
    </row>
    <row r="27" spans="1:43">
      <c r="A27" t="s">
        <v>16</v>
      </c>
      <c r="B27" s="3" t="str">
        <f>ITEMS_TRA!C30</f>
        <v>TAIJET</v>
      </c>
      <c r="C27" s="3" t="str">
        <f>ITEMS_TRA!D30</f>
        <v xml:space="preserve">Transport Other -  Aviation Int Jet Fuel </v>
      </c>
      <c r="D27" s="22" t="s">
        <v>38</v>
      </c>
      <c r="E27" s="160">
        <f>'[2]TS BYDem'!$J34</f>
        <v>60.368000000000002</v>
      </c>
      <c r="F27" s="3"/>
      <c r="J27" s="3">
        <f>E27</f>
        <v>60.368000000000002</v>
      </c>
      <c r="K27" s="3">
        <f>(K21*K14)</f>
        <v>65.160362072068665</v>
      </c>
      <c r="L27" s="243">
        <v>68.939278175231294</v>
      </c>
      <c r="M27" s="3">
        <f t="shared" ref="M27:R27" si="10">(M21*M14)</f>
        <v>68.592929901464814</v>
      </c>
      <c r="N27" s="3">
        <f t="shared" si="10"/>
        <v>64.92334928945229</v>
      </c>
      <c r="O27" s="3">
        <f t="shared" si="10"/>
        <v>67.975301606477828</v>
      </c>
      <c r="P27" s="3">
        <f t="shared" si="10"/>
        <v>85.269698069622549</v>
      </c>
      <c r="Q27" s="3">
        <f t="shared" si="10"/>
        <v>105.70853025333896</v>
      </c>
      <c r="R27" s="3">
        <f t="shared" si="10"/>
        <v>125.86991222641673</v>
      </c>
      <c r="S27" s="3"/>
      <c r="T27" s="3"/>
      <c r="U27" s="3" t="s">
        <v>701</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tr">
        <f>ITEMS_TRA!C31</f>
        <v>TADJET</v>
      </c>
      <c r="C28" s="3" t="str">
        <f>ITEMS_TRA!D31</f>
        <v xml:space="preserve">Transport Other -  Aviation Dom Jet Fuel </v>
      </c>
      <c r="D28" s="22" t="s">
        <v>38</v>
      </c>
      <c r="E28" s="160">
        <f>'[2]TS BYDem'!$J35</f>
        <v>20.123000000000001</v>
      </c>
      <c r="F28" s="3"/>
      <c r="J28" s="3">
        <f>E28</f>
        <v>20.123000000000001</v>
      </c>
      <c r="K28" s="3">
        <f>(K22*K15)</f>
        <v>21.720480485956763</v>
      </c>
      <c r="L28" s="244">
        <v>20.465228059152793</v>
      </c>
      <c r="M28" s="3">
        <f t="shared" ref="M28" si="11">(M22*M15)</f>
        <v>22.864688715994838</v>
      </c>
      <c r="N28" s="3">
        <f t="shared" ref="N28" si="12">(N22*N15)</f>
        <v>21.641474916373717</v>
      </c>
      <c r="O28" s="3">
        <f t="shared" ref="O28" si="13">(O22*O15)</f>
        <v>22.658809207314363</v>
      </c>
      <c r="P28" s="3">
        <f t="shared" ref="P28:R29" si="14">(P22*P15)</f>
        <v>28.42370352264469</v>
      </c>
      <c r="Q28" s="3">
        <f t="shared" si="14"/>
        <v>35.236760440762325</v>
      </c>
      <c r="R28" s="3">
        <f t="shared" si="14"/>
        <v>41.957332423339913</v>
      </c>
      <c r="S28" s="3"/>
      <c r="T28" s="3"/>
      <c r="U28" t="s">
        <v>700</v>
      </c>
      <c r="AF28" s="303"/>
      <c r="AG28" s="304">
        <v>2017</v>
      </c>
      <c r="AH28" s="304">
        <v>2018</v>
      </c>
      <c r="AI28" s="304">
        <v>2019</v>
      </c>
      <c r="AJ28" s="304">
        <v>2025</v>
      </c>
      <c r="AK28" s="304">
        <v>2030</v>
      </c>
      <c r="AN28" s="3"/>
      <c r="AO28" s="3"/>
      <c r="AP28" s="3"/>
      <c r="AQ28" s="3"/>
    </row>
    <row r="29" spans="1:43">
      <c r="A29" t="s">
        <v>16</v>
      </c>
      <c r="B29" s="3" t="str">
        <f>ITEMS_TRA!C32</f>
        <v>TAOAG</v>
      </c>
      <c r="C29" s="3" t="str">
        <f>ITEMS_TRA!D32</f>
        <v>Transport Other - Aviation Gasoline</v>
      </c>
      <c r="D29" s="22" t="s">
        <v>38</v>
      </c>
      <c r="E29" s="160">
        <f>'[2]TS BYDem'!$J36</f>
        <v>1.0701311035156249</v>
      </c>
      <c r="F29" s="3"/>
      <c r="J29" s="3">
        <f t="shared" ref="J29" si="15">E29</f>
        <v>1.0701311035156249</v>
      </c>
      <c r="K29" s="3">
        <f>(K23*K16)</f>
        <v>1.155084319004448</v>
      </c>
      <c r="L29" s="245">
        <f>(L23*L16)</f>
        <v>1.1837391791934546</v>
      </c>
      <c r="M29" s="3">
        <f>(M23*M16)</f>
        <v>1.2159327419961641</v>
      </c>
      <c r="N29" s="3">
        <f>(N23*N16)</f>
        <v>1.1508828422185915</v>
      </c>
      <c r="O29" s="3">
        <f>(O23*O16)</f>
        <v>0</v>
      </c>
      <c r="P29" s="3">
        <f t="shared" si="14"/>
        <v>1.5115583768170109</v>
      </c>
      <c r="Q29" s="3">
        <f t="shared" si="14"/>
        <v>1.8738733456636036</v>
      </c>
      <c r="R29" s="3">
        <f>(R23*R16)</f>
        <v>2.2312700117656732</v>
      </c>
      <c r="S29" s="3"/>
      <c r="T29" s="3"/>
      <c r="U29" t="s">
        <v>690</v>
      </c>
      <c r="V29" s="24"/>
      <c r="X29" t="s">
        <v>699</v>
      </c>
      <c r="Y29" s="3"/>
      <c r="Z29" s="3"/>
      <c r="AA29" s="3"/>
      <c r="AB29" s="3"/>
      <c r="AC29" s="3"/>
      <c r="AD29" s="3"/>
      <c r="AE29" s="3"/>
      <c r="AF29" s="305" t="s">
        <v>702</v>
      </c>
      <c r="AG29" s="303">
        <v>13</v>
      </c>
      <c r="AH29" s="303">
        <v>12.6</v>
      </c>
      <c r="AI29" s="303">
        <v>12.3</v>
      </c>
      <c r="AJ29" s="305">
        <v>9.6</v>
      </c>
      <c r="AK29" s="305">
        <v>8.6999999999999993</v>
      </c>
      <c r="AL29" s="3"/>
      <c r="AM29" s="3"/>
      <c r="AN29" s="3"/>
      <c r="AO29" s="3"/>
      <c r="AP29" s="3"/>
      <c r="AQ29" s="3"/>
    </row>
    <row r="30" spans="1:43">
      <c r="A30" t="s">
        <v>16</v>
      </c>
      <c r="D30" s="22"/>
      <c r="E30" s="49"/>
      <c r="F30" s="3"/>
      <c r="J30" s="3"/>
      <c r="K30" s="3"/>
      <c r="L30" s="3"/>
      <c r="N30" s="3"/>
      <c r="P30" s="3"/>
      <c r="Q30" s="3"/>
      <c r="R30" s="3"/>
      <c r="S30" s="3"/>
      <c r="T30" s="3"/>
      <c r="U30" t="s">
        <v>691</v>
      </c>
      <c r="V30" s="3"/>
      <c r="W30" s="3"/>
      <c r="X30" t="s">
        <v>696</v>
      </c>
      <c r="Y30" s="3"/>
      <c r="Z30" s="3"/>
      <c r="AA30" s="3"/>
      <c r="AB30" s="3"/>
      <c r="AD30" s="3"/>
      <c r="AE30" s="3"/>
      <c r="AF30" s="305" t="s">
        <v>702</v>
      </c>
      <c r="AG30" s="305">
        <v>11.3</v>
      </c>
      <c r="AH30" s="305">
        <v>11</v>
      </c>
      <c r="AI30" s="305">
        <v>10.9</v>
      </c>
      <c r="AJ30" s="305">
        <v>7.2</v>
      </c>
      <c r="AK30" s="305">
        <v>6.1</v>
      </c>
      <c r="AL30" s="3"/>
      <c r="AM30" s="3"/>
      <c r="AN30" s="3"/>
      <c r="AO30" s="3"/>
      <c r="AP30" s="3"/>
      <c r="AQ30" s="3"/>
    </row>
    <row r="31" spans="1:43" ht="18" thickBot="1">
      <c r="A31" t="s">
        <v>16</v>
      </c>
      <c r="B31" s="54" t="s">
        <v>597</v>
      </c>
      <c r="C31" s="14"/>
      <c r="D31" s="9"/>
      <c r="E31" s="9"/>
      <c r="F31" s="9"/>
      <c r="G31" s="9"/>
      <c r="H31" s="9"/>
      <c r="I31" s="9"/>
    </row>
    <row r="32" spans="1:43" ht="15.75" thickTop="1">
      <c r="A32" t="s">
        <v>16</v>
      </c>
      <c r="D32">
        <v>2012</v>
      </c>
      <c r="E32">
        <v>2015</v>
      </c>
      <c r="F32">
        <v>2020</v>
      </c>
      <c r="G32">
        <v>2030</v>
      </c>
      <c r="H32">
        <v>2050</v>
      </c>
    </row>
    <row r="33" spans="1:78">
      <c r="A33" t="s">
        <v>16</v>
      </c>
      <c r="B33" s="3" t="s">
        <v>595</v>
      </c>
      <c r="C33" s="3" t="s">
        <v>597</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7.2243589743589753</v>
      </c>
      <c r="P33" s="3" cm="1">
        <f t="array" ref="P33">INDEX(Drivers!$C$7:$AG$25,$D33,P$3)</f>
        <v>9.0623931623931657</v>
      </c>
      <c r="Q33" s="3" cm="1">
        <f t="array" ref="Q33">INDEX(Drivers!$C$7:$AG$25,$D33,Q$3)</f>
        <v>11.234615384615383</v>
      </c>
      <c r="R33" s="3" cm="1">
        <f t="array" ref="R33">INDEX(Drivers!$C$7:$AG$25,$D33,R$3)</f>
        <v>13.377350427350425</v>
      </c>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spans="1:78">
      <c r="A34" t="s">
        <v>16</v>
      </c>
    </row>
    <row r="35" spans="1:78">
      <c r="A35" t="s">
        <v>16</v>
      </c>
    </row>
    <row r="36" spans="1:78" ht="15.75" thickBot="1">
      <c r="A36" t="s">
        <v>16</v>
      </c>
      <c r="B36" s="14" t="s">
        <v>155</v>
      </c>
    </row>
    <row r="37" spans="1:78">
      <c r="A37" t="s">
        <v>16</v>
      </c>
      <c r="E37" t="s">
        <v>15</v>
      </c>
    </row>
    <row r="38" spans="1:78">
      <c r="A38" t="s">
        <v>16</v>
      </c>
      <c r="B38" t="s">
        <v>134</v>
      </c>
      <c r="C38" t="s">
        <v>104</v>
      </c>
      <c r="D38" t="s">
        <v>38</v>
      </c>
      <c r="E38" s="49">
        <f>'[2]TS BYDem'!$J$33</f>
        <v>0.820564128</v>
      </c>
      <c r="J38" s="3">
        <f>E38</f>
        <v>0.820564128</v>
      </c>
      <c r="K38" s="3">
        <f>763.4835/1000</f>
        <v>0.76348350000000009</v>
      </c>
      <c r="L38" s="245">
        <f>714.528/1000</f>
        <v>0.71452800000000005</v>
      </c>
      <c r="M38" s="3">
        <f>AVERAGE(L38,J38,K38)</f>
        <v>0.76619187600000005</v>
      </c>
      <c r="N38" s="3">
        <f>M38</f>
        <v>0.76619187600000005</v>
      </c>
      <c r="O38" s="3">
        <f t="shared" ref="O38:R38" si="16">N38</f>
        <v>0.76619187600000005</v>
      </c>
      <c r="P38" s="3">
        <f t="shared" si="16"/>
        <v>0.76619187600000005</v>
      </c>
      <c r="Q38" s="3">
        <f t="shared" si="16"/>
        <v>0.76619187600000005</v>
      </c>
      <c r="R38" s="3">
        <f t="shared" si="16"/>
        <v>0.76619187600000005</v>
      </c>
    </row>
    <row r="39" spans="1:78">
      <c r="A39" t="s">
        <v>16</v>
      </c>
    </row>
    <row r="40" spans="1:78" ht="18" thickBot="1">
      <c r="A40" t="s">
        <v>16</v>
      </c>
      <c r="C40" s="54" t="s">
        <v>157</v>
      </c>
    </row>
    <row r="41" spans="1:78" ht="15.75" thickTop="1">
      <c r="A41" t="s">
        <v>16</v>
      </c>
      <c r="B41" t="s">
        <v>158</v>
      </c>
      <c r="C41" t="s">
        <v>159</v>
      </c>
      <c r="D41" s="22" t="s">
        <v>38</v>
      </c>
      <c r="E41" s="49">
        <f>'[2]TS BYDem'!$J$37</f>
        <v>4.5090000000000003</v>
      </c>
      <c r="J41" s="3">
        <f>E41</f>
        <v>4.5090000000000003</v>
      </c>
      <c r="K41" s="3">
        <f>K$33/J$33*J41</f>
        <v>4.8669505794950583</v>
      </c>
      <c r="L41" s="244">
        <f>0.001*(26455.61401-21947)</f>
        <v>4.5086140100000014</v>
      </c>
      <c r="M41" s="3">
        <f>M$33/J$33*J41</f>
        <v>5.123335557343375</v>
      </c>
      <c r="N41" s="3">
        <f>N$33/K$33*K41</f>
        <v>4.849247646868216</v>
      </c>
      <c r="O41" s="3">
        <f>O$33/L$33*L41</f>
        <v>4.5895317288139692</v>
      </c>
      <c r="P41" s="3">
        <f>P$33/N$33*N41</f>
        <v>6.3689548866274874</v>
      </c>
      <c r="Q41" s="3">
        <f>Q$33/P$33*P41</f>
        <v>7.8955698865674773</v>
      </c>
      <c r="R41" s="3">
        <f>R$33/Q$33*Q41</f>
        <v>9.4014616059652987</v>
      </c>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78">
      <c r="A42" s="102" t="s">
        <v>16</v>
      </c>
    </row>
    <row r="43" spans="1:78">
      <c r="A43" s="102" t="s">
        <v>16</v>
      </c>
      <c r="B43" s="103">
        <v>1</v>
      </c>
      <c r="C43" s="103">
        <v>2012</v>
      </c>
      <c r="D43" s="103">
        <v>2015</v>
      </c>
      <c r="E43" s="103">
        <v>2017</v>
      </c>
      <c r="F43">
        <v>2019</v>
      </c>
      <c r="G43" s="103">
        <v>2020</v>
      </c>
      <c r="H43" s="103">
        <v>2021</v>
      </c>
      <c r="I43" s="103">
        <v>2030</v>
      </c>
      <c r="J43" s="103">
        <v>2040</v>
      </c>
      <c r="K43" s="108">
        <v>2050</v>
      </c>
    </row>
    <row r="44" spans="1:78">
      <c r="A44" s="34" t="s">
        <v>16</v>
      </c>
      <c r="B44">
        <v>0</v>
      </c>
      <c r="C44" cm="1">
        <f t="array" ref="C44">INDEX($C43:$K43,0,COUNT($C43:$K43)-C45)</f>
        <v>2050</v>
      </c>
      <c r="D44" cm="1">
        <f t="array" ref="D44">INDEX($C43:$K43,0,COUNT($C43:$K43)-D45)</f>
        <v>2040</v>
      </c>
      <c r="E44" cm="1">
        <f t="array" ref="E44">INDEX($C43:$K43,0,COUNT($C43:$K43)-E45)</f>
        <v>2030</v>
      </c>
      <c r="F44" cm="1">
        <f t="array" ref="F44">INDEX($C43:$K43,0,COUNT($C43:$K43)-F45)</f>
        <v>2021</v>
      </c>
      <c r="G44" cm="1">
        <f t="array" ref="G44">INDEX($C43:$K43,0,COUNT($C43:$K43)-G45)</f>
        <v>2020</v>
      </c>
      <c r="H44" cm="1">
        <f t="array" ref="H44">INDEX($C43:$K43,0,COUNT($C43:$K43)-H45)</f>
        <v>2019</v>
      </c>
      <c r="I44" cm="1">
        <f t="array" ref="I44">INDEX($C43:$K43,0,COUNT($C43:$K43)-I45)</f>
        <v>2017</v>
      </c>
      <c r="J44" cm="1">
        <f t="array" ref="J44">INDEX($C43:$K43,0,COUNT($C43:$K43)-J45)</f>
        <v>2015</v>
      </c>
      <c r="K44" s="109">
        <v>2012</v>
      </c>
    </row>
    <row r="45" spans="1:78">
      <c r="A45" s="34" t="s">
        <v>16</v>
      </c>
      <c r="B45">
        <v>-1</v>
      </c>
      <c r="C45">
        <v>0</v>
      </c>
      <c r="D45">
        <v>1</v>
      </c>
      <c r="E45">
        <v>2</v>
      </c>
      <c r="F45">
        <v>3</v>
      </c>
      <c r="G45">
        <v>4</v>
      </c>
      <c r="H45">
        <v>5</v>
      </c>
      <c r="I45">
        <v>6</v>
      </c>
      <c r="J45">
        <v>7</v>
      </c>
      <c r="K45">
        <v>8</v>
      </c>
    </row>
    <row r="46" spans="1:78">
      <c r="A46" s="104" t="s">
        <v>16</v>
      </c>
      <c r="B46" s="105"/>
      <c r="C46" s="105"/>
      <c r="D46" s="105"/>
      <c r="E46" s="105"/>
      <c r="F46" s="105"/>
      <c r="G46" s="105"/>
      <c r="H46" s="105"/>
      <c r="I46" s="110"/>
    </row>
    <row r="47" spans="1:78" ht="23.25">
      <c r="A47" s="34" t="s">
        <v>16</v>
      </c>
      <c r="B47" s="106" t="s">
        <v>19</v>
      </c>
      <c r="C47" s="106" t="s">
        <v>20</v>
      </c>
      <c r="D47" s="106" t="s">
        <v>21</v>
      </c>
      <c r="E47" s="106" t="s">
        <v>22</v>
      </c>
      <c r="F47" s="106" t="s">
        <v>23</v>
      </c>
      <c r="G47" s="106" t="s">
        <v>24</v>
      </c>
      <c r="H47" s="106" t="s">
        <v>612</v>
      </c>
      <c r="I47" s="107" t="s">
        <v>25</v>
      </c>
      <c r="J47">
        <v>2012</v>
      </c>
      <c r="K47">
        <v>2013</v>
      </c>
      <c r="L47">
        <v>2014</v>
      </c>
      <c r="M47">
        <v>2015</v>
      </c>
      <c r="N47">
        <v>2016</v>
      </c>
      <c r="O47">
        <v>2017</v>
      </c>
      <c r="P47">
        <v>2018</v>
      </c>
      <c r="Q47">
        <v>2019</v>
      </c>
      <c r="R47">
        <v>2020</v>
      </c>
      <c r="S47">
        <v>2021</v>
      </c>
      <c r="T47">
        <v>2022</v>
      </c>
      <c r="U47">
        <v>2023</v>
      </c>
      <c r="V47">
        <v>2024</v>
      </c>
      <c r="W47">
        <v>2025</v>
      </c>
      <c r="X47">
        <v>2026</v>
      </c>
      <c r="Y47">
        <v>2027</v>
      </c>
      <c r="Z47">
        <v>2028</v>
      </c>
      <c r="AA47">
        <v>2029</v>
      </c>
      <c r="AB47">
        <v>2030</v>
      </c>
      <c r="AC47">
        <v>2031</v>
      </c>
      <c r="AD47">
        <v>2032</v>
      </c>
      <c r="AE47">
        <v>2033</v>
      </c>
      <c r="AF47">
        <v>2034</v>
      </c>
      <c r="AG47">
        <v>2035</v>
      </c>
      <c r="AH47">
        <v>2036</v>
      </c>
      <c r="AI47">
        <v>2037</v>
      </c>
      <c r="AJ47">
        <v>2038</v>
      </c>
      <c r="AK47">
        <v>2039</v>
      </c>
      <c r="AL47">
        <v>2040</v>
      </c>
      <c r="AM47">
        <v>2045</v>
      </c>
      <c r="AN47">
        <v>2050</v>
      </c>
      <c r="AO47">
        <v>2060</v>
      </c>
      <c r="AP47">
        <v>2070</v>
      </c>
    </row>
    <row r="48" spans="1:78" s="103" customFormat="1">
      <c r="A48" s="103" t="s">
        <v>16</v>
      </c>
      <c r="J48" s="103">
        <f t="shared" ref="J48:AP48" si="17">MATCH(J$47,$C$43:$K$43,$B43)</f>
        <v>1</v>
      </c>
      <c r="K48" s="103">
        <f t="shared" si="17"/>
        <v>1</v>
      </c>
      <c r="L48" s="103">
        <f t="shared" si="17"/>
        <v>1</v>
      </c>
      <c r="M48" s="103">
        <f t="shared" si="17"/>
        <v>2</v>
      </c>
      <c r="N48" s="103">
        <f t="shared" si="17"/>
        <v>2</v>
      </c>
      <c r="O48" s="103">
        <f t="shared" si="17"/>
        <v>3</v>
      </c>
      <c r="P48" s="103">
        <f t="shared" si="17"/>
        <v>3</v>
      </c>
      <c r="Q48" s="103">
        <f t="shared" si="17"/>
        <v>4</v>
      </c>
      <c r="R48" s="103">
        <f t="shared" si="17"/>
        <v>5</v>
      </c>
      <c r="S48" s="103">
        <f t="shared" si="17"/>
        <v>6</v>
      </c>
      <c r="T48" s="103">
        <f t="shared" si="17"/>
        <v>6</v>
      </c>
      <c r="U48" s="103">
        <f t="shared" si="17"/>
        <v>6</v>
      </c>
      <c r="V48" s="103">
        <f t="shared" si="17"/>
        <v>6</v>
      </c>
      <c r="W48" s="103">
        <f t="shared" si="17"/>
        <v>6</v>
      </c>
      <c r="X48" s="103">
        <f t="shared" si="17"/>
        <v>6</v>
      </c>
      <c r="Y48" s="103">
        <f t="shared" si="17"/>
        <v>6</v>
      </c>
      <c r="Z48" s="103">
        <f t="shared" si="17"/>
        <v>6</v>
      </c>
      <c r="AA48" s="103">
        <f t="shared" si="17"/>
        <v>6</v>
      </c>
      <c r="AB48" s="103">
        <f t="shared" si="17"/>
        <v>7</v>
      </c>
      <c r="AC48" s="103">
        <f t="shared" si="17"/>
        <v>7</v>
      </c>
      <c r="AD48" s="103">
        <f t="shared" si="17"/>
        <v>7</v>
      </c>
      <c r="AE48" s="103">
        <f t="shared" si="17"/>
        <v>7</v>
      </c>
      <c r="AF48" s="103">
        <f t="shared" si="17"/>
        <v>7</v>
      </c>
      <c r="AG48" s="103">
        <f t="shared" si="17"/>
        <v>7</v>
      </c>
      <c r="AH48" s="103">
        <f t="shared" si="17"/>
        <v>7</v>
      </c>
      <c r="AI48" s="103">
        <f t="shared" si="17"/>
        <v>7</v>
      </c>
      <c r="AJ48" s="103">
        <f t="shared" si="17"/>
        <v>7</v>
      </c>
      <c r="AK48" s="103">
        <f t="shared" si="17"/>
        <v>7</v>
      </c>
      <c r="AL48" s="103">
        <f t="shared" si="17"/>
        <v>8</v>
      </c>
      <c r="AM48" s="103">
        <f t="shared" si="17"/>
        <v>8</v>
      </c>
      <c r="AN48" s="103">
        <f t="shared" si="17"/>
        <v>9</v>
      </c>
      <c r="AO48" s="103">
        <f t="shared" si="17"/>
        <v>9</v>
      </c>
      <c r="AP48" s="103">
        <f t="shared" si="17"/>
        <v>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row>
    <row r="49" spans="1:78">
      <c r="A49" t="s">
        <v>16</v>
      </c>
      <c r="J49" s="34">
        <f t="shared" ref="J49:AP49" si="18">MATCH(J$47,$C$43:$K$43,$B44)</f>
        <v>1</v>
      </c>
      <c r="K49" t="e">
        <f t="shared" si="18"/>
        <v>#N/A</v>
      </c>
      <c r="L49" t="e">
        <f t="shared" si="18"/>
        <v>#N/A</v>
      </c>
      <c r="M49">
        <f t="shared" si="18"/>
        <v>2</v>
      </c>
      <c r="N49" t="e">
        <f t="shared" si="18"/>
        <v>#N/A</v>
      </c>
      <c r="O49">
        <f t="shared" si="18"/>
        <v>3</v>
      </c>
      <c r="P49" t="e">
        <f t="shared" si="18"/>
        <v>#N/A</v>
      </c>
      <c r="Q49">
        <f t="shared" si="18"/>
        <v>4</v>
      </c>
      <c r="R49">
        <f t="shared" si="18"/>
        <v>5</v>
      </c>
      <c r="S49">
        <f t="shared" si="18"/>
        <v>6</v>
      </c>
      <c r="T49" t="e">
        <f t="shared" si="18"/>
        <v>#N/A</v>
      </c>
      <c r="U49" t="e">
        <f t="shared" si="18"/>
        <v>#N/A</v>
      </c>
      <c r="V49" t="e">
        <f t="shared" si="18"/>
        <v>#N/A</v>
      </c>
      <c r="W49" t="e">
        <f t="shared" si="18"/>
        <v>#N/A</v>
      </c>
      <c r="X49" t="e">
        <f t="shared" si="18"/>
        <v>#N/A</v>
      </c>
      <c r="Y49" t="e">
        <f t="shared" si="18"/>
        <v>#N/A</v>
      </c>
      <c r="Z49" t="e">
        <f t="shared" si="18"/>
        <v>#N/A</v>
      </c>
      <c r="AA49" t="e">
        <f t="shared" si="18"/>
        <v>#N/A</v>
      </c>
      <c r="AB49">
        <f t="shared" si="18"/>
        <v>7</v>
      </c>
      <c r="AC49" t="e">
        <f t="shared" si="18"/>
        <v>#N/A</v>
      </c>
      <c r="AD49" t="e">
        <f t="shared" si="18"/>
        <v>#N/A</v>
      </c>
      <c r="AE49" t="e">
        <f t="shared" si="18"/>
        <v>#N/A</v>
      </c>
      <c r="AF49" t="e">
        <f t="shared" si="18"/>
        <v>#N/A</v>
      </c>
      <c r="AG49" t="e">
        <f t="shared" si="18"/>
        <v>#N/A</v>
      </c>
      <c r="AH49" t="e">
        <f t="shared" si="18"/>
        <v>#N/A</v>
      </c>
      <c r="AI49" t="e">
        <f t="shared" si="18"/>
        <v>#N/A</v>
      </c>
      <c r="AJ49" t="e">
        <f t="shared" si="18"/>
        <v>#N/A</v>
      </c>
      <c r="AK49" t="e">
        <f t="shared" si="18"/>
        <v>#N/A</v>
      </c>
      <c r="AL49">
        <f t="shared" si="18"/>
        <v>8</v>
      </c>
      <c r="AM49" t="e">
        <f t="shared" si="18"/>
        <v>#N/A</v>
      </c>
      <c r="AN49">
        <f t="shared" si="18"/>
        <v>9</v>
      </c>
      <c r="AO49" t="e">
        <f t="shared" si="18"/>
        <v>#N/A</v>
      </c>
      <c r="AP49" t="e">
        <f t="shared" si="18"/>
        <v>#N/A</v>
      </c>
    </row>
    <row r="50" spans="1:78">
      <c r="A50" t="s">
        <v>16</v>
      </c>
      <c r="J50" s="34">
        <f t="shared" ref="J50:AP50" si="19">MATCH(J$47,$C$44:$K$44,$B45)</f>
        <v>9</v>
      </c>
      <c r="K50">
        <f t="shared" si="19"/>
        <v>8</v>
      </c>
      <c r="L50">
        <f t="shared" si="19"/>
        <v>8</v>
      </c>
      <c r="M50">
        <f t="shared" si="19"/>
        <v>8</v>
      </c>
      <c r="N50">
        <f t="shared" si="19"/>
        <v>7</v>
      </c>
      <c r="O50">
        <f t="shared" si="19"/>
        <v>7</v>
      </c>
      <c r="P50">
        <f t="shared" si="19"/>
        <v>6</v>
      </c>
      <c r="Q50">
        <f t="shared" si="19"/>
        <v>6</v>
      </c>
      <c r="R50">
        <f t="shared" si="19"/>
        <v>5</v>
      </c>
      <c r="S50">
        <f t="shared" si="19"/>
        <v>4</v>
      </c>
      <c r="T50">
        <f t="shared" si="19"/>
        <v>3</v>
      </c>
      <c r="U50">
        <f t="shared" si="19"/>
        <v>3</v>
      </c>
      <c r="V50">
        <f t="shared" si="19"/>
        <v>3</v>
      </c>
      <c r="W50">
        <f t="shared" si="19"/>
        <v>3</v>
      </c>
      <c r="X50">
        <f t="shared" si="19"/>
        <v>3</v>
      </c>
      <c r="Y50">
        <f t="shared" si="19"/>
        <v>3</v>
      </c>
      <c r="Z50">
        <f t="shared" si="19"/>
        <v>3</v>
      </c>
      <c r="AA50">
        <f t="shared" si="19"/>
        <v>3</v>
      </c>
      <c r="AB50">
        <f t="shared" si="19"/>
        <v>3</v>
      </c>
      <c r="AC50">
        <f t="shared" si="19"/>
        <v>2</v>
      </c>
      <c r="AD50">
        <f t="shared" si="19"/>
        <v>2</v>
      </c>
      <c r="AE50">
        <f t="shared" si="19"/>
        <v>2</v>
      </c>
      <c r="AF50">
        <f t="shared" si="19"/>
        <v>2</v>
      </c>
      <c r="AG50">
        <f t="shared" si="19"/>
        <v>2</v>
      </c>
      <c r="AH50">
        <f t="shared" si="19"/>
        <v>2</v>
      </c>
      <c r="AI50">
        <f t="shared" si="19"/>
        <v>2</v>
      </c>
      <c r="AJ50">
        <f t="shared" si="19"/>
        <v>2</v>
      </c>
      <c r="AK50">
        <f t="shared" si="19"/>
        <v>2</v>
      </c>
      <c r="AL50">
        <f t="shared" si="19"/>
        <v>2</v>
      </c>
      <c r="AM50">
        <f t="shared" si="19"/>
        <v>1</v>
      </c>
      <c r="AN50">
        <f t="shared" si="19"/>
        <v>1</v>
      </c>
      <c r="AO50" t="e">
        <f t="shared" si="19"/>
        <v>#N/A</v>
      </c>
      <c r="AP50" t="e">
        <f t="shared" si="19"/>
        <v>#N/A</v>
      </c>
    </row>
    <row r="51" spans="1:78" s="105" customFormat="1">
      <c r="A51" s="105" t="s">
        <v>16</v>
      </c>
      <c r="J51" s="71">
        <f t="shared" ref="J51:K51" si="20">IF(ISNA(J48),-1,IF(ISNA(J50),99,IF(ISNA(J49),J48,0)))</f>
        <v>0</v>
      </c>
      <c r="K51" s="71">
        <f t="shared" si="20"/>
        <v>1</v>
      </c>
      <c r="L51" s="71">
        <f t="shared" ref="L51:AP51" si="21">IF(ISNA(L48),-1,IF(ISNA(L50),99,IF(ISNA(L49),L48,0)))</f>
        <v>1</v>
      </c>
      <c r="M51" s="71">
        <f t="shared" si="21"/>
        <v>0</v>
      </c>
      <c r="N51" s="71">
        <f t="shared" si="21"/>
        <v>2</v>
      </c>
      <c r="O51" s="71">
        <f t="shared" si="21"/>
        <v>0</v>
      </c>
      <c r="P51" s="71">
        <f t="shared" si="21"/>
        <v>3</v>
      </c>
      <c r="Q51" s="71">
        <f t="shared" si="21"/>
        <v>0</v>
      </c>
      <c r="R51" s="71">
        <f t="shared" si="21"/>
        <v>0</v>
      </c>
      <c r="S51" s="71">
        <f t="shared" si="21"/>
        <v>0</v>
      </c>
      <c r="T51" s="71">
        <f t="shared" si="21"/>
        <v>6</v>
      </c>
      <c r="U51" s="71">
        <f t="shared" si="21"/>
        <v>6</v>
      </c>
      <c r="V51" s="71">
        <f t="shared" si="21"/>
        <v>6</v>
      </c>
      <c r="W51" s="71">
        <f t="shared" si="21"/>
        <v>6</v>
      </c>
      <c r="X51" s="71">
        <f t="shared" si="21"/>
        <v>6</v>
      </c>
      <c r="Y51" s="71">
        <f t="shared" si="21"/>
        <v>6</v>
      </c>
      <c r="Z51" s="71">
        <f t="shared" si="21"/>
        <v>6</v>
      </c>
      <c r="AA51" s="71">
        <f t="shared" si="21"/>
        <v>6</v>
      </c>
      <c r="AB51" s="71">
        <f t="shared" si="21"/>
        <v>0</v>
      </c>
      <c r="AC51" s="71">
        <f t="shared" si="21"/>
        <v>7</v>
      </c>
      <c r="AD51" s="71">
        <f t="shared" si="21"/>
        <v>7</v>
      </c>
      <c r="AE51" s="71">
        <f t="shared" si="21"/>
        <v>7</v>
      </c>
      <c r="AF51" s="71">
        <f t="shared" si="21"/>
        <v>7</v>
      </c>
      <c r="AG51" s="71">
        <f t="shared" si="21"/>
        <v>7</v>
      </c>
      <c r="AH51" s="71">
        <f t="shared" si="21"/>
        <v>7</v>
      </c>
      <c r="AI51" s="71">
        <f t="shared" si="21"/>
        <v>7</v>
      </c>
      <c r="AJ51" s="71">
        <f t="shared" si="21"/>
        <v>7</v>
      </c>
      <c r="AK51" s="71">
        <f t="shared" si="21"/>
        <v>7</v>
      </c>
      <c r="AL51" s="71">
        <f t="shared" si="21"/>
        <v>0</v>
      </c>
      <c r="AM51" s="71">
        <f t="shared" si="21"/>
        <v>8</v>
      </c>
      <c r="AN51" s="71">
        <f t="shared" si="21"/>
        <v>0</v>
      </c>
      <c r="AO51" s="71">
        <f t="shared" si="21"/>
        <v>99</v>
      </c>
      <c r="AP51" s="71">
        <f t="shared" si="21"/>
        <v>99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row>
    <row r="52" spans="1:78">
      <c r="A52" s="34" t="s">
        <v>125</v>
      </c>
      <c r="B52" s="16" t="str">
        <f t="shared" ref="B52:B56" si="22">IF(A52="*","","COM_PROJ")</f>
        <v>COM_PROJ</v>
      </c>
      <c r="C52" s="17" t="str">
        <f t="shared" ref="C52:C56" si="23">IF($A52="*","","-")</f>
        <v>-</v>
      </c>
      <c r="D52" s="48" t="s">
        <v>134</v>
      </c>
      <c r="E52" s="17" t="str">
        <f t="shared" ref="E52:H56" si="24">IF($A52="*","","-")</f>
        <v>-</v>
      </c>
      <c r="F52" s="17" t="str">
        <f t="shared" si="24"/>
        <v>-</v>
      </c>
      <c r="G52" s="17" t="str">
        <f t="shared" si="24"/>
        <v>-</v>
      </c>
      <c r="H52" s="17" t="str">
        <f t="shared" si="24"/>
        <v>-</v>
      </c>
      <c r="I52" s="111">
        <f t="shared" ref="I52:I56" si="25">IF(A52="*","",0)</f>
        <v>0</v>
      </c>
      <c r="J52" s="3">
        <f>J38</f>
        <v>0.820564128</v>
      </c>
      <c r="K52" s="3" cm="1">
        <f t="array" ref="K52">IF(K$51=-1,L52,IF(K$51=99,J52,IF(K$51=0,INDEX($J38:$R38,0,K$49),(INDEX($J38:$R38,0,K$51+1)-INDEX($J38:$R38,0,K$51))/(INDEX($J$4:$R$4,0,K$51+1)-INDEX($J$4:$R$4,0,K$51))+J52)))</f>
        <v>0.80153725200000003</v>
      </c>
      <c r="L52" s="3" cm="1">
        <f t="array" ref="L52">IF(L$51=-1,M52,IF(L$51=99,K52,IF(L$51=0,INDEX($J38:$R38,0,L$49),(INDEX($J38:$R38,0,L$51+1)-INDEX($J38:$R38,0,L$51))/(INDEX($J$4:$R$4,0,L$51+1)-INDEX($J$4:$R$4,0,L$51))+K52)))</f>
        <v>0.78251037600000006</v>
      </c>
      <c r="M52" s="3" cm="1">
        <f t="array" ref="M52">IF(M$51=-1,N52,IF(M$51=99,L52,IF(M$51=0,INDEX($J38:$R38,0,M$49),(INDEX($J38:$R38,0,M$51+1)-INDEX($J38:$R38,0,M$51))/(INDEX($J$4:$R$4,0,M$51+1)-INDEX($J$4:$R$4,0,M$51))+L52)))</f>
        <v>0.76348350000000009</v>
      </c>
      <c r="N52" s="3" cm="1">
        <f t="array" ref="N52">IF(N$51=-1,O52,IF(N$51=99,M52,IF(N$51=0,INDEX($J38:$R38,0,N$49),(INDEX($J38:$R38,0,N$51+1)-INDEX($J38:$R38,0,N$51))/(INDEX($J$4:$R$4,0,N$51+1)-INDEX($J$4:$R$4,0,N$51))+M52)))</f>
        <v>0.73900575000000002</v>
      </c>
      <c r="O52" s="3" cm="1">
        <f t="array" ref="O52">IF(O$51=-1,P52,IF(O$51=99,N52,IF(O$51=0,INDEX($J38:$R38,0,O$49),(INDEX($J38:$R38,0,O$51+1)-INDEX($J38:$R38,0,O$51))/(INDEX($J$4:$R$4,0,O$51+1)-INDEX($J$4:$R$4,0,O$51))+N52)))</f>
        <v>0.71452800000000005</v>
      </c>
      <c r="P52" s="3" cm="1">
        <f t="array" ref="P52">IF(P$51=-1,Q52,IF(P$51=99,O52,IF(P$51=0,INDEX($J38:$R38,0,P$49),(INDEX($J38:$R38,0,P$51+1)-INDEX($J38:$R38,0,P$51))/(INDEX($J$4:$R$4,0,P$51+1)-INDEX($J$4:$R$4,0,P$51))+O52)))</f>
        <v>0.74035993800000011</v>
      </c>
      <c r="Q52" s="3" cm="1">
        <f t="array" ref="Q52">IF(Q$51=-1,R52,IF(Q$51=99,P52,IF(Q$51=0,INDEX($J38:$R38,0,Q$49),(INDEX($J38:$R38,0,Q$51+1)-INDEX($J38:$R38,0,Q$51))/(INDEX($J$4:$R$4,0,Q$51+1)-INDEX($J$4:$R$4,0,Q$51))+P52)))</f>
        <v>0.76619187600000005</v>
      </c>
      <c r="R52" s="3" cm="1">
        <f t="array" ref="R52">IF(R$51=-1,S52,IF(R$51=99,Q52,IF(R$51=0,INDEX($J38:$R38,0,R$49),(INDEX($J38:$R38,0,R$51+1)-INDEX($J38:$R38,0,R$51))/(INDEX($J$4:$R$4,0,R$51+1)-INDEX($J$4:$R$4,0,R$51))+Q52)))</f>
        <v>0.76619187600000005</v>
      </c>
      <c r="S52" s="3" cm="1">
        <f t="array" ref="S52">IF(S$51=-1,T52,IF(S$51=99,R52,IF(S$51=0,INDEX($J38:$R38,0,S$49),(INDEX($J38:$R38,0,S$51+1)-INDEX($J38:$R38,0,S$51))/(INDEX($J$4:$R$4,0,S$51+1)-INDEX($J$4:$R$4,0,S$51))+R52)))</f>
        <v>0.76619187600000005</v>
      </c>
      <c r="T52" s="3" cm="1">
        <f t="array" ref="T52">IF(T$51=-1,U52,IF(T$51=99,S52,IF(T$51=0,INDEX($J38:$R38,0,T$49),(INDEX($J38:$R38,0,T$51+1)-INDEX($J38:$R38,0,T$51))/(INDEX($J$4:$R$4,0,T$51+1)-INDEX($J$4:$R$4,0,T$51))+S52)))</f>
        <v>0.76619187600000005</v>
      </c>
      <c r="U52" s="3" cm="1">
        <f t="array" ref="U52">IF(U$51=-1,V52,IF(U$51=99,T52,IF(U$51=0,INDEX($J38:$R38,0,U$49),(INDEX($J38:$R38,0,U$51+1)-INDEX($J38:$R38,0,U$51))/(INDEX($J$4:$R$4,0,U$51+1)-INDEX($J$4:$R$4,0,U$51))+T52)))</f>
        <v>0.76619187600000005</v>
      </c>
      <c r="V52" s="3" cm="1">
        <f t="array" ref="V52">IF(V$51=-1,W52,IF(V$51=99,U52,IF(V$51=0,INDEX($J38:$R38,0,V$49),(INDEX($J38:$R38,0,V$51+1)-INDEX($J38:$R38,0,V$51))/(INDEX($J$4:$R$4,0,V$51+1)-INDEX($J$4:$R$4,0,V$51))+U52)))</f>
        <v>0.76619187600000005</v>
      </c>
      <c r="W52" s="3" cm="1">
        <f t="array" ref="W52">IF(W$51=-1,X52,IF(W$51=99,V52,IF(W$51=0,INDEX($J38:$R38,0,W$49),(INDEX($J38:$R38,0,W$51+1)-INDEX($J38:$R38,0,W$51))/(INDEX($J$4:$R$4,0,W$51+1)-INDEX($J$4:$R$4,0,W$51))+V52)))</f>
        <v>0.76619187600000005</v>
      </c>
      <c r="X52" s="3" cm="1">
        <f t="array" ref="X52">IF(X$51=-1,Y52,IF(X$51=99,W52,IF(X$51=0,INDEX($J38:$R38,0,X$49),(INDEX($J38:$R38,0,X$51+1)-INDEX($J38:$R38,0,X$51))/(INDEX($J$4:$R$4,0,X$51+1)-INDEX($J$4:$R$4,0,X$51))+W52)))</f>
        <v>0.76619187600000005</v>
      </c>
      <c r="Y52" s="3" cm="1">
        <f t="array" ref="Y52">IF(Y$51=-1,Z52,IF(Y$51=99,X52,IF(Y$51=0,INDEX($J38:$R38,0,Y$49),(INDEX($J38:$R38,0,Y$51+1)-INDEX($J38:$R38,0,Y$51))/(INDEX($J$4:$R$4,0,Y$51+1)-INDEX($J$4:$R$4,0,Y$51))+X52)))</f>
        <v>0.76619187600000005</v>
      </c>
      <c r="Z52" s="3" cm="1">
        <f t="array" ref="Z52">IF(Z$51=-1,AA52,IF(Z$51=99,Y52,IF(Z$51=0,INDEX($J38:$R38,0,Z$49),(INDEX($J38:$R38,0,Z$51+1)-INDEX($J38:$R38,0,Z$51))/(INDEX($J$4:$R$4,0,Z$51+1)-INDEX($J$4:$R$4,0,Z$51))+Y52)))</f>
        <v>0.76619187600000005</v>
      </c>
      <c r="AA52" s="3" cm="1">
        <f t="array" ref="AA52">IF(AA$51=-1,AB52,IF(AA$51=99,Z52,IF(AA$51=0,INDEX($J38:$R38,0,AA$49),(INDEX($J38:$R38,0,AA$51+1)-INDEX($J38:$R38,0,AA$51))/(INDEX($J$4:$R$4,0,AA$51+1)-INDEX($J$4:$R$4,0,AA$51))+Z52)))</f>
        <v>0.76619187600000005</v>
      </c>
      <c r="AB52" s="3" cm="1">
        <f t="array" ref="AB52">IF(AB$51=-1,AC52,IF(AB$51=99,AA52,IF(AB$51=0,INDEX($J38:$R38,0,AB$49),(INDEX($J38:$R38,0,AB$51+1)-INDEX($J38:$R38,0,AB$51))/(INDEX($J$4:$R$4,0,AB$51+1)-INDEX($J$4:$R$4,0,AB$51))+AA52)))</f>
        <v>0.76619187600000005</v>
      </c>
      <c r="AC52" s="3" cm="1">
        <f t="array" ref="AC52">IF(AC$51=-1,AD52,IF(AC$51=99,AB52,IF(AC$51=0,INDEX($J38:$R38,0,AC$49),(INDEX($J38:$R38,0,AC$51+1)-INDEX($J38:$R38,0,AC$51))/(INDEX($J$4:$R$4,0,AC$51+1)-INDEX($J$4:$R$4,0,AC$51))+AB52)))</f>
        <v>0.76619187600000005</v>
      </c>
      <c r="AD52" s="3" cm="1">
        <f t="array" ref="AD52">IF(AD$51=-1,AE52,IF(AD$51=99,AC52,IF(AD$51=0,INDEX($J38:$R38,0,AD$49),(INDEX($J38:$R38,0,AD$51+1)-INDEX($J38:$R38,0,AD$51))/(INDEX($J$4:$R$4,0,AD$51+1)-INDEX($J$4:$R$4,0,AD$51))+AC52)))</f>
        <v>0.76619187600000005</v>
      </c>
      <c r="AE52" s="3" cm="1">
        <f t="array" ref="AE52">IF(AE$51=-1,AF52,IF(AE$51=99,AD52,IF(AE$51=0,INDEX($J38:$R38,0,AE$49),(INDEX($J38:$R38,0,AE$51+1)-INDEX($J38:$R38,0,AE$51))/(INDEX($J$4:$R$4,0,AE$51+1)-INDEX($J$4:$R$4,0,AE$51))+AD52)))</f>
        <v>0.76619187600000005</v>
      </c>
      <c r="AF52" s="3" cm="1">
        <f t="array" ref="AF52">IF(AF$51=-1,AG52,IF(AF$51=99,AE52,IF(AF$51=0,INDEX($J38:$R38,0,AF$49),(INDEX($J38:$R38,0,AF$51+1)-INDEX($J38:$R38,0,AF$51))/(INDEX($J$4:$R$4,0,AF$51+1)-INDEX($J$4:$R$4,0,AF$51))+AE52)))</f>
        <v>0.76619187600000005</v>
      </c>
      <c r="AG52" s="3" cm="1">
        <f t="array" ref="AG52">IF(AG$51=-1,AH52,IF(AG$51=99,AF52,IF(AG$51=0,INDEX($J38:$R38,0,AG$49),(INDEX($J38:$R38,0,AG$51+1)-INDEX($J38:$R38,0,AG$51))/(INDEX($J$4:$R$4,0,AG$51+1)-INDEX($J$4:$R$4,0,AG$51))+AF52)))</f>
        <v>0.76619187600000005</v>
      </c>
      <c r="AH52" s="3" cm="1">
        <f t="array" ref="AH52">IF(AH$51=-1,AI52,IF(AH$51=99,AG52,IF(AH$51=0,INDEX($J38:$R38,0,AH$49),(INDEX($J38:$R38,0,AH$51+1)-INDEX($J38:$R38,0,AH$51))/(INDEX($J$4:$R$4,0,AH$51+1)-INDEX($J$4:$R$4,0,AH$51))+AG52)))</f>
        <v>0.76619187600000005</v>
      </c>
      <c r="AI52" s="3" cm="1">
        <f t="array" ref="AI52">IF(AI$51=-1,AJ52,IF(AI$51=99,AH52,IF(AI$51=0,INDEX($J38:$R38,0,AI$49),(INDEX($J38:$R38,0,AI$51+1)-INDEX($J38:$R38,0,AI$51))/(INDEX($J$4:$R$4,0,AI$51+1)-INDEX($J$4:$R$4,0,AI$51))+AH52)))</f>
        <v>0.76619187600000005</v>
      </c>
      <c r="AJ52" s="3" cm="1">
        <f t="array" ref="AJ52">IF(AJ$51=-1,AK52,IF(AJ$51=99,AI52,IF(AJ$51=0,INDEX($J38:$R38,0,AJ$49),(INDEX($J38:$R38,0,AJ$51+1)-INDEX($J38:$R38,0,AJ$51))/(INDEX($J$4:$R$4,0,AJ$51+1)-INDEX($J$4:$R$4,0,AJ$51))+AI52)))</f>
        <v>0.76619187600000005</v>
      </c>
      <c r="AK52" s="3" cm="1">
        <f t="array" ref="AK52">IF(AK$51=-1,AL52,IF(AK$51=99,AJ52,IF(AK$51=0,INDEX($J38:$R38,0,AK$49),(INDEX($J38:$R38,0,AK$51+1)-INDEX($J38:$R38,0,AK$51))/(INDEX($J$4:$R$4,0,AK$51+1)-INDEX($J$4:$R$4,0,AK$51))+AJ52)))</f>
        <v>0.76619187600000005</v>
      </c>
      <c r="AL52" s="3" cm="1">
        <f t="array" ref="AL52">IF(AL$51=-1,AM52,IF(AL$51=99,AK52,IF(AL$51=0,INDEX($J38:$R38,0,AL$49),(INDEX($J38:$R38,0,AL$51+1)-INDEX($J38:$R38,0,AL$51))/(INDEX($J$4:$R$4,0,AL$51+1)-INDEX($J$4:$R$4,0,AL$51))+AK52)))</f>
        <v>0.76619187600000005</v>
      </c>
      <c r="AM52" s="190">
        <f>(AL52+AN52)/2</f>
        <v>0.76619187600000005</v>
      </c>
      <c r="AN52" s="3" cm="1">
        <f t="array" ref="AN52">IF(AN$51=-1,AO52,IF(AN$51=99,AM52,IF(AN$51=0,INDEX($J38:$R38,0,AN$49),(INDEX($J38:$R38,0,AN$51+1)-INDEX($J38:$R38,0,AN$51))/(INDEX($J$4:$R$4,0,AN$51+1)-INDEX($J$4:$R$4,0,AN$51))+AM52)))</f>
        <v>0.76619187600000005</v>
      </c>
      <c r="AO52" s="3" cm="1">
        <f t="array" ref="AO52">IF(AO$51=-1,AP52,IF(AO$51=99,AN52,IF(AO$51=0,INDEX($J38:$R38,0,AO$49),(INDEX($J38:$R38,0,AO$51+1)-INDEX($J38:$R38,0,AO$51))/(INDEX($J$4:$R$4,0,AO$51+1)-INDEX($J$4:$R$4,0,AO$51))+AN52)))</f>
        <v>0.76619187600000005</v>
      </c>
      <c r="AP52" s="3" cm="1">
        <f t="array" ref="AP52">IF(AP$51=-1,AR52,IF(AP$51=99,AO52,IF(AP$51=0,INDEX($J38:$R38,0,AP$49),(INDEX($J38:$R38,0,AP$51+1)-INDEX($J38:$R38,0,AP$51))/(INDEX($J$4:$R$4,0,AP$51+1)-INDEX($J$4:$R$4,0,AP$51))+AO52)))</f>
        <v>0.76619187600000005</v>
      </c>
    </row>
    <row r="53" spans="1:78">
      <c r="A53" s="34"/>
      <c r="B53" s="16" t="str">
        <f t="shared" si="22"/>
        <v>COM_PROJ</v>
      </c>
      <c r="C53" s="17" t="str">
        <f t="shared" si="23"/>
        <v>-</v>
      </c>
      <c r="D53" s="48" t="str">
        <f>B27</f>
        <v>TAIJET</v>
      </c>
      <c r="E53" s="17" t="str">
        <f t="shared" si="24"/>
        <v>-</v>
      </c>
      <c r="F53" s="17" t="str">
        <f t="shared" si="24"/>
        <v>-</v>
      </c>
      <c r="G53" s="17" t="str">
        <f t="shared" si="24"/>
        <v>-</v>
      </c>
      <c r="H53" s="17" t="str">
        <f t="shared" si="24"/>
        <v>-</v>
      </c>
      <c r="I53" s="111">
        <f t="shared" si="25"/>
        <v>0</v>
      </c>
      <c r="J53" s="3">
        <f>J27</f>
        <v>60.368000000000002</v>
      </c>
      <c r="K53" s="3" cm="1">
        <f t="array" ref="K53">IF(K$51=-1,L53,IF(K$51=99,J53,IF(K$51=0,INDEX($J27:$R27,0,K$49),(INDEX($J27:$R27,0,K$51+1)-INDEX($J27:$R27,0,K$51))/(INDEX($J$4:$R$4,0,K$51+1)-INDEX($J$4:$R$4,0,K$51))+J53)))</f>
        <v>61.96545402402289</v>
      </c>
      <c r="L53" s="3" cm="1">
        <f t="array" ref="L53">IF(L$51=-1,M53,IF(L$51=99,K53,IF(L$51=0,INDEX($J27:$R27,0,L$49),(INDEX($J27:$R27,0,L$51+1)-INDEX($J27:$R27,0,L$51))/(INDEX($J$4:$R$4,0,L$51+1)-INDEX($J$4:$R$4,0,L$51))+K53)))</f>
        <v>63.562908048045777</v>
      </c>
      <c r="M53" s="3" cm="1">
        <f t="array" ref="M53">IF(M$51=-1,N53,IF(M$51=99,L53,IF(M$51=0,INDEX($J27:$R27,0,M$49),(INDEX($J27:$R27,0,M$51+1)-INDEX($J27:$R27,0,M$51))/(INDEX($J$4:$R$4,0,M$51+1)-INDEX($J$4:$R$4,0,M$51))+L53)))</f>
        <v>65.160362072068665</v>
      </c>
      <c r="N53" s="3" cm="1">
        <f t="array" ref="N53">IF(N$51=-1,O53,IF(N$51=99,M53,IF(N$51=0,INDEX($J27:$R27,0,N$49),(INDEX($J27:$R27,0,N$51+1)-INDEX($J27:$R27,0,N$51))/(INDEX($J$4:$R$4,0,N$51+1)-INDEX($J$4:$R$4,0,N$51))+M53)))</f>
        <v>67.04982012364998</v>
      </c>
      <c r="O53" s="3" cm="1">
        <f t="array" ref="O53">IF(O$51=-1,P53,IF(O$51=99,N53,IF(O$51=0,INDEX($J27:$R27,0,O$49),(INDEX($J27:$R27,0,O$51+1)-INDEX($J27:$R27,0,O$51))/(INDEX($J$4:$R$4,0,O$51+1)-INDEX($J$4:$R$4,0,O$51))+N53)))</f>
        <v>68.939278175231294</v>
      </c>
      <c r="P53" s="3" cm="1">
        <f t="array" ref="P53">IF(P$51=-1,Q53,IF(P$51=99,O53,IF(P$51=0,INDEX($J27:$R27,0,P$49),(INDEX($J27:$R27,0,P$51+1)-INDEX($J27:$R27,0,P$51))/(INDEX($J$4:$R$4,0,P$51+1)-INDEX($J$4:$R$4,0,P$51))+O53)))</f>
        <v>68.766104038348061</v>
      </c>
      <c r="Q53" s="3" cm="1">
        <f t="array" ref="Q53">IF(Q$51=-1,R53,IF(Q$51=99,P53,IF(Q$51=0,INDEX($J27:$R27,0,Q$49),(INDEX($J27:$R27,0,Q$51+1)-INDEX($J27:$R27,0,Q$51))/(INDEX($J$4:$R$4,0,Q$51+1)-INDEX($J$4:$R$4,0,Q$51))+P53)))</f>
        <v>68.592929901464814</v>
      </c>
      <c r="R53" s="3" cm="1">
        <f t="array" ref="R53">IF(R$51=-1,S53,IF(R$51=99,Q53,IF(R$51=0,INDEX($J27:$R27,0,R$49),(INDEX($J27:$R27,0,R$51+1)-INDEX($J27:$R27,0,R$51))/(INDEX($J$4:$R$4,0,R$51+1)-INDEX($J$4:$R$4,0,R$51))+Q53)))</f>
        <v>64.92334928945229</v>
      </c>
      <c r="S53" s="3" cm="1">
        <f t="array" ref="S53">IF(S$51=-1,T53,IF(S$51=99,R53,IF(S$51=0,INDEX($J27:$R27,0,S$49),(INDEX($J27:$R27,0,S$51+1)-INDEX($J27:$R27,0,S$51))/(INDEX($J$4:$R$4,0,S$51+1)-INDEX($J$4:$R$4,0,S$51))+R53)))</f>
        <v>67.975301606477828</v>
      </c>
      <c r="T53" s="3" cm="1">
        <f t="array" ref="T53">IF(T$51=-1,U53,IF(T$51=99,S53,IF(T$51=0,INDEX($J27:$R27,0,T$49),(INDEX($J27:$R27,0,T$51+1)-INDEX($J27:$R27,0,T$51))/(INDEX($J$4:$R$4,0,T$51+1)-INDEX($J$4:$R$4,0,T$51))+S53)))</f>
        <v>69.896901213493905</v>
      </c>
      <c r="U53" s="3" cm="1">
        <f t="array" ref="U53">IF(U$51=-1,V53,IF(U$51=99,T53,IF(U$51=0,INDEX($J27:$R27,0,U$49),(INDEX($J27:$R27,0,U$51+1)-INDEX($J27:$R27,0,U$51))/(INDEX($J$4:$R$4,0,U$51+1)-INDEX($J$4:$R$4,0,U$51))+T53)))</f>
        <v>71.818500820509982</v>
      </c>
      <c r="V53" s="3" cm="1">
        <f t="array" ref="V53">IF(V$51=-1,W53,IF(V$51=99,U53,IF(V$51=0,INDEX($J27:$R27,0,V$49),(INDEX($J27:$R27,0,V$51+1)-INDEX($J27:$R27,0,V$51))/(INDEX($J$4:$R$4,0,V$51+1)-INDEX($J$4:$R$4,0,V$51))+U53)))</f>
        <v>73.740100427526059</v>
      </c>
      <c r="W53" s="3" cm="1">
        <f t="array" ref="W53">IF(W$51=-1,X53,IF(W$51=99,V53,IF(W$51=0,INDEX($J27:$R27,0,W$49),(INDEX($J27:$R27,0,W$51+1)-INDEX($J27:$R27,0,W$51))/(INDEX($J$4:$R$4,0,W$51+1)-INDEX($J$4:$R$4,0,W$51))+V53)))</f>
        <v>75.661700034542136</v>
      </c>
      <c r="X53" s="3" cm="1">
        <f t="array" ref="X53">IF(X$51=-1,Y53,IF(X$51=99,W53,IF(X$51=0,INDEX($J27:$R27,0,X$49),(INDEX($J27:$R27,0,X$51+1)-INDEX($J27:$R27,0,X$51))/(INDEX($J$4:$R$4,0,X$51+1)-INDEX($J$4:$R$4,0,X$51))+W53)))</f>
        <v>77.583299641558213</v>
      </c>
      <c r="Y53" s="3" cm="1">
        <f t="array" ref="Y53">IF(Y$51=-1,Z53,IF(Y$51=99,X53,IF(Y$51=0,INDEX($J27:$R27,0,Y$49),(INDEX($J27:$R27,0,Y$51+1)-INDEX($J27:$R27,0,Y$51))/(INDEX($J$4:$R$4,0,Y$51+1)-INDEX($J$4:$R$4,0,Y$51))+X53)))</f>
        <v>79.50489924857429</v>
      </c>
      <c r="Z53" s="3" cm="1">
        <f t="array" ref="Z53">IF(Z$51=-1,AA53,IF(Z$51=99,Y53,IF(Z$51=0,INDEX($J27:$R27,0,Z$49),(INDEX($J27:$R27,0,Z$51+1)-INDEX($J27:$R27,0,Z$51))/(INDEX($J$4:$R$4,0,Z$51+1)-INDEX($J$4:$R$4,0,Z$51))+Y53)))</f>
        <v>81.426498855590367</v>
      </c>
      <c r="AA53" s="3" cm="1">
        <f t="array" ref="AA53">IF(AA$51=-1,AB53,IF(AA$51=99,Z53,IF(AA$51=0,INDEX($J27:$R27,0,AA$49),(INDEX($J27:$R27,0,AA$51+1)-INDEX($J27:$R27,0,AA$51))/(INDEX($J$4:$R$4,0,AA$51+1)-INDEX($J$4:$R$4,0,AA$51))+Z53)))</f>
        <v>83.348098462606444</v>
      </c>
      <c r="AB53" s="3" cm="1">
        <f t="array" ref="AB53">IF(AB$51=-1,AC53,IF(AB$51=99,AA53,IF(AB$51=0,INDEX($J27:$R27,0,AB$49),(INDEX($J27:$R27,0,AB$51+1)-INDEX($J27:$R27,0,AB$51))/(INDEX($J$4:$R$4,0,AB$51+1)-INDEX($J$4:$R$4,0,AB$51))+AA53)))</f>
        <v>85.269698069622549</v>
      </c>
      <c r="AC53" s="3" cm="1">
        <f t="array" ref="AC53">IF(AC$51=-1,AD53,IF(AC$51=99,AB53,IF(AC$51=0,INDEX($J27:$R27,0,AC$49),(INDEX($J27:$R27,0,AC$51+1)-INDEX($J27:$R27,0,AC$51))/(INDEX($J$4:$R$4,0,AC$51+1)-INDEX($J$4:$R$4,0,AC$51))+AB53)))</f>
        <v>87.313581287994197</v>
      </c>
      <c r="AD53" s="3" cm="1">
        <f t="array" ref="AD53">IF(AD$51=-1,AE53,IF(AD$51=99,AC53,IF(AD$51=0,INDEX($J27:$R27,0,AD$49),(INDEX($J27:$R27,0,AD$51+1)-INDEX($J27:$R27,0,AD$51))/(INDEX($J$4:$R$4,0,AD$51+1)-INDEX($J$4:$R$4,0,AD$51))+AC53)))</f>
        <v>89.357464506365844</v>
      </c>
      <c r="AE53" s="3" cm="1">
        <f t="array" ref="AE53">IF(AE$51=-1,AF53,IF(AE$51=99,AD53,IF(AE$51=0,INDEX($J27:$R27,0,AE$49),(INDEX($J27:$R27,0,AE$51+1)-INDEX($J27:$R27,0,AE$51))/(INDEX($J$4:$R$4,0,AE$51+1)-INDEX($J$4:$R$4,0,AE$51))+AD53)))</f>
        <v>91.401347724737491</v>
      </c>
      <c r="AF53" s="3" cm="1">
        <f t="array" ref="AF53">IF(AF$51=-1,AG53,IF(AF$51=99,AE53,IF(AF$51=0,INDEX($J27:$R27,0,AF$49),(INDEX($J27:$R27,0,AF$51+1)-INDEX($J27:$R27,0,AF$51))/(INDEX($J$4:$R$4,0,AF$51+1)-INDEX($J$4:$R$4,0,AF$51))+AE53)))</f>
        <v>93.445230943109138</v>
      </c>
      <c r="AG53" s="3" cm="1">
        <f t="array" ref="AG53">IF(AG$51=-1,AH53,IF(AG$51=99,AF53,IF(AG$51=0,INDEX($J27:$R27,0,AG$49),(INDEX($J27:$R27,0,AG$51+1)-INDEX($J27:$R27,0,AG$51))/(INDEX($J$4:$R$4,0,AG$51+1)-INDEX($J$4:$R$4,0,AG$51))+AF53)))</f>
        <v>95.489114161480785</v>
      </c>
      <c r="AH53" s="3" cm="1">
        <f t="array" ref="AH53">IF(AH$51=-1,AI53,IF(AH$51=99,AG53,IF(AH$51=0,INDEX($J27:$R27,0,AH$49),(INDEX($J27:$R27,0,AH$51+1)-INDEX($J27:$R27,0,AH$51))/(INDEX($J$4:$R$4,0,AH$51+1)-INDEX($J$4:$R$4,0,AH$51))+AG53)))</f>
        <v>97.532997379852432</v>
      </c>
      <c r="AI53" s="3" cm="1">
        <f t="array" ref="AI53">IF(AI$51=-1,AJ53,IF(AI$51=99,AH53,IF(AI$51=0,INDEX($J27:$R27,0,AI$49),(INDEX($J27:$R27,0,AI$51+1)-INDEX($J27:$R27,0,AI$51))/(INDEX($J$4:$R$4,0,AI$51+1)-INDEX($J$4:$R$4,0,AI$51))+AH53)))</f>
        <v>99.576880598224079</v>
      </c>
      <c r="AJ53" s="3" cm="1">
        <f t="array" ref="AJ53">IF(AJ$51=-1,AK53,IF(AJ$51=99,AI53,IF(AJ$51=0,INDEX($J27:$R27,0,AJ$49),(INDEX($J27:$R27,0,AJ$51+1)-INDEX($J27:$R27,0,AJ$51))/(INDEX($J$4:$R$4,0,AJ$51+1)-INDEX($J$4:$R$4,0,AJ$51))+AI53)))</f>
        <v>101.62076381659573</v>
      </c>
      <c r="AK53" s="3" cm="1">
        <f t="array" ref="AK53">IF(AK$51=-1,AL53,IF(AK$51=99,AJ53,IF(AK$51=0,INDEX($J27:$R27,0,AK$49),(INDEX($J27:$R27,0,AK$51+1)-INDEX($J27:$R27,0,AK$51))/(INDEX($J$4:$R$4,0,AK$51+1)-INDEX($J$4:$R$4,0,AK$51))+AJ53)))</f>
        <v>103.66464703496737</v>
      </c>
      <c r="AL53" s="3" cm="1">
        <f t="array" ref="AL53">IF(AL$51=-1,AM53,IF(AL$51=99,AK53,IF(AL$51=0,INDEX($J27:$R27,0,AL$49),(INDEX($J27:$R27,0,AL$51+1)-INDEX($J27:$R27,0,AL$51))/(INDEX($J$4:$R$4,0,AL$51+1)-INDEX($J$4:$R$4,0,AL$51))+AK53)))</f>
        <v>105.70853025333896</v>
      </c>
      <c r="AM53" s="190">
        <f t="shared" ref="AM53:AM56" si="26">(AL53+AN53)/2</f>
        <v>115.78922123987785</v>
      </c>
      <c r="AN53" s="3" cm="1">
        <f t="array" ref="AN53">IF(AN$51=-1,AO53,IF(AN$51=99,AM53,IF(AN$51=0,INDEX($J27:$R27,0,AN$49),(INDEX($J27:$R27,0,AN$51+1)-INDEX($J27:$R27,0,AN$51))/(INDEX($J$4:$R$4,0,AN$51+1)-INDEX($J$4:$R$4,0,AN$51))+AM53)))</f>
        <v>125.86991222641673</v>
      </c>
      <c r="AO53" s="3" cm="1">
        <f t="array" ref="AO53">IF(AO$51=-1,AP53,IF(AO$51=99,AN53,IF(AO$51=0,INDEX($J27:$R27,0,AO$49),(INDEX($J27:$R27,0,AO$51+1)-INDEX($J27:$R27,0,AO$51))/(INDEX($J$4:$R$4,0,AO$51+1)-INDEX($J$4:$R$4,0,AO$51))+AN53)))</f>
        <v>125.86991222641673</v>
      </c>
      <c r="AP53" s="3" cm="1">
        <f t="array" ref="AP53">IF(AP$51=-1,AR53,IF(AP$51=99,AO53,IF(AP$51=0,INDEX($J27:$R27,0,AP$49),(INDEX($J27:$R27,0,AP$51+1)-INDEX($J27:$R27,0,AP$51))/(INDEX($J$4:$R$4,0,AP$51+1)-INDEX($J$4:$R$4,0,AP$51))+AO53)))</f>
        <v>125.86991222641673</v>
      </c>
    </row>
    <row r="54" spans="1:78">
      <c r="A54" s="34"/>
      <c r="B54" s="16" t="str">
        <f t="shared" ref="B54:B55" si="27">IF(A54="*","","COM_PROJ")</f>
        <v>COM_PROJ</v>
      </c>
      <c r="C54" s="17" t="str">
        <f t="shared" si="23"/>
        <v>-</v>
      </c>
      <c r="D54" s="48" t="str">
        <f t="shared" ref="D54:D55" si="28">B28</f>
        <v>TADJET</v>
      </c>
      <c r="E54" s="17" t="str">
        <f t="shared" si="24"/>
        <v>-</v>
      </c>
      <c r="F54" s="17" t="str">
        <f t="shared" si="24"/>
        <v>-</v>
      </c>
      <c r="G54" s="17" t="str">
        <f t="shared" si="24"/>
        <v>-</v>
      </c>
      <c r="H54" s="17" t="str">
        <f t="shared" si="24"/>
        <v>-</v>
      </c>
      <c r="I54" s="111">
        <f t="shared" ref="I54:I55" si="29">IF(A54="*","",0)</f>
        <v>0</v>
      </c>
      <c r="J54" s="3">
        <f t="shared" ref="J54:J55" si="30">J28</f>
        <v>20.123000000000001</v>
      </c>
      <c r="K54" s="3" cm="1">
        <f t="array" ref="K54">IF(K$51=-1,L54,IF(K$51=99,J54,IF(K$51=0,INDEX($J28:$R28,0,K$49),(INDEX($J28:$R28,0,K$51+1)-INDEX($J28:$R28,0,K$51))/(INDEX($J$4:$R$4,0,K$51+1)-INDEX($J$4:$R$4,0,K$51))+J54)))</f>
        <v>20.655493495318922</v>
      </c>
      <c r="L54" s="3" cm="1">
        <f t="array" ref="L54">IF(L$51=-1,M54,IF(L$51=99,K54,IF(L$51=0,INDEX($J28:$R28,0,L$49),(INDEX($J28:$R28,0,L$51+1)-INDEX($J28:$R28,0,L$51))/(INDEX($J$4:$R$4,0,L$51+1)-INDEX($J$4:$R$4,0,L$51))+K54)))</f>
        <v>21.187986990637842</v>
      </c>
      <c r="M54" s="3" cm="1">
        <f t="array" ref="M54">IF(M$51=-1,N54,IF(M$51=99,L54,IF(M$51=0,INDEX($J28:$R28,0,M$49),(INDEX($J28:$R28,0,M$51+1)-INDEX($J28:$R28,0,M$51))/(INDEX($J$4:$R$4,0,M$51+1)-INDEX($J$4:$R$4,0,M$51))+L54)))</f>
        <v>21.720480485956763</v>
      </c>
      <c r="N54" s="3" cm="1">
        <f t="array" ref="N54">IF(N$51=-1,O54,IF(N$51=99,M54,IF(N$51=0,INDEX($J28:$R28,0,N$49),(INDEX($J28:$R28,0,N$51+1)-INDEX($J28:$R28,0,N$51))/(INDEX($J$4:$R$4,0,N$51+1)-INDEX($J$4:$R$4,0,N$51))+M54)))</f>
        <v>21.092854272554778</v>
      </c>
      <c r="O54" s="3" cm="1">
        <f t="array" ref="O54">IF(O$51=-1,P54,IF(O$51=99,N54,IF(O$51=0,INDEX($J28:$R28,0,O$49),(INDEX($J28:$R28,0,O$51+1)-INDEX($J28:$R28,0,O$51))/(INDEX($J$4:$R$4,0,O$51+1)-INDEX($J$4:$R$4,0,O$51))+N54)))</f>
        <v>20.465228059152793</v>
      </c>
      <c r="P54" s="3" cm="1">
        <f t="array" ref="P54">IF(P$51=-1,Q54,IF(P$51=99,O54,IF(P$51=0,INDEX($J28:$R28,0,P$49),(INDEX($J28:$R28,0,P$51+1)-INDEX($J28:$R28,0,P$51))/(INDEX($J$4:$R$4,0,P$51+1)-INDEX($J$4:$R$4,0,P$51))+O54)))</f>
        <v>21.664958387573815</v>
      </c>
      <c r="Q54" s="3" cm="1">
        <f t="array" ref="Q54">IF(Q$51=-1,R54,IF(Q$51=99,P54,IF(Q$51=0,INDEX($J28:$R28,0,Q$49),(INDEX($J28:$R28,0,Q$51+1)-INDEX($J28:$R28,0,Q$51))/(INDEX($J$4:$R$4,0,Q$51+1)-INDEX($J$4:$R$4,0,Q$51))+P54)))</f>
        <v>22.864688715994838</v>
      </c>
      <c r="R54" s="3" cm="1">
        <f t="array" ref="R54">IF(R$51=-1,S54,IF(R$51=99,Q54,IF(R$51=0,INDEX($J28:$R28,0,R$49),(INDEX($J28:$R28,0,R$51+1)-INDEX($J28:$R28,0,R$51))/(INDEX($J$4:$R$4,0,R$51+1)-INDEX($J$4:$R$4,0,R$51))+Q54)))</f>
        <v>21.641474916373717</v>
      </c>
      <c r="S54" s="3" cm="1">
        <f t="array" ref="S54">IF(S$51=-1,T54,IF(S$51=99,R54,IF(S$51=0,INDEX($J28:$R28,0,S$49),(INDEX($J28:$R28,0,S$51+1)-INDEX($J28:$R28,0,S$51))/(INDEX($J$4:$R$4,0,S$51+1)-INDEX($J$4:$R$4,0,S$51))+R54)))</f>
        <v>22.658809207314363</v>
      </c>
      <c r="T54" s="3" cm="1">
        <f t="array" ref="T54">IF(T$51=-1,U54,IF(T$51=99,S54,IF(T$51=0,INDEX($J28:$R28,0,T$49),(INDEX($J28:$R28,0,T$51+1)-INDEX($J28:$R28,0,T$51))/(INDEX($J$4:$R$4,0,T$51+1)-INDEX($J$4:$R$4,0,T$51))+S54)))</f>
        <v>23.299353020128844</v>
      </c>
      <c r="U54" s="3" cm="1">
        <f t="array" ref="U54">IF(U$51=-1,V54,IF(U$51=99,T54,IF(U$51=0,INDEX($J28:$R28,0,U$49),(INDEX($J28:$R28,0,U$51+1)-INDEX($J28:$R28,0,U$51))/(INDEX($J$4:$R$4,0,U$51+1)-INDEX($J$4:$R$4,0,U$51))+T54)))</f>
        <v>23.939896832943326</v>
      </c>
      <c r="V54" s="3" cm="1">
        <f t="array" ref="V54">IF(V$51=-1,W54,IF(V$51=99,U54,IF(V$51=0,INDEX($J28:$R28,0,V$49),(INDEX($J28:$R28,0,V$51+1)-INDEX($J28:$R28,0,V$51))/(INDEX($J$4:$R$4,0,V$51+1)-INDEX($J$4:$R$4,0,V$51))+U54)))</f>
        <v>24.580440645757808</v>
      </c>
      <c r="W54" s="3" cm="1">
        <f t="array" ref="W54">IF(W$51=-1,X54,IF(W$51=99,V54,IF(W$51=0,INDEX($J28:$R28,0,W$49),(INDEX($J28:$R28,0,W$51+1)-INDEX($J28:$R28,0,W$51))/(INDEX($J$4:$R$4,0,W$51+1)-INDEX($J$4:$R$4,0,W$51))+V54)))</f>
        <v>25.220984458572289</v>
      </c>
      <c r="X54" s="3" cm="1">
        <f t="array" ref="X54">IF(X$51=-1,Y54,IF(X$51=99,W54,IF(X$51=0,INDEX($J28:$R28,0,X$49),(INDEX($J28:$R28,0,X$51+1)-INDEX($J28:$R28,0,X$51))/(INDEX($J$4:$R$4,0,X$51+1)-INDEX($J$4:$R$4,0,X$51))+W54)))</f>
        <v>25.861528271386771</v>
      </c>
      <c r="Y54" s="3" cm="1">
        <f t="array" ref="Y54">IF(Y$51=-1,Z54,IF(Y$51=99,X54,IF(Y$51=0,INDEX($J28:$R28,0,Y$49),(INDEX($J28:$R28,0,Y$51+1)-INDEX($J28:$R28,0,Y$51))/(INDEX($J$4:$R$4,0,Y$51+1)-INDEX($J$4:$R$4,0,Y$51))+X54)))</f>
        <v>26.502072084201252</v>
      </c>
      <c r="Z54" s="3" cm="1">
        <f t="array" ref="Z54">IF(Z$51=-1,AA54,IF(Z$51=99,Y54,IF(Z$51=0,INDEX($J28:$R28,0,Z$49),(INDEX($J28:$R28,0,Z$51+1)-INDEX($J28:$R28,0,Z$51))/(INDEX($J$4:$R$4,0,Z$51+1)-INDEX($J$4:$R$4,0,Z$51))+Y54)))</f>
        <v>27.142615897015734</v>
      </c>
      <c r="AA54" s="3" cm="1">
        <f t="array" ref="AA54">IF(AA$51=-1,AB54,IF(AA$51=99,Z54,IF(AA$51=0,INDEX($J28:$R28,0,AA$49),(INDEX($J28:$R28,0,AA$51+1)-INDEX($J28:$R28,0,AA$51))/(INDEX($J$4:$R$4,0,AA$51+1)-INDEX($J$4:$R$4,0,AA$51))+Z54)))</f>
        <v>27.783159709830215</v>
      </c>
      <c r="AB54" s="3" cm="1">
        <f t="array" ref="AB54">IF(AB$51=-1,AC54,IF(AB$51=99,AA54,IF(AB$51=0,INDEX($J28:$R28,0,AB$49),(INDEX($J28:$R28,0,AB$51+1)-INDEX($J28:$R28,0,AB$51))/(INDEX($J$4:$R$4,0,AB$51+1)-INDEX($J$4:$R$4,0,AB$51))+AA54)))</f>
        <v>28.42370352264469</v>
      </c>
      <c r="AC54" s="3" cm="1">
        <f t="array" ref="AC54">IF(AC$51=-1,AD54,IF(AC$51=99,AB54,IF(AC$51=0,INDEX($J28:$R28,0,AC$49),(INDEX($J28:$R28,0,AC$51+1)-INDEX($J28:$R28,0,AC$51))/(INDEX($J$4:$R$4,0,AC$51+1)-INDEX($J$4:$R$4,0,AC$51))+AB54)))</f>
        <v>29.105009214456452</v>
      </c>
      <c r="AD54" s="3" cm="1">
        <f t="array" ref="AD54">IF(AD$51=-1,AE54,IF(AD$51=99,AC54,IF(AD$51=0,INDEX($J28:$R28,0,AD$49),(INDEX($J28:$R28,0,AD$51+1)-INDEX($J28:$R28,0,AD$51))/(INDEX($J$4:$R$4,0,AD$51+1)-INDEX($J$4:$R$4,0,AD$51))+AC54)))</f>
        <v>29.786314906268217</v>
      </c>
      <c r="AE54" s="3" cm="1">
        <f t="array" ref="AE54">IF(AE$51=-1,AF54,IF(AE$51=99,AD54,IF(AE$51=0,INDEX($J28:$R28,0,AE$49),(INDEX($J28:$R28,0,AE$51+1)-INDEX($J28:$R28,0,AE$51))/(INDEX($J$4:$R$4,0,AE$51+1)-INDEX($J$4:$R$4,0,AE$51))+AD54)))</f>
        <v>30.467620598079982</v>
      </c>
      <c r="AF54" s="3" cm="1">
        <f t="array" ref="AF54">IF(AF$51=-1,AG54,IF(AF$51=99,AE54,IF(AF$51=0,INDEX($J28:$R28,0,AF$49),(INDEX($J28:$R28,0,AF$51+1)-INDEX($J28:$R28,0,AF$51))/(INDEX($J$4:$R$4,0,AF$51+1)-INDEX($J$4:$R$4,0,AF$51))+AE54)))</f>
        <v>31.148926289891747</v>
      </c>
      <c r="AG54" s="3" cm="1">
        <f t="array" ref="AG54">IF(AG$51=-1,AH54,IF(AG$51=99,AF54,IF(AG$51=0,INDEX($J28:$R28,0,AG$49),(INDEX($J28:$R28,0,AG$51+1)-INDEX($J28:$R28,0,AG$51))/(INDEX($J$4:$R$4,0,AG$51+1)-INDEX($J$4:$R$4,0,AG$51))+AF54)))</f>
        <v>31.830231981703513</v>
      </c>
      <c r="AH54" s="3" cm="1">
        <f t="array" ref="AH54">IF(AH$51=-1,AI54,IF(AH$51=99,AG54,IF(AH$51=0,INDEX($J28:$R28,0,AH$49),(INDEX($J28:$R28,0,AH$51+1)-INDEX($J28:$R28,0,AH$51))/(INDEX($J$4:$R$4,0,AH$51+1)-INDEX($J$4:$R$4,0,AH$51))+AG54)))</f>
        <v>32.511537673515278</v>
      </c>
      <c r="AI54" s="3" cm="1">
        <f t="array" ref="AI54">IF(AI$51=-1,AJ54,IF(AI$51=99,AH54,IF(AI$51=0,INDEX($J28:$R28,0,AI$49),(INDEX($J28:$R28,0,AI$51+1)-INDEX($J28:$R28,0,AI$51))/(INDEX($J$4:$R$4,0,AI$51+1)-INDEX($J$4:$R$4,0,AI$51))+AH54)))</f>
        <v>33.192843365327043</v>
      </c>
      <c r="AJ54" s="3" cm="1">
        <f t="array" ref="AJ54">IF(AJ$51=-1,AK54,IF(AJ$51=99,AI54,IF(AJ$51=0,INDEX($J28:$R28,0,AJ$49),(INDEX($J28:$R28,0,AJ$51+1)-INDEX($J28:$R28,0,AJ$51))/(INDEX($J$4:$R$4,0,AJ$51+1)-INDEX($J$4:$R$4,0,AJ$51))+AI54)))</f>
        <v>33.874149057138808</v>
      </c>
      <c r="AK54" s="3" cm="1">
        <f t="array" ref="AK54">IF(AK$51=-1,AL54,IF(AK$51=99,AJ54,IF(AK$51=0,INDEX($J28:$R28,0,AK$49),(INDEX($J28:$R28,0,AK$51+1)-INDEX($J28:$R28,0,AK$51))/(INDEX($J$4:$R$4,0,AK$51+1)-INDEX($J$4:$R$4,0,AK$51))+AJ54)))</f>
        <v>34.555454748950574</v>
      </c>
      <c r="AL54" s="3" cm="1">
        <f t="array" ref="AL54">IF(AL$51=-1,AM54,IF(AL$51=99,AK54,IF(AL$51=0,INDEX($J28:$R28,0,AL$49),(INDEX($J28:$R28,0,AL$51+1)-INDEX($J28:$R28,0,AL$51))/(INDEX($J$4:$R$4,0,AL$51+1)-INDEX($J$4:$R$4,0,AL$51))+AK54)))</f>
        <v>35.236760440762325</v>
      </c>
      <c r="AM54" s="190">
        <f t="shared" ref="AM54:AM55" si="31">(AL54+AN54)/2</f>
        <v>38.597046432051116</v>
      </c>
      <c r="AN54" s="3" cm="1">
        <f t="array" ref="AN54">IF(AN$51=-1,AO54,IF(AN$51=99,AM54,IF(AN$51=0,INDEX($J28:$R28,0,AN$49),(INDEX($J28:$R28,0,AN$51+1)-INDEX($J28:$R28,0,AN$51))/(INDEX($J$4:$R$4,0,AN$51+1)-INDEX($J$4:$R$4,0,AN$51))+AM54)))</f>
        <v>41.957332423339913</v>
      </c>
      <c r="AO54" s="3" cm="1">
        <f t="array" ref="AO54">IF(AO$51=-1,AP54,IF(AO$51=99,AN54,IF(AO$51=0,INDEX($J28:$R28,0,AO$49),(INDEX($J28:$R28,0,AO$51+1)-INDEX($J28:$R28,0,AO$51))/(INDEX($J$4:$R$4,0,AO$51+1)-INDEX($J$4:$R$4,0,AO$51))+AN54)))</f>
        <v>41.957332423339913</v>
      </c>
      <c r="AP54" s="3" cm="1">
        <f t="array" ref="AP54">IF(AP$51=-1,AR54,IF(AP$51=99,AO54,IF(AP$51=0,INDEX($J28:$R28,0,AP$49),(INDEX($J28:$R28,0,AP$51+1)-INDEX($J28:$R28,0,AP$51))/(INDEX($J$4:$R$4,0,AP$51+1)-INDEX($J$4:$R$4,0,AP$51))+AO54)))</f>
        <v>41.957332423339913</v>
      </c>
    </row>
    <row r="55" spans="1:78">
      <c r="A55" s="34"/>
      <c r="B55" s="16" t="str">
        <f t="shared" si="27"/>
        <v>COM_PROJ</v>
      </c>
      <c r="C55" s="17" t="str">
        <f t="shared" si="23"/>
        <v>-</v>
      </c>
      <c r="D55" s="48" t="str">
        <f t="shared" si="28"/>
        <v>TAOAG</v>
      </c>
      <c r="E55" s="17" t="str">
        <f t="shared" si="24"/>
        <v>-</v>
      </c>
      <c r="F55" s="17" t="str">
        <f t="shared" si="24"/>
        <v>-</v>
      </c>
      <c r="G55" s="17" t="str">
        <f t="shared" si="24"/>
        <v>-</v>
      </c>
      <c r="H55" s="17" t="str">
        <f t="shared" si="24"/>
        <v>-</v>
      </c>
      <c r="I55" s="111">
        <f t="shared" si="29"/>
        <v>0</v>
      </c>
      <c r="J55" s="3">
        <f t="shared" si="30"/>
        <v>1.0701311035156249</v>
      </c>
      <c r="K55" s="3" cm="1">
        <f t="array" ref="K55">IF(K$51=-1,L55,IF(K$51=99,J55,IF(K$51=0,INDEX($J29:$R29,0,K$49),(INDEX($J29:$R29,0,K$51+1)-INDEX($J29:$R29,0,K$51))/(INDEX($J$4:$R$4,0,K$51+1)-INDEX($J$4:$R$4,0,K$51))+J55)))</f>
        <v>1.0984488420118992</v>
      </c>
      <c r="L55" s="3" cm="1">
        <f t="array" ref="L55">IF(L$51=-1,M55,IF(L$51=99,K55,IF(L$51=0,INDEX($J29:$R29,0,L$49),(INDEX($J29:$R29,0,L$51+1)-INDEX($J29:$R29,0,L$51))/(INDEX($J$4:$R$4,0,L$51+1)-INDEX($J$4:$R$4,0,L$51))+K55)))</f>
        <v>1.1267665805081735</v>
      </c>
      <c r="M55" s="3" cm="1">
        <f t="array" ref="M55">IF(M$51=-1,N55,IF(M$51=99,L55,IF(M$51=0,INDEX($J29:$R29,0,M$49),(INDEX($J29:$R29,0,M$51+1)-INDEX($J29:$R29,0,M$51))/(INDEX($J$4:$R$4,0,M$51+1)-INDEX($J$4:$R$4,0,M$51))+L55)))</f>
        <v>1.155084319004448</v>
      </c>
      <c r="N55" s="3" cm="1">
        <f t="array" ref="N55">IF(N$51=-1,O55,IF(N$51=99,M55,IF(N$51=0,INDEX($J29:$R29,0,N$49),(INDEX($J29:$R29,0,N$51+1)-INDEX($J29:$R29,0,N$51))/(INDEX($J$4:$R$4,0,N$51+1)-INDEX($J$4:$R$4,0,N$51))+M55)))</f>
        <v>1.1694117490989513</v>
      </c>
      <c r="O55" s="3" cm="1">
        <f t="array" ref="O55">IF(O$51=-1,P55,IF(O$51=99,N55,IF(O$51=0,INDEX($J29:$R29,0,O$49),(INDEX($J29:$R29,0,O$51+1)-INDEX($J29:$R29,0,O$51))/(INDEX($J$4:$R$4,0,O$51+1)-INDEX($J$4:$R$4,0,O$51))+N55)))</f>
        <v>1.1837391791934546</v>
      </c>
      <c r="P55" s="3" cm="1">
        <f t="array" ref="P55">IF(P$51=-1,Q55,IF(P$51=99,O55,IF(P$51=0,INDEX($J29:$R29,0,P$49),(INDEX($J29:$R29,0,P$51+1)-INDEX($J29:$R29,0,P$51))/(INDEX($J$4:$R$4,0,P$51+1)-INDEX($J$4:$R$4,0,P$51))+O55)))</f>
        <v>1.1998359605948092</v>
      </c>
      <c r="Q55" s="3" cm="1">
        <f t="array" ref="Q55">IF(Q$51=-1,R55,IF(Q$51=99,P55,IF(Q$51=0,INDEX($J29:$R29,0,Q$49),(INDEX($J29:$R29,0,Q$51+1)-INDEX($J29:$R29,0,Q$51))/(INDEX($J$4:$R$4,0,Q$51+1)-INDEX($J$4:$R$4,0,Q$51))+P55)))</f>
        <v>1.2159327419961641</v>
      </c>
      <c r="R55" s="3" cm="1">
        <f t="array" ref="R55">IF(R$51=-1,S55,IF(R$51=99,Q55,IF(R$51=0,INDEX($J29:$R29,0,R$49),(INDEX($J29:$R29,0,R$51+1)-INDEX($J29:$R29,0,R$51))/(INDEX($J$4:$R$4,0,R$51+1)-INDEX($J$4:$R$4,0,R$51))+Q55)))</f>
        <v>1.1508828422185915</v>
      </c>
      <c r="S55" s="3" cm="1">
        <f t="array" ref="S55">IF(S$51=-1,T55,IF(S$51=99,R55,IF(S$51=0,INDEX($J29:$R29,0,S$49),(INDEX($J29:$R29,0,S$51+1)-INDEX($J29:$R29,0,S$51))/(INDEX($J$4:$R$4,0,S$51+1)-INDEX($J$4:$R$4,0,S$51))+R55)))</f>
        <v>0</v>
      </c>
      <c r="T55" s="3" cm="1">
        <f t="array" ref="T55">IF(T$51=-1,U55,IF(T$51=99,S55,IF(T$51=0,INDEX($J29:$R29,0,T$49),(INDEX($J29:$R29,0,T$51+1)-INDEX($J29:$R29,0,T$51))/(INDEX($J$4:$R$4,0,T$51+1)-INDEX($J$4:$R$4,0,T$51))+S55)))</f>
        <v>0.16795093075744566</v>
      </c>
      <c r="U55" s="3" cm="1">
        <f t="array" ref="U55">IF(U$51=-1,V55,IF(U$51=99,T55,IF(U$51=0,INDEX($J29:$R29,0,U$49),(INDEX($J29:$R29,0,U$51+1)-INDEX($J29:$R29,0,U$51))/(INDEX($J$4:$R$4,0,U$51+1)-INDEX($J$4:$R$4,0,U$51))+T55)))</f>
        <v>0.33590186151489132</v>
      </c>
      <c r="V55" s="3" cm="1">
        <f t="array" ref="V55">IF(V$51=-1,W55,IF(V$51=99,U55,IF(V$51=0,INDEX($J29:$R29,0,V$49),(INDEX($J29:$R29,0,V$51+1)-INDEX($J29:$R29,0,V$51))/(INDEX($J$4:$R$4,0,V$51+1)-INDEX($J$4:$R$4,0,V$51))+U55)))</f>
        <v>0.50385279227233704</v>
      </c>
      <c r="W55" s="3" cm="1">
        <f t="array" ref="W55">IF(W$51=-1,X55,IF(W$51=99,V55,IF(W$51=0,INDEX($J29:$R29,0,W$49),(INDEX($J29:$R29,0,W$51+1)-INDEX($J29:$R29,0,W$51))/(INDEX($J$4:$R$4,0,W$51+1)-INDEX($J$4:$R$4,0,W$51))+V55)))</f>
        <v>0.67180372302978264</v>
      </c>
      <c r="X55" s="3" cm="1">
        <f t="array" ref="X55">IF(X$51=-1,Y55,IF(X$51=99,W55,IF(X$51=0,INDEX($J29:$R29,0,X$49),(INDEX($J29:$R29,0,X$51+1)-INDEX($J29:$R29,0,X$51))/(INDEX($J$4:$R$4,0,X$51+1)-INDEX($J$4:$R$4,0,X$51))+W55)))</f>
        <v>0.83975465378722824</v>
      </c>
      <c r="Y55" s="3" cm="1">
        <f t="array" ref="Y55">IF(Y$51=-1,Z55,IF(Y$51=99,X55,IF(Y$51=0,INDEX($J29:$R29,0,Y$49),(INDEX($J29:$R29,0,Y$51+1)-INDEX($J29:$R29,0,Y$51))/(INDEX($J$4:$R$4,0,Y$51+1)-INDEX($J$4:$R$4,0,Y$51))+X55)))</f>
        <v>1.0077055845446738</v>
      </c>
      <c r="Z55" s="3" cm="1">
        <f t="array" ref="Z55">IF(Z$51=-1,AA55,IF(Z$51=99,Y55,IF(Z$51=0,INDEX($J29:$R29,0,Z$49),(INDEX($J29:$R29,0,Z$51+1)-INDEX($J29:$R29,0,Z$51))/(INDEX($J$4:$R$4,0,Z$51+1)-INDEX($J$4:$R$4,0,Z$51))+Y55)))</f>
        <v>1.1756565153021195</v>
      </c>
      <c r="AA55" s="3" cm="1">
        <f t="array" ref="AA55">IF(AA$51=-1,AB55,IF(AA$51=99,Z55,IF(AA$51=0,INDEX($J29:$R29,0,AA$49),(INDEX($J29:$R29,0,AA$51+1)-INDEX($J29:$R29,0,AA$51))/(INDEX($J$4:$R$4,0,AA$51+1)-INDEX($J$4:$R$4,0,AA$51))+Z55)))</f>
        <v>1.3436074460595651</v>
      </c>
      <c r="AB55" s="3" cm="1">
        <f t="array" ref="AB55">IF(AB$51=-1,AC55,IF(AB$51=99,AA55,IF(AB$51=0,INDEX($J29:$R29,0,AB$49),(INDEX($J29:$R29,0,AB$51+1)-INDEX($J29:$R29,0,AB$51))/(INDEX($J$4:$R$4,0,AB$51+1)-INDEX($J$4:$R$4,0,AB$51))+AA55)))</f>
        <v>1.5115583768170109</v>
      </c>
      <c r="AC55" s="3" cm="1">
        <f t="array" ref="AC55">IF(AC$51=-1,AD55,IF(AC$51=99,AB55,IF(AC$51=0,INDEX($J29:$R29,0,AC$49),(INDEX($J29:$R29,0,AC$51+1)-INDEX($J29:$R29,0,AC$51))/(INDEX($J$4:$R$4,0,AC$51+1)-INDEX($J$4:$R$4,0,AC$51))+AB55)))</f>
        <v>1.5477898737016702</v>
      </c>
      <c r="AD55" s="3" cm="1">
        <f t="array" ref="AD55">IF(AD$51=-1,AE55,IF(AD$51=99,AC55,IF(AD$51=0,INDEX($J29:$R29,0,AD$49),(INDEX($J29:$R29,0,AD$51+1)-INDEX($J29:$R29,0,AD$51))/(INDEX($J$4:$R$4,0,AD$51+1)-INDEX($J$4:$R$4,0,AD$51))+AC55)))</f>
        <v>1.5840213705863295</v>
      </c>
      <c r="AE55" s="3" cm="1">
        <f t="array" ref="AE55">IF(AE$51=-1,AF55,IF(AE$51=99,AD55,IF(AE$51=0,INDEX($J29:$R29,0,AE$49),(INDEX($J29:$R29,0,AE$51+1)-INDEX($J29:$R29,0,AE$51))/(INDEX($J$4:$R$4,0,AE$51+1)-INDEX($J$4:$R$4,0,AE$51))+AD55)))</f>
        <v>1.6202528674709888</v>
      </c>
      <c r="AF55" s="3" cm="1">
        <f t="array" ref="AF55">IF(AF$51=-1,AG55,IF(AF$51=99,AE55,IF(AF$51=0,INDEX($J29:$R29,0,AF$49),(INDEX($J29:$R29,0,AF$51+1)-INDEX($J29:$R29,0,AF$51))/(INDEX($J$4:$R$4,0,AF$51+1)-INDEX($J$4:$R$4,0,AF$51))+AE55)))</f>
        <v>1.6564843643556482</v>
      </c>
      <c r="AG55" s="3" cm="1">
        <f t="array" ref="AG55">IF(AG$51=-1,AH55,IF(AG$51=99,AF55,IF(AG$51=0,INDEX($J29:$R29,0,AG$49),(INDEX($J29:$R29,0,AG$51+1)-INDEX($J29:$R29,0,AG$51))/(INDEX($J$4:$R$4,0,AG$51+1)-INDEX($J$4:$R$4,0,AG$51))+AF55)))</f>
        <v>1.6927158612403075</v>
      </c>
      <c r="AH55" s="3" cm="1">
        <f t="array" ref="AH55">IF(AH$51=-1,AI55,IF(AH$51=99,AG55,IF(AH$51=0,INDEX($J29:$R29,0,AH$49),(INDEX($J29:$R29,0,AH$51+1)-INDEX($J29:$R29,0,AH$51))/(INDEX($J$4:$R$4,0,AH$51+1)-INDEX($J$4:$R$4,0,AH$51))+AG55)))</f>
        <v>1.7289473581249668</v>
      </c>
      <c r="AI55" s="3" cm="1">
        <f t="array" ref="AI55">IF(AI$51=-1,AJ55,IF(AI$51=99,AH55,IF(AI$51=0,INDEX($J29:$R29,0,AI$49),(INDEX($J29:$R29,0,AI$51+1)-INDEX($J29:$R29,0,AI$51))/(INDEX($J$4:$R$4,0,AI$51+1)-INDEX($J$4:$R$4,0,AI$51))+AH55)))</f>
        <v>1.7651788550096261</v>
      </c>
      <c r="AJ55" s="3" cm="1">
        <f t="array" ref="AJ55">IF(AJ$51=-1,AK55,IF(AJ$51=99,AI55,IF(AJ$51=0,INDEX($J29:$R29,0,AJ$49),(INDEX($J29:$R29,0,AJ$51+1)-INDEX($J29:$R29,0,AJ$51))/(INDEX($J$4:$R$4,0,AJ$51+1)-INDEX($J$4:$R$4,0,AJ$51))+AI55)))</f>
        <v>1.8014103518942854</v>
      </c>
      <c r="AK55" s="3" cm="1">
        <f t="array" ref="AK55">IF(AK$51=-1,AL55,IF(AK$51=99,AJ55,IF(AK$51=0,INDEX($J29:$R29,0,AK$49),(INDEX($J29:$R29,0,AK$51+1)-INDEX($J29:$R29,0,AK$51))/(INDEX($J$4:$R$4,0,AK$51+1)-INDEX($J$4:$R$4,0,AK$51))+AJ55)))</f>
        <v>1.8376418487789448</v>
      </c>
      <c r="AL55" s="3" cm="1">
        <f t="array" ref="AL55">IF(AL$51=-1,AM55,IF(AL$51=99,AK55,IF(AL$51=0,INDEX($J29:$R29,0,AL$49),(INDEX($J29:$R29,0,AL$51+1)-INDEX($J29:$R29,0,AL$51))/(INDEX($J$4:$R$4,0,AL$51+1)-INDEX($J$4:$R$4,0,AL$51))+AK55)))</f>
        <v>1.8738733456636036</v>
      </c>
      <c r="AM55" s="190">
        <f t="shared" si="31"/>
        <v>2.0525716787146386</v>
      </c>
      <c r="AN55" s="3" cm="1">
        <f t="array" ref="AN55">IF(AN$51=-1,AO55,IF(AN$51=99,AM55,IF(AN$51=0,INDEX($J29:$R29,0,AN$49),(INDEX($J29:$R29,0,AN$51+1)-INDEX($J29:$R29,0,AN$51))/(INDEX($J$4:$R$4,0,AN$51+1)-INDEX($J$4:$R$4,0,AN$51))+AM55)))</f>
        <v>2.2312700117656732</v>
      </c>
      <c r="AO55" s="3" cm="1">
        <f t="array" ref="AO55">IF(AO$51=-1,AP55,IF(AO$51=99,AN55,IF(AO$51=0,INDEX($J29:$R29,0,AO$49),(INDEX($J29:$R29,0,AO$51+1)-INDEX($J29:$R29,0,AO$51))/(INDEX($J$4:$R$4,0,AO$51+1)-INDEX($J$4:$R$4,0,AO$51))+AN55)))</f>
        <v>2.2312700117656732</v>
      </c>
      <c r="AP55" s="3" cm="1">
        <f t="array" ref="AP55">IF(AP$51=-1,AR55,IF(AP$51=99,AO55,IF(AP$51=0,INDEX($J29:$R29,0,AP$49),(INDEX($J29:$R29,0,AP$51+1)-INDEX($J29:$R29,0,AP$51))/(INDEX($J$4:$R$4,0,AP$51+1)-INDEX($J$4:$R$4,0,AP$51))+AO55)))</f>
        <v>2.2312700117656732</v>
      </c>
    </row>
    <row r="56" spans="1:78">
      <c r="A56" s="34"/>
      <c r="B56" s="16" t="str">
        <f t="shared" si="22"/>
        <v>COM_PROJ</v>
      </c>
      <c r="C56" s="17" t="str">
        <f t="shared" si="23"/>
        <v>-</v>
      </c>
      <c r="D56" s="48" t="s">
        <v>158</v>
      </c>
      <c r="E56" s="17" t="str">
        <f t="shared" si="24"/>
        <v>-</v>
      </c>
      <c r="F56" s="17" t="str">
        <f t="shared" si="24"/>
        <v>-</v>
      </c>
      <c r="G56" s="17" t="str">
        <f t="shared" si="24"/>
        <v>-</v>
      </c>
      <c r="H56" s="17" t="str">
        <f t="shared" si="24"/>
        <v>-</v>
      </c>
      <c r="I56" s="111">
        <f t="shared" si="25"/>
        <v>0</v>
      </c>
      <c r="J56" s="3">
        <f>J41</f>
        <v>4.5090000000000003</v>
      </c>
      <c r="K56" s="3" cm="1">
        <f t="array" ref="K56">IF(K$51=-1,L56,IF(K$51=99,J56,IF(K$51=0,INDEX($J41:$R41,0,K$49),(INDEX($J41:$R41,0,K$51+1)-INDEX($J41:$R41,0,K$51))/(INDEX($J$4:$R$4,0,K$51+1)-INDEX($J$4:$R$4,0,K$51))+J56)))</f>
        <v>4.6283168598316866</v>
      </c>
      <c r="L56" s="3" cm="1">
        <f t="array" ref="L56">IF(L$51=-1,M56,IF(L$51=99,K56,IF(L$51=0,INDEX($J41:$R41,0,L$49),(INDEX($J41:$R41,0,L$51+1)-INDEX($J41:$R41,0,L$51))/(INDEX($J$4:$R$4,0,L$51+1)-INDEX($J$4:$R$4,0,L$51))+K56)))</f>
        <v>4.7476337196633729</v>
      </c>
      <c r="M56" s="3" cm="1">
        <f t="array" ref="M56">IF(M$51=-1,N56,IF(M$51=99,L56,IF(M$51=0,INDEX($J41:$R41,0,M$49),(INDEX($J41:$R41,0,M$51+1)-INDEX($J41:$R41,0,M$51))/(INDEX($J$4:$R$4,0,M$51+1)-INDEX($J$4:$R$4,0,M$51))+L56)))</f>
        <v>4.8669505794950583</v>
      </c>
      <c r="N56" s="3" cm="1">
        <f t="array" ref="N56">IF(N$51=-1,O56,IF(N$51=99,M56,IF(N$51=0,INDEX($J41:$R41,0,N$49),(INDEX($J41:$R41,0,N$51+1)-INDEX($J41:$R41,0,N$51))/(INDEX($J$4:$R$4,0,N$51+1)-INDEX($J$4:$R$4,0,N$51))+M56)))</f>
        <v>4.6877822947475298</v>
      </c>
      <c r="O56" s="3" cm="1">
        <f t="array" ref="O56">IF(O$51=-1,P56,IF(O$51=99,N56,IF(O$51=0,INDEX($J41:$R41,0,O$49),(INDEX($J41:$R41,0,O$51+1)-INDEX($J41:$R41,0,O$51))/(INDEX($J$4:$R$4,0,O$51+1)-INDEX($J$4:$R$4,0,O$51))+N56)))</f>
        <v>4.5086140100000014</v>
      </c>
      <c r="P56" s="3" cm="1">
        <f t="array" ref="P56">IF(P$51=-1,Q56,IF(P$51=99,O56,IF(P$51=0,INDEX($J41:$R41,0,P$49),(INDEX($J41:$R41,0,P$51+1)-INDEX($J41:$R41,0,P$51))/(INDEX($J$4:$R$4,0,P$51+1)-INDEX($J$4:$R$4,0,P$51))+O56)))</f>
        <v>4.8159747836716882</v>
      </c>
      <c r="Q56" s="3" cm="1">
        <f t="array" ref="Q56">IF(Q$51=-1,R56,IF(Q$51=99,P56,IF(Q$51=0,INDEX($J41:$R41,0,Q$49),(INDEX($J41:$R41,0,Q$51+1)-INDEX($J41:$R41,0,Q$51))/(INDEX($J$4:$R$4,0,Q$51+1)-INDEX($J$4:$R$4,0,Q$51))+P56)))</f>
        <v>5.123335557343375</v>
      </c>
      <c r="R56" s="3" cm="1">
        <f t="array" ref="R56">IF(R$51=-1,S56,IF(R$51=99,Q56,IF(R$51=0,INDEX($J41:$R41,0,R$49),(INDEX($J41:$R41,0,R$51+1)-INDEX($J41:$R41,0,R$51))/(INDEX($J$4:$R$4,0,R$51+1)-INDEX($J$4:$R$4,0,R$51))+Q56)))</f>
        <v>4.849247646868216</v>
      </c>
      <c r="S56" s="3" cm="1">
        <f t="array" ref="S56">IF(S$51=-1,T56,IF(S$51=99,R56,IF(S$51=0,INDEX($J41:$R41,0,S$49),(INDEX($J41:$R41,0,S$51+1)-INDEX($J41:$R41,0,S$51))/(INDEX($J$4:$R$4,0,S$51+1)-INDEX($J$4:$R$4,0,S$51))+R56)))</f>
        <v>4.5895317288139692</v>
      </c>
      <c r="T56" s="3" cm="1">
        <f t="array" ref="T56">IF(T$51=-1,U56,IF(T$51=99,S56,IF(T$51=0,INDEX($J41:$R41,0,T$49),(INDEX($J41:$R41,0,T$51+1)-INDEX($J41:$R41,0,T$51))/(INDEX($J$4:$R$4,0,T$51+1)-INDEX($J$4:$R$4,0,T$51))+S56)))</f>
        <v>4.7872454130154711</v>
      </c>
      <c r="U56" s="3" cm="1">
        <f t="array" ref="U56">IF(U$51=-1,V56,IF(U$51=99,T56,IF(U$51=0,INDEX($J41:$R41,0,U$49),(INDEX($J41:$R41,0,U$51+1)-INDEX($J41:$R41,0,U$51))/(INDEX($J$4:$R$4,0,U$51+1)-INDEX($J$4:$R$4,0,U$51))+T56)))</f>
        <v>4.9849590972169731</v>
      </c>
      <c r="V56" s="3" cm="1">
        <f t="array" ref="V56">IF(V$51=-1,W56,IF(V$51=99,U56,IF(V$51=0,INDEX($J41:$R41,0,V$49),(INDEX($J41:$R41,0,V$51+1)-INDEX($J41:$R41,0,V$51))/(INDEX($J$4:$R$4,0,V$51+1)-INDEX($J$4:$R$4,0,V$51))+U56)))</f>
        <v>5.182672781418475</v>
      </c>
      <c r="W56" s="3" cm="1">
        <f t="array" ref="W56">IF(W$51=-1,X56,IF(W$51=99,V56,IF(W$51=0,INDEX($J41:$R41,0,W$49),(INDEX($J41:$R41,0,W$51+1)-INDEX($J41:$R41,0,W$51))/(INDEX($J$4:$R$4,0,W$51+1)-INDEX($J$4:$R$4,0,W$51))+V56)))</f>
        <v>5.3803864656199769</v>
      </c>
      <c r="X56" s="3" cm="1">
        <f t="array" ref="X56">IF(X$51=-1,Y56,IF(X$51=99,W56,IF(X$51=0,INDEX($J41:$R41,0,X$49),(INDEX($J41:$R41,0,X$51+1)-INDEX($J41:$R41,0,X$51))/(INDEX($J$4:$R$4,0,X$51+1)-INDEX($J$4:$R$4,0,X$51))+W56)))</f>
        <v>5.5781001498214788</v>
      </c>
      <c r="Y56" s="3" cm="1">
        <f t="array" ref="Y56">IF(Y$51=-1,Z56,IF(Y$51=99,X56,IF(Y$51=0,INDEX($J41:$R41,0,Y$49),(INDEX($J41:$R41,0,Y$51+1)-INDEX($J41:$R41,0,Y$51))/(INDEX($J$4:$R$4,0,Y$51+1)-INDEX($J$4:$R$4,0,Y$51))+X56)))</f>
        <v>5.7758138340229808</v>
      </c>
      <c r="Z56" s="3" cm="1">
        <f t="array" ref="Z56">IF(Z$51=-1,AA56,IF(Z$51=99,Y56,IF(Z$51=0,INDEX($J41:$R41,0,Z$49),(INDEX($J41:$R41,0,Z$51+1)-INDEX($J41:$R41,0,Z$51))/(INDEX($J$4:$R$4,0,Z$51+1)-INDEX($J$4:$R$4,0,Z$51))+Y56)))</f>
        <v>5.9735275182244827</v>
      </c>
      <c r="AA56" s="3" cm="1">
        <f t="array" ref="AA56">IF(AA$51=-1,AB56,IF(AA$51=99,Z56,IF(AA$51=0,INDEX($J41:$R41,0,AA$49),(INDEX($J41:$R41,0,AA$51+1)-INDEX($J41:$R41,0,AA$51))/(INDEX($J$4:$R$4,0,AA$51+1)-INDEX($J$4:$R$4,0,AA$51))+Z56)))</f>
        <v>6.1712412024259846</v>
      </c>
      <c r="AB56" s="3" cm="1">
        <f t="array" ref="AB56">IF(AB$51=-1,AC56,IF(AB$51=99,AA56,IF(AB$51=0,INDEX($J41:$R41,0,AB$49),(INDEX($J41:$R41,0,AB$51+1)-INDEX($J41:$R41,0,AB$51))/(INDEX($J$4:$R$4,0,AB$51+1)-INDEX($J$4:$R$4,0,AB$51))+AA56)))</f>
        <v>6.3689548866274874</v>
      </c>
      <c r="AC56" s="3" cm="1">
        <f t="array" ref="AC56">IF(AC$51=-1,AD56,IF(AC$51=99,AB56,IF(AC$51=0,INDEX($J41:$R41,0,AC$49),(INDEX($J41:$R41,0,AC$51+1)-INDEX($J41:$R41,0,AC$51))/(INDEX($J$4:$R$4,0,AC$51+1)-INDEX($J$4:$R$4,0,AC$51))+AB56)))</f>
        <v>6.5216163866214867</v>
      </c>
      <c r="AD56" s="3" cm="1">
        <f t="array" ref="AD56">IF(AD$51=-1,AE56,IF(AD$51=99,AC56,IF(AD$51=0,INDEX($J41:$R41,0,AD$49),(INDEX($J41:$R41,0,AD$51+1)-INDEX($J41:$R41,0,AD$51))/(INDEX($J$4:$R$4,0,AD$51+1)-INDEX($J$4:$R$4,0,AD$51))+AC56)))</f>
        <v>6.6742778866154859</v>
      </c>
      <c r="AE56" s="3" cm="1">
        <f t="array" ref="AE56">IF(AE$51=-1,AF56,IF(AE$51=99,AD56,IF(AE$51=0,INDEX($J41:$R41,0,AE$49),(INDEX($J41:$R41,0,AE$51+1)-INDEX($J41:$R41,0,AE$51))/(INDEX($J$4:$R$4,0,AE$51+1)-INDEX($J$4:$R$4,0,AE$51))+AD56)))</f>
        <v>6.8269393866094852</v>
      </c>
      <c r="AF56" s="3" cm="1">
        <f t="array" ref="AF56">IF(AF$51=-1,AG56,IF(AF$51=99,AE56,IF(AF$51=0,INDEX($J41:$R41,0,AF$49),(INDEX($J41:$R41,0,AF$51+1)-INDEX($J41:$R41,0,AF$51))/(INDEX($J$4:$R$4,0,AF$51+1)-INDEX($J$4:$R$4,0,AF$51))+AE56)))</f>
        <v>6.9796008866034844</v>
      </c>
      <c r="AG56" s="3" cm="1">
        <f t="array" ref="AG56">IF(AG$51=-1,AH56,IF(AG$51=99,AF56,IF(AG$51=0,INDEX($J41:$R41,0,AG$49),(INDEX($J41:$R41,0,AG$51+1)-INDEX($J41:$R41,0,AG$51))/(INDEX($J$4:$R$4,0,AG$51+1)-INDEX($J$4:$R$4,0,AG$51))+AF56)))</f>
        <v>7.1322623865974837</v>
      </c>
      <c r="AH56" s="3" cm="1">
        <f t="array" ref="AH56">IF(AH$51=-1,AI56,IF(AH$51=99,AG56,IF(AH$51=0,INDEX($J41:$R41,0,AH$49),(INDEX($J41:$R41,0,AH$51+1)-INDEX($J41:$R41,0,AH$51))/(INDEX($J$4:$R$4,0,AH$51+1)-INDEX($J$4:$R$4,0,AH$51))+AG56)))</f>
        <v>7.2849238865914829</v>
      </c>
      <c r="AI56" s="3" cm="1">
        <f t="array" ref="AI56">IF(AI$51=-1,AJ56,IF(AI$51=99,AH56,IF(AI$51=0,INDEX($J41:$R41,0,AI$49),(INDEX($J41:$R41,0,AI$51+1)-INDEX($J41:$R41,0,AI$51))/(INDEX($J$4:$R$4,0,AI$51+1)-INDEX($J$4:$R$4,0,AI$51))+AH56)))</f>
        <v>7.4375853865854822</v>
      </c>
      <c r="AJ56" s="3" cm="1">
        <f t="array" ref="AJ56">IF(AJ$51=-1,AK56,IF(AJ$51=99,AI56,IF(AJ$51=0,INDEX($J41:$R41,0,AJ$49),(INDEX($J41:$R41,0,AJ$51+1)-INDEX($J41:$R41,0,AJ$51))/(INDEX($J$4:$R$4,0,AJ$51+1)-INDEX($J$4:$R$4,0,AJ$51))+AI56)))</f>
        <v>7.5902468865794814</v>
      </c>
      <c r="AK56" s="3" cm="1">
        <f t="array" ref="AK56">IF(AK$51=-1,AL56,IF(AK$51=99,AJ56,IF(AK$51=0,INDEX($J41:$R41,0,AK$49),(INDEX($J41:$R41,0,AK$51+1)-INDEX($J41:$R41,0,AK$51))/(INDEX($J$4:$R$4,0,AK$51+1)-INDEX($J$4:$R$4,0,AK$51))+AJ56)))</f>
        <v>7.7429083865734807</v>
      </c>
      <c r="AL56" s="3" cm="1">
        <f t="array" ref="AL56">IF(AL$51=-1,AM56,IF(AL$51=99,AK56,IF(AL$51=0,INDEX($J41:$R41,0,AL$49),(INDEX($J41:$R41,0,AL$51+1)-INDEX($J41:$R41,0,AL$51))/(INDEX($J$4:$R$4,0,AL$51+1)-INDEX($J$4:$R$4,0,AL$51))+AK56)))</f>
        <v>7.8955698865674773</v>
      </c>
      <c r="AM56" s="190">
        <f t="shared" si="26"/>
        <v>8.6485157462663871</v>
      </c>
      <c r="AN56" s="3" cm="1">
        <f t="array" ref="AN56">IF(AN$51=-1,AO56,IF(AN$51=99,AM56,IF(AN$51=0,INDEX($J41:$R41,0,AN$49),(INDEX($J41:$R41,0,AN$51+1)-INDEX($J41:$R41,0,AN$51))/(INDEX($J$4:$R$4,0,AN$51+1)-INDEX($J$4:$R$4,0,AN$51))+AM56)))</f>
        <v>9.4014616059652987</v>
      </c>
      <c r="AO56" s="3" cm="1">
        <f t="array" ref="AO56">IF(AO$51=-1,AP56,IF(AO$51=99,AN56,IF(AO$51=0,INDEX($J41:$R41,0,AO$49),(INDEX($J41:$R41,0,AO$51+1)-INDEX($J41:$R41,0,AO$51))/(INDEX($J$4:$R$4,0,AO$51+1)-INDEX($J$4:$R$4,0,AO$51))+AN56)))</f>
        <v>9.4014616059652987</v>
      </c>
      <c r="AP56" s="3" cm="1">
        <f t="array" ref="AP56">IF(AP$51=-1,AR56,IF(AP$51=99,AO56,IF(AP$51=0,INDEX($J41:$R41,0,AP$49),(INDEX($J41:$R41,0,AP$51+1)-INDEX($J41:$R41,0,AP$51))/(INDEX($J$4:$R$4,0,AP$51+1)-INDEX($J$4:$R$4,0,AP$51))+AO56)))</f>
        <v>9.4014616059652987</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Guy Cunliffe</cp:lastModifiedBy>
  <dcterms:created xsi:type="dcterms:W3CDTF">2011-09-16T10:01:44Z</dcterms:created>
  <dcterms:modified xsi:type="dcterms:W3CDTF">2023-03-21T14:06:59Z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