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86D93FF9-CFEF-49C2-A2E5-114EBAE27008}" xr6:coauthVersionLast="47" xr6:coauthVersionMax="47" xr10:uidLastSave="{00000000-0000-0000-0000-000000000000}"/>
  <bookViews>
    <workbookView xWindow="-120" yWindow="-120" windowWidth="29040" windowHeight="15990" firstSheet="2" activeTab="4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4" i="124" l="1"/>
  <c r="M39" i="125" s="1"/>
  <c r="D33" i="124"/>
  <c r="L39" i="125" s="1"/>
  <c r="D32" i="124"/>
  <c r="K39" i="125" s="1"/>
  <c r="T28" i="124"/>
  <c r="T34" i="124" s="1"/>
  <c r="S28" i="124"/>
  <c r="S34" i="124" s="1"/>
  <c r="R28" i="124"/>
  <c r="R34" i="124" s="1"/>
  <c r="D28" i="124"/>
  <c r="D24" i="124"/>
  <c r="F16" i="124" s="1"/>
  <c r="D14" i="124"/>
  <c r="D13" i="124"/>
  <c r="D15" i="124" s="1"/>
  <c r="T11" i="124"/>
  <c r="S11" i="124"/>
  <c r="R11" i="124"/>
  <c r="D8" i="124"/>
  <c r="J6" i="124"/>
  <c r="J8" i="124" s="1"/>
  <c r="J9" i="124" s="1"/>
  <c r="D5" i="124"/>
  <c r="D23" i="124" s="1"/>
  <c r="H23" i="125"/>
  <c r="H23" i="126"/>
  <c r="AL23" i="126" s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I23" i="125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K28" i="124" l="1"/>
  <c r="K27" i="124"/>
  <c r="K29" i="124"/>
  <c r="T14" i="124"/>
  <c r="T23" i="124" s="1"/>
  <c r="T32" i="124" s="1"/>
  <c r="S14" i="124"/>
  <c r="S23" i="124" s="1"/>
  <c r="S32" i="124" s="1"/>
  <c r="R14" i="124"/>
  <c r="R23" i="124" s="1"/>
  <c r="R32" i="124" s="1"/>
  <c r="T13" i="124"/>
  <c r="T24" i="124" s="1"/>
  <c r="T33" i="124" s="1"/>
  <c r="S13" i="124"/>
  <c r="S24" i="124" s="1"/>
  <c r="S33" i="124" s="1"/>
  <c r="D17" i="124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Q203" i="123"/>
  <c r="Q201" i="123"/>
  <c r="Q202" i="123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S199" i="123" s="1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Q143" i="123"/>
  <c r="S143" i="123" s="1"/>
  <c r="T143" i="123" s="1"/>
  <c r="U143" i="123" s="1"/>
  <c r="V143" i="123" s="1"/>
  <c r="W143" i="123" s="1"/>
  <c r="Q151" i="123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S145" i="123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S151" i="123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201" i="123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S203" i="123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S202" i="123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R13" i="124" l="1"/>
  <c r="R24" i="124" s="1"/>
  <c r="R33" i="124" s="1"/>
  <c r="D20" i="124"/>
  <c r="F17" i="124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Q174" i="123"/>
  <c r="H228" i="123"/>
  <c r="T204" i="123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204" i="123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D232" i="123" l="1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D233" i="123" l="1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D234" i="123" l="1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D235" i="123" l="1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C235" i="123" l="1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D237" i="123" l="1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D238" i="123" l="1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D239" i="123" l="1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D240" i="123" l="1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D241" i="123" l="1"/>
  <c r="C241" i="123" s="1"/>
  <c r="C240" i="123"/>
  <c r="D224" i="123"/>
  <c r="C224" i="123" s="1"/>
  <c r="F23" i="123" s="1"/>
  <c r="C223" i="123"/>
  <c r="F26" i="123" s="1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M23" i="123" l="1" a="1"/>
  <c r="M23" i="123" s="1"/>
  <c r="L23" i="123" a="1"/>
  <c r="L23" i="123" s="1"/>
  <c r="J23" i="123" a="1"/>
  <c r="J23" i="123" s="1"/>
  <c r="K23" i="123" a="1"/>
  <c r="K23" i="123" s="1"/>
  <c r="H23" i="123" a="1"/>
  <c r="H23" i="123" s="1"/>
  <c r="N23" i="123" a="1"/>
  <c r="N23" i="123" s="1"/>
  <c r="P23" i="123" a="1"/>
  <c r="P23" i="123" s="1"/>
  <c r="O23" i="123" a="1"/>
  <c r="O23" i="123" s="1"/>
  <c r="I23" i="123" a="1"/>
  <c r="I23" i="123" s="1"/>
  <c r="J26" i="123" a="1"/>
  <c r="J26" i="123" s="1"/>
  <c r="H26" i="123" a="1"/>
  <c r="H26" i="123" s="1"/>
  <c r="K26" i="123" a="1"/>
  <c r="K26" i="123" s="1"/>
  <c r="O26" i="123" a="1"/>
  <c r="O26" i="123" s="1"/>
  <c r="I26" i="123" a="1"/>
  <c r="I26" i="123" s="1"/>
  <c r="N26" i="123" a="1"/>
  <c r="N26" i="123" s="1"/>
  <c r="P26" i="123" a="1"/>
  <c r="P26" i="123" s="1"/>
  <c r="L26" i="123" a="1"/>
  <c r="L26" i="123" s="1"/>
  <c r="M26" i="123" a="1"/>
  <c r="M26" i="123" s="1"/>
  <c r="F25" i="123"/>
  <c r="F28" i="123"/>
  <c r="F18" i="123"/>
  <c r="F19" i="123"/>
  <c r="F21" i="123"/>
  <c r="F20" i="123"/>
  <c r="F24" i="123"/>
  <c r="F22" i="123"/>
  <c r="F27" i="123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M20" i="123" l="1" a="1"/>
  <c r="M20" i="123" s="1"/>
  <c r="J20" i="123" a="1"/>
  <c r="J20" i="123" s="1"/>
  <c r="N20" i="123" a="1"/>
  <c r="N20" i="123" s="1"/>
  <c r="O20" i="123" a="1"/>
  <c r="O20" i="123" s="1"/>
  <c r="L20" i="123" a="1"/>
  <c r="L20" i="123" s="1"/>
  <c r="H20" i="123" a="1"/>
  <c r="H20" i="123" s="1"/>
  <c r="P20" i="123" a="1"/>
  <c r="P20" i="123" s="1"/>
  <c r="I20" i="123" a="1"/>
  <c r="I20" i="123" s="1"/>
  <c r="K20" i="123" a="1"/>
  <c r="K20" i="123" s="1"/>
  <c r="O21" i="123" a="1"/>
  <c r="O21" i="123" s="1"/>
  <c r="P21" i="123" a="1"/>
  <c r="P21" i="123" s="1"/>
  <c r="L21" i="123" a="1"/>
  <c r="L21" i="123" s="1"/>
  <c r="M21" i="123" a="1"/>
  <c r="M21" i="123" s="1"/>
  <c r="I21" i="123" a="1"/>
  <c r="I21" i="123" s="1"/>
  <c r="N21" i="123" a="1"/>
  <c r="N21" i="123" s="1"/>
  <c r="H21" i="123" a="1"/>
  <c r="H21" i="123" s="1"/>
  <c r="J21" i="123" a="1"/>
  <c r="J21" i="123" s="1"/>
  <c r="K21" i="123" a="1"/>
  <c r="K21" i="123" s="1"/>
  <c r="P19" i="123" a="1"/>
  <c r="P19" i="123" s="1"/>
  <c r="I19" i="123" a="1"/>
  <c r="I19" i="123" s="1"/>
  <c r="J19" i="123" a="1"/>
  <c r="J19" i="123" s="1"/>
  <c r="K19" i="123" a="1"/>
  <c r="K19" i="123" s="1"/>
  <c r="N19" i="123" a="1"/>
  <c r="N19" i="123" s="1"/>
  <c r="L19" i="123" a="1"/>
  <c r="L19" i="123" s="1"/>
  <c r="O19" i="123" a="1"/>
  <c r="O19" i="123" s="1"/>
  <c r="M19" i="123" a="1"/>
  <c r="M19" i="123" s="1"/>
  <c r="H19" i="123" a="1"/>
  <c r="H19" i="123" s="1"/>
  <c r="H18" i="123" a="1"/>
  <c r="H18" i="123" s="1"/>
  <c r="P18" i="123" a="1"/>
  <c r="P18" i="123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I18" i="123" a="1"/>
  <c r="I18" i="123" s="1"/>
  <c r="Q23" i="123"/>
  <c r="S23" i="123" s="1"/>
  <c r="I14" i="78" s="1"/>
  <c r="J28" i="123" a="1"/>
  <c r="J28" i="123" s="1"/>
  <c r="N28" i="123" a="1"/>
  <c r="N28" i="123" s="1"/>
  <c r="H28" i="123" a="1"/>
  <c r="H28" i="123" s="1"/>
  <c r="L28" i="123" a="1"/>
  <c r="L28" i="123" s="1"/>
  <c r="M28" i="123" a="1"/>
  <c r="M28" i="123" s="1"/>
  <c r="O28" i="123" a="1"/>
  <c r="O28" i="123" s="1"/>
  <c r="K28" i="123" a="1"/>
  <c r="K28" i="123" s="1"/>
  <c r="I28" i="123" a="1"/>
  <c r="I28" i="123" s="1"/>
  <c r="P28" i="123" a="1"/>
  <c r="P28" i="123" s="1"/>
  <c r="I27" i="123" a="1"/>
  <c r="I27" i="123" s="1"/>
  <c r="J27" i="123" a="1"/>
  <c r="J27" i="123" s="1"/>
  <c r="K27" i="123" a="1"/>
  <c r="K27" i="123" s="1"/>
  <c r="M27" i="123" a="1"/>
  <c r="M27" i="123" s="1"/>
  <c r="O27" i="123" a="1"/>
  <c r="O27" i="123" s="1"/>
  <c r="N27" i="123" a="1"/>
  <c r="N27" i="123" s="1"/>
  <c r="P27" i="123" a="1"/>
  <c r="P27" i="123" s="1"/>
  <c r="L27" i="123" a="1"/>
  <c r="L27" i="123" s="1"/>
  <c r="H27" i="123" a="1"/>
  <c r="H27" i="123" s="1"/>
  <c r="J25" i="123" a="1"/>
  <c r="J25" i="123" s="1"/>
  <c r="L25" i="123" a="1"/>
  <c r="L25" i="123" s="1"/>
  <c r="K25" i="123" a="1"/>
  <c r="K25" i="123" s="1"/>
  <c r="H25" i="123" a="1"/>
  <c r="H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Q26" i="123"/>
  <c r="S26" i="123" s="1"/>
  <c r="I17" i="78" s="1"/>
  <c r="N22" i="123" a="1"/>
  <c r="N22" i="123" s="1"/>
  <c r="M22" i="123" a="1"/>
  <c r="M22" i="123" s="1"/>
  <c r="O22" i="123" a="1"/>
  <c r="O22" i="123" s="1"/>
  <c r="P22" i="123" a="1"/>
  <c r="P22" i="123" s="1"/>
  <c r="I22" i="123" a="1"/>
  <c r="I22" i="123" s="1"/>
  <c r="J22" i="123" a="1"/>
  <c r="J22" i="123" s="1"/>
  <c r="K22" i="123" a="1"/>
  <c r="K22" i="123" s="1"/>
  <c r="H22" i="123" a="1"/>
  <c r="H22" i="123" s="1"/>
  <c r="L22" i="123" a="1"/>
  <c r="L22" i="123" s="1"/>
  <c r="J24" i="123" a="1"/>
  <c r="J24" i="123" s="1"/>
  <c r="I24" i="123" a="1"/>
  <c r="I24" i="123" s="1"/>
  <c r="K24" i="123" a="1"/>
  <c r="K24" i="123" s="1"/>
  <c r="O24" i="123" a="1"/>
  <c r="O24" i="123" s="1"/>
  <c r="L24" i="123" a="1"/>
  <c r="L24" i="123" s="1"/>
  <c r="N24" i="123" a="1"/>
  <c r="N24" i="123" s="1"/>
  <c r="P24" i="123" a="1"/>
  <c r="P24" i="123" s="1"/>
  <c r="H24" i="123" a="1"/>
  <c r="H24" i="123" s="1"/>
  <c r="M24" i="123" a="1"/>
  <c r="M24" i="123" s="1"/>
  <c r="Q29" i="123"/>
  <c r="S29" i="123" s="1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T23" i="123" l="1"/>
  <c r="J14" i="78" s="1"/>
  <c r="T26" i="123"/>
  <c r="J17" i="78" s="1"/>
  <c r="Q28" i="123"/>
  <c r="S28" i="123" s="1"/>
  <c r="I19" i="78" s="1"/>
  <c r="Q18" i="123"/>
  <c r="S18" i="123" s="1"/>
  <c r="I9" i="78" s="1"/>
  <c r="Q22" i="123"/>
  <c r="S22" i="123" s="1"/>
  <c r="I13" i="78" s="1"/>
  <c r="Q27" i="123"/>
  <c r="S27" i="123" s="1"/>
  <c r="I18" i="78" s="1"/>
  <c r="Q19" i="123"/>
  <c r="S19" i="123" s="1"/>
  <c r="I10" i="78" s="1"/>
  <c r="Q20" i="123"/>
  <c r="S20" i="123" s="1"/>
  <c r="I11" i="78" s="1"/>
  <c r="Q21" i="123"/>
  <c r="S21" i="123" s="1"/>
  <c r="I12" i="78" s="1"/>
  <c r="U26" i="123"/>
  <c r="K17" i="78" s="1"/>
  <c r="Q24" i="123"/>
  <c r="S24" i="123" s="1"/>
  <c r="I15" i="78" s="1"/>
  <c r="Q25" i="123"/>
  <c r="S25" i="123" s="1"/>
  <c r="I16" i="78" s="1"/>
  <c r="U23" i="123"/>
  <c r="K14" i="78" s="1"/>
  <c r="T29" i="123"/>
  <c r="I20" i="78"/>
  <c r="Q31" i="123"/>
  <c r="S31" i="123" s="1"/>
  <c r="Q30" i="123"/>
  <c r="S30" i="123" s="1"/>
  <c r="T25" i="123" l="1"/>
  <c r="J16" i="78" s="1"/>
  <c r="T24" i="123"/>
  <c r="J15" i="78" s="1"/>
  <c r="T19" i="123"/>
  <c r="J10" i="78" s="1"/>
  <c r="V26" i="123"/>
  <c r="T21" i="123"/>
  <c r="J12" i="78" s="1"/>
  <c r="T27" i="123"/>
  <c r="J18" i="78" s="1"/>
  <c r="T22" i="123"/>
  <c r="J13" i="78" s="1"/>
  <c r="V23" i="123"/>
  <c r="T28" i="123"/>
  <c r="J19" i="78" s="1"/>
  <c r="T20" i="123"/>
  <c r="T18" i="123"/>
  <c r="U24" i="123"/>
  <c r="K15" i="78" s="1"/>
  <c r="U19" i="123"/>
  <c r="K10" i="78" s="1"/>
  <c r="T31" i="123"/>
  <c r="I22" i="78"/>
  <c r="T30" i="123"/>
  <c r="I21" i="78"/>
  <c r="U29" i="123"/>
  <c r="J20" i="78"/>
  <c r="U25" i="123" l="1"/>
  <c r="V24" i="123"/>
  <c r="L15" i="78" s="1"/>
  <c r="U28" i="123"/>
  <c r="J9" i="78"/>
  <c r="U18" i="123"/>
  <c r="W26" i="123"/>
  <c r="L17" i="78"/>
  <c r="V19" i="123"/>
  <c r="U27" i="123"/>
  <c r="K16" i="78"/>
  <c r="V25" i="123"/>
  <c r="J11" i="78"/>
  <c r="U20" i="123"/>
  <c r="L14" i="78"/>
  <c r="W23" i="123"/>
  <c r="U22" i="123"/>
  <c r="W24" i="123"/>
  <c r="U21" i="123"/>
  <c r="U30" i="123"/>
  <c r="J21" i="78"/>
  <c r="V29" i="123"/>
  <c r="K20" i="78"/>
  <c r="U31" i="123"/>
  <c r="J22" i="78"/>
  <c r="K19" i="78" l="1"/>
  <c r="V28" i="123"/>
  <c r="L16" i="78"/>
  <c r="W25" i="123"/>
  <c r="K12" i="78"/>
  <c r="V21" i="123"/>
  <c r="M15" i="78"/>
  <c r="X24" i="123"/>
  <c r="K18" i="78"/>
  <c r="V27" i="123"/>
  <c r="K13" i="78"/>
  <c r="V22" i="123"/>
  <c r="L10" i="78"/>
  <c r="W19" i="123"/>
  <c r="M14" i="78"/>
  <c r="X23" i="123"/>
  <c r="M17" i="78"/>
  <c r="X26" i="123"/>
  <c r="K9" i="78"/>
  <c r="V18" i="123"/>
  <c r="K11" i="78"/>
  <c r="V20" i="123"/>
  <c r="V30" i="123"/>
  <c r="K21" i="78"/>
  <c r="V31" i="123"/>
  <c r="K22" i="78"/>
  <c r="W29" i="123"/>
  <c r="L20" i="78"/>
  <c r="L19" i="78" l="1"/>
  <c r="W28" i="123"/>
  <c r="W27" i="123"/>
  <c r="L18" i="78"/>
  <c r="N14" i="78"/>
  <c r="Y23" i="123"/>
  <c r="N15" i="78"/>
  <c r="Y24" i="123"/>
  <c r="Y26" i="123"/>
  <c r="N17" i="78"/>
  <c r="M10" i="78"/>
  <c r="X19" i="123"/>
  <c r="L12" i="78"/>
  <c r="W21" i="123"/>
  <c r="L11" i="78"/>
  <c r="W20" i="123"/>
  <c r="L9" i="78"/>
  <c r="W18" i="123"/>
  <c r="L13" i="78"/>
  <c r="W22" i="123"/>
  <c r="M16" i="78"/>
  <c r="X25" i="123"/>
  <c r="W31" i="123"/>
  <c r="L22" i="78"/>
  <c r="X29" i="123"/>
  <c r="M20" i="78"/>
  <c r="W30" i="123"/>
  <c r="L21" i="78"/>
  <c r="X28" i="123" l="1"/>
  <c r="M19" i="78"/>
  <c r="M9" i="78"/>
  <c r="X18" i="123"/>
  <c r="Z26" i="123"/>
  <c r="O17" i="78"/>
  <c r="M11" i="78"/>
  <c r="X20" i="123"/>
  <c r="Z24" i="123"/>
  <c r="O15" i="78"/>
  <c r="Y25" i="123"/>
  <c r="N16" i="78"/>
  <c r="Z23" i="123"/>
  <c r="O14" i="78"/>
  <c r="M12" i="78"/>
  <c r="X21" i="123"/>
  <c r="M13" i="78"/>
  <c r="X22" i="123"/>
  <c r="N10" i="78"/>
  <c r="Y19" i="123"/>
  <c r="M18" i="78"/>
  <c r="X27" i="123"/>
  <c r="X30" i="123"/>
  <c r="M21" i="78"/>
  <c r="Y29" i="123"/>
  <c r="N20" i="78"/>
  <c r="X31" i="123"/>
  <c r="M22" i="78"/>
  <c r="Y28" i="123" l="1"/>
  <c r="N19" i="78"/>
  <c r="AA24" i="123"/>
  <c r="P15" i="78"/>
  <c r="N11" i="78"/>
  <c r="Y20" i="123"/>
  <c r="N12" i="78"/>
  <c r="Y21" i="123"/>
  <c r="Y27" i="123"/>
  <c r="N18" i="78"/>
  <c r="P14" i="78"/>
  <c r="AA23" i="123"/>
  <c r="P17" i="78"/>
  <c r="AA26" i="123"/>
  <c r="O10" i="78"/>
  <c r="Z19" i="123"/>
  <c r="N9" i="78"/>
  <c r="Y18" i="123"/>
  <c r="N13" i="78"/>
  <c r="Y22" i="123"/>
  <c r="O16" i="78"/>
  <c r="Z25" i="123"/>
  <c r="Z29" i="123"/>
  <c r="O20" i="78"/>
  <c r="Y31" i="123"/>
  <c r="N22" i="78"/>
  <c r="Y30" i="123"/>
  <c r="N21" i="78"/>
  <c r="Z28" i="123" l="1"/>
  <c r="O19" i="78"/>
  <c r="O9" i="78"/>
  <c r="Z18" i="123"/>
  <c r="O12" i="78"/>
  <c r="Z21" i="123"/>
  <c r="AA25" i="123"/>
  <c r="P16" i="78"/>
  <c r="Q17" i="78"/>
  <c r="AB26" i="123"/>
  <c r="O11" i="78"/>
  <c r="Z20" i="123"/>
  <c r="P10" i="78"/>
  <c r="AA19" i="123"/>
  <c r="O13" i="78"/>
  <c r="Z22" i="123"/>
  <c r="AB23" i="123"/>
  <c r="Q14" i="78"/>
  <c r="Z27" i="123"/>
  <c r="O18" i="78"/>
  <c r="Q15" i="78"/>
  <c r="AB24" i="123"/>
  <c r="AA29" i="123"/>
  <c r="P20" i="78"/>
  <c r="Z30" i="123"/>
  <c r="O21" i="78"/>
  <c r="Z31" i="123"/>
  <c r="O22" i="78"/>
  <c r="AA28" i="123" l="1"/>
  <c r="P19" i="78"/>
  <c r="AC26" i="123"/>
  <c r="R17" i="78"/>
  <c r="AC23" i="123"/>
  <c r="R14" i="78"/>
  <c r="P13" i="78"/>
  <c r="AA22" i="123"/>
  <c r="AB25" i="123"/>
  <c r="Q16" i="78"/>
  <c r="AC24" i="123"/>
  <c r="R15" i="78"/>
  <c r="P12" i="78"/>
  <c r="AA21" i="123"/>
  <c r="Q10" i="78"/>
  <c r="AB19" i="123"/>
  <c r="P11" i="78"/>
  <c r="AA20" i="123"/>
  <c r="P9" i="78"/>
  <c r="AA18" i="123"/>
  <c r="P18" i="78"/>
  <c r="AA27" i="123"/>
  <c r="AA31" i="123"/>
  <c r="P22" i="78"/>
  <c r="AA30" i="123"/>
  <c r="P21" i="78"/>
  <c r="AB29" i="123"/>
  <c r="Q20" i="78"/>
  <c r="Q19" i="78" l="1"/>
  <c r="AB28" i="123"/>
  <c r="Q11" i="78"/>
  <c r="AB20" i="123"/>
  <c r="AC25" i="123"/>
  <c r="R16" i="78"/>
  <c r="R10" i="78"/>
  <c r="AC19" i="123"/>
  <c r="Q13" i="78"/>
  <c r="AB22" i="123"/>
  <c r="Q18" i="78"/>
  <c r="AB27" i="123"/>
  <c r="Q12" i="78"/>
  <c r="AB21" i="123"/>
  <c r="AD23" i="123"/>
  <c r="S14" i="78"/>
  <c r="Q9" i="78"/>
  <c r="AB18" i="123"/>
  <c r="S15" i="78"/>
  <c r="AD24" i="123"/>
  <c r="AD26" i="123"/>
  <c r="S17" i="78"/>
  <c r="AB30" i="123"/>
  <c r="Q21" i="78"/>
  <c r="AC29" i="123"/>
  <c r="R20" i="78"/>
  <c r="AB31" i="123"/>
  <c r="Q22" i="78"/>
  <c r="R19" i="78" l="1"/>
  <c r="AC28" i="123"/>
  <c r="AC22" i="123"/>
  <c r="R13" i="78"/>
  <c r="AD19" i="123"/>
  <c r="S10" i="78"/>
  <c r="AE23" i="123"/>
  <c r="T14" i="78"/>
  <c r="R9" i="78"/>
  <c r="AC18" i="123"/>
  <c r="AC21" i="123"/>
  <c r="R12" i="78"/>
  <c r="AE26" i="123"/>
  <c r="T17" i="78"/>
  <c r="AD25" i="123"/>
  <c r="S16" i="78"/>
  <c r="T15" i="78"/>
  <c r="AE24" i="123"/>
  <c r="AC27" i="123"/>
  <c r="R18" i="78"/>
  <c r="R11" i="78"/>
  <c r="AC20" i="123"/>
  <c r="AD29" i="123"/>
  <c r="S20" i="78"/>
  <c r="AC30" i="123"/>
  <c r="R21" i="78"/>
  <c r="AC31" i="123"/>
  <c r="R22" i="78"/>
  <c r="AD28" i="123" l="1"/>
  <c r="S19" i="78"/>
  <c r="S9" i="78"/>
  <c r="AD18" i="123"/>
  <c r="U15" i="78"/>
  <c r="AF24" i="123"/>
  <c r="AE25" i="123"/>
  <c r="T16" i="78"/>
  <c r="AF23" i="123"/>
  <c r="U14" i="78"/>
  <c r="S11" i="78"/>
  <c r="AD20" i="123"/>
  <c r="AF26" i="123"/>
  <c r="U17" i="78"/>
  <c r="T10" i="78"/>
  <c r="AE19" i="123"/>
  <c r="S18" i="78"/>
  <c r="AD27" i="123"/>
  <c r="S12" i="78"/>
  <c r="AD21" i="123"/>
  <c r="AD22" i="123"/>
  <c r="S13" i="78"/>
  <c r="AD31" i="123"/>
  <c r="S22" i="78"/>
  <c r="AE29" i="123"/>
  <c r="T20" i="78"/>
  <c r="AD30" i="123"/>
  <c r="S21" i="78"/>
  <c r="T19" i="78" l="1"/>
  <c r="AE28" i="123"/>
  <c r="T18" i="78"/>
  <c r="AE27" i="123"/>
  <c r="AF19" i="123"/>
  <c r="U10" i="78"/>
  <c r="U16" i="78"/>
  <c r="AF25" i="123"/>
  <c r="AG23" i="123"/>
  <c r="V14" i="78"/>
  <c r="AG24" i="123"/>
  <c r="V15" i="78"/>
  <c r="AE22" i="123"/>
  <c r="T13" i="78"/>
  <c r="V17" i="78"/>
  <c r="AG26" i="123"/>
  <c r="T12" i="78"/>
  <c r="AE21" i="123"/>
  <c r="T11" i="78"/>
  <c r="AE20" i="123"/>
  <c r="T9" i="78"/>
  <c r="AE18" i="123"/>
  <c r="AE31" i="123"/>
  <c r="T22" i="78"/>
  <c r="AE30" i="123"/>
  <c r="T21" i="78"/>
  <c r="AF29" i="123"/>
  <c r="U20" i="78"/>
  <c r="AF28" i="123" l="1"/>
  <c r="U19" i="78"/>
  <c r="AF21" i="123"/>
  <c r="U12" i="78"/>
  <c r="AH23" i="123"/>
  <c r="W14" i="78"/>
  <c r="AH26" i="123"/>
  <c r="W17" i="78"/>
  <c r="AG25" i="123"/>
  <c r="V16" i="78"/>
  <c r="U9" i="78"/>
  <c r="AF18" i="123"/>
  <c r="U13" i="78"/>
  <c r="AF22" i="123"/>
  <c r="AG19" i="123"/>
  <c r="V10" i="78"/>
  <c r="AF20" i="123"/>
  <c r="U11" i="78"/>
  <c r="AF27" i="123"/>
  <c r="U18" i="78"/>
  <c r="AH24" i="123"/>
  <c r="W15" i="78"/>
  <c r="AG29" i="123"/>
  <c r="V20" i="78"/>
  <c r="AF30" i="123"/>
  <c r="U21" i="78"/>
  <c r="AF31" i="123"/>
  <c r="U22" i="78"/>
  <c r="V19" i="78" l="1"/>
  <c r="AG28" i="123"/>
  <c r="AG20" i="123"/>
  <c r="V11" i="78"/>
  <c r="W16" i="78"/>
  <c r="AH25" i="123"/>
  <c r="AH19" i="123"/>
  <c r="W10" i="78"/>
  <c r="AI26" i="123"/>
  <c r="X17" i="78"/>
  <c r="AG22" i="123"/>
  <c r="V13" i="78"/>
  <c r="AI24" i="123"/>
  <c r="X15" i="78"/>
  <c r="X14" i="78"/>
  <c r="AI23" i="123"/>
  <c r="AG18" i="123"/>
  <c r="V9" i="78"/>
  <c r="AG27" i="123"/>
  <c r="V18" i="78"/>
  <c r="AG21" i="123"/>
  <c r="V12" i="78"/>
  <c r="AG30" i="123"/>
  <c r="V21" i="78"/>
  <c r="AG31" i="123"/>
  <c r="V22" i="78"/>
  <c r="AH29" i="123"/>
  <c r="W20" i="78"/>
  <c r="AH28" i="123" l="1"/>
  <c r="W19" i="78"/>
  <c r="W9" i="78"/>
  <c r="AH18" i="123"/>
  <c r="Y17" i="78"/>
  <c r="AJ26" i="123"/>
  <c r="AJ23" i="123"/>
  <c r="Y14" i="78"/>
  <c r="AI19" i="123"/>
  <c r="X10" i="78"/>
  <c r="AH21" i="123"/>
  <c r="W12" i="78"/>
  <c r="AI25" i="123"/>
  <c r="X16" i="78"/>
  <c r="AJ24" i="123"/>
  <c r="Y15" i="78"/>
  <c r="W13" i="78"/>
  <c r="AH22" i="123"/>
  <c r="AH27" i="123"/>
  <c r="W18" i="78"/>
  <c r="AH20" i="123"/>
  <c r="W11" i="78"/>
  <c r="J29" i="125"/>
  <c r="AI29" i="123"/>
  <c r="X20" i="78"/>
  <c r="AH31" i="123"/>
  <c r="W22" i="78"/>
  <c r="AH30" i="123"/>
  <c r="W21" i="78"/>
  <c r="AI28" i="123" l="1"/>
  <c r="X19" i="78"/>
  <c r="AJ19" i="123"/>
  <c r="Y10" i="78"/>
  <c r="AK24" i="123"/>
  <c r="Z15" i="78"/>
  <c r="Z14" i="78"/>
  <c r="AK23" i="123"/>
  <c r="AI20" i="123"/>
  <c r="X11" i="78"/>
  <c r="AK26" i="123"/>
  <c r="Z17" i="78"/>
  <c r="AJ25" i="123"/>
  <c r="Y16" i="78"/>
  <c r="X18" i="78"/>
  <c r="AI27" i="123"/>
  <c r="X9" i="78"/>
  <c r="AI18" i="123"/>
  <c r="X12" i="78"/>
  <c r="AI21" i="123"/>
  <c r="AI22" i="123"/>
  <c r="X13" i="78"/>
  <c r="M29" i="125"/>
  <c r="K29" i="125"/>
  <c r="I13" i="125"/>
  <c r="H13" i="126" s="1"/>
  <c r="AB13" i="126" s="1"/>
  <c r="O29" i="125"/>
  <c r="L29" i="125"/>
  <c r="H13" i="125"/>
  <c r="AI30" i="123"/>
  <c r="X21" i="78"/>
  <c r="AJ29" i="123"/>
  <c r="Y20" i="78"/>
  <c r="AI31" i="123"/>
  <c r="X22" i="78"/>
  <c r="Y19" i="78" l="1"/>
  <c r="AJ28" i="123"/>
  <c r="AJ20" i="123"/>
  <c r="Y11" i="78"/>
  <c r="Y18" i="78"/>
  <c r="AJ27" i="123"/>
  <c r="AA14" i="78"/>
  <c r="AL23" i="123"/>
  <c r="AJ22" i="123"/>
  <c r="Y13" i="78"/>
  <c r="AK25" i="123"/>
  <c r="Z16" i="78"/>
  <c r="AL24" i="123"/>
  <c r="AA15" i="78"/>
  <c r="AJ21" i="123"/>
  <c r="Y12" i="78"/>
  <c r="AA17" i="78"/>
  <c r="AL26" i="123"/>
  <c r="AK19" i="123"/>
  <c r="Z10" i="78"/>
  <c r="AJ18" i="123"/>
  <c r="Y9" i="78"/>
  <c r="AK29" i="123"/>
  <c r="Z20" i="78"/>
  <c r="AJ30" i="123"/>
  <c r="Y21" i="78"/>
  <c r="AJ31" i="123"/>
  <c r="Y22" i="78"/>
  <c r="AK28" i="123" l="1"/>
  <c r="Z19" i="78"/>
  <c r="AM26" i="123"/>
  <c r="AB17" i="78"/>
  <c r="AK22" i="123"/>
  <c r="Z13" i="78"/>
  <c r="AM23" i="123"/>
  <c r="AB14" i="78"/>
  <c r="AK21" i="123"/>
  <c r="Z12" i="78"/>
  <c r="Z18" i="78"/>
  <c r="AK27" i="123"/>
  <c r="AB15" i="78"/>
  <c r="AM24" i="123"/>
  <c r="AK18" i="123"/>
  <c r="Z9" i="78"/>
  <c r="AL19" i="123"/>
  <c r="AA10" i="78"/>
  <c r="AA16" i="78"/>
  <c r="AL25" i="123"/>
  <c r="Z11" i="78"/>
  <c r="AK20" i="123"/>
  <c r="AK30" i="123"/>
  <c r="Z21" i="78"/>
  <c r="AK31" i="123"/>
  <c r="Z22" i="78"/>
  <c r="AL29" i="123"/>
  <c r="AA20" i="78"/>
  <c r="AA19" i="78" l="1"/>
  <c r="AL28" i="123"/>
  <c r="AL21" i="123"/>
  <c r="AA12" i="78"/>
  <c r="AN23" i="123"/>
  <c r="AO23" i="123" s="1"/>
  <c r="AP23" i="123" s="1"/>
  <c r="AQ23" i="123" s="1"/>
  <c r="AR23" i="123" s="1"/>
  <c r="AC14" i="78"/>
  <c r="AA11" i="78"/>
  <c r="AL20" i="123"/>
  <c r="AC15" i="78"/>
  <c r="AN24" i="123"/>
  <c r="AO24" i="123" s="1"/>
  <c r="AP24" i="123" s="1"/>
  <c r="AQ24" i="123" s="1"/>
  <c r="AR24" i="123" s="1"/>
  <c r="AM19" i="123"/>
  <c r="AB10" i="78"/>
  <c r="AL18" i="123"/>
  <c r="AA9" i="78"/>
  <c r="AL22" i="123"/>
  <c r="AA13" i="78"/>
  <c r="AA18" i="78"/>
  <c r="AL27" i="123"/>
  <c r="AB16" i="78"/>
  <c r="AM25" i="123"/>
  <c r="AN26" i="123"/>
  <c r="AO26" i="123" s="1"/>
  <c r="AP26" i="123" s="1"/>
  <c r="AQ26" i="123" s="1"/>
  <c r="AR26" i="123" s="1"/>
  <c r="AC17" i="78"/>
  <c r="AM29" i="123"/>
  <c r="AB20" i="78"/>
  <c r="AL31" i="123"/>
  <c r="AA22" i="78"/>
  <c r="AL30" i="123"/>
  <c r="AA21" i="78"/>
  <c r="AM28" i="123" l="1"/>
  <c r="AB19" i="78"/>
  <c r="AS24" i="123"/>
  <c r="AT24" i="123" s="1"/>
  <c r="AU24" i="123" s="1"/>
  <c r="AV24" i="123" s="1"/>
  <c r="AW24" i="123" s="1"/>
  <c r="AE15" i="78" s="1"/>
  <c r="P31" i="125" s="1"/>
  <c r="AD15" i="78"/>
  <c r="AB11" i="78"/>
  <c r="AM20" i="123"/>
  <c r="AM22" i="123"/>
  <c r="AB13" i="78"/>
  <c r="AS26" i="123"/>
  <c r="AT26" i="123" s="1"/>
  <c r="AU26" i="123" s="1"/>
  <c r="AV26" i="123" s="1"/>
  <c r="AW26" i="123" s="1"/>
  <c r="AE17" i="78" s="1"/>
  <c r="P33" i="125" s="1"/>
  <c r="AD17" i="78"/>
  <c r="AS23" i="123"/>
  <c r="AT23" i="123" s="1"/>
  <c r="AU23" i="123" s="1"/>
  <c r="AV23" i="123" s="1"/>
  <c r="AW23" i="123" s="1"/>
  <c r="AE14" i="78" s="1"/>
  <c r="P30" i="125" s="1"/>
  <c r="AD14" i="78"/>
  <c r="AN25" i="123"/>
  <c r="AO25" i="123" s="1"/>
  <c r="AP25" i="123" s="1"/>
  <c r="AQ25" i="123" s="1"/>
  <c r="AR25" i="123" s="1"/>
  <c r="AC16" i="78"/>
  <c r="AB9" i="78"/>
  <c r="AM18" i="123"/>
  <c r="AB18" i="78"/>
  <c r="AM27" i="123"/>
  <c r="AN19" i="123"/>
  <c r="AO19" i="123" s="1"/>
  <c r="AP19" i="123" s="1"/>
  <c r="AQ19" i="123" s="1"/>
  <c r="AR19" i="123" s="1"/>
  <c r="AC10" i="78"/>
  <c r="AB12" i="78"/>
  <c r="AM21" i="123"/>
  <c r="AM30" i="123"/>
  <c r="AB21" i="78"/>
  <c r="AM31" i="123"/>
  <c r="AB22" i="78"/>
  <c r="AN29" i="123"/>
  <c r="AO29" i="123" s="1"/>
  <c r="AP29" i="123" s="1"/>
  <c r="AQ29" i="123" s="1"/>
  <c r="AR29" i="123" s="1"/>
  <c r="AC20" i="78"/>
  <c r="AN28" i="123" l="1"/>
  <c r="AO28" i="123" s="1"/>
  <c r="AP28" i="123" s="1"/>
  <c r="AQ28" i="123" s="1"/>
  <c r="AR28" i="123" s="1"/>
  <c r="AC19" i="78"/>
  <c r="AC18" i="78"/>
  <c r="AN27" i="123"/>
  <c r="AO27" i="123" s="1"/>
  <c r="AP27" i="123" s="1"/>
  <c r="AQ27" i="123" s="1"/>
  <c r="AR27" i="123" s="1"/>
  <c r="M33" i="125"/>
  <c r="O33" i="125"/>
  <c r="J33" i="125"/>
  <c r="H17" i="125"/>
  <c r="K33" i="125"/>
  <c r="I17" i="125"/>
  <c r="H17" i="126" s="1"/>
  <c r="AF17" i="126" s="1"/>
  <c r="L33" i="125"/>
  <c r="AN18" i="123"/>
  <c r="AO18" i="123" s="1"/>
  <c r="AP18" i="123" s="1"/>
  <c r="AQ18" i="123" s="1"/>
  <c r="AR18" i="123" s="1"/>
  <c r="AC9" i="78"/>
  <c r="AC13" i="78"/>
  <c r="AN22" i="123"/>
  <c r="AO22" i="123" s="1"/>
  <c r="AP22" i="123" s="1"/>
  <c r="AQ22" i="123" s="1"/>
  <c r="AR22" i="123" s="1"/>
  <c r="AN21" i="123"/>
  <c r="AO21" i="123" s="1"/>
  <c r="AP21" i="123" s="1"/>
  <c r="AQ21" i="123" s="1"/>
  <c r="AR21" i="123" s="1"/>
  <c r="AC12" i="78"/>
  <c r="AN20" i="123"/>
  <c r="AO20" i="123" s="1"/>
  <c r="AP20" i="123" s="1"/>
  <c r="AQ20" i="123" s="1"/>
  <c r="AR20" i="123" s="1"/>
  <c r="AC11" i="78"/>
  <c r="AS25" i="123"/>
  <c r="AT25" i="123" s="1"/>
  <c r="AU25" i="123" s="1"/>
  <c r="AV25" i="123" s="1"/>
  <c r="AW25" i="123" s="1"/>
  <c r="AE16" i="78" s="1"/>
  <c r="AD16" i="78"/>
  <c r="AS19" i="123"/>
  <c r="AT19" i="123" s="1"/>
  <c r="AU19" i="123" s="1"/>
  <c r="AV19" i="123" s="1"/>
  <c r="AW19" i="123" s="1"/>
  <c r="AE10" i="78" s="1"/>
  <c r="AD10" i="78"/>
  <c r="O30" i="125"/>
  <c r="M30" i="125"/>
  <c r="I14" i="125"/>
  <c r="H14" i="126" s="1"/>
  <c r="AC14" i="126" s="1"/>
  <c r="L30" i="125"/>
  <c r="J30" i="125"/>
  <c r="H14" i="125"/>
  <c r="K30" i="125"/>
  <c r="M31" i="125"/>
  <c r="I15" i="125"/>
  <c r="H15" i="126" s="1"/>
  <c r="AD15" i="126" s="1"/>
  <c r="O31" i="125"/>
  <c r="K31" i="125"/>
  <c r="L31" i="125"/>
  <c r="H15" i="125"/>
  <c r="J31" i="125"/>
  <c r="AS29" i="123"/>
  <c r="AT29" i="123" s="1"/>
  <c r="AU29" i="123" s="1"/>
  <c r="AV29" i="123" s="1"/>
  <c r="AW29" i="123" s="1"/>
  <c r="AE20" i="78" s="1"/>
  <c r="P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P26" i="125" l="1"/>
  <c r="J26" i="125" s="1"/>
  <c r="AS28" i="123"/>
  <c r="AT28" i="123" s="1"/>
  <c r="AU28" i="123" s="1"/>
  <c r="AV28" i="123" s="1"/>
  <c r="AW28" i="123" s="1"/>
  <c r="AE19" i="78" s="1"/>
  <c r="P35" i="125" s="1"/>
  <c r="AD19" i="78"/>
  <c r="AS20" i="123"/>
  <c r="AT20" i="123" s="1"/>
  <c r="AU20" i="123" s="1"/>
  <c r="AV20" i="123" s="1"/>
  <c r="AW20" i="123" s="1"/>
  <c r="AE11" i="78" s="1"/>
  <c r="AD11" i="78"/>
  <c r="AD12" i="78"/>
  <c r="AS21" i="123"/>
  <c r="AT21" i="123" s="1"/>
  <c r="AU21" i="123" s="1"/>
  <c r="AV21" i="123" s="1"/>
  <c r="AW21" i="123" s="1"/>
  <c r="AE12" i="78" s="1"/>
  <c r="P28" i="125" s="1"/>
  <c r="AS22" i="123"/>
  <c r="AT22" i="123" s="1"/>
  <c r="AU22" i="123" s="1"/>
  <c r="AV22" i="123" s="1"/>
  <c r="AW22" i="123" s="1"/>
  <c r="AE13" i="78" s="1"/>
  <c r="AD13" i="78"/>
  <c r="P32" i="125"/>
  <c r="AS18" i="123"/>
  <c r="AT18" i="123" s="1"/>
  <c r="AU18" i="123" s="1"/>
  <c r="AV18" i="123" s="1"/>
  <c r="AW18" i="123" s="1"/>
  <c r="AE9" i="78" s="1"/>
  <c r="P25" i="125" s="1"/>
  <c r="AD9" i="78"/>
  <c r="AS27" i="123"/>
  <c r="AT27" i="123" s="1"/>
  <c r="AU27" i="123" s="1"/>
  <c r="AV27" i="123" s="1"/>
  <c r="AW27" i="123" s="1"/>
  <c r="AE18" i="78" s="1"/>
  <c r="AD18" i="78"/>
  <c r="O36" i="125"/>
  <c r="H20" i="125"/>
  <c r="I20" i="125"/>
  <c r="H20" i="126" s="1"/>
  <c r="AI20" i="126" s="1"/>
  <c r="K36" i="125"/>
  <c r="M36" i="125"/>
  <c r="L36" i="125"/>
  <c r="J36" i="125"/>
  <c r="AS30" i="123"/>
  <c r="AT30" i="123" s="1"/>
  <c r="AU30" i="123" s="1"/>
  <c r="AV30" i="123" s="1"/>
  <c r="AW30" i="123" s="1"/>
  <c r="AE21" i="78" s="1"/>
  <c r="AD21" i="78"/>
  <c r="AS31" i="123"/>
  <c r="AT31" i="123" s="1"/>
  <c r="AU31" i="123" s="1"/>
  <c r="AV31" i="123" s="1"/>
  <c r="AW31" i="123" s="1"/>
  <c r="AE22" i="78" s="1"/>
  <c r="P38" i="125" s="1"/>
  <c r="AD22" i="78"/>
  <c r="P34" i="125" l="1"/>
  <c r="I10" i="125"/>
  <c r="H10" i="126" s="1"/>
  <c r="Y10" i="126" s="1"/>
  <c r="O26" i="125"/>
  <c r="M26" i="125"/>
  <c r="H10" i="125"/>
  <c r="K26" i="125"/>
  <c r="P27" i="125"/>
  <c r="L27" i="125" s="1"/>
  <c r="L26" i="125"/>
  <c r="K35" i="125"/>
  <c r="J35" i="125"/>
  <c r="H19" i="125"/>
  <c r="M35" i="125"/>
  <c r="L35" i="125"/>
  <c r="O35" i="125"/>
  <c r="I19" i="125"/>
  <c r="H19" i="126" s="1"/>
  <c r="AH19" i="126" s="1"/>
  <c r="J25" i="125"/>
  <c r="L25" i="125"/>
  <c r="H9" i="125"/>
  <c r="K25" i="125"/>
  <c r="M25" i="125"/>
  <c r="I9" i="125"/>
  <c r="H9" i="126" s="1"/>
  <c r="X9" i="126" s="1"/>
  <c r="O25" i="125"/>
  <c r="J34" i="125"/>
  <c r="L34" i="125"/>
  <c r="K34" i="125"/>
  <c r="I18" i="125"/>
  <c r="H18" i="126" s="1"/>
  <c r="AG18" i="126" s="1"/>
  <c r="M34" i="125"/>
  <c r="H18" i="125"/>
  <c r="O34" i="125"/>
  <c r="J32" i="125"/>
  <c r="K32" i="125"/>
  <c r="O32" i="125"/>
  <c r="H16" i="125"/>
  <c r="L32" i="125"/>
  <c r="I16" i="125"/>
  <c r="H16" i="126" s="1"/>
  <c r="AE16" i="126" s="1"/>
  <c r="M32" i="125"/>
  <c r="I12" i="125"/>
  <c r="H12" i="126" s="1"/>
  <c r="AA12" i="126" s="1"/>
  <c r="M28" i="125"/>
  <c r="K28" i="125"/>
  <c r="O28" i="125"/>
  <c r="J28" i="125"/>
  <c r="L28" i="125"/>
  <c r="H12" i="125"/>
  <c r="L37" i="125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H11" i="125" l="1"/>
  <c r="M27" i="125"/>
  <c r="J27" i="125"/>
  <c r="K27" i="125"/>
  <c r="O27" i="125"/>
  <c r="I11" i="125"/>
  <c r="H11" i="126" s="1"/>
  <c r="Z11" i="126" s="1"/>
  <c r="K37" i="125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  <c r="A1" i="1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tc={257C1785-4088-424C-8C77-42576C9EBD7A}</author>
    <author>tc={081A5CF9-2741-48FD-9B06-DBEB1445DC14}</author>
    <author>tc={6ADD44AC-8E57-49E9-B457-8A6775E0F685}</author>
  </authors>
  <commentList>
    <comment ref="R11" authorId="0" shapeId="0" xr:uid="{257C1785-4088-424C-8C77-42576C9EBD7A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units in Table 5 to the right are in 1000 ZAR not 1000000 ZAR (otherwise FGD would cost R17 trillion!)</t>
      </text>
    </comment>
    <comment ref="P13" authorId="1" shapeId="0" xr:uid="{081A5CF9-2741-48FD-9B06-DBEB1445DC14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  <comment ref="P14" authorId="2" shapeId="0" xr:uid="{6ADD44AC-8E57-49E9-B457-8A6775E0F685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<sst xmlns="http://schemas.openxmlformats.org/spreadsheetml/2006/main" count="1332" uniqueCount="401">
  <si>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</si>
  <si>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</si>
  <si>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</si>
  <si>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</si>
  <si>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</si>
  <si>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</si>
  <si>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</si>
  <si>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</si>
  <si>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</si>
  <si>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</si>
  <si>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</si>
  <si>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</si>
  <si>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</si>
  <si>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</si>
  <si>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</si>
  <si>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</si>
  <si>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</si>
  <si>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</si>
  <si>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</si>
  <si>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</si>
  <si>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</si>
  <si>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</si>
  <si>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</si>
  <si>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</si>
  <si>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</si>
  <si>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</si>
  <si>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</si>
  <si>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</si>
  <si>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</si>
  <si>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</si>
  <si>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</si>
  <si>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</si>
  <si>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</si>
  <si>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</si>
  <si>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</si>
  <si>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</si>
  <si>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</si>
  <si>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</si>
  <si>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</si>
  <si>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</si>
  <si>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</si>
  <si>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</si>
  <si>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</si>
  <si>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</si>
  <si>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</si>
  <si>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</si>
  <si>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</si>
  <si>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</si>
  <si>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</si>
  <si>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</si>
  <si>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</si>
  <si>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</si>
  <si>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</si>
  <si>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</si>
  <si>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</si>
  <si>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</si>
  <si>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</si>
  <si>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</si>
  <si>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</si>
  <si>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</si>
  <si>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</si>
  <si>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</si>
  <si>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</si>
  <si>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</si>
  <si>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</si>
  <si>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</si>
  <si>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</si>
  <si>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</si>
  <si>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</si>
  <si>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</si>
  <si>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</si>
  <si>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</si>
  <si>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</si>
  <si>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</si>
  <si>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</si>
  <si>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</si>
  <si>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</si>
  <si>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</si>
  <si>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</si>
  <si>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</si>
  <si>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</si>
  <si>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</si>
  <si>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</si>
  <si>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</si>
  <si>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</si>
  <si>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</si>
  <si>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</si>
  <si>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</si>
  <si>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</si>
  <si>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</si>
  <si>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</si>
  <si>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</si>
  <si>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</si>
  <si>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</si>
  <si>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</si>
  <si>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</si>
  <si>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</si>
  <si>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</si>
  <si>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</si>
  <si>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</si>
  <si>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</si>
  <si>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</si>
  <si>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</si>
  <si>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</si>
  <si>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</si>
  <si>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</si>
  <si>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</si>
  <si>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</si>
  <si>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</si>
  <si>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</si>
  <si>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</si>
  <si>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</si>
  <si>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</si>
  <si>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</si>
  <si>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</si>
  <si>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</si>
  <si>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</si>
  <si>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</si>
  <si>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</si>
  <si>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</si>
  <si>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</si>
  <si>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</si>
  <si>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</si>
  <si>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</si>
  <si>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</si>
  <si>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</si>
  <si>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</si>
  <si>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</si>
  <si>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</si>
  <si>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</si>
  <si>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</si>
  <si>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</si>
  <si>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</si>
  <si>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</si>
  <si>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</si>
  <si>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</si>
  <si>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</si>
  <si>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</si>
  <si>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</si>
  <si>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</si>
  <si>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</si>
  <si>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</si>
  <si>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</si>
  <si>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</si>
  <si>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</si>
  <si>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</si>
  <si>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</si>
  <si>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</si>
  <si>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</si>
  <si>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</si>
  <si>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</si>
  <si>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</si>
  <si>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</si>
  <si>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</si>
  <si>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</si>
  <si>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</si>
  <si>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</si>
  <si>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</si>
  <si>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</si>
  <si>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</si>
  <si>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</si>
  <si>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</si>
  <si>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</si>
  <si>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</si>
  <si>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</si>
  <si>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</si>
  <si>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</si>
  <si>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</si>
  <si>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</si>
  <si>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</si>
  <si>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</si>
  <si>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</si>
  <si>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</si>
  <si>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</si>
  <si>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</si>
  <si>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</si>
  <si>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</si>
  <si>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</si>
  <si>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</si>
  <si>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</si>
  <si>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</si>
  <si>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</si>
  <si>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</si>
  <si>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</si>
  <si>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</si>
  <si>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</si>
  <si>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</si>
  <si>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</si>
  <si>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</si>
  <si>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</si>
  <si>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</si>
  <si>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</si>
  <si>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</si>
  <si>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</si>
  <si>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</si>
  <si>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</si>
  <si>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</si>
  <si>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</si>
  <si>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</si>
  <si>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</si>
  <si>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</si>
  <si>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</si>
  <si>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</si>
  <si>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</si>
  <si>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</si>
  <si>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</si>
  <si>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</si>
  <si>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</si>
  <si>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</si>
  <si>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</si>
  <si>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</si>
  <si>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</si>
  <si>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</si>
  <si>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</si>
  <si>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</si>
  <si>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</si>
  <si>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</si>
  <si>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</si>
  <si>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</si>
  <si>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</si>
  <si>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</si>
  <si>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</si>
  <si>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</si>
  <si>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</si>
  <si>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</si>
  <si>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</si>
  <si>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</si>
  <si>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</si>
  <si>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</si>
  <si>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</si>
  <si>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</si>
  <si>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</si>
  <si>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</si>
  <si>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</si>
  <si>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</si>
  <si>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</si>
  <si>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</si>
  <si>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</si>
  <si>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</si>
  <si>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</si>
  <si>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</si>
  <si>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</si>
  <si>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</si>
  <si>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</si>
  <si>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</si>
  <si>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</si>
  <si>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</si>
  <si>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</si>
  <si>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</si>
  <si>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</si>
  <si>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</si>
  <si>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</si>
  <si>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</si>
  <si>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</si>
  <si>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</si>
  <si>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</si>
  <si>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</si>
  <si>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</si>
  <si>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</si>
  <si>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</si>
  <si>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</si>
  <si>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</si>
  <si>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</si>
  <si>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</si>
  <si>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</si>
  <si>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</si>
  <si>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</si>
  <si>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</si>
  <si>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</si>
  <si>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</si>
  <si>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</si>
  <si>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</si>
  <si>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</si>
  <si>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</si>
  <si>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</si>
  <si>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</si>
  <si>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</si>
  <si>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</si>
  <si>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</si>
  <si>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</si>
  <si>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</si>
  <si>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</si>
  <si>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</si>
  <si>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</si>
  <si>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</si>
  <si>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</si>
  <si>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</si>
  <si>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</si>
  <si>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</si>
  <si>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</si>
  <si>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</si>
  <si>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</si>
  <si>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</si>
  <si>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</si>
  <si>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</si>
  <si>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</si>
  <si>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</si>
  <si>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</si>
  <si>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</si>
  <si>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</si>
  <si>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</si>
  <si>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</si>
  <si>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</si>
  <si>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</si>
  <si>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</si>
  <si>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</si>
  <si>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</si>
  <si>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</si>
  <si>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</si>
  <si>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</si>
  <si>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</si>
  <si>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</si>
  <si>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</si>
  <si>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</si>
  <si>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</si>
  <si>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</si>
  <si>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</si>
  <si>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</si>
  <si>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</si>
  <si>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</si>
  <si>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</si>
  <si>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</si>
  <si>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</si>
  <si>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</si>
  <si>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</si>
  <si>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</si>
  <si>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</si>
  <si>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</si>
  <si>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</si>
  <si>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</si>
  <si>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</si>
  <si>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</si>
  <si>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</si>
  <si>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</si>
  <si>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</si>
  <si>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</si>
  <si>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</si>
  <si>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</si>
  <si>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</si>
  <si>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</si>
  <si>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</si>
  <si>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</si>
  <si>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</si>
  <si>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</si>
  <si>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</si>
  <si>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</si>
  <si>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</si>
  <si>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</si>
  <si>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</si>
  <si>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</si>
  <si>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</si>
  <si>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</si>
  <si>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</si>
  <si>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</si>
  <si>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</si>
  <si>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</si>
  <si>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</si>
  <si>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</si>
  <si>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</si>
  <si>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</si>
  <si>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</si>
  <si>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</si>
  <si>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</si>
  <si>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</si>
  <si>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</si>
  <si>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</si>
  <si>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</si>
  <si>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</si>
  <si>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</si>
  <si>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</si>
  <si>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</si>
  <si>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</si>
  <si>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Andre de Ruyter affidavit 2023</t>
  </si>
  <si>
    <t>PDF available from DailyMaverick</t>
  </si>
  <si>
    <t>Data from Eskom 2018 Feasibility study on Medupi FGD</t>
  </si>
  <si>
    <t>https://www.dailymaverick.co.za/article/2023-02-26-25-years-in-the-making-the-real-reasons-we-have-rolling-blackouts-according-to-de-ruyter/</t>
  </si>
  <si>
    <t>Eskom (2018) Medupi Flue Gas Desulphurisation: Technology Selection Study Report</t>
  </si>
  <si>
    <t>https://cer.org.za/wp-content/uploads/2021/12/App-B-474-10175-Medupi-FGD-Technology-Study-Report-Rev-2-0-FINAL.pdf</t>
  </si>
  <si>
    <t>Cost of compliance with MES (bR):</t>
  </si>
  <si>
    <t>Fleet capacity affected (GW):</t>
  </si>
  <si>
    <t>(Duvha, Lethabo, Matla, Tutuka, Kendal, Majuba, Matimba, Medupi, Kriel)</t>
  </si>
  <si>
    <t>Cost data assumed in 2017 Rands</t>
  </si>
  <si>
    <t>2023 ZAR</t>
  </si>
  <si>
    <t>2015 ZAR</t>
  </si>
  <si>
    <t>Adjusted for CPI</t>
  </si>
  <si>
    <t>Option1</t>
  </si>
  <si>
    <t>Option2</t>
  </si>
  <si>
    <t>Option3</t>
  </si>
  <si>
    <t>WetFGD</t>
  </si>
  <si>
    <t>WetFGDmod</t>
  </si>
  <si>
    <t>DryFGD</t>
  </si>
  <si>
    <t>CAPEX</t>
  </si>
  <si>
    <t>ZAR</t>
  </si>
  <si>
    <t>OPEX</t>
  </si>
  <si>
    <t>ZAR/yr</t>
  </si>
  <si>
    <t>F-OPEX</t>
  </si>
  <si>
    <t>V-OPEX</t>
  </si>
  <si>
    <t>v1-original</t>
  </si>
  <si>
    <t>v2-inflated</t>
  </si>
  <si>
    <t>Scenario C - 2025 cliff</t>
  </si>
  <si>
    <t>2025 Cliff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</si>
</sst>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0" formatCode="#,##0.0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</font>
    <font>
      <sz val="9"/>
      <color indexed="81"/>
      <name val="Tahoma"/>
      <charset val="1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123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21" fillId="0" borderId="0" xfId="2" applyFont="1"/>
    <xf numFmtId="17" fontId="0" fillId="0" borderId="0" xfId="0" applyNumberFormat="1"/>
    <xf numFmtId="0" fontId="0" fillId="3" borderId="0" xfId="0" applyFill="1"/>
    <xf numFmtId="0" fontId="46" fillId="0" borderId="0" xfId="39"/>
    <xf numFmtId="1" fontId="0" fillId="0" borderId="0" xfId="0" applyNumberFormat="1"/>
    <xf numFmtId="166" fontId="0" fillId="0" borderId="0" xfId="0" applyNumberFormat="1"/>
    <xf numFmtId="3" fontId="0" fillId="0" borderId="0" xfId="0" applyNumberFormat="1"/>
    <xf numFmtId="0" fontId="0" fillId="17" borderId="0" xfId="0" applyFill="1"/>
    <xf numFmtId="170" fontId="0" fillId="0" borderId="0" xfId="0" applyNumberFormat="1"/>
    <xf numFmtId="165" fontId="0" fillId="0" borderId="0" xfId="0" applyNumberFormat="1"/>
    <xf numFmtId="166" fontId="0" fillId="18" borderId="0" xfId="0" applyNumberFormat="1" applyFill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" xfId="39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93.emf"/><Relationship Id="rId7" Type="http://schemas.openxmlformats.org/officeDocument/2006/relationships/image" Target="../media/image89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6" Type="http://schemas.openxmlformats.org/officeDocument/2006/relationships/image" Target="../media/image90.emf"/><Relationship Id="rId5" Type="http://schemas.openxmlformats.org/officeDocument/2006/relationships/image" Target="../media/image91.emf"/><Relationship Id="rId4" Type="http://schemas.openxmlformats.org/officeDocument/2006/relationships/image" Target="../media/image92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3" Type="http://schemas.openxmlformats.org/officeDocument/2006/relationships/image" Target="../media/image102.emf"/><Relationship Id="rId7" Type="http://schemas.openxmlformats.org/officeDocument/2006/relationships/image" Target="../media/image98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6" Type="http://schemas.openxmlformats.org/officeDocument/2006/relationships/image" Target="../media/image99.emf"/><Relationship Id="rId5" Type="http://schemas.openxmlformats.org/officeDocument/2006/relationships/image" Target="../media/image100.emf"/><Relationship Id="rId10" Type="http://schemas.openxmlformats.org/officeDocument/2006/relationships/image" Target="../media/image105.emf"/><Relationship Id="rId4" Type="http://schemas.openxmlformats.org/officeDocument/2006/relationships/image" Target="../media/image101.emf"/><Relationship Id="rId9" Type="http://schemas.openxmlformats.org/officeDocument/2006/relationships/image" Target="../media/image9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21.emf"/><Relationship Id="rId7" Type="http://schemas.openxmlformats.org/officeDocument/2006/relationships/image" Target="../media/image117.emf"/><Relationship Id="rId2" Type="http://schemas.openxmlformats.org/officeDocument/2006/relationships/image" Target="../media/image122.emf"/><Relationship Id="rId1" Type="http://schemas.openxmlformats.org/officeDocument/2006/relationships/image" Target="../media/image123.emf"/><Relationship Id="rId6" Type="http://schemas.openxmlformats.org/officeDocument/2006/relationships/image" Target="../media/image118.emf"/><Relationship Id="rId5" Type="http://schemas.openxmlformats.org/officeDocument/2006/relationships/image" Target="../media/image119.emf"/><Relationship Id="rId4" Type="http://schemas.openxmlformats.org/officeDocument/2006/relationships/image" Target="../media/image120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30.emf"/><Relationship Id="rId7" Type="http://schemas.openxmlformats.org/officeDocument/2006/relationships/image" Target="../media/image126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6" Type="http://schemas.openxmlformats.org/officeDocument/2006/relationships/image" Target="../media/image127.emf"/><Relationship Id="rId5" Type="http://schemas.openxmlformats.org/officeDocument/2006/relationships/image" Target="../media/image128.emf"/><Relationship Id="rId10" Type="http://schemas.openxmlformats.org/officeDocument/2006/relationships/image" Target="../media/image133.emf"/><Relationship Id="rId4" Type="http://schemas.openxmlformats.org/officeDocument/2006/relationships/image" Target="../media/image129.emf"/><Relationship Id="rId9" Type="http://schemas.openxmlformats.org/officeDocument/2006/relationships/image" Target="../media/image1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47DBCB-72D2-4753-A8B0-DA182E12B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1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66302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E528FD6-F4A2-4968-865A-DB9B90E0B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02775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40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DBF2534-A439-44DC-A54C-5E251C7B9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1825" y="4857750"/>
          <a:ext cx="3910618" cy="16383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3DB36C1-1557-4B02-B357-FF9816E5F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4201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37727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587976C-8DEA-4A79-A2E6-1866882A4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202775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39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DB634A9-E699-4613-9BAC-37EA4BB29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411825" y="4857750"/>
          <a:ext cx="3910618" cy="1638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84666</xdr:colOff>
      <xdr:row>14</xdr:row>
      <xdr:rowOff>95249</xdr:rowOff>
    </xdr:from>
    <xdr:to>
      <xdr:col>16</xdr:col>
      <xdr:colOff>529166</xdr:colOff>
      <xdr:row>30</xdr:row>
      <xdr:rowOff>182033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.xlsm" TargetMode="External"/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_FGD_CATA_Optimized-GC-CATA.xlsm" TargetMode="External"/><Relationship Id="rId1" Type="http://schemas.openxmlformats.org/officeDocument/2006/relationships/externalLinkPath" Target="TCH_PWR_FGD_CATA_Optimized-GC-C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Processes"/>
      <sheetName val="Commodities"/>
      <sheetName val="ProcDataRetirement"/>
      <sheetName val="ProcDataFGD"/>
      <sheetName val="ProcDataAux"/>
      <sheetName val="FGD"/>
      <sheetName val="ProcDataEndoRetireFX"/>
      <sheetName val="retirement scenarios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W4">
            <v>0.89327615502872393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  <person displayName="Guy Cunliffe" id="{E2A908D6-B5FC-447A-A95D-1C578A75BEAD}" userId="S::T0071346@wf.uct.ac.za::35f3db3a-b67d-4fe5-83cb-798b7a170f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3-21T08:22:09.01" personId="{E2A908D6-B5FC-447A-A95D-1C578A75BEAD}" id="{257C1785-4088-424C-8C77-42576C9EBD7A}">
    <text>Assumed units in Table 5 to the right are in 1000 ZAR not 1000000 ZAR (otherwise FGD would cost R17 trillion!)</text>
  </threadedComment>
  <threadedComment ref="P13" dT="2023-03-21T08:14:25.10" personId="{E2A908D6-B5FC-447A-A95D-1C578A75BEAD}" id="{081A5CF9-2741-48FD-9B06-DBEB1445DC14}">
    <text>Assume ratio as per cells D14/D15</text>
  </threadedComment>
  <threadedComment ref="P14" dT="2023-03-21T08:14:25.10" personId="{E2A908D6-B5FC-447A-A95D-1C578A75BEAD}" id="{6ADD44AC-8E57-49E9-B457-8A6775E0F685}">
    <text>Assume ratio as per cells D14/D15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dailymaverick.co.za/article/2023-02-26-25-years-in-the-making-the-real-reasons-we-have-rolling-blackouts-according-to-de-ruyter/" TargetMode="External"/><Relationship Id="rId1" Type="http://schemas.openxmlformats.org/officeDocument/2006/relationships/hyperlink" Target="https://cer.org.za/wp-content/uploads/2021/12/App-B-474-10175-Medupi-FGD-Technology-Study-Report-Rev-2-0-FINAL.pdf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6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workbookViewId="0">
      <selection activeCell="A23" sqref="A23:XFD23"/>
    </sheetView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342</v>
      </c>
      <c r="D26" s="25"/>
      <c r="E26" s="25"/>
    </row>
    <row r="27" spans="1:10" x14ac:dyDescent="0.2">
      <c r="B27" s="39" t="s">
        <v>327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328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329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330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331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332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333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334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335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336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337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338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339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340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343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341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301</v>
      </c>
      <c r="C9" s="41" t="s">
        <v>314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303</v>
      </c>
      <c r="C10" s="41" t="s">
        <v>316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306</v>
      </c>
      <c r="C11" s="41" t="s">
        <v>319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300</v>
      </c>
      <c r="C12" s="41" t="s">
        <v>313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302</v>
      </c>
      <c r="C13" s="41" t="s">
        <v>315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304</v>
      </c>
      <c r="C14" s="41" t="s">
        <v>317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305</v>
      </c>
      <c r="C15" s="41" t="s">
        <v>318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307</v>
      </c>
      <c r="C16" s="41" t="s">
        <v>320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308</v>
      </c>
      <c r="C17" s="41" t="s">
        <v>321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345</v>
      </c>
      <c r="C18" s="41" t="s">
        <v>322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346</v>
      </c>
      <c r="C19" s="41" t="s">
        <v>347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309</v>
      </c>
      <c r="C20" s="41" t="s">
        <v>323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310</v>
      </c>
      <c r="C21" s="41" t="s">
        <v>324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311</v>
      </c>
      <c r="C22" s="41" t="s">
        <v>325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312</v>
      </c>
      <c r="C24" s="41" t="s">
        <v>326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7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4" name="cmdCommUnit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8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tabSelected="1"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H10" sqref="H10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299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1.0578571428571428</v>
      </c>
      <c r="N9" s="55">
        <f>'retirement scenarios'!X18</f>
        <v>0.63471428571428568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0.38</v>
      </c>
      <c r="P10" s="55">
        <f>'retirement scenarios'!Z19</f>
        <v>0.19000000000000003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0.13666666666666666</v>
      </c>
      <c r="J11" s="55">
        <f>'retirement scenarios'!T20</f>
        <v>0</v>
      </c>
      <c r="K11" s="55">
        <f>'retirement scenarios'!U20</f>
        <v>0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1.488</v>
      </c>
      <c r="P12" s="55">
        <f>'retirement scenarios'!Z21</f>
        <v>0.74399999999999988</v>
      </c>
      <c r="Q12" s="55">
        <f>'retirement scenarios'!AA21</f>
        <v>0.74399999999999988</v>
      </c>
      <c r="R12" s="55">
        <f>'retirement scenarios'!AB21</f>
        <v>0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0</v>
      </c>
      <c r="P13" s="55">
        <f>'retirement scenarios'!Z22</f>
        <v>0</v>
      </c>
      <c r="Q13" s="55">
        <f>'retirement scenarios'!AA22</f>
        <v>0</v>
      </c>
      <c r="R13" s="55">
        <f>'retirement scenarios'!AB22</f>
        <v>0</v>
      </c>
      <c r="S13" s="55">
        <f>'retirement scenarios'!AC22</f>
        <v>0</v>
      </c>
      <c r="T13" s="55">
        <f>'retirement scenarios'!AD22</f>
        <v>0</v>
      </c>
      <c r="U13" s="55">
        <f>'retirement scenarios'!AE22</f>
        <v>0</v>
      </c>
      <c r="V13" s="55">
        <f>'retirement scenarios'!AF22</f>
        <v>0</v>
      </c>
      <c r="W13" s="55">
        <f>'retirement scenarios'!AG22</f>
        <v>0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1.0774999999999999</v>
      </c>
      <c r="K14" s="55">
        <f>'retirement scenarios'!U23</f>
        <v>1.0774999999999999</v>
      </c>
      <c r="L14" s="55">
        <f>'retirement scenarios'!V23</f>
        <v>1.0774999999999999</v>
      </c>
      <c r="M14" s="55">
        <f>'retirement scenarios'!W23</f>
        <v>0.86199999999999988</v>
      </c>
      <c r="N14" s="55">
        <f>'retirement scenarios'!X23</f>
        <v>0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0</v>
      </c>
      <c r="P15" s="55">
        <f>'retirement scenarios'!Z24</f>
        <v>0</v>
      </c>
      <c r="Q15" s="55">
        <f>'retirement scenarios'!AA24</f>
        <v>0</v>
      </c>
      <c r="R15" s="55">
        <f>'retirement scenarios'!AB24</f>
        <v>0</v>
      </c>
      <c r="S15" s="55">
        <f>'retirement scenarios'!AC24</f>
        <v>0</v>
      </c>
      <c r="T15" s="55">
        <f>'retirement scenarios'!AD24</f>
        <v>0</v>
      </c>
      <c r="U15" s="55">
        <f>'retirement scenarios'!AE24</f>
        <v>0</v>
      </c>
      <c r="V15" s="55">
        <f>'retirement scenarios'!AF24</f>
        <v>0</v>
      </c>
      <c r="W15" s="55">
        <f>'retirement scenarios'!AG24</f>
        <v>0</v>
      </c>
      <c r="X15" s="55">
        <f>'retirement scenarios'!AH24</f>
        <v>0</v>
      </c>
      <c r="Y15" s="55">
        <f>'retirement scenarios'!AI24</f>
        <v>0</v>
      </c>
      <c r="Z15" s="55">
        <f>'retirement scenarios'!AJ24</f>
        <v>0</v>
      </c>
      <c r="AA15" s="55">
        <f>'retirement scenarios'!AK24</f>
        <v>0</v>
      </c>
      <c r="AB15" s="55">
        <f>'retirement scenarios'!AL24</f>
        <v>0</v>
      </c>
      <c r="AC15" s="55">
        <f>'retirement scenarios'!AM24</f>
        <v>0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2.375</v>
      </c>
      <c r="P16" s="55">
        <f>'retirement scenarios'!Z25</f>
        <v>1.9</v>
      </c>
      <c r="Q16" s="55">
        <f>'retirement scenarios'!AA25</f>
        <v>1.4249999999999998</v>
      </c>
      <c r="R16" s="55">
        <f>'retirement scenarios'!AB25</f>
        <v>0.47499999999999976</v>
      </c>
      <c r="S16" s="55">
        <f>'retirement scenarios'!AC25</f>
        <v>0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0</v>
      </c>
      <c r="P17" s="55">
        <f>'retirement scenarios'!Z26</f>
        <v>0</v>
      </c>
      <c r="Q17" s="55">
        <f>'retirement scenarios'!AA26</f>
        <v>0</v>
      </c>
      <c r="R17" s="55">
        <f>'retirement scenarios'!AB26</f>
        <v>0</v>
      </c>
      <c r="S17" s="55">
        <f>'retirement scenarios'!AC26</f>
        <v>0</v>
      </c>
      <c r="T17" s="55">
        <f>'retirement scenarios'!AD26</f>
        <v>0</v>
      </c>
      <c r="U17" s="55">
        <f>'retirement scenarios'!AE26</f>
        <v>0</v>
      </c>
      <c r="V17" s="55">
        <f>'retirement scenarios'!AF26</f>
        <v>0</v>
      </c>
      <c r="W17" s="55">
        <f>'retirement scenarios'!AG26</f>
        <v>0</v>
      </c>
      <c r="X17" s="55">
        <f>'retirement scenarios'!AH26</f>
        <v>0</v>
      </c>
      <c r="Y17" s="55">
        <f>'retirement scenarios'!AI26</f>
        <v>0</v>
      </c>
      <c r="Z17" s="55">
        <f>'retirement scenarios'!AJ26</f>
        <v>0</v>
      </c>
      <c r="AA17" s="55">
        <f>'retirement scenarios'!AK26</f>
        <v>0</v>
      </c>
      <c r="AB17" s="55">
        <f>'retirement scenarios'!AL26</f>
        <v>0</v>
      </c>
      <c r="AC17" s="55">
        <f>'retirement scenarios'!AM26</f>
        <v>0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0</v>
      </c>
      <c r="P18" s="55">
        <f>'retirement scenarios'!Z27</f>
        <v>0</v>
      </c>
      <c r="Q18" s="55">
        <f>'retirement scenarios'!AA27</f>
        <v>0</v>
      </c>
      <c r="R18" s="55">
        <f>'retirement scenarios'!AB27</f>
        <v>0</v>
      </c>
      <c r="S18" s="55">
        <f>'retirement scenarios'!AC27</f>
        <v>0</v>
      </c>
      <c r="T18" s="55">
        <f>'retirement scenarios'!AD27</f>
        <v>0</v>
      </c>
      <c r="U18" s="55">
        <f>'retirement scenarios'!AE27</f>
        <v>0</v>
      </c>
      <c r="V18" s="55">
        <f>'retirement scenarios'!AF27</f>
        <v>0</v>
      </c>
      <c r="W18" s="55">
        <f>'retirement scenarios'!AG27</f>
        <v>0</v>
      </c>
      <c r="X18" s="55">
        <f>'retirement scenarios'!AH27</f>
        <v>0</v>
      </c>
      <c r="Y18" s="55">
        <f>'retirement scenarios'!AI27</f>
        <v>0</v>
      </c>
      <c r="Z18" s="55">
        <f>'retirement scenarios'!AJ27</f>
        <v>0</v>
      </c>
      <c r="AA18" s="55">
        <f>'retirement scenarios'!AK27</f>
        <v>0</v>
      </c>
      <c r="AB18" s="55">
        <f>'retirement scenarios'!AL27</f>
        <v>0</v>
      </c>
      <c r="AC18" s="55">
        <f>'retirement scenarios'!AM27</f>
        <v>0</v>
      </c>
      <c r="AD18" s="55">
        <f>'retirement scenarios'!AR27</f>
        <v>0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0</v>
      </c>
      <c r="P19" s="55">
        <f>'retirement scenarios'!Z28</f>
        <v>0</v>
      </c>
      <c r="Q19" s="55">
        <f>'retirement scenarios'!AA28</f>
        <v>0</v>
      </c>
      <c r="R19" s="55">
        <f>'retirement scenarios'!AB28</f>
        <v>0</v>
      </c>
      <c r="S19" s="55">
        <f>'retirement scenarios'!AC28</f>
        <v>0</v>
      </c>
      <c r="T19" s="55">
        <f>'retirement scenarios'!AD28</f>
        <v>0</v>
      </c>
      <c r="U19" s="55">
        <f>'retirement scenarios'!AE28</f>
        <v>0</v>
      </c>
      <c r="V19" s="55">
        <f>'retirement scenarios'!AF28</f>
        <v>0</v>
      </c>
      <c r="W19" s="55">
        <f>'retirement scenarios'!AG28</f>
        <v>0</v>
      </c>
      <c r="X19" s="55">
        <f>'retirement scenarios'!AH28</f>
        <v>0</v>
      </c>
      <c r="Y19" s="55">
        <f>'retirement scenarios'!AI28</f>
        <v>0</v>
      </c>
      <c r="Z19" s="55">
        <f>'retirement scenarios'!AJ28</f>
        <v>0</v>
      </c>
      <c r="AA19" s="55">
        <f>'retirement scenarios'!AK28</f>
        <v>0</v>
      </c>
      <c r="AB19" s="55">
        <f>'retirement scenarios'!AL28</f>
        <v>0</v>
      </c>
      <c r="AC19" s="55">
        <f>'retirement scenarios'!AM28</f>
        <v>0</v>
      </c>
      <c r="AD19" s="55">
        <f>'retirement scenarios'!AR28</f>
        <v>0</v>
      </c>
      <c r="AE19" s="55">
        <f>'retirement scenarios'!AW28</f>
        <v>0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0</v>
      </c>
      <c r="P20" s="55">
        <f>'retirement scenarios'!Z29</f>
        <v>0</v>
      </c>
      <c r="Q20" s="55">
        <f>'retirement scenarios'!AA29</f>
        <v>0</v>
      </c>
      <c r="R20" s="55">
        <f>'retirement scenarios'!AB29</f>
        <v>0</v>
      </c>
      <c r="S20" s="55">
        <f>'retirement scenarios'!AC29</f>
        <v>0</v>
      </c>
      <c r="T20" s="55">
        <f>'retirement scenarios'!AD29</f>
        <v>0</v>
      </c>
      <c r="U20" s="55">
        <f>'retirement scenarios'!AE29</f>
        <v>0</v>
      </c>
      <c r="V20" s="55">
        <f>'retirement scenarios'!AF29</f>
        <v>0</v>
      </c>
      <c r="W20" s="55">
        <f>'retirement scenarios'!AG29</f>
        <v>0</v>
      </c>
      <c r="X20" s="55">
        <f>'retirement scenarios'!AH29</f>
        <v>0</v>
      </c>
      <c r="Y20" s="55">
        <f>'retirement scenarios'!AI29</f>
        <v>0</v>
      </c>
      <c r="Z20" s="55">
        <f>'retirement scenarios'!AJ29</f>
        <v>0</v>
      </c>
      <c r="AA20" s="55">
        <f>'retirement scenarios'!AK29</f>
        <v>0</v>
      </c>
      <c r="AB20" s="55">
        <f>'retirement scenarios'!AL29</f>
        <v>0</v>
      </c>
      <c r="AC20" s="55">
        <f>'retirement scenarios'!AM29</f>
        <v>0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0</v>
      </c>
      <c r="P21" s="55">
        <f>'retirement scenarios'!Z30</f>
        <v>0</v>
      </c>
      <c r="Q21" s="55">
        <f>'retirement scenarios'!AA30</f>
        <v>0</v>
      </c>
      <c r="R21" s="55">
        <f>'retirement scenarios'!AB30</f>
        <v>0</v>
      </c>
      <c r="S21" s="55">
        <f>'retirement scenarios'!AC30</f>
        <v>0</v>
      </c>
      <c r="T21" s="55">
        <f>'retirement scenarios'!AD30</f>
        <v>0</v>
      </c>
      <c r="U21" s="55">
        <f>'retirement scenarios'!AE30</f>
        <v>0</v>
      </c>
      <c r="V21" s="55">
        <f>'retirement scenarios'!AF30</f>
        <v>0</v>
      </c>
      <c r="W21" s="55">
        <f>'retirement scenarios'!AG30</f>
        <v>0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0</v>
      </c>
      <c r="P22" s="55">
        <f>'retirement scenarios'!Z31</f>
        <v>0</v>
      </c>
      <c r="Q22" s="55">
        <f>'retirement scenarios'!AA31</f>
        <v>0</v>
      </c>
      <c r="R22" s="55">
        <f>'retirement scenarios'!AB31</f>
        <v>0</v>
      </c>
      <c r="S22" s="55">
        <f>'retirement scenarios'!AC31</f>
        <v>0</v>
      </c>
      <c r="T22" s="55">
        <f>'retirement scenarios'!AD31</f>
        <v>0</v>
      </c>
      <c r="U22" s="55">
        <f>'retirement scenarios'!AE31</f>
        <v>0</v>
      </c>
      <c r="V22" s="55">
        <f>'retirement scenarios'!AF31</f>
        <v>0</v>
      </c>
      <c r="W22" s="55">
        <f>'retirement scenarios'!AG31</f>
        <v>0</v>
      </c>
      <c r="X22" s="55">
        <f>'retirement scenarios'!AH31</f>
        <v>0</v>
      </c>
      <c r="Y22" s="55">
        <f>'retirement scenarios'!AI31</f>
        <v>0</v>
      </c>
      <c r="Z22" s="55">
        <f>'retirement scenarios'!AJ31</f>
        <v>0</v>
      </c>
      <c r="AA22" s="55">
        <f>'retirement scenarios'!AK31</f>
        <v>0</v>
      </c>
      <c r="AB22" s="55">
        <f>'retirement scenarios'!AL31</f>
        <v>0</v>
      </c>
      <c r="AC22" s="55">
        <f>'retirement scenarios'!AM31</f>
        <v>0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Q39"/>
  <sheetViews>
    <sheetView workbookViewId="0">
      <selection activeCell="K32" sqref="K32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7" ht="11.25" customHeight="1" x14ac:dyDescent="0.2">
      <c r="A1" s="53" t="s">
        <v>299</v>
      </c>
      <c r="B1" s="18" t="s">
        <v>122</v>
      </c>
      <c r="P1" s="39" t="s">
        <v>92</v>
      </c>
    </row>
    <row r="2" spans="1:17" ht="11.25" customHeight="1" x14ac:dyDescent="0.2">
      <c r="A2" s="51" t="str">
        <f ca="1">MID(CELL("filename",A1),FIND("]",CELL("filename",A1))+1,255)</f>
        <v>ProcDataFGD</v>
      </c>
    </row>
    <row r="3" spans="1:17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348</v>
      </c>
      <c r="Q3" s="61" t="s">
        <v>127</v>
      </c>
    </row>
    <row r="4" spans="1:17" ht="21.75" customHeight="1" x14ac:dyDescent="0.2">
      <c r="E4" s="60"/>
      <c r="F4" s="60"/>
      <c r="G4" s="60"/>
      <c r="H4" s="59" t="s">
        <v>187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Q4" s="52" t="s">
        <v>117</v>
      </c>
    </row>
    <row r="5" spans="1:17" ht="16.5" customHeight="1" x14ac:dyDescent="0.2">
      <c r="H5" s="52" t="s">
        <v>186</v>
      </c>
      <c r="I5" s="52" t="s">
        <v>186</v>
      </c>
      <c r="Q5" s="58"/>
    </row>
    <row r="6" spans="1:17" ht="17.25" customHeight="1" x14ac:dyDescent="0.2">
      <c r="H6" s="52" t="s">
        <v>119</v>
      </c>
      <c r="I6" s="52" t="s">
        <v>119</v>
      </c>
      <c r="Q6" s="58"/>
    </row>
    <row r="7" spans="1:17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Q7" s="56" t="s">
        <v>44</v>
      </c>
    </row>
    <row r="8" spans="1:17" ht="11.25" customHeight="1" x14ac:dyDescent="0.2">
      <c r="A8" s="42" t="s">
        <v>232</v>
      </c>
      <c r="F8" s="44"/>
    </row>
    <row r="9" spans="1:17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IF(P25&gt;5,0.868,"")</f>
        <v/>
      </c>
      <c r="I9" s="55" t="str">
        <f>IF(P25&gt;5,0.06514,"")</f>
        <v/>
      </c>
    </row>
    <row r="10" spans="1:17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IF(P26&gt;5,0.868,"")</f>
        <v/>
      </c>
      <c r="I10" s="55" t="str">
        <f t="shared" ref="I10:I23" si="2">IF(P26&gt;5,0.06514,"")</f>
        <v/>
      </c>
    </row>
    <row r="11" spans="1:17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</row>
    <row r="12" spans="1:17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</row>
    <row r="13" spans="1:17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 t="shared" si="1"/>
        <v>0.86799999999999999</v>
      </c>
      <c r="I13" s="55">
        <f t="shared" si="2"/>
        <v>6.5140000000000003E-2</v>
      </c>
    </row>
    <row r="14" spans="1:17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</row>
    <row r="15" spans="1:17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 t="str">
        <f t="shared" si="1"/>
        <v/>
      </c>
      <c r="I15" s="55" t="str">
        <f t="shared" si="2"/>
        <v/>
      </c>
    </row>
    <row r="16" spans="1:17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</row>
    <row r="17" spans="1:17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 t="str">
        <f t="shared" si="1"/>
        <v/>
      </c>
      <c r="I17" s="55" t="str">
        <f t="shared" si="2"/>
        <v/>
      </c>
    </row>
    <row r="18" spans="1:17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 t="str">
        <f t="shared" si="1"/>
        <v/>
      </c>
      <c r="I18" s="55" t="str">
        <f t="shared" si="2"/>
        <v/>
      </c>
    </row>
    <row r="19" spans="1:17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 t="str">
        <f t="shared" si="1"/>
        <v/>
      </c>
      <c r="I19" s="55" t="str">
        <f t="shared" si="2"/>
        <v/>
      </c>
    </row>
    <row r="20" spans="1:17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 t="str">
        <f t="shared" si="1"/>
        <v/>
      </c>
      <c r="I20" s="55" t="str">
        <f t="shared" si="2"/>
        <v/>
      </c>
    </row>
    <row r="21" spans="1:17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 t="shared" si="1"/>
        <v>0.86799999999999999</v>
      </c>
      <c r="I21" s="55">
        <f t="shared" si="2"/>
        <v>6.5140000000000003E-2</v>
      </c>
    </row>
    <row r="22" spans="1:17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 t="str">
        <f t="shared" si="1"/>
        <v/>
      </c>
      <c r="I22" s="55" t="str">
        <f t="shared" si="2"/>
        <v/>
      </c>
    </row>
    <row r="23" spans="1:17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IF(P39&gt;5,0.93,"")</f>
        <v>0.93</v>
      </c>
      <c r="I23" s="55">
        <f t="shared" si="2"/>
        <v>6.5140000000000003E-2</v>
      </c>
    </row>
    <row r="24" spans="1:17" ht="11.25" customHeight="1" x14ac:dyDescent="0.2">
      <c r="A24" s="42" t="s">
        <v>344</v>
      </c>
    </row>
    <row r="25" spans="1:17" ht="11.25" customHeight="1" x14ac:dyDescent="0.25">
      <c r="B25" s="39" t="str">
        <f>Processes!B27</f>
        <v>FGDCAMD-E</v>
      </c>
      <c r="C25" s="111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IF(P25&gt;5,ProcDataRetirement!T9,"")</f>
        <v/>
      </c>
      <c r="K25" s="47" t="str">
        <f>IF(P25&gt;5,FGD!$D$32,"")</f>
        <v/>
      </c>
      <c r="L25" s="90" t="str">
        <f>IF(P25&gt;5,FGD!$D$33,"")</f>
        <v/>
      </c>
      <c r="M25" s="46" t="str">
        <f>IF(P25&gt;5,FGD!$D$34,"")</f>
        <v/>
      </c>
      <c r="N25" s="39">
        <v>-2</v>
      </c>
      <c r="O25" s="39" t="str">
        <f>IF(P25&gt;5,P25,"")</f>
        <v/>
      </c>
      <c r="P25" s="39">
        <f>COUNTIF(ProcDataRetirement!S9:AC9,"&gt;0")+5*IF(ProcDataRetirement!AD9&gt;1,1,0)+5*IF(ProcDataRetirement!AE9&gt;1,1,0)</f>
        <v>0</v>
      </c>
      <c r="Q25" s="39">
        <v>31.536000000000001</v>
      </c>
    </row>
    <row r="26" spans="1:17" ht="11.25" customHeight="1" x14ac:dyDescent="0.25">
      <c r="B26" s="39" t="str">
        <f>Processes!B28</f>
        <v>FGDGROO-E</v>
      </c>
      <c r="C26" s="111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IF(P26&gt;5,ProcDataRetirement!T10,"")</f>
        <v/>
      </c>
      <c r="K26" s="47" t="str">
        <f>IF(P26&gt;5,FGD!$D$32,"")</f>
        <v/>
      </c>
      <c r="L26" s="90" t="str">
        <f>IF(P26&gt;5,FGD!$D$33,"")</f>
        <v/>
      </c>
      <c r="M26" s="46" t="str">
        <f>IF(P26&gt;5,FGD!$D$34,"")</f>
        <v/>
      </c>
      <c r="N26" s="39">
        <v>-2</v>
      </c>
      <c r="O26" s="39" t="str">
        <f t="shared" ref="O26:O39" si="3">IF(P26&gt;5,P26,"")</f>
        <v/>
      </c>
      <c r="P26" s="39">
        <f>COUNTIF(ProcDataRetirement!S10:AC10,"&gt;0")+5*IF(ProcDataRetirement!AD10&gt;1,1,0)+5*IF(ProcDataRetirement!AE10&gt;1,1,0)</f>
        <v>0</v>
      </c>
      <c r="Q26" s="39">
        <v>31.536000000000001</v>
      </c>
    </row>
    <row r="27" spans="1:17" ht="11.25" customHeight="1" x14ac:dyDescent="0.25">
      <c r="B27" s="39" t="str">
        <f>Processes!B29</f>
        <v>FGDKOMA-E</v>
      </c>
      <c r="C27" s="111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IF(P27&gt;5,ProcDataRetirement!T11,"")</f>
        <v/>
      </c>
      <c r="K27" s="47" t="str">
        <f>IF(P27&gt;5,FGD!$D$32,"")</f>
        <v/>
      </c>
      <c r="L27" s="90" t="str">
        <f>IF(P27&gt;5,FGD!$D$33,"")</f>
        <v/>
      </c>
      <c r="M27" s="46" t="str">
        <f>IF(P27&gt;5,FGD!$D$34,"")</f>
        <v/>
      </c>
      <c r="N27" s="39">
        <v>-2</v>
      </c>
      <c r="O27" s="39" t="str">
        <f t="shared" si="3"/>
        <v/>
      </c>
      <c r="P27" s="39">
        <f>COUNTIF(ProcDataRetirement!S11:AC11,"&gt;0")+5*IF(ProcDataRetirement!AD11&gt;1,1,0)+5*IF(ProcDataRetirement!AE11&gt;1,1,0)</f>
        <v>0</v>
      </c>
      <c r="Q27" s="39">
        <v>31.536000000000001</v>
      </c>
    </row>
    <row r="28" spans="1:17" ht="11.25" customHeight="1" x14ac:dyDescent="0.25">
      <c r="B28" s="39" t="str">
        <f>Processes!B30</f>
        <v>FGDARNO-E</v>
      </c>
      <c r="C28" s="111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IF(P28&gt;5,ProcDataRetirement!T12,"")</f>
        <v/>
      </c>
      <c r="K28" s="47" t="str">
        <f>IF(P28&gt;5,FGD!$D$32,"")</f>
        <v/>
      </c>
      <c r="L28" s="90" t="str">
        <f>IF(P28&gt;5,FGD!$D$33,"")</f>
        <v/>
      </c>
      <c r="M28" s="46" t="str">
        <f>IF(P28&gt;5,FGD!$D$34,"")</f>
        <v/>
      </c>
      <c r="N28" s="39">
        <v>-2</v>
      </c>
      <c r="O28" s="39" t="str">
        <f t="shared" si="3"/>
        <v/>
      </c>
      <c r="P28" s="39">
        <f>COUNTIF(ProcDataRetirement!S12:AC12,"&gt;0")+5*IF(ProcDataRetirement!AD12&gt;1,1,0)+5*IF(ProcDataRetirement!AE12&gt;1,1,0)</f>
        <v>0</v>
      </c>
      <c r="Q28" s="39">
        <v>31.536000000000001</v>
      </c>
    </row>
    <row r="29" spans="1:17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J29" s="39">
        <f>IF(P29&gt;5,ProcDataRetirement!T13,"")</f>
        <v>0</v>
      </c>
      <c r="K29" s="47">
        <f>IF(P29&gt;5,FGD!$D$32,"")</f>
        <v>3.6826838586802784</v>
      </c>
      <c r="L29" s="90">
        <f>IF(P29&gt;5,FGD!$D$33,"")</f>
        <v>239.07259148153946</v>
      </c>
      <c r="M29" s="46">
        <f>IF(P29&gt;5,FGD!$D$34,"")</f>
        <v>7138.4504880542208</v>
      </c>
      <c r="N29" s="39">
        <v>-2</v>
      </c>
      <c r="O29" s="39">
        <f t="shared" si="3"/>
        <v>6</v>
      </c>
      <c r="P29" s="112">
        <v>6</v>
      </c>
      <c r="Q29" s="39">
        <v>31.536000000000001</v>
      </c>
    </row>
    <row r="30" spans="1:17" ht="11.25" customHeight="1" x14ac:dyDescent="0.25">
      <c r="B30" s="39" t="str">
        <f>Processes!B32</f>
        <v>FGDHEND-E</v>
      </c>
      <c r="C30" s="111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IF(P30&gt;5,ProcDataRetirement!T14,"")</f>
        <v/>
      </c>
      <c r="K30" s="47" t="str">
        <f>IF(P30&gt;5,FGD!$D$32,"")</f>
        <v/>
      </c>
      <c r="L30" s="90" t="str">
        <f>IF(P30&gt;5,FGD!$D$33,"")</f>
        <v/>
      </c>
      <c r="M30" s="46" t="str">
        <f>IF(P30&gt;5,FGD!$D$34,"")</f>
        <v/>
      </c>
      <c r="N30" s="39">
        <v>-2</v>
      </c>
      <c r="O30" s="39" t="str">
        <f t="shared" si="3"/>
        <v/>
      </c>
      <c r="P30" s="39">
        <f>COUNTIF(ProcDataRetirement!S14:AC14,"&gt;0")+5*IF(ProcDataRetirement!AD14&gt;1,1,0)+5*IF(ProcDataRetirement!AE14&gt;1,1,0)</f>
        <v>0</v>
      </c>
      <c r="Q30" s="39">
        <v>31.536000000000001</v>
      </c>
    </row>
    <row r="31" spans="1:17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J31" s="39" t="str">
        <f>IF(P31&gt;5,ProcDataRetirement!T15,"")</f>
        <v/>
      </c>
      <c r="K31" s="47" t="str">
        <f>IF(P31&gt;5,FGD!$D$32,"")</f>
        <v/>
      </c>
      <c r="L31" s="90" t="str">
        <f>IF(P31&gt;5,FGD!$D$33,"")</f>
        <v/>
      </c>
      <c r="M31" s="46" t="str">
        <f>IF(P31&gt;5,FGD!$D$34,"")</f>
        <v/>
      </c>
      <c r="N31" s="39">
        <v>-2</v>
      </c>
      <c r="O31" s="39" t="str">
        <f t="shared" si="3"/>
        <v/>
      </c>
      <c r="P31" s="39">
        <f>COUNTIF(ProcDataRetirement!S15:AC15,"&gt;0")+5*IF(ProcDataRetirement!AD15&gt;1,1,0)+5*IF(ProcDataRetirement!AE15&gt;1,1,0)</f>
        <v>0</v>
      </c>
      <c r="Q31" s="39">
        <v>31.536000000000001</v>
      </c>
    </row>
    <row r="32" spans="1:17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J32" s="39" t="str">
        <f>IF(P32&gt;5,ProcDataRetirement!T16,"")</f>
        <v/>
      </c>
      <c r="K32" s="47" t="str">
        <f>IF(P32&gt;5,FGD!$D$32,"")</f>
        <v/>
      </c>
      <c r="L32" s="90" t="str">
        <f>IF(P32&gt;5,FGD!$D$33,"")</f>
        <v/>
      </c>
      <c r="M32" s="46" t="str">
        <f>IF(P32&gt;5,FGD!$D$34,"")</f>
        <v/>
      </c>
      <c r="N32" s="39">
        <v>-2</v>
      </c>
      <c r="O32" s="39" t="str">
        <f t="shared" si="3"/>
        <v/>
      </c>
      <c r="P32" s="39">
        <f>COUNTIF(ProcDataRetirement!S16:AC16,"&gt;0")+5*IF(ProcDataRetirement!AD16&gt;1,1,0)+5*IF(ProcDataRetirement!AE16&gt;1,1,0)</f>
        <v>0</v>
      </c>
      <c r="Q32" s="39">
        <v>31.536000000000001</v>
      </c>
    </row>
    <row r="33" spans="2:17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J33" s="39" t="str">
        <f>IF(P33&gt;5,ProcDataRetirement!T17,"")</f>
        <v/>
      </c>
      <c r="K33" s="47" t="str">
        <f>IF(P33&gt;5,FGD!$D$32,"")</f>
        <v/>
      </c>
      <c r="L33" s="90" t="str">
        <f>IF(P33&gt;5,FGD!$D$33,"")</f>
        <v/>
      </c>
      <c r="M33" s="46" t="str">
        <f>IF(P33&gt;5,FGD!$D$34,"")</f>
        <v/>
      </c>
      <c r="N33" s="39">
        <v>-2</v>
      </c>
      <c r="O33" s="39" t="str">
        <f t="shared" si="3"/>
        <v/>
      </c>
      <c r="P33" s="39">
        <f>COUNTIF(ProcDataRetirement!S17:AC17,"&gt;0")+5*IF(ProcDataRetirement!AD17&gt;1,1,0)+5*IF(ProcDataRetirement!AE17&gt;1,1,0)</f>
        <v>0</v>
      </c>
      <c r="Q33" s="39">
        <v>31.536000000000001</v>
      </c>
    </row>
    <row r="34" spans="2:17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J34" s="39" t="str">
        <f>IF(P34&gt;5,ProcDataRetirement!T18,"")</f>
        <v/>
      </c>
      <c r="K34" s="47" t="str">
        <f>IF(P34&gt;5,FGD!$D$32,"")</f>
        <v/>
      </c>
      <c r="L34" s="90" t="str">
        <f>IF(P34&gt;5,FGD!$D$33,"")</f>
        <v/>
      </c>
      <c r="M34" s="46" t="str">
        <f>IF(P34&gt;5,FGD!$D$34,"")</f>
        <v/>
      </c>
      <c r="N34" s="39">
        <v>-2</v>
      </c>
      <c r="O34" s="39" t="str">
        <f t="shared" si="3"/>
        <v/>
      </c>
      <c r="P34" s="39">
        <f>COUNTIF(ProcDataRetirement!S18:AC18,"&gt;0")+5*IF(ProcDataRetirement!AD18&gt;1,1,0)+5*IF(ProcDataRetirement!AE18&gt;1,1,0)</f>
        <v>0</v>
      </c>
      <c r="Q34" s="39">
        <v>31.536000000000001</v>
      </c>
    </row>
    <row r="35" spans="2:17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J35" s="39" t="str">
        <f>IF(P35&gt;5,ProcDataRetirement!T19,"")</f>
        <v/>
      </c>
      <c r="K35" s="47" t="str">
        <f>IF(P35&gt;5,FGD!$D$32,"")</f>
        <v/>
      </c>
      <c r="L35" s="90" t="str">
        <f>IF(P35&gt;5,FGD!$D$33,"")</f>
        <v/>
      </c>
      <c r="M35" s="46" t="str">
        <f>IF(P35&gt;5,FGD!$D$34,"")</f>
        <v/>
      </c>
      <c r="N35" s="39">
        <v>-2</v>
      </c>
      <c r="O35" s="39" t="str">
        <f t="shared" si="3"/>
        <v/>
      </c>
      <c r="P35" s="39">
        <f>COUNTIF(ProcDataRetirement!S19:AC19,"&gt;0")+5*IF(ProcDataRetirement!AD19&gt;1,1,0)+5*IF(ProcDataRetirement!AE19&gt;1,1,0)</f>
        <v>0</v>
      </c>
      <c r="Q35" s="39">
        <v>31.536000000000001</v>
      </c>
    </row>
    <row r="36" spans="2:17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J36" s="39" t="str">
        <f>IF(P36&gt;5,ProcDataRetirement!T20,"")</f>
        <v/>
      </c>
      <c r="K36" s="47" t="str">
        <f>IF(P36&gt;5,FGD!$D$32,"")</f>
        <v/>
      </c>
      <c r="L36" s="90" t="str">
        <f>IF(P36&gt;5,FGD!$D$33,"")</f>
        <v/>
      </c>
      <c r="M36" s="46" t="str">
        <f>IF(P36&gt;5,FGD!$D$34,"")</f>
        <v/>
      </c>
      <c r="N36" s="39">
        <v>-2</v>
      </c>
      <c r="O36" s="39" t="str">
        <f t="shared" si="3"/>
        <v/>
      </c>
      <c r="P36" s="39">
        <f>COUNTIF(ProcDataRetirement!S20:AC20,"&gt;0")+5*IF(ProcDataRetirement!AD20&gt;1,1,0)+5*IF(ProcDataRetirement!AE20&gt;1,1,0)</f>
        <v>0</v>
      </c>
      <c r="Q36" s="39">
        <v>31.536000000000001</v>
      </c>
    </row>
    <row r="37" spans="2:17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J37" s="39">
        <f>IF(P37&gt;5,ProcDataRetirement!T21,"")</f>
        <v>0</v>
      </c>
      <c r="K37" s="47">
        <f>IF(P37&gt;5,FGD!$D$32,"")</f>
        <v>3.6826838586802784</v>
      </c>
      <c r="L37" s="90">
        <f>IF(P37&gt;5,FGD!$D$33,"")</f>
        <v>239.07259148153946</v>
      </c>
      <c r="M37" s="46">
        <f>IF(P37&gt;5,FGD!$D$34,"")</f>
        <v>7138.4504880542208</v>
      </c>
      <c r="N37" s="39">
        <v>-2</v>
      </c>
      <c r="O37" s="39">
        <f t="shared" si="3"/>
        <v>6</v>
      </c>
      <c r="P37" s="112">
        <v>6</v>
      </c>
      <c r="Q37" s="39">
        <v>31.536000000000001</v>
      </c>
    </row>
    <row r="38" spans="2:17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J38" s="39" t="str">
        <f>IF(P38&gt;5,ProcDataRetirement!T22,"")</f>
        <v/>
      </c>
      <c r="K38" s="47" t="str">
        <f>IF(P38&gt;5,FGD!$D$32,"")</f>
        <v/>
      </c>
      <c r="L38" s="90" t="str">
        <f>IF(P38&gt;5,FGD!$D$33,"")</f>
        <v/>
      </c>
      <c r="M38" s="46" t="str">
        <f>IF(P38&gt;5,FGD!$D$34,"")</f>
        <v/>
      </c>
      <c r="N38" s="39">
        <v>-2</v>
      </c>
      <c r="O38" s="39" t="str">
        <f t="shared" si="3"/>
        <v/>
      </c>
      <c r="P38" s="39">
        <f>COUNTIF(ProcDataRetirement!S22:AC22,"&gt;0")+5*IF(ProcDataRetirement!AD22&gt;1,1,0)+5*IF(ProcDataRetirement!AE22&gt;1,1,0)</f>
        <v>0</v>
      </c>
      <c r="Q38" s="39">
        <v>31.536000000000001</v>
      </c>
    </row>
    <row r="39" spans="2:17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J39" s="39">
        <v>4.33</v>
      </c>
      <c r="K39" s="47">
        <f>IF(P39&gt;5,FGD!$D$32,"")</f>
        <v>3.6826838586802784</v>
      </c>
      <c r="L39" s="90">
        <f>IF(P39&gt;5,FGD!$D$33,"")</f>
        <v>239.07259148153946</v>
      </c>
      <c r="M39" s="46">
        <f>IF(P39&gt;5,FGD!$D$34,"")</f>
        <v>7138.4504880542208</v>
      </c>
      <c r="N39" s="39">
        <v>-2</v>
      </c>
      <c r="O39" s="39">
        <f t="shared" si="3"/>
        <v>30</v>
      </c>
      <c r="P39" s="39">
        <v>30</v>
      </c>
      <c r="Q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9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4" name="cmdAddParamQualifier2"/>
      </mc:Fallback>
    </mc:AlternateContent>
    <mc:AlternateContent xmlns:mc="http://schemas.openxmlformats.org/markup-compatibility/2006">
      <mc:Choice Requires="x14">
        <control shapeId="837638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6" name="cmdCheckTechDataSheet"/>
      </mc:Fallback>
    </mc:AlternateContent>
    <mc:AlternateContent xmlns:mc="http://schemas.openxmlformats.org/markup-compatibility/2006">
      <mc:Choice Requires="x14">
        <control shapeId="837637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8" name="cmdAddParamQualifier1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5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12" name="cmdCommOUT"/>
      </mc:Fallback>
    </mc:AlternateContent>
    <mc:AlternateContent xmlns:mc="http://schemas.openxmlformats.org/markup-compatibility/2006">
      <mc:Choice Requires="x14">
        <control shapeId="837634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14" name="cmdCommIN"/>
      </mc:Fallback>
    </mc:AlternateContent>
    <mc:AlternateContent xmlns:mc="http://schemas.openxmlformats.org/markup-compatibility/2006">
      <mc:Choice Requires="x14">
        <control shapeId="837633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16" name="cmdTechNameAndDes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 t="str">
        <f ca="1">IF(INDEX([6]Index!$C$18:$C$48,MATCH(A2,[6]Index!B18:B48,0)),"ProcData","")</f>
        <v>ProcData</v>
      </c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370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301</v>
      </c>
      <c r="J5" s="39" t="s">
        <v>303</v>
      </c>
      <c r="K5" s="39" t="s">
        <v>306</v>
      </c>
      <c r="L5" s="39" t="s">
        <v>300</v>
      </c>
      <c r="M5" s="39" t="s">
        <v>302</v>
      </c>
      <c r="N5" s="39" t="s">
        <v>304</v>
      </c>
      <c r="O5" s="39" t="s">
        <v>305</v>
      </c>
      <c r="P5" s="39" t="s">
        <v>307</v>
      </c>
      <c r="Q5" s="39" t="s">
        <v>308</v>
      </c>
      <c r="R5" s="39" t="s">
        <v>345</v>
      </c>
      <c r="S5" s="39" t="s">
        <v>346</v>
      </c>
      <c r="T5" s="39" t="s">
        <v>309</v>
      </c>
      <c r="U5" s="39" t="s">
        <v>310</v>
      </c>
      <c r="V5" s="39" t="s">
        <v>311</v>
      </c>
      <c r="W5" s="39" t="s">
        <v>312</v>
      </c>
      <c r="X5" s="39" t="s">
        <v>301</v>
      </c>
      <c r="Y5" s="39" t="s">
        <v>303</v>
      </c>
      <c r="Z5" s="39" t="s">
        <v>306</v>
      </c>
      <c r="AA5" s="39" t="s">
        <v>300</v>
      </c>
      <c r="AB5" s="39" t="s">
        <v>302</v>
      </c>
      <c r="AC5" s="39" t="s">
        <v>304</v>
      </c>
      <c r="AD5" s="39" t="s">
        <v>305</v>
      </c>
      <c r="AE5" s="39" t="s">
        <v>307</v>
      </c>
      <c r="AF5" s="39" t="s">
        <v>308</v>
      </c>
      <c r="AG5" s="39" t="s">
        <v>345</v>
      </c>
      <c r="AH5" s="39" t="s">
        <v>346</v>
      </c>
      <c r="AI5" s="39" t="s">
        <v>309</v>
      </c>
      <c r="AJ5" s="39" t="s">
        <v>310</v>
      </c>
      <c r="AK5" s="39" t="s">
        <v>311</v>
      </c>
      <c r="AL5" s="39" t="s">
        <v>312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>
        <f>ProcDataFGD!I13</f>
        <v>6.5140000000000003E-2</v>
      </c>
      <c r="I13" s="90"/>
      <c r="J13" s="90"/>
      <c r="M13" s="39">
        <v>0</v>
      </c>
      <c r="X13" s="90"/>
      <c r="Y13" s="90"/>
      <c r="AB13" s="90">
        <f>IF($H13="","",1)</f>
        <v>1</v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 t="str">
        <f>ProcDataFGD!I15</f>
        <v/>
      </c>
      <c r="I15" s="90"/>
      <c r="J15" s="90"/>
      <c r="O15" s="39">
        <v>0</v>
      </c>
      <c r="X15" s="90"/>
      <c r="Y15" s="90"/>
      <c r="AD15" s="90" t="str">
        <f>IF($H15="","",1)</f>
        <v/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 t="str">
        <f>ProcDataFGD!I17</f>
        <v/>
      </c>
      <c r="I17" s="90"/>
      <c r="J17" s="90"/>
      <c r="Q17" s="39">
        <v>0</v>
      </c>
      <c r="X17" s="90"/>
      <c r="Y17" s="90"/>
      <c r="AF17" s="90" t="str">
        <f>IF($H17="","",1)</f>
        <v/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 t="str">
        <f>ProcDataFGD!I18</f>
        <v/>
      </c>
      <c r="I18" s="90"/>
      <c r="J18" s="90"/>
      <c r="R18" s="39">
        <v>0</v>
      </c>
      <c r="X18" s="90"/>
      <c r="Y18" s="90"/>
      <c r="AG18" s="90" t="str">
        <f>IF($H18="","",1)</f>
        <v/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 t="str">
        <f>ProcDataFGD!I19</f>
        <v/>
      </c>
      <c r="I19" s="90"/>
      <c r="J19" s="90"/>
      <c r="S19" s="39">
        <v>0</v>
      </c>
      <c r="X19" s="90"/>
      <c r="Y19" s="90"/>
      <c r="AH19" s="90" t="str">
        <f>IF($H19="","",1)</f>
        <v/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 t="str">
        <f>ProcDataFGD!I20</f>
        <v/>
      </c>
      <c r="I20" s="90"/>
      <c r="J20" s="90"/>
      <c r="T20" s="39">
        <v>0</v>
      </c>
      <c r="X20" s="90"/>
      <c r="Y20" s="90"/>
      <c r="AI20" s="90" t="str">
        <f>IF($H20="","",1)</f>
        <v/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>
        <f>ProcDataFGD!I21</f>
        <v>6.5140000000000003E-2</v>
      </c>
      <c r="I21" s="90"/>
      <c r="J21" s="90"/>
      <c r="U21" s="39">
        <v>0</v>
      </c>
      <c r="X21" s="90"/>
      <c r="Y21" s="90"/>
      <c r="AJ21" s="90">
        <f>IF($H21="","",1)</f>
        <v>1</v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 t="str">
        <f>ProcDataFGD!I22</f>
        <v/>
      </c>
      <c r="I22" s="90"/>
      <c r="J22" s="90"/>
      <c r="V22" s="39">
        <v>0</v>
      </c>
      <c r="X22" s="90"/>
      <c r="Y22" s="90"/>
      <c r="AK22" s="90" t="str">
        <f>IF($H22="","",1)</f>
        <v/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7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4" name="cmdAddParamQualifier2"/>
      </mc:Fallback>
    </mc:AlternateContent>
    <mc:AlternateContent xmlns:mc="http://schemas.openxmlformats.org/markup-compatibility/2006">
      <mc:Choice Requires="x14">
        <control shapeId="839686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6" name="cmdCheckTechDataSheet"/>
      </mc:Fallback>
    </mc:AlternateContent>
    <mc:AlternateContent xmlns:mc="http://schemas.openxmlformats.org/markup-compatibility/2006">
      <mc:Choice Requires="x14">
        <control shapeId="839685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8" name="cmdAddParamQualifier1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3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12" name="cmdCommOUT"/>
      </mc:Fallback>
    </mc:AlternateContent>
    <mc:AlternateContent xmlns:mc="http://schemas.openxmlformats.org/markup-compatibility/2006">
      <mc:Choice Requires="x14">
        <control shapeId="839682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14" name="cmdCommIN"/>
      </mc:Fallback>
    </mc:AlternateContent>
    <mc:AlternateContent xmlns:mc="http://schemas.openxmlformats.org/markup-compatibility/2006">
      <mc:Choice Requires="x14">
        <control shapeId="839681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16" name="cmdTechNameAndDes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 t="s">
        <v>299</v>
      </c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35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4" name="cmdAddParamQualifier2"/>
      </mc:Fallback>
    </mc:AlternateContent>
    <mc:AlternateContent xmlns:mc="http://schemas.openxmlformats.org/markup-compatibility/2006">
      <mc:Choice Requires="x14">
        <control shapeId="841734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6" name="cmdCheckTechDataSheet"/>
      </mc:Fallback>
    </mc:AlternateContent>
    <mc:AlternateContent xmlns:mc="http://schemas.openxmlformats.org/markup-compatibility/2006">
      <mc:Choice Requires="x14">
        <control shapeId="841733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8" name="cmdAddParamQualifier1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1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12" name="cmdCommOUT"/>
      </mc:Fallback>
    </mc:AlternateContent>
    <mc:AlternateContent xmlns:mc="http://schemas.openxmlformats.org/markup-compatibility/2006">
      <mc:Choice Requires="x14">
        <control shapeId="841730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14" name="cmdCommIN"/>
      </mc:Fallback>
    </mc:AlternateContent>
    <mc:AlternateContent xmlns:mc="http://schemas.openxmlformats.org/markup-compatibility/2006">
      <mc:Choice Requires="x14">
        <control shapeId="841729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16" name="cmdTechNameAndDes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2:T34"/>
  <sheetViews>
    <sheetView workbookViewId="0">
      <selection activeCell="I34" sqref="I34"/>
    </sheetView>
  </sheetViews>
  <sheetFormatPr defaultRowHeight="12.75" x14ac:dyDescent="0.2"/>
  <cols>
    <col min="2" max="2" width="23.42578125" bestFit="1" customWidth="1"/>
    <col min="3" max="3" width="11" customWidth="1"/>
    <col min="4" max="4" width="11.140625" customWidth="1"/>
    <col min="8" max="8" width="12.42578125" customWidth="1"/>
    <col min="9" max="9" width="15.7109375" customWidth="1"/>
    <col min="10" max="10" width="16.42578125" customWidth="1"/>
    <col min="11" max="11" width="20" customWidth="1"/>
    <col min="12" max="12" width="21" customWidth="1"/>
    <col min="16" max="16" width="14.42578125" customWidth="1"/>
    <col min="18" max="18" width="20.140625" bestFit="1" customWidth="1"/>
    <col min="19" max="19" width="17.140625" customWidth="1"/>
    <col min="20" max="20" width="17.5703125" bestFit="1" customWidth="1"/>
  </cols>
  <sheetData>
    <row r="2" spans="2:20" x14ac:dyDescent="0.2">
      <c r="H2" s="1" t="s">
        <v>372</v>
      </c>
      <c r="J2" s="85" t="s">
        <v>373</v>
      </c>
      <c r="L2" s="113">
        <v>44958</v>
      </c>
      <c r="P2" s="1" t="s">
        <v>374</v>
      </c>
      <c r="Q2" s="1"/>
    </row>
    <row r="3" spans="2:20" x14ac:dyDescent="0.2">
      <c r="B3" s="85" t="s">
        <v>349</v>
      </c>
      <c r="C3" s="85" t="s">
        <v>244</v>
      </c>
      <c r="D3" s="114">
        <v>65.900000000000006</v>
      </c>
      <c r="H3" s="115" t="s">
        <v>375</v>
      </c>
      <c r="P3" t="s">
        <v>376</v>
      </c>
    </row>
    <row r="4" spans="2:20" x14ac:dyDescent="0.2">
      <c r="B4" s="85" t="s">
        <v>350</v>
      </c>
      <c r="C4" s="85" t="s">
        <v>244</v>
      </c>
      <c r="D4" s="114">
        <v>90.3</v>
      </c>
      <c r="P4" s="115" t="s">
        <v>377</v>
      </c>
      <c r="Q4" s="115"/>
    </row>
    <row r="5" spans="2:20" x14ac:dyDescent="0.2">
      <c r="B5" s="85" t="s">
        <v>353</v>
      </c>
      <c r="C5" s="85" t="s">
        <v>244</v>
      </c>
      <c r="D5">
        <f>D4-D3</f>
        <v>24.399999999999991</v>
      </c>
      <c r="H5" s="85" t="s">
        <v>378</v>
      </c>
      <c r="J5" s="116">
        <v>300</v>
      </c>
    </row>
    <row r="6" spans="2:20" x14ac:dyDescent="0.2">
      <c r="B6" s="85" t="s">
        <v>351</v>
      </c>
      <c r="C6" s="85" t="s">
        <v>357</v>
      </c>
      <c r="D6" s="114">
        <v>789</v>
      </c>
      <c r="H6" s="85" t="s">
        <v>379</v>
      </c>
      <c r="J6">
        <f>2.875+3.558+3.45+3.69+4.32+3.51+3.84+0.8+3.843</f>
        <v>29.885999999999999</v>
      </c>
    </row>
    <row r="7" spans="2:20" x14ac:dyDescent="0.2">
      <c r="B7" s="85" t="s">
        <v>352</v>
      </c>
      <c r="C7" s="85" t="s">
        <v>357</v>
      </c>
      <c r="D7" s="114">
        <v>1229</v>
      </c>
      <c r="H7" s="85" t="s">
        <v>380</v>
      </c>
      <c r="P7" s="85" t="s">
        <v>381</v>
      </c>
      <c r="Q7" s="85"/>
    </row>
    <row r="8" spans="2:20" x14ac:dyDescent="0.2">
      <c r="B8" s="85" t="s">
        <v>353</v>
      </c>
      <c r="C8" s="85" t="s">
        <v>357</v>
      </c>
      <c r="D8">
        <f>D7-D6</f>
        <v>440</v>
      </c>
      <c r="H8" s="85" t="s">
        <v>382</v>
      </c>
      <c r="I8" s="85" t="s">
        <v>241</v>
      </c>
      <c r="J8" s="117">
        <f>J5/J6*1000</f>
        <v>10038.14495081309</v>
      </c>
      <c r="R8" s="85"/>
    </row>
    <row r="9" spans="2:20" x14ac:dyDescent="0.2">
      <c r="H9" s="85" t="s">
        <v>383</v>
      </c>
      <c r="I9" s="85" t="s">
        <v>241</v>
      </c>
      <c r="J9" s="117">
        <f>J8*74.1/104.2</f>
        <v>7138.4504880542208</v>
      </c>
      <c r="K9" s="85" t="s">
        <v>384</v>
      </c>
      <c r="R9" s="85" t="s">
        <v>385</v>
      </c>
      <c r="S9" s="85" t="s">
        <v>386</v>
      </c>
      <c r="T9" s="85" t="s">
        <v>387</v>
      </c>
    </row>
    <row r="10" spans="2:20" x14ac:dyDescent="0.2">
      <c r="B10" s="85" t="s">
        <v>354</v>
      </c>
      <c r="K10" t="s">
        <v>230</v>
      </c>
      <c r="R10" s="85" t="s">
        <v>388</v>
      </c>
      <c r="S10" s="85" t="s">
        <v>389</v>
      </c>
      <c r="T10" s="85" t="s">
        <v>390</v>
      </c>
    </row>
    <row r="11" spans="2:20" x14ac:dyDescent="0.2">
      <c r="B11" s="85" t="s">
        <v>211</v>
      </c>
      <c r="C11" s="85" t="s">
        <v>132</v>
      </c>
      <c r="D11">
        <v>4.33</v>
      </c>
      <c r="P11" s="85" t="s">
        <v>391</v>
      </c>
      <c r="Q11" s="85" t="s">
        <v>392</v>
      </c>
      <c r="R11" s="118">
        <f>17677732*1000</f>
        <v>17677732000</v>
      </c>
      <c r="S11" s="118">
        <f>18122432*1000</f>
        <v>18122432000</v>
      </c>
      <c r="T11" s="118">
        <f>19277632*1000</f>
        <v>19277632000</v>
      </c>
    </row>
    <row r="12" spans="2:20" x14ac:dyDescent="0.2">
      <c r="B12" s="85" t="s">
        <v>355</v>
      </c>
      <c r="D12" s="91">
        <v>0.8</v>
      </c>
      <c r="F12" s="85" t="s">
        <v>371</v>
      </c>
      <c r="P12" s="85" t="s">
        <v>393</v>
      </c>
      <c r="Q12" s="85" t="s">
        <v>394</v>
      </c>
      <c r="R12" s="118">
        <v>1213335037</v>
      </c>
      <c r="S12" s="118">
        <v>1170979109</v>
      </c>
      <c r="T12" s="118">
        <v>1887352330</v>
      </c>
    </row>
    <row r="13" spans="2:20" x14ac:dyDescent="0.2">
      <c r="B13" s="85" t="s">
        <v>358</v>
      </c>
      <c r="C13" s="85" t="s">
        <v>123</v>
      </c>
      <c r="D13" s="92">
        <f>D12*D11*8.76</f>
        <v>30.344640000000002</v>
      </c>
      <c r="P13" s="85" t="s">
        <v>395</v>
      </c>
      <c r="Q13" s="85" t="s">
        <v>394</v>
      </c>
      <c r="R13" s="118">
        <f>R12*$D$14/$D$17</f>
        <v>873766956.4016217</v>
      </c>
      <c r="S13" s="118">
        <f t="shared" ref="S13:T13" si="0">S12*$D$14/$D$17</f>
        <v>843264902.83393407</v>
      </c>
      <c r="T13" s="118">
        <f t="shared" si="0"/>
        <v>1359151471.5663891</v>
      </c>
    </row>
    <row r="14" spans="2:20" x14ac:dyDescent="0.2">
      <c r="B14" s="85" t="s">
        <v>360</v>
      </c>
      <c r="C14" s="85" t="s">
        <v>359</v>
      </c>
      <c r="D14">
        <f>D11*D8/1000</f>
        <v>1.9052</v>
      </c>
      <c r="F14">
        <v>320.8965</v>
      </c>
      <c r="P14" s="85" t="s">
        <v>396</v>
      </c>
      <c r="Q14" s="85" t="s">
        <v>394</v>
      </c>
      <c r="R14" s="118">
        <f>R12*$D$15/$D$17</f>
        <v>339568080.59837848</v>
      </c>
      <c r="S14" s="118">
        <f t="shared" ref="S14:T14" si="1">S12*$D$15/$D$17</f>
        <v>327714206.16606605</v>
      </c>
      <c r="T14" s="118">
        <f t="shared" si="1"/>
        <v>528200858.43361121</v>
      </c>
    </row>
    <row r="15" spans="2:20" x14ac:dyDescent="0.2">
      <c r="B15" s="85" t="s">
        <v>361</v>
      </c>
      <c r="C15" s="85" t="s">
        <v>359</v>
      </c>
      <c r="D15">
        <f>D13*D5/1000</f>
        <v>0.74040921599999976</v>
      </c>
      <c r="F15">
        <v>850.93489999999997</v>
      </c>
    </row>
    <row r="16" spans="2:20" x14ac:dyDescent="0.2">
      <c r="F16">
        <f>SUM(F14:F15)*D24/D33</f>
        <v>1078.3457292297217</v>
      </c>
    </row>
    <row r="17" spans="2:20" x14ac:dyDescent="0.2">
      <c r="B17" s="85" t="s">
        <v>356</v>
      </c>
      <c r="C17" s="85" t="s">
        <v>359</v>
      </c>
      <c r="D17">
        <f>SUM(D14:D15)</f>
        <v>2.6456092159999995</v>
      </c>
      <c r="F17" s="119">
        <f>+D17/2*1000</f>
        <v>1322.8046079999997</v>
      </c>
    </row>
    <row r="19" spans="2:20" x14ac:dyDescent="0.2">
      <c r="B19" s="85" t="s">
        <v>362</v>
      </c>
      <c r="C19" s="85" t="s">
        <v>359</v>
      </c>
      <c r="D19">
        <v>1.2</v>
      </c>
    </row>
    <row r="20" spans="2:20" x14ac:dyDescent="0.2">
      <c r="D20">
        <f>D19/D17</f>
        <v>0.45358172807332714</v>
      </c>
    </row>
    <row r="22" spans="2:20" x14ac:dyDescent="0.2">
      <c r="B22" s="85" t="s">
        <v>363</v>
      </c>
      <c r="C22" s="85" t="s">
        <v>366</v>
      </c>
      <c r="P22" s="85" t="s">
        <v>363</v>
      </c>
      <c r="Q22" s="85" t="s">
        <v>366</v>
      </c>
    </row>
    <row r="23" spans="2:20" x14ac:dyDescent="0.2">
      <c r="B23" s="85" t="s">
        <v>364</v>
      </c>
      <c r="C23" s="85" t="s">
        <v>244</v>
      </c>
      <c r="D23">
        <f>D5/2</f>
        <v>12.199999999999996</v>
      </c>
      <c r="P23" s="85" t="s">
        <v>364</v>
      </c>
      <c r="Q23" s="85" t="s">
        <v>244</v>
      </c>
      <c r="R23" s="120">
        <f>R14/$D$13/1000000</f>
        <v>11.190380923892274</v>
      </c>
      <c r="S23" s="120">
        <f t="shared" ref="S23:T23" si="2">S14/$D$13/1000000</f>
        <v>10.79973946522569</v>
      </c>
      <c r="T23" s="120">
        <f t="shared" si="2"/>
        <v>17.406726803600609</v>
      </c>
    </row>
    <row r="24" spans="2:20" x14ac:dyDescent="0.2">
      <c r="B24" s="85" t="s">
        <v>365</v>
      </c>
      <c r="C24" s="85" t="s">
        <v>241</v>
      </c>
      <c r="D24">
        <f>D8/2</f>
        <v>220</v>
      </c>
      <c r="P24" s="85" t="s">
        <v>365</v>
      </c>
      <c r="Q24" s="85" t="s">
        <v>357</v>
      </c>
      <c r="R24" s="121">
        <f>R13/$D$11/1000000</f>
        <v>201.79375436527059</v>
      </c>
      <c r="S24" s="121">
        <f t="shared" ref="S24:T24" si="3">S13/$D$11/1000000</f>
        <v>194.74940019259446</v>
      </c>
      <c r="T24" s="121">
        <f t="shared" si="3"/>
        <v>313.8917948190275</v>
      </c>
    </row>
    <row r="26" spans="2:20" x14ac:dyDescent="0.2">
      <c r="B26" s="85" t="s">
        <v>248</v>
      </c>
      <c r="C26" s="85" t="s">
        <v>367</v>
      </c>
      <c r="H26" t="s">
        <v>363</v>
      </c>
      <c r="I26" t="s">
        <v>369</v>
      </c>
      <c r="J26" s="85" t="s">
        <v>397</v>
      </c>
      <c r="K26" s="85" t="s">
        <v>398</v>
      </c>
      <c r="P26" s="85" t="s">
        <v>248</v>
      </c>
      <c r="Q26" s="85" t="s">
        <v>366</v>
      </c>
    </row>
    <row r="27" spans="2:20" x14ac:dyDescent="0.2">
      <c r="B27" s="85" t="s">
        <v>356</v>
      </c>
      <c r="C27" s="85" t="s">
        <v>359</v>
      </c>
      <c r="D27" s="114">
        <v>32</v>
      </c>
      <c r="H27" t="s">
        <v>364</v>
      </c>
      <c r="I27" t="s">
        <v>120</v>
      </c>
      <c r="J27">
        <v>3.0272136364862297</v>
      </c>
      <c r="K27">
        <f>J27*$J$9/$J$29</f>
        <v>3.6826838586802784</v>
      </c>
    </row>
    <row r="28" spans="2:20" x14ac:dyDescent="0.2">
      <c r="B28" s="85" t="s">
        <v>368</v>
      </c>
      <c r="C28" s="85" t="s">
        <v>241</v>
      </c>
      <c r="D28">
        <f>D27/D11*1000</f>
        <v>7390.300230946882</v>
      </c>
      <c r="H28" t="s">
        <v>365</v>
      </c>
      <c r="I28" t="s">
        <v>241</v>
      </c>
      <c r="J28">
        <v>196.52075410631926</v>
      </c>
      <c r="K28">
        <f t="shared" ref="K28:K29" si="4">J28*$J$9/$J$29</f>
        <v>239.07259148153946</v>
      </c>
      <c r="P28" s="85" t="s">
        <v>368</v>
      </c>
      <c r="Q28" s="85" t="s">
        <v>241</v>
      </c>
      <c r="R28" s="121">
        <f>R11/$D$11/1000000</f>
        <v>4082.6170900692841</v>
      </c>
      <c r="S28" s="121">
        <f>S11/$D$11/1000000</f>
        <v>4185.3191685912234</v>
      </c>
      <c r="T28" s="121">
        <f>T11/$D$11/1000000</f>
        <v>4452.1090069284064</v>
      </c>
    </row>
    <row r="29" spans="2:20" x14ac:dyDescent="0.2">
      <c r="B29" s="85"/>
      <c r="C29" s="85"/>
      <c r="E29" s="85"/>
      <c r="H29" t="s">
        <v>368</v>
      </c>
      <c r="I29" t="s">
        <v>241</v>
      </c>
      <c r="J29">
        <v>5867.8983833718248</v>
      </c>
      <c r="K29">
        <f t="shared" si="4"/>
        <v>7138.4504880542208</v>
      </c>
    </row>
    <row r="31" spans="2:20" ht="15" x14ac:dyDescent="0.25">
      <c r="B31" s="85" t="s">
        <v>363</v>
      </c>
      <c r="C31" s="85" t="s">
        <v>369</v>
      </c>
      <c r="D31" s="50" t="s">
        <v>398</v>
      </c>
      <c r="P31" s="85" t="s">
        <v>363</v>
      </c>
      <c r="Q31" s="85" t="s">
        <v>369</v>
      </c>
    </row>
    <row r="32" spans="2:20" x14ac:dyDescent="0.2">
      <c r="B32" s="85" t="s">
        <v>364</v>
      </c>
      <c r="C32" s="85" t="s">
        <v>120</v>
      </c>
      <c r="D32" s="119">
        <f>INDEX($J27:$K27,1,MATCH($D$31,$J$26:$K$26,0))</f>
        <v>3.6826838586802784</v>
      </c>
      <c r="P32" s="85" t="s">
        <v>364</v>
      </c>
      <c r="Q32" s="85" t="s">
        <v>120</v>
      </c>
      <c r="R32" s="122">
        <f>R23/3.6*[8]Deflator!$W$4</f>
        <v>2.7766945680559085</v>
      </c>
      <c r="S32" s="122">
        <f>S23/3.6*[8]Deflator!$W$4</f>
        <v>2.6797638180024363</v>
      </c>
      <c r="T32" s="122">
        <f>T23/3.6*[8]Deflator!$W$4</f>
        <v>4.3191705529877176</v>
      </c>
    </row>
    <row r="33" spans="2:20" x14ac:dyDescent="0.2">
      <c r="B33" s="85" t="s">
        <v>365</v>
      </c>
      <c r="C33" s="85" t="s">
        <v>241</v>
      </c>
      <c r="D33" s="119">
        <f t="shared" ref="D33:D34" si="5">INDEX($J28:$K28,1,MATCH($D$31,$J$26:$K$26,0))</f>
        <v>239.07259148153946</v>
      </c>
      <c r="P33" s="85" t="s">
        <v>365</v>
      </c>
      <c r="Q33" s="85" t="s">
        <v>241</v>
      </c>
      <c r="R33" s="122">
        <f>R24*[8]Deflator!$W$4</f>
        <v>180.25754900821968</v>
      </c>
      <c r="S33" s="122">
        <f>S24*[8]Deflator!$W$4</f>
        <v>173.96499539819101</v>
      </c>
      <c r="T33" s="122">
        <f>T24*[8]Deflator!$W$4</f>
        <v>280.39205557100598</v>
      </c>
    </row>
    <row r="34" spans="2:20" x14ac:dyDescent="0.2">
      <c r="B34" s="85" t="s">
        <v>368</v>
      </c>
      <c r="C34" s="85" t="s">
        <v>241</v>
      </c>
      <c r="D34" s="119">
        <f t="shared" si="5"/>
        <v>7138.4504880542208</v>
      </c>
      <c r="P34" s="85" t="s">
        <v>368</v>
      </c>
      <c r="Q34" s="85" t="s">
        <v>241</v>
      </c>
      <c r="R34" s="122">
        <f>R28*[8]Deflator!$W$4</f>
        <v>3646.9044966716474</v>
      </c>
      <c r="S34" s="122">
        <f>S28*[8]Deflator!$W$4</f>
        <v>3738.6458144871835</v>
      </c>
      <c r="T34" s="122">
        <f>T28*[8]Deflator!$W$4</f>
        <v>3976.9628154777574</v>
      </c>
    </row>
  </sheetData>
  <dataValidations count="1">
    <dataValidation type="list" allowBlank="1" showInputMessage="1" showErrorMessage="1" sqref="D31" xr:uid="{74FFE3ED-227B-4436-9D4A-D515DAF05E10}">
      <formula1>$J$26:$K$26</formula1>
    </dataValidation>
  </dataValidations>
  <hyperlinks>
    <hyperlink ref="P4" r:id="rId1" xr:uid="{ABEE7AD7-5C06-40EB-9A18-BDE651B53965}"/>
    <hyperlink ref="H3" r:id="rId2" xr:uid="{F5031C04-06F5-41BB-8DA4-96AB8A7412F7}"/>
  </hyperlinks>
  <pageMargins left="0.7" right="0.7" top="0.75" bottom="0.75" header="0.3" footer="0.3"/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opLeftCell="A197" zoomScale="90" zoomScaleNormal="90" workbookViewId="0">
      <selection activeCell="G210" sqref="G210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297</v>
      </c>
      <c r="G10" s="95" t="s">
        <v>400</v>
      </c>
      <c r="H10" s="95" t="s">
        <v>298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264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269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290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 t="s">
        <v>400</v>
      </c>
      <c r="C18" s="62" t="str">
        <f>D18&amp;E18</f>
        <v>Scenario C - 2025 CliffCAMDEN</v>
      </c>
      <c r="D18" s="62" t="str">
        <f>B19</f>
        <v>Scenario C - 2025 Cliff</v>
      </c>
      <c r="E18" s="105" t="s">
        <v>165</v>
      </c>
      <c r="F18" s="105">
        <f>MATCH(C18,$C$118:$C$241,0)</f>
        <v>94</v>
      </c>
      <c r="G18" s="105" t="s">
        <v>208</v>
      </c>
      <c r="H18" s="63" cm="1">
        <f t="array" ref="H18">INDEX(H$118:H$241,$F18)</f>
        <v>2024</v>
      </c>
      <c r="I18" s="63" cm="1">
        <f t="array" ref="I18">INDEX(I$118:I$241,$F18)</f>
        <v>2024</v>
      </c>
      <c r="J18" s="63" cm="1">
        <f t="array" ref="J18">INDEX(J$118:J$241,$F18)</f>
        <v>2025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2025</v>
      </c>
      <c r="N18" s="63" cm="1">
        <f t="array" ref="N18">INDEX(N$118:N$241,$F18)</f>
        <v>2026</v>
      </c>
      <c r="O18" s="63" t="str" cm="1">
        <f t="array" ref="O18">INDEX(O$118:O$241,$F18)</f>
        <v/>
      </c>
      <c r="P18" s="63" cm="1">
        <f t="array" ref="P18">INDEX(P$118:P$241,$F18)</f>
        <v>0</v>
      </c>
      <c r="Q18" s="101">
        <f>COUNTIF(H18:P18,"&gt;0")</f>
        <v>7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1.0578571428571428</v>
      </c>
      <c r="X18" s="101">
        <f t="shared" ref="X18:X31" si="4">COUNTIF($H18:$P18,X$98)*-$R18/$Q18+W18</f>
        <v>0.63471428571428568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>Scenario C - 2025 Cliff</v>
      </c>
      <c r="C19" s="62" t="str">
        <f t="shared" ref="C19:C31" si="30">D19&amp;E19</f>
        <v>Scenario C - 2025 CliffGROOTVLEI</v>
      </c>
      <c r="D19" s="62" t="str">
        <f>D18</f>
        <v>Scenario C - 2025 Cliff</v>
      </c>
      <c r="E19" s="105" t="s">
        <v>163</v>
      </c>
      <c r="F19" s="105">
        <f t="shared" ref="F19:F31" si="31">MATCH(C19,$C$118:$C$241,0)</f>
        <v>95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2027</v>
      </c>
      <c r="J19" s="63" cm="1">
        <f t="array" ref="J19">INDEX(J$118:J$241,$F19)</f>
        <v>2028</v>
      </c>
      <c r="K19" s="63" t="str" cm="1">
        <f t="array" ref="K19">INDEX(K$118:K$241,$F19)</f>
        <v/>
      </c>
      <c r="L19" s="63" t="str" cm="1">
        <f t="array" ref="L19">INDEX(L$118:L$241,$F19)</f>
        <v/>
      </c>
      <c r="M19" s="63" t="str" cm="1">
        <f t="array" ref="M19">INDEX(M$118:M$241,$F19)</f>
        <v/>
      </c>
      <c r="N19" s="63" t="str" cm="1">
        <f t="array" ref="N19">INDEX(N$118:N$241,$F19)</f>
        <v/>
      </c>
      <c r="O19" s="63" t="str" cm="1">
        <f t="array" ref="O19">INDEX(O$118:O$241,$F19)</f>
        <v/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0.38</v>
      </c>
      <c r="Z19" s="101">
        <f t="shared" si="6"/>
        <v>0.19000000000000003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C - 2025 CliffKOMATI</v>
      </c>
      <c r="D20" s="62" t="str">
        <f t="shared" ref="D20:D31" si="34">D19</f>
        <v>Scenario C - 2025 Cliff</v>
      </c>
      <c r="E20" s="105" t="s">
        <v>161</v>
      </c>
      <c r="F20" s="105">
        <f t="shared" si="31"/>
        <v>96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2021</v>
      </c>
      <c r="K20" s="63" t="str" cm="1">
        <f t="array" ref="K20">INDEX(K$118:K$241,$F20)</f>
        <v/>
      </c>
      <c r="L20" s="63" t="str" cm="1">
        <f t="array" ref="L20">INDEX(L$118:L$241,$F20)</f>
        <v/>
      </c>
      <c r="M20" s="63" t="str" cm="1">
        <f t="array" ref="M20">INDEX(M$118:M$241,$F20)</f>
        <v/>
      </c>
      <c r="N20" s="63" t="str" cm="1">
        <f t="array" ref="N20">INDEX(N$118:N$241,$F20)</f>
        <v/>
      </c>
      <c r="O20" s="63" t="str" cm="1">
        <f t="array" ref="O20">INDEX(O$118:O$241,$F20)</f>
        <v/>
      </c>
      <c r="P20" s="63" cm="1">
        <f t="array" ref="P20">INDEX(P$118:P$241,$F20)</f>
        <v>0</v>
      </c>
      <c r="Q20" s="101">
        <f t="shared" si="32"/>
        <v>3</v>
      </c>
      <c r="R20" s="101">
        <v>0.41</v>
      </c>
      <c r="S20" s="101">
        <f t="shared" si="33"/>
        <v>0.13666666666666666</v>
      </c>
      <c r="T20" s="101">
        <f t="shared" si="0"/>
        <v>0</v>
      </c>
      <c r="U20" s="101">
        <f t="shared" si="1"/>
        <v>0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C - 2025 CliffARNOT</v>
      </c>
      <c r="D21" s="62" t="str">
        <f t="shared" si="34"/>
        <v>Scenario C - 2025 Cliff</v>
      </c>
      <c r="E21" s="105" t="s">
        <v>159</v>
      </c>
      <c r="F21" s="105">
        <f t="shared" si="31"/>
        <v>97</v>
      </c>
      <c r="G21" s="105" t="s">
        <v>201</v>
      </c>
      <c r="H21" s="63" cm="1">
        <f t="array" ref="H21">INDEX(H$118:H$241,$F21)</f>
        <v>2027</v>
      </c>
      <c r="I21" s="63" cm="1">
        <f t="array" ref="I21">INDEX(I$118:I$241,$F21)</f>
        <v>2026</v>
      </c>
      <c r="J21" s="63" cm="1">
        <f t="array" ref="J21">INDEX(J$118:J$241,$F21)</f>
        <v>2026</v>
      </c>
      <c r="K21" s="63" cm="1">
        <f t="array" ref="K21">INDEX(K$118:K$241,$F21)</f>
        <v>2027</v>
      </c>
      <c r="L21" s="63" cm="1">
        <f t="array" ref="L21">INDEX(L$118:L$241,$F21)</f>
        <v>2029</v>
      </c>
      <c r="M21" s="63" cm="1">
        <f t="array" ref="M21">INDEX(M$118:M$241,$F21)</f>
        <v>2029</v>
      </c>
      <c r="N21" s="63" t="str" cm="1">
        <f t="array" ref="N21">INDEX(N$118:N$241,$F21)</f>
        <v/>
      </c>
      <c r="O21" s="63" t="str" cm="1">
        <f t="array" ref="O21">INDEX(O$118:O$241,$F21)</f>
        <v/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1.488</v>
      </c>
      <c r="Z21" s="101">
        <f t="shared" si="6"/>
        <v>0.74399999999999988</v>
      </c>
      <c r="AA21" s="101">
        <f t="shared" si="7"/>
        <v>0.74399999999999988</v>
      </c>
      <c r="AB21" s="101">
        <f t="shared" si="8"/>
        <v>0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C - 2025 CliffDUVHA</v>
      </c>
      <c r="D22" s="62" t="str">
        <f t="shared" si="34"/>
        <v>Scenario C - 2025 Cliff</v>
      </c>
      <c r="E22" s="105" t="s">
        <v>157</v>
      </c>
      <c r="F22" s="105">
        <f t="shared" si="31"/>
        <v>98</v>
      </c>
      <c r="G22" s="105" t="s">
        <v>207</v>
      </c>
      <c r="H22" s="63" cm="1">
        <f t="array" ref="H22">INDEX(H$118:H$241,$F22)</f>
        <v>2026</v>
      </c>
      <c r="I22" s="63" cm="1">
        <f t="array" ref="I22">INDEX(I$118:I$241,$F22)</f>
        <v>2026</v>
      </c>
      <c r="J22" s="63" cm="1">
        <f t="array" ref="J22">INDEX(J$118:J$241,$F22)</f>
        <v>2026</v>
      </c>
      <c r="K22" s="63" cm="1">
        <f t="array" ref="K22">INDEX(K$118:K$241,$F22)</f>
        <v>2026</v>
      </c>
      <c r="L22" s="63" cm="1">
        <f t="array" ref="L22">INDEX(L$118:L$241,$F22)</f>
        <v>2026</v>
      </c>
      <c r="M22" s="63" t="str" cm="1">
        <f t="array" ref="M22">INDEX(M$118:M$241,$F22)</f>
        <v/>
      </c>
      <c r="N22" s="63" t="str" cm="1">
        <f t="array" ref="N22">INDEX(N$118:N$241,$F22)</f>
        <v/>
      </c>
      <c r="O22" s="63" t="str" cm="1">
        <f t="array" ref="O22">INDEX(O$118:O$241,$F22)</f>
        <v/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0</v>
      </c>
      <c r="Z22" s="101">
        <f t="shared" si="6"/>
        <v>0</v>
      </c>
      <c r="AA22" s="101">
        <f t="shared" si="7"/>
        <v>0</v>
      </c>
      <c r="AB22" s="101">
        <f t="shared" si="8"/>
        <v>0</v>
      </c>
      <c r="AC22" s="101">
        <f t="shared" si="9"/>
        <v>0</v>
      </c>
      <c r="AD22" s="101">
        <f t="shared" si="10"/>
        <v>0</v>
      </c>
      <c r="AE22" s="101">
        <f t="shared" si="11"/>
        <v>0</v>
      </c>
      <c r="AF22" s="101">
        <f t="shared" si="12"/>
        <v>0</v>
      </c>
      <c r="AG22" s="101">
        <f t="shared" si="13"/>
        <v>0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C - 2025 CliffHENDRINA</v>
      </c>
      <c r="D23" s="62" t="str">
        <f t="shared" si="34"/>
        <v>Scenario C - 2025 Cliff</v>
      </c>
      <c r="E23" s="105" t="s">
        <v>155</v>
      </c>
      <c r="F23" s="105">
        <f t="shared" si="31"/>
        <v>99</v>
      </c>
      <c r="G23" s="105" t="s">
        <v>198</v>
      </c>
      <c r="H23" s="63" cm="1">
        <f t="array" ref="H23">INDEX(H$118:H$241,$F23)</f>
        <v>2021</v>
      </c>
      <c r="I23" s="63" cm="1">
        <f t="array" ref="I23">INDEX(I$118:I$241,$F23)</f>
        <v>2025</v>
      </c>
      <c r="J23" s="63" t="str" cm="1">
        <f t="array" ref="J23">INDEX(J$118:J$241,$F23)</f>
        <v/>
      </c>
      <c r="K23" s="63" cm="1">
        <f t="array" ref="K23">INDEX(K$118:K$241,$F23)</f>
        <v>2025</v>
      </c>
      <c r="L23" s="63" cm="1">
        <f t="array" ref="L23">INDEX(L$118:L$241,$F23)</f>
        <v>2025</v>
      </c>
      <c r="M23" s="63" cm="1">
        <f t="array" ref="M23">INDEX(M$118:M$241,$F23)</f>
        <v>2025</v>
      </c>
      <c r="N23" s="63" cm="1">
        <f t="array" ref="N23">INDEX(N$118:N$241,$F23)</f>
        <v>2024</v>
      </c>
      <c r="O23" s="63" t="str" cm="1">
        <f t="array" ref="O23">INDEX(O$118:O$241,$F23)</f>
        <v/>
      </c>
      <c r="P23" s="63" cm="1">
        <f t="array" ref="P23">INDEX(P$118:P$241,$F23)</f>
        <v>0</v>
      </c>
      <c r="Q23" s="101">
        <f t="shared" si="32"/>
        <v>6</v>
      </c>
      <c r="R23" s="101">
        <v>1.2929999999999999</v>
      </c>
      <c r="S23" s="101">
        <f t="shared" si="33"/>
        <v>1.2929999999999999</v>
      </c>
      <c r="T23" s="101">
        <f t="shared" si="0"/>
        <v>1.0774999999999999</v>
      </c>
      <c r="U23" s="101">
        <f t="shared" si="1"/>
        <v>1.0774999999999999</v>
      </c>
      <c r="V23" s="101">
        <f t="shared" si="2"/>
        <v>1.0774999999999999</v>
      </c>
      <c r="W23" s="101">
        <f t="shared" si="3"/>
        <v>0.86199999999999988</v>
      </c>
      <c r="X23" s="101">
        <f t="shared" si="4"/>
        <v>0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C - 2025 CliffKENDAL</v>
      </c>
      <c r="D24" s="62" t="str">
        <f t="shared" si="34"/>
        <v>Scenario C - 2025 Cliff</v>
      </c>
      <c r="E24" s="105" t="s">
        <v>153</v>
      </c>
      <c r="F24" s="105">
        <f t="shared" si="31"/>
        <v>100</v>
      </c>
      <c r="G24" s="105" t="s">
        <v>206</v>
      </c>
      <c r="H24" s="63" cm="1">
        <f t="array" ref="H24">INDEX(H$118:H$241,$F24)</f>
        <v>2026</v>
      </c>
      <c r="I24" s="63" cm="1">
        <f t="array" ref="I24">INDEX(I$118:I$241,$F24)</f>
        <v>2026</v>
      </c>
      <c r="J24" s="63" cm="1">
        <f t="array" ref="J24">INDEX(J$118:J$241,$F24)</f>
        <v>2026</v>
      </c>
      <c r="K24" s="63" cm="1">
        <f t="array" ref="K24">INDEX(K$118:K$241,$F24)</f>
        <v>2026</v>
      </c>
      <c r="L24" s="63" cm="1">
        <f t="array" ref="L24">INDEX(L$118:L$241,$F24)</f>
        <v>2026</v>
      </c>
      <c r="M24" s="63" cm="1">
        <f t="array" ref="M24">INDEX(M$118:M$241,$F24)</f>
        <v>2026</v>
      </c>
      <c r="N24" s="63" t="str" cm="1">
        <f t="array" ref="N24">INDEX(N$118:N$241,$F24)</f>
        <v/>
      </c>
      <c r="O24" s="63" t="str" cm="1">
        <f t="array" ref="O24">INDEX(O$118:O$241,$F24)</f>
        <v/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0</v>
      </c>
      <c r="Z24" s="101">
        <f t="shared" si="6"/>
        <v>0</v>
      </c>
      <c r="AA24" s="101">
        <f t="shared" si="7"/>
        <v>0</v>
      </c>
      <c r="AB24" s="101">
        <f t="shared" si="8"/>
        <v>0</v>
      </c>
      <c r="AC24" s="101">
        <f t="shared" si="9"/>
        <v>0</v>
      </c>
      <c r="AD24" s="101">
        <f t="shared" si="10"/>
        <v>0</v>
      </c>
      <c r="AE24" s="101">
        <f t="shared" si="11"/>
        <v>0</v>
      </c>
      <c r="AF24" s="101">
        <f t="shared" si="12"/>
        <v>0</v>
      </c>
      <c r="AG24" s="101">
        <f t="shared" si="13"/>
        <v>0</v>
      </c>
      <c r="AH24" s="101">
        <f t="shared" si="14"/>
        <v>0</v>
      </c>
      <c r="AI24" s="101">
        <f t="shared" si="15"/>
        <v>0</v>
      </c>
      <c r="AJ24" s="101">
        <f t="shared" si="16"/>
        <v>0</v>
      </c>
      <c r="AK24" s="101">
        <f t="shared" si="17"/>
        <v>0</v>
      </c>
      <c r="AL24" s="101">
        <f t="shared" si="18"/>
        <v>0</v>
      </c>
      <c r="AM24" s="101">
        <f t="shared" si="19"/>
        <v>0</v>
      </c>
      <c r="AN24" s="101">
        <f t="shared" si="20"/>
        <v>0</v>
      </c>
      <c r="AO24" s="101">
        <f t="shared" si="21"/>
        <v>0</v>
      </c>
      <c r="AP24" s="101">
        <f t="shared" si="22"/>
        <v>0</v>
      </c>
      <c r="AQ24" s="101">
        <f t="shared" si="23"/>
        <v>0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C - 2025 CliffKRIEL</v>
      </c>
      <c r="D25" s="62" t="str">
        <f t="shared" si="34"/>
        <v>Scenario C - 2025 Cliff</v>
      </c>
      <c r="E25" s="105" t="s">
        <v>151</v>
      </c>
      <c r="F25" s="105">
        <f t="shared" si="31"/>
        <v>101</v>
      </c>
      <c r="G25" s="105" t="s">
        <v>199</v>
      </c>
      <c r="H25" s="63" cm="1">
        <f t="array" ref="H25">INDEX(H$118:H$241,$F25)</f>
        <v>2026</v>
      </c>
      <c r="I25" s="63" cm="1">
        <f t="array" ref="I25">INDEX(I$118:I$241,$F25)</f>
        <v>2027</v>
      </c>
      <c r="J25" s="63" cm="1">
        <f t="array" ref="J25">INDEX(J$118:J$241,$F25)</f>
        <v>2028</v>
      </c>
      <c r="K25" s="63" cm="1">
        <f t="array" ref="K25">INDEX(K$118:K$241,$F25)</f>
        <v>2029</v>
      </c>
      <c r="L25" s="63" cm="1">
        <f t="array" ref="L25">INDEX(L$118:L$241,$F25)</f>
        <v>2029</v>
      </c>
      <c r="M25" s="63" cm="1">
        <f t="array" ref="M25">INDEX(M$118:M$241,$F25)</f>
        <v>2030</v>
      </c>
      <c r="N25" s="63" t="str" cm="1">
        <f t="array" ref="N25">INDEX(N$118:N$241,$F25)</f>
        <v/>
      </c>
      <c r="O25" s="63" t="str" cm="1">
        <f t="array" ref="O25">INDEX(O$118:O$241,$F25)</f>
        <v/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2.375</v>
      </c>
      <c r="Z25" s="101">
        <f t="shared" si="6"/>
        <v>1.9</v>
      </c>
      <c r="AA25" s="101">
        <f t="shared" si="7"/>
        <v>1.4249999999999998</v>
      </c>
      <c r="AB25" s="101">
        <f t="shared" si="8"/>
        <v>0.47499999999999976</v>
      </c>
      <c r="AC25" s="101">
        <f t="shared" si="9"/>
        <v>0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C - 2025 CliffLETHABO</v>
      </c>
      <c r="D26" s="62" t="str">
        <f t="shared" si="34"/>
        <v>Scenario C - 2025 Cliff</v>
      </c>
      <c r="E26" s="105" t="s">
        <v>149</v>
      </c>
      <c r="F26" s="105">
        <f t="shared" si="31"/>
        <v>102</v>
      </c>
      <c r="G26" s="105" t="s">
        <v>205</v>
      </c>
      <c r="H26" s="63" cm="1">
        <f t="array" ref="H26">INDEX(H$118:H$241,$F26)</f>
        <v>2026</v>
      </c>
      <c r="I26" s="63" cm="1">
        <f t="array" ref="I26">INDEX(I$118:I$241,$F26)</f>
        <v>2026</v>
      </c>
      <c r="J26" s="63" cm="1">
        <f t="array" ref="J26">INDEX(J$118:J$241,$F26)</f>
        <v>2026</v>
      </c>
      <c r="K26" s="63" cm="1">
        <f t="array" ref="K26">INDEX(K$118:K$241,$F26)</f>
        <v>2026</v>
      </c>
      <c r="L26" s="63" cm="1">
        <f t="array" ref="L26">INDEX(L$118:L$241,$F26)</f>
        <v>2026</v>
      </c>
      <c r="M26" s="63" cm="1">
        <f t="array" ref="M26">INDEX(M$118:M$241,$F26)</f>
        <v>2026</v>
      </c>
      <c r="N26" s="63" t="str" cm="1">
        <f t="array" ref="N26">INDEX(N$118:N$241,$F26)</f>
        <v/>
      </c>
      <c r="O26" s="63" t="str" cm="1">
        <f t="array" ref="O26">INDEX(O$118:O$241,$F26)</f>
        <v/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0</v>
      </c>
      <c r="Z26" s="101">
        <f t="shared" si="6"/>
        <v>0</v>
      </c>
      <c r="AA26" s="101">
        <f t="shared" si="7"/>
        <v>0</v>
      </c>
      <c r="AB26" s="101">
        <f t="shared" si="8"/>
        <v>0</v>
      </c>
      <c r="AC26" s="101">
        <f t="shared" si="9"/>
        <v>0</v>
      </c>
      <c r="AD26" s="101">
        <f t="shared" si="10"/>
        <v>0</v>
      </c>
      <c r="AE26" s="101">
        <f t="shared" si="11"/>
        <v>0</v>
      </c>
      <c r="AF26" s="101">
        <f t="shared" si="12"/>
        <v>0</v>
      </c>
      <c r="AG26" s="101">
        <f t="shared" si="13"/>
        <v>0</v>
      </c>
      <c r="AH26" s="101">
        <f t="shared" si="14"/>
        <v>0</v>
      </c>
      <c r="AI26" s="101">
        <f t="shared" si="15"/>
        <v>0</v>
      </c>
      <c r="AJ26" s="101">
        <f t="shared" si="16"/>
        <v>0</v>
      </c>
      <c r="AK26" s="101">
        <f t="shared" si="17"/>
        <v>0</v>
      </c>
      <c r="AL26" s="101">
        <f t="shared" si="18"/>
        <v>0</v>
      </c>
      <c r="AM26" s="101">
        <f t="shared" si="19"/>
        <v>0</v>
      </c>
      <c r="AN26" s="101">
        <f t="shared" si="20"/>
        <v>0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C - 2025 CliffMAJUBA DRY</v>
      </c>
      <c r="D27" s="62" t="str">
        <f t="shared" si="34"/>
        <v>Scenario C - 2025 Cliff</v>
      </c>
      <c r="E27" s="105" t="s">
        <v>147</v>
      </c>
      <c r="F27" s="105">
        <f t="shared" si="31"/>
        <v>103</v>
      </c>
      <c r="G27" s="105" t="s">
        <v>197</v>
      </c>
      <c r="H27" s="63" cm="1">
        <f t="array" ref="H27">INDEX(H$118:H$241,$F27)</f>
        <v>2026</v>
      </c>
      <c r="I27" s="63" cm="1">
        <f t="array" ref="I27">INDEX(I$118:I$241,$F27)</f>
        <v>2026</v>
      </c>
      <c r="J27" s="63" cm="1">
        <f t="array" ref="J27">INDEX(J$118:J$241,$F27)</f>
        <v>2026</v>
      </c>
      <c r="K27" s="63" cm="1">
        <f t="array" ref="K27">INDEX(K$118:K$241,$F27)</f>
        <v>0</v>
      </c>
      <c r="L27" s="63" cm="1">
        <f t="array" ref="L27">INDEX(L$118:L$241,$F27)</f>
        <v>0</v>
      </c>
      <c r="M27" s="63" cm="1">
        <f t="array" ref="M27">INDEX(M$118:M$241,$F27)</f>
        <v>0</v>
      </c>
      <c r="N27" s="63" cm="1">
        <f t="array" ref="N27">INDEX(N$118:N$241,$F27)</f>
        <v>0</v>
      </c>
      <c r="O27" s="63" cm="1">
        <f t="array" ref="O27">INDEX(O$118:O$241,$F27)</f>
        <v>0</v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0</v>
      </c>
      <c r="Z27" s="101">
        <f t="shared" si="6"/>
        <v>0</v>
      </c>
      <c r="AA27" s="101">
        <f t="shared" si="7"/>
        <v>0</v>
      </c>
      <c r="AB27" s="101">
        <f t="shared" si="8"/>
        <v>0</v>
      </c>
      <c r="AC27" s="101">
        <f t="shared" si="9"/>
        <v>0</v>
      </c>
      <c r="AD27" s="101">
        <f t="shared" si="10"/>
        <v>0</v>
      </c>
      <c r="AE27" s="101">
        <f t="shared" si="11"/>
        <v>0</v>
      </c>
      <c r="AF27" s="101">
        <f t="shared" si="12"/>
        <v>0</v>
      </c>
      <c r="AG27" s="101">
        <f t="shared" si="13"/>
        <v>0</v>
      </c>
      <c r="AH27" s="101">
        <f t="shared" si="14"/>
        <v>0</v>
      </c>
      <c r="AI27" s="101">
        <f t="shared" si="15"/>
        <v>0</v>
      </c>
      <c r="AJ27" s="101">
        <f t="shared" si="16"/>
        <v>0</v>
      </c>
      <c r="AK27" s="101">
        <f t="shared" si="17"/>
        <v>0</v>
      </c>
      <c r="AL27" s="101">
        <f t="shared" si="18"/>
        <v>0</v>
      </c>
      <c r="AM27" s="101">
        <f t="shared" si="19"/>
        <v>0</v>
      </c>
      <c r="AN27" s="101">
        <f t="shared" si="20"/>
        <v>0</v>
      </c>
      <c r="AO27" s="101">
        <f t="shared" si="21"/>
        <v>0</v>
      </c>
      <c r="AP27" s="101">
        <f t="shared" si="22"/>
        <v>0</v>
      </c>
      <c r="AQ27" s="101">
        <f t="shared" si="23"/>
        <v>0</v>
      </c>
      <c r="AR27" s="101">
        <f t="shared" si="24"/>
        <v>0</v>
      </c>
      <c r="AS27" s="101">
        <f t="shared" si="25"/>
        <v>0</v>
      </c>
      <c r="AT27" s="101">
        <f t="shared" si="26"/>
        <v>0</v>
      </c>
      <c r="AU27" s="101">
        <f t="shared" si="27"/>
        <v>0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C - 2025 CliffMAJUBA WET</v>
      </c>
      <c r="D28" s="62" t="str">
        <f t="shared" si="34"/>
        <v>Scenario C - 2025 Cliff</v>
      </c>
      <c r="E28" s="105" t="s">
        <v>145</v>
      </c>
      <c r="F28" s="105">
        <f t="shared" si="31"/>
        <v>104</v>
      </c>
      <c r="G28" s="105"/>
      <c r="H28" s="63" cm="1">
        <f t="array" ref="H28">INDEX(H$118:H$241,$F28)</f>
        <v>0</v>
      </c>
      <c r="I28" s="63" cm="1">
        <f t="array" ref="I28">INDEX(I$118:I$241,$F28)</f>
        <v>0</v>
      </c>
      <c r="J28" s="63" cm="1">
        <f t="array" ref="J28">INDEX(J$118:J$241,$F28)</f>
        <v>0</v>
      </c>
      <c r="K28" s="63" cm="1">
        <f t="array" ref="K28">INDEX(K$118:K$241,$F28)</f>
        <v>2026</v>
      </c>
      <c r="L28" s="63" cm="1">
        <f t="array" ref="L28">INDEX(L$118:L$241,$F28)</f>
        <v>2026</v>
      </c>
      <c r="M28" s="63" cm="1">
        <f t="array" ref="M28">INDEX(M$118:M$241,$F28)</f>
        <v>2026</v>
      </c>
      <c r="N28" s="63" cm="1">
        <f t="array" ref="N28">INDEX(N$118:N$241,$F28)</f>
        <v>0</v>
      </c>
      <c r="O28" s="63" cm="1">
        <f t="array" ref="O28">INDEX(O$118:O$241,$F28)</f>
        <v>0</v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0</v>
      </c>
      <c r="Z28" s="101">
        <f t="shared" si="6"/>
        <v>0</v>
      </c>
      <c r="AA28" s="101">
        <f t="shared" si="7"/>
        <v>0</v>
      </c>
      <c r="AB28" s="101">
        <f t="shared" si="8"/>
        <v>0</v>
      </c>
      <c r="AC28" s="101">
        <f t="shared" si="9"/>
        <v>0</v>
      </c>
      <c r="AD28" s="101">
        <f t="shared" si="10"/>
        <v>0</v>
      </c>
      <c r="AE28" s="101">
        <f t="shared" si="11"/>
        <v>0</v>
      </c>
      <c r="AF28" s="101">
        <f t="shared" si="12"/>
        <v>0</v>
      </c>
      <c r="AG28" s="101">
        <f t="shared" si="13"/>
        <v>0</v>
      </c>
      <c r="AH28" s="101">
        <f t="shared" si="14"/>
        <v>0</v>
      </c>
      <c r="AI28" s="101">
        <f t="shared" si="15"/>
        <v>0</v>
      </c>
      <c r="AJ28" s="101">
        <f t="shared" si="16"/>
        <v>0</v>
      </c>
      <c r="AK28" s="101">
        <f t="shared" si="17"/>
        <v>0</v>
      </c>
      <c r="AL28" s="101">
        <f t="shared" si="18"/>
        <v>0</v>
      </c>
      <c r="AM28" s="101">
        <f t="shared" si="19"/>
        <v>0</v>
      </c>
      <c r="AN28" s="101">
        <f t="shared" si="20"/>
        <v>0</v>
      </c>
      <c r="AO28" s="101">
        <f t="shared" si="21"/>
        <v>0</v>
      </c>
      <c r="AP28" s="101">
        <f t="shared" si="22"/>
        <v>0</v>
      </c>
      <c r="AQ28" s="101">
        <f t="shared" si="23"/>
        <v>0</v>
      </c>
      <c r="AR28" s="101">
        <f t="shared" si="24"/>
        <v>0</v>
      </c>
      <c r="AS28" s="101">
        <f t="shared" si="25"/>
        <v>0</v>
      </c>
      <c r="AT28" s="101">
        <f t="shared" si="26"/>
        <v>0</v>
      </c>
      <c r="AU28" s="101">
        <f t="shared" si="27"/>
        <v>0</v>
      </c>
      <c r="AV28" s="101">
        <f t="shared" si="28"/>
        <v>0</v>
      </c>
      <c r="AW28" s="101">
        <f t="shared" si="29"/>
        <v>0</v>
      </c>
    </row>
    <row r="29" spans="1:49" x14ac:dyDescent="0.25">
      <c r="C29" s="62" t="str">
        <f t="shared" si="30"/>
        <v>Scenario C - 2025 CliffMATIMBA</v>
      </c>
      <c r="D29" s="62" t="str">
        <f t="shared" si="34"/>
        <v>Scenario C - 2025 Cliff</v>
      </c>
      <c r="E29" s="105" t="s">
        <v>143</v>
      </c>
      <c r="F29" s="105">
        <f t="shared" si="31"/>
        <v>105</v>
      </c>
      <c r="G29" s="105" t="s">
        <v>204</v>
      </c>
      <c r="H29" s="63" cm="1">
        <f t="array" ref="H29">INDEX(H$118:H$241,$F29)</f>
        <v>2026</v>
      </c>
      <c r="I29" s="63" cm="1">
        <f t="array" ref="I29">INDEX(I$118:I$241,$F29)</f>
        <v>2026</v>
      </c>
      <c r="J29" s="63" cm="1">
        <f t="array" ref="J29">INDEX(J$118:J$241,$F29)</f>
        <v>2026</v>
      </c>
      <c r="K29" s="63" cm="1">
        <f t="array" ref="K29">INDEX(K$118:K$241,$F29)</f>
        <v>2026</v>
      </c>
      <c r="L29" s="63" cm="1">
        <f t="array" ref="L29">INDEX(L$118:L$241,$F29)</f>
        <v>2026</v>
      </c>
      <c r="M29" s="63" cm="1">
        <f t="array" ref="M29">INDEX(M$118:M$241,$F29)</f>
        <v>2026</v>
      </c>
      <c r="N29" s="63" cm="1">
        <f t="array" ref="N29">INDEX(N$118:N$241,$F29)</f>
        <v>0</v>
      </c>
      <c r="O29" s="63" cm="1">
        <f t="array" ref="O29">INDEX(O$118:O$241,$F29)</f>
        <v>0</v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0</v>
      </c>
      <c r="Z29" s="101">
        <f t="shared" si="6"/>
        <v>0</v>
      </c>
      <c r="AA29" s="101">
        <f t="shared" si="7"/>
        <v>0</v>
      </c>
      <c r="AB29" s="101">
        <f t="shared" si="8"/>
        <v>0</v>
      </c>
      <c r="AC29" s="101">
        <f t="shared" si="9"/>
        <v>0</v>
      </c>
      <c r="AD29" s="101">
        <f t="shared" si="10"/>
        <v>0</v>
      </c>
      <c r="AE29" s="101">
        <f t="shared" si="11"/>
        <v>0</v>
      </c>
      <c r="AF29" s="101">
        <f t="shared" si="12"/>
        <v>0</v>
      </c>
      <c r="AG29" s="101">
        <f t="shared" si="13"/>
        <v>0</v>
      </c>
      <c r="AH29" s="101">
        <f t="shared" si="14"/>
        <v>0</v>
      </c>
      <c r="AI29" s="101">
        <f t="shared" si="15"/>
        <v>0</v>
      </c>
      <c r="AJ29" s="101">
        <f t="shared" si="16"/>
        <v>0</v>
      </c>
      <c r="AK29" s="101">
        <f t="shared" si="17"/>
        <v>0</v>
      </c>
      <c r="AL29" s="101">
        <f t="shared" si="18"/>
        <v>0</v>
      </c>
      <c r="AM29" s="101">
        <f t="shared" si="19"/>
        <v>0</v>
      </c>
      <c r="AN29" s="101">
        <f t="shared" si="20"/>
        <v>0</v>
      </c>
      <c r="AO29" s="101">
        <f t="shared" si="21"/>
        <v>0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C - 2025 CliffMATLA</v>
      </c>
      <c r="D30" s="62" t="str">
        <f t="shared" si="34"/>
        <v>Scenario C - 2025 Cliff</v>
      </c>
      <c r="E30" s="105" t="s">
        <v>141</v>
      </c>
      <c r="F30" s="105">
        <f t="shared" si="31"/>
        <v>106</v>
      </c>
      <c r="G30" s="105" t="s">
        <v>200</v>
      </c>
      <c r="H30" s="63" cm="1">
        <f t="array" ref="H30">INDEX(H$118:H$241,$F30)</f>
        <v>2026</v>
      </c>
      <c r="I30" s="63" cm="1">
        <f t="array" ref="I30">INDEX(I$118:I$241,$F30)</f>
        <v>2026</v>
      </c>
      <c r="J30" s="63" cm="1">
        <f t="array" ref="J30">INDEX(J$118:J$241,$F30)</f>
        <v>2026</v>
      </c>
      <c r="K30" s="63" cm="1">
        <f t="array" ref="K30">INDEX(K$118:K$241,$F30)</f>
        <v>2026</v>
      </c>
      <c r="L30" s="63" cm="1">
        <f t="array" ref="L30">INDEX(L$118:L$241,$F30)</f>
        <v>2026</v>
      </c>
      <c r="M30" s="63" cm="1">
        <f t="array" ref="M30">INDEX(M$118:M$241,$F30)</f>
        <v>2026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0</v>
      </c>
      <c r="Z30" s="101">
        <f t="shared" si="6"/>
        <v>0</v>
      </c>
      <c r="AA30" s="101">
        <f t="shared" si="7"/>
        <v>0</v>
      </c>
      <c r="AB30" s="101">
        <f t="shared" si="8"/>
        <v>0</v>
      </c>
      <c r="AC30" s="101">
        <f t="shared" si="9"/>
        <v>0</v>
      </c>
      <c r="AD30" s="101">
        <f t="shared" si="10"/>
        <v>0</v>
      </c>
      <c r="AE30" s="101">
        <f t="shared" si="11"/>
        <v>0</v>
      </c>
      <c r="AF30" s="101">
        <f t="shared" si="12"/>
        <v>0</v>
      </c>
      <c r="AG30" s="101">
        <f t="shared" si="13"/>
        <v>0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C - 2025 CliffTUTUKA</v>
      </c>
      <c r="D31" s="62" t="str">
        <f t="shared" si="34"/>
        <v>Scenario C - 2025 Cliff</v>
      </c>
      <c r="E31" s="105" t="s">
        <v>139</v>
      </c>
      <c r="F31" s="105">
        <f t="shared" si="31"/>
        <v>107</v>
      </c>
      <c r="G31" s="105" t="s">
        <v>202</v>
      </c>
      <c r="H31" s="63" cm="1">
        <f t="array" ref="H31">INDEX(H$118:H$241,$F31)</f>
        <v>2026</v>
      </c>
      <c r="I31" s="63" cm="1">
        <f t="array" ref="I31">INDEX(I$118:I$241,$F31)</f>
        <v>2026</v>
      </c>
      <c r="J31" s="63" cm="1">
        <f t="array" ref="J31">INDEX(J$118:J$241,$F31)</f>
        <v>2026</v>
      </c>
      <c r="K31" s="63" cm="1">
        <f t="array" ref="K31">INDEX(K$118:K$241,$F31)</f>
        <v>2026</v>
      </c>
      <c r="L31" s="63" cm="1">
        <f t="array" ref="L31">INDEX(L$118:L$241,$F31)</f>
        <v>2026</v>
      </c>
      <c r="M31" s="63" cm="1">
        <f t="array" ref="M31">INDEX(M$118:M$241,$F31)</f>
        <v>2026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0</v>
      </c>
      <c r="Z31" s="101">
        <f t="shared" si="6"/>
        <v>0</v>
      </c>
      <c r="AA31" s="101">
        <f t="shared" si="7"/>
        <v>0</v>
      </c>
      <c r="AB31" s="101">
        <f t="shared" si="8"/>
        <v>0</v>
      </c>
      <c r="AC31" s="101">
        <f t="shared" si="9"/>
        <v>0</v>
      </c>
      <c r="AD31" s="101">
        <f t="shared" si="10"/>
        <v>0</v>
      </c>
      <c r="AE31" s="101">
        <f t="shared" si="11"/>
        <v>0</v>
      </c>
      <c r="AF31" s="101">
        <f t="shared" si="12"/>
        <v>0</v>
      </c>
      <c r="AG31" s="101">
        <f t="shared" si="13"/>
        <v>0</v>
      </c>
      <c r="AH31" s="101">
        <f t="shared" si="14"/>
        <v>0</v>
      </c>
      <c r="AI31" s="101">
        <f t="shared" si="15"/>
        <v>0</v>
      </c>
      <c r="AJ31" s="101">
        <f t="shared" si="16"/>
        <v>0</v>
      </c>
      <c r="AK31" s="101">
        <f t="shared" si="17"/>
        <v>0</v>
      </c>
      <c r="AL31" s="101">
        <f t="shared" si="18"/>
        <v>0</v>
      </c>
      <c r="AM31" s="101">
        <f t="shared" si="19"/>
        <v>0</v>
      </c>
      <c r="AN31" s="101">
        <f t="shared" si="20"/>
        <v>0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293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2024</v>
      </c>
      <c r="I118" s="63">
        <v>2024</v>
      </c>
      <c r="J118" s="63">
        <v>2025</v>
      </c>
      <c r="K118" s="63">
        <v>2026</v>
      </c>
      <c r="L118" s="63">
        <v>2026</v>
      </c>
      <c r="M118" s="63">
        <v>2025</v>
      </c>
      <c r="N118" s="63">
        <v>2026</v>
      </c>
      <c r="O118" s="63"/>
      <c r="P118" s="63"/>
      <c r="Q118" s="101">
        <f t="shared" ref="Q118:Q131" si="39">COUNT(H118:P118)</f>
        <v>7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1.0578571428571428</v>
      </c>
      <c r="X118" s="101">
        <f t="shared" si="40"/>
        <v>0.63471428571428568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2027</v>
      </c>
      <c r="J119" s="63">
        <v>2028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0.38</v>
      </c>
      <c r="Z119" s="101">
        <f t="shared" si="43"/>
        <v>0.19000000000000003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2021</v>
      </c>
      <c r="K120" s="63"/>
      <c r="L120" s="63"/>
      <c r="M120" s="63"/>
      <c r="N120" s="63"/>
      <c r="O120" s="63"/>
      <c r="P120" s="63">
        <v>2022</v>
      </c>
      <c r="Q120" s="101">
        <f t="shared" si="39"/>
        <v>4</v>
      </c>
      <c r="R120" s="101">
        <v>0.41</v>
      </c>
      <c r="S120" s="101">
        <f t="shared" si="43"/>
        <v>0.20499999999999999</v>
      </c>
      <c r="T120" s="101">
        <f t="shared" si="43"/>
        <v>0.10249999999999999</v>
      </c>
      <c r="U120" s="101">
        <f t="shared" si="43"/>
        <v>0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2027</v>
      </c>
      <c r="I121" s="62">
        <v>2026</v>
      </c>
      <c r="J121" s="62">
        <v>2026</v>
      </c>
      <c r="K121" s="63">
        <v>2027</v>
      </c>
      <c r="L121" s="63">
        <v>2029</v>
      </c>
      <c r="M121" s="63">
        <v>2029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1.488</v>
      </c>
      <c r="Z121" s="101">
        <f t="shared" si="43"/>
        <v>0.74399999999999988</v>
      </c>
      <c r="AA121" s="101">
        <f t="shared" si="43"/>
        <v>0.74399999999999988</v>
      </c>
      <c r="AB121" s="101">
        <f t="shared" si="43"/>
        <v>0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2031</v>
      </c>
      <c r="I122" s="63">
        <v>2031</v>
      </c>
      <c r="J122" s="63"/>
      <c r="K122" s="63">
        <v>2033</v>
      </c>
      <c r="L122" s="63">
        <v>2033</v>
      </c>
      <c r="M122" s="63">
        <v>2034</v>
      </c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1.7250000000000001</v>
      </c>
      <c r="AE122" s="101">
        <f t="shared" si="43"/>
        <v>1.7250000000000001</v>
      </c>
      <c r="AF122" s="101">
        <f t="shared" si="43"/>
        <v>0.57500000000000018</v>
      </c>
      <c r="AG122" s="101">
        <f t="shared" si="43"/>
        <v>0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2021</v>
      </c>
      <c r="I123" s="63">
        <v>2025</v>
      </c>
      <c r="J123" s="63"/>
      <c r="K123" s="63">
        <v>2025</v>
      </c>
      <c r="L123" s="63">
        <v>2025</v>
      </c>
      <c r="M123" s="63">
        <v>2025</v>
      </c>
      <c r="N123" s="63">
        <v>2024</v>
      </c>
      <c r="O123" s="63"/>
      <c r="P123" s="63">
        <v>2023</v>
      </c>
      <c r="Q123" s="101">
        <f t="shared" si="39"/>
        <v>7</v>
      </c>
      <c r="R123" s="101">
        <v>1.2929999999999999</v>
      </c>
      <c r="S123" s="101">
        <f t="shared" si="43"/>
        <v>1.2929999999999999</v>
      </c>
      <c r="T123" s="101">
        <f t="shared" si="43"/>
        <v>1.1082857142857143</v>
      </c>
      <c r="U123" s="101">
        <f t="shared" si="43"/>
        <v>1.1082857142857143</v>
      </c>
      <c r="V123" s="101">
        <f t="shared" si="43"/>
        <v>0.9235714285714286</v>
      </c>
      <c r="W123" s="101">
        <f t="shared" si="43"/>
        <v>0.73885714285714288</v>
      </c>
      <c r="X123" s="101">
        <f t="shared" si="43"/>
        <v>0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2039</v>
      </c>
      <c r="I124" s="63">
        <v>2041</v>
      </c>
      <c r="J124" s="63">
        <v>2042</v>
      </c>
      <c r="K124" s="63">
        <v>2042</v>
      </c>
      <c r="L124" s="63">
        <v>2043</v>
      </c>
      <c r="M124" s="63">
        <v>2044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3.1999999999999997</v>
      </c>
      <c r="AM124" s="101">
        <f t="shared" si="41"/>
        <v>3.1999999999999997</v>
      </c>
      <c r="AN124" s="101">
        <f t="shared" si="41"/>
        <v>2.5599999999999996</v>
      </c>
      <c r="AO124" s="101">
        <f t="shared" si="41"/>
        <v>1.2799999999999996</v>
      </c>
      <c r="AP124" s="101">
        <f t="shared" si="41"/>
        <v>0.63999999999999957</v>
      </c>
      <c r="AQ124" s="101">
        <f t="shared" si="41"/>
        <v>0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2026</v>
      </c>
      <c r="I125" s="63">
        <v>2027</v>
      </c>
      <c r="J125" s="63">
        <v>2028</v>
      </c>
      <c r="K125" s="63">
        <v>2029</v>
      </c>
      <c r="L125" s="63">
        <v>2029</v>
      </c>
      <c r="M125" s="63">
        <v>2030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2.375</v>
      </c>
      <c r="Z125" s="101">
        <f t="shared" si="43"/>
        <v>1.9</v>
      </c>
      <c r="AA125" s="101">
        <f t="shared" si="43"/>
        <v>1.4249999999999998</v>
      </c>
      <c r="AB125" s="101">
        <f t="shared" si="43"/>
        <v>0.47499999999999976</v>
      </c>
      <c r="AC125" s="101">
        <f t="shared" si="43"/>
        <v>0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2036</v>
      </c>
      <c r="I126" s="63">
        <v>2037</v>
      </c>
      <c r="J126" s="63">
        <v>2037</v>
      </c>
      <c r="K126" s="63">
        <v>2038</v>
      </c>
      <c r="L126" s="63">
        <v>2040</v>
      </c>
      <c r="M126" s="63">
        <v>2041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2.9649999999999999</v>
      </c>
      <c r="AJ126" s="101">
        <f t="shared" si="41"/>
        <v>1.7789999999999999</v>
      </c>
      <c r="AK126" s="101">
        <f t="shared" si="41"/>
        <v>1.1859999999999999</v>
      </c>
      <c r="AL126" s="101">
        <f t="shared" si="41"/>
        <v>1.1859999999999999</v>
      </c>
      <c r="AM126" s="101">
        <f t="shared" si="41"/>
        <v>0.59299999999999997</v>
      </c>
      <c r="AN126" s="101">
        <f t="shared" si="41"/>
        <v>0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2046</v>
      </c>
      <c r="I127" s="63">
        <v>2047</v>
      </c>
      <c r="J127" s="63">
        <v>2048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1.222</v>
      </c>
      <c r="AT127" s="101">
        <f t="shared" si="41"/>
        <v>0.61099999999999988</v>
      </c>
      <c r="AU127" s="101">
        <f t="shared" si="41"/>
        <v>0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2049</v>
      </c>
      <c r="L128" s="63">
        <v>2050</v>
      </c>
      <c r="M128" s="63">
        <v>2051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1.3399999999999999</v>
      </c>
      <c r="AW128" s="101">
        <f t="shared" si="41"/>
        <v>0.66999999999999993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2038</v>
      </c>
      <c r="I129" s="63">
        <v>2038</v>
      </c>
      <c r="J129" s="63">
        <v>2039</v>
      </c>
      <c r="K129" s="63">
        <v>2040</v>
      </c>
      <c r="L129" s="63">
        <v>2041</v>
      </c>
      <c r="M129" s="63">
        <v>2042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2.46</v>
      </c>
      <c r="AL129" s="101">
        <f t="shared" si="41"/>
        <v>1.845</v>
      </c>
      <c r="AM129" s="101">
        <f t="shared" si="41"/>
        <v>1.23</v>
      </c>
      <c r="AN129" s="101">
        <f t="shared" si="41"/>
        <v>0.61499999999999999</v>
      </c>
      <c r="AO129" s="101">
        <f t="shared" si="41"/>
        <v>0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2030</v>
      </c>
      <c r="I130" s="63">
        <v>2031</v>
      </c>
      <c r="J130" s="63">
        <v>2031</v>
      </c>
      <c r="K130" s="63">
        <v>2032</v>
      </c>
      <c r="L130" s="63">
        <v>2033</v>
      </c>
      <c r="M130" s="63">
        <v>2034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2.875</v>
      </c>
      <c r="AD130" s="101">
        <f t="shared" si="43"/>
        <v>1.7249999999999999</v>
      </c>
      <c r="AE130" s="101">
        <f t="shared" si="43"/>
        <v>1.1499999999999999</v>
      </c>
      <c r="AF130" s="101">
        <f t="shared" si="43"/>
        <v>0.57499999999999984</v>
      </c>
      <c r="AG130" s="101">
        <f t="shared" si="43"/>
        <v>0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2030</v>
      </c>
      <c r="I131" s="63">
        <v>2030</v>
      </c>
      <c r="J131" s="63">
        <v>2030</v>
      </c>
      <c r="K131" s="63">
        <v>2030</v>
      </c>
      <c r="L131" s="63">
        <v>2030</v>
      </c>
      <c r="M131" s="63">
        <v>2030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0</v>
      </c>
      <c r="AD131" s="101">
        <f t="shared" si="43"/>
        <v>0</v>
      </c>
      <c r="AE131" s="101">
        <f t="shared" si="43"/>
        <v>0</v>
      </c>
      <c r="AF131" s="101">
        <f t="shared" si="43"/>
        <v>0</v>
      </c>
      <c r="AG131" s="101">
        <f t="shared" si="43"/>
        <v>0</v>
      </c>
      <c r="AH131" s="101">
        <f t="shared" si="43"/>
        <v>0</v>
      </c>
      <c r="AI131" s="101">
        <f t="shared" si="41"/>
        <v>0</v>
      </c>
      <c r="AJ131" s="101">
        <f t="shared" si="41"/>
        <v>0</v>
      </c>
      <c r="AK131" s="101">
        <f t="shared" si="41"/>
        <v>0</v>
      </c>
      <c r="AL131" s="101">
        <f t="shared" si="41"/>
        <v>0</v>
      </c>
      <c r="AM131" s="101">
        <f t="shared" si="41"/>
        <v>0</v>
      </c>
      <c r="AN131" s="101">
        <f t="shared" si="41"/>
        <v>0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294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2024</v>
      </c>
      <c r="I139" s="62">
        <f t="shared" ref="I139:O139" si="45">IF(I118="","",I118)</f>
        <v>2024</v>
      </c>
      <c r="J139" s="62">
        <f t="shared" si="45"/>
        <v>2025</v>
      </c>
      <c r="K139" s="62">
        <f t="shared" si="45"/>
        <v>2026</v>
      </c>
      <c r="L139" s="62">
        <f t="shared" si="45"/>
        <v>2026</v>
      </c>
      <c r="M139" s="62">
        <f t="shared" si="45"/>
        <v>2025</v>
      </c>
      <c r="N139" s="62">
        <f t="shared" si="45"/>
        <v>2026</v>
      </c>
      <c r="O139" s="62" t="str">
        <f t="shared" si="45"/>
        <v/>
      </c>
      <c r="Q139" s="101">
        <f t="shared" ref="Q139:Q152" si="46">COUNT(H139:P139)</f>
        <v>7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1.0578571428571428</v>
      </c>
      <c r="X139" s="101">
        <f t="shared" si="47"/>
        <v>0.63471428571428568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2027</v>
      </c>
      <c r="J140" s="62">
        <f t="shared" si="50"/>
        <v>2028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0.38</v>
      </c>
      <c r="Z140" s="101">
        <f t="shared" si="51"/>
        <v>0.19000000000000003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2021</v>
      </c>
      <c r="K141" s="62" t="str">
        <f t="shared" si="50"/>
        <v/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3</v>
      </c>
      <c r="R141" s="101">
        <v>0.41</v>
      </c>
      <c r="S141" s="101">
        <f t="shared" si="51"/>
        <v>0.13666666666666666</v>
      </c>
      <c r="T141" s="101">
        <f t="shared" si="51"/>
        <v>0</v>
      </c>
      <c r="U141" s="101">
        <f t="shared" si="51"/>
        <v>0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2027</v>
      </c>
      <c r="I142" s="62">
        <f t="shared" si="50"/>
        <v>2026</v>
      </c>
      <c r="J142" s="62">
        <f t="shared" si="50"/>
        <v>2026</v>
      </c>
      <c r="K142" s="62">
        <f t="shared" si="50"/>
        <v>2027</v>
      </c>
      <c r="L142" s="62">
        <f t="shared" si="50"/>
        <v>2029</v>
      </c>
      <c r="M142" s="62">
        <f t="shared" si="50"/>
        <v>2029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1.488</v>
      </c>
      <c r="Z142" s="101">
        <f t="shared" si="51"/>
        <v>0.74399999999999988</v>
      </c>
      <c r="AA142" s="101">
        <f t="shared" si="51"/>
        <v>0.74399999999999988</v>
      </c>
      <c r="AB142" s="101">
        <f t="shared" si="51"/>
        <v>0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'[7]new retirement plan'!G43</f>
        <v>2028</v>
      </c>
      <c r="I143" s="62">
        <f>'[7]new retirement plan'!H43</f>
        <v>2028</v>
      </c>
      <c r="J143" s="62">
        <f>'[7]new retirement plan'!I43</f>
        <v>2030</v>
      </c>
      <c r="K143" s="62">
        <f>'[7]new retirement plan'!J43</f>
        <v>2030</v>
      </c>
      <c r="L143" s="62">
        <f>'[7]new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2021</v>
      </c>
      <c r="I144" s="62">
        <f t="shared" ref="I144:O144" si="53">IF(I123="","",I123)</f>
        <v>2025</v>
      </c>
      <c r="J144" s="62" t="str">
        <f t="shared" si="53"/>
        <v/>
      </c>
      <c r="K144" s="62">
        <f t="shared" si="53"/>
        <v>2025</v>
      </c>
      <c r="L144" s="62">
        <f t="shared" si="53"/>
        <v>2025</v>
      </c>
      <c r="M144" s="62">
        <f t="shared" si="53"/>
        <v>2025</v>
      </c>
      <c r="N144" s="62">
        <f t="shared" si="53"/>
        <v>2024</v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1.0774999999999999</v>
      </c>
      <c r="U144" s="101">
        <f t="shared" si="51"/>
        <v>1.0774999999999999</v>
      </c>
      <c r="V144" s="101">
        <f t="shared" si="51"/>
        <v>1.0774999999999999</v>
      </c>
      <c r="W144" s="101">
        <f t="shared" si="51"/>
        <v>0.86199999999999988</v>
      </c>
      <c r="X144" s="101">
        <f t="shared" si="51"/>
        <v>0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'[7]new retirement plan'!G45</f>
        <v>2026</v>
      </c>
      <c r="I145" s="62">
        <f>'[7]new retirement plan'!H45</f>
        <v>2028</v>
      </c>
      <c r="J145" s="62">
        <f>'[7]new retirement plan'!I45</f>
        <v>2029</v>
      </c>
      <c r="K145" s="62">
        <f>'[7]new retirement plan'!J45</f>
        <v>2029</v>
      </c>
      <c r="L145" s="62">
        <f>'[7]new retirement plan'!K45</f>
        <v>2030</v>
      </c>
      <c r="M145" s="62">
        <f>'[7]new retirement plan'!L45</f>
        <v>2031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3.1999999999999997</v>
      </c>
      <c r="Z145" s="101">
        <f t="shared" si="51"/>
        <v>3.1999999999999997</v>
      </c>
      <c r="AA145" s="101">
        <f t="shared" si="51"/>
        <v>2.5599999999999996</v>
      </c>
      <c r="AB145" s="101">
        <f t="shared" si="51"/>
        <v>1.2799999999999996</v>
      </c>
      <c r="AC145" s="101">
        <f t="shared" si="51"/>
        <v>0.63999999999999957</v>
      </c>
      <c r="AD145" s="101">
        <f t="shared" si="51"/>
        <v>0</v>
      </c>
      <c r="AE145" s="101">
        <f t="shared" si="51"/>
        <v>0</v>
      </c>
      <c r="AF145" s="101">
        <f t="shared" si="51"/>
        <v>0</v>
      </c>
      <c r="AG145" s="101">
        <f t="shared" si="51"/>
        <v>0</v>
      </c>
      <c r="AH145" s="101">
        <f t="shared" si="51"/>
        <v>0</v>
      </c>
      <c r="AI145" s="101">
        <f t="shared" si="48"/>
        <v>0</v>
      </c>
      <c r="AJ145" s="101">
        <f t="shared" si="48"/>
        <v>0</v>
      </c>
      <c r="AK145" s="101">
        <f t="shared" si="48"/>
        <v>0</v>
      </c>
      <c r="AL145" s="101">
        <f t="shared" si="48"/>
        <v>0</v>
      </c>
      <c r="AM145" s="101">
        <f t="shared" si="48"/>
        <v>0</v>
      </c>
      <c r="AN145" s="101">
        <f t="shared" si="48"/>
        <v>0</v>
      </c>
      <c r="AO145" s="101">
        <f t="shared" si="48"/>
        <v>0</v>
      </c>
      <c r="AP145" s="101">
        <f t="shared" si="48"/>
        <v>0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2026</v>
      </c>
      <c r="I146" s="62">
        <f t="shared" ref="I146:O146" si="54">IF(I125="","",I125)</f>
        <v>2027</v>
      </c>
      <c r="J146" s="62">
        <f t="shared" si="54"/>
        <v>2028</v>
      </c>
      <c r="K146" s="62">
        <f t="shared" si="54"/>
        <v>2029</v>
      </c>
      <c r="L146" s="62">
        <f t="shared" si="54"/>
        <v>2029</v>
      </c>
      <c r="M146" s="62">
        <f t="shared" si="54"/>
        <v>2030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2.375</v>
      </c>
      <c r="Z146" s="101">
        <f t="shared" si="51"/>
        <v>1.9</v>
      </c>
      <c r="AA146" s="101">
        <f t="shared" si="51"/>
        <v>1.4249999999999998</v>
      </c>
      <c r="AB146" s="101">
        <f t="shared" si="51"/>
        <v>0.47499999999999976</v>
      </c>
      <c r="AC146" s="101">
        <f t="shared" si="51"/>
        <v>0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2036</v>
      </c>
      <c r="I147" s="62">
        <f t="shared" si="55"/>
        <v>2037</v>
      </c>
      <c r="J147" s="62">
        <f t="shared" si="55"/>
        <v>2037</v>
      </c>
      <c r="K147" s="62">
        <f t="shared" si="55"/>
        <v>2038</v>
      </c>
      <c r="L147" s="62">
        <f t="shared" si="55"/>
        <v>2040</v>
      </c>
      <c r="M147" s="62">
        <f t="shared" si="55"/>
        <v>2041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2.9649999999999999</v>
      </c>
      <c r="AJ147" s="101">
        <f t="shared" si="48"/>
        <v>1.7789999999999999</v>
      </c>
      <c r="AK147" s="101">
        <f t="shared" si="48"/>
        <v>1.1859999999999999</v>
      </c>
      <c r="AL147" s="101">
        <f t="shared" si="48"/>
        <v>1.1859999999999999</v>
      </c>
      <c r="AM147" s="101">
        <f t="shared" si="48"/>
        <v>0.59299999999999997</v>
      </c>
      <c r="AN147" s="101">
        <f t="shared" si="48"/>
        <v>0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2046</v>
      </c>
      <c r="I148" s="62">
        <f t="shared" si="55"/>
        <v>2047</v>
      </c>
      <c r="J148" s="62">
        <f t="shared" si="55"/>
        <v>2048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1.222</v>
      </c>
      <c r="AT148" s="101">
        <f t="shared" si="48"/>
        <v>0.61099999999999988</v>
      </c>
      <c r="AU148" s="101">
        <f t="shared" si="48"/>
        <v>0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2049</v>
      </c>
      <c r="L149" s="62">
        <f t="shared" si="55"/>
        <v>2050</v>
      </c>
      <c r="M149" s="62">
        <f t="shared" si="55"/>
        <v>2051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1.3399999999999999</v>
      </c>
      <c r="AW149" s="101">
        <f t="shared" si="48"/>
        <v>0.66999999999999993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2038</v>
      </c>
      <c r="I150" s="62">
        <f t="shared" si="55"/>
        <v>2038</v>
      </c>
      <c r="J150" s="62">
        <f t="shared" si="55"/>
        <v>2039</v>
      </c>
      <c r="K150" s="62">
        <f t="shared" si="55"/>
        <v>2040</v>
      </c>
      <c r="L150" s="62">
        <f t="shared" si="55"/>
        <v>2041</v>
      </c>
      <c r="M150" s="62">
        <f t="shared" si="55"/>
        <v>2042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2.46</v>
      </c>
      <c r="AL150" s="101">
        <f t="shared" si="48"/>
        <v>1.845</v>
      </c>
      <c r="AM150" s="101">
        <f t="shared" si="48"/>
        <v>1.23</v>
      </c>
      <c r="AN150" s="101">
        <f t="shared" si="48"/>
        <v>0.61499999999999999</v>
      </c>
      <c r="AO150" s="101">
        <f t="shared" si="48"/>
        <v>0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'[7]new retirement plan'!G51</f>
        <v>2027</v>
      </c>
      <c r="I151" s="62">
        <f>'[7]new retirement plan'!H51</f>
        <v>2028</v>
      </c>
      <c r="J151" s="62">
        <f>'[7]new retirement plan'!I51</f>
        <v>2028</v>
      </c>
      <c r="K151" s="62">
        <f>'[7]new retirement plan'!J51</f>
        <v>2029</v>
      </c>
      <c r="L151" s="62">
        <f>'[7]new retirement plan'!K51</f>
        <v>2030</v>
      </c>
      <c r="M151" s="62">
        <f>'[7]new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'[7]new retirement plan'!G52</f>
        <v>2025</v>
      </c>
      <c r="I152" s="62">
        <f>'[7]new retirement plan'!H52</f>
        <v>2026</v>
      </c>
      <c r="J152" s="62">
        <f>'[7]new retirement plan'!I52</f>
        <v>2027</v>
      </c>
      <c r="K152" s="62">
        <f>'[7]new retirement plan'!J52</f>
        <v>2027</v>
      </c>
      <c r="L152" s="62">
        <f>'[7]new retirement plan'!K52</f>
        <v>2029</v>
      </c>
      <c r="M152" s="62">
        <f>'[7]new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292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- 2030 cliffCAMDEN</v>
      </c>
      <c r="D157" s="62" t="str">
        <f>E155</f>
        <v>Scenario B - 2030 cliff</v>
      </c>
      <c r="E157" s="101" t="s">
        <v>165</v>
      </c>
      <c r="F157" s="101"/>
      <c r="G157" s="101" t="s">
        <v>208</v>
      </c>
      <c r="H157" s="62">
        <f>H139</f>
        <v>2024</v>
      </c>
      <c r="I157" s="62">
        <f t="shared" ref="I157:O157" si="56">I139</f>
        <v>2024</v>
      </c>
      <c r="J157" s="62">
        <f t="shared" si="56"/>
        <v>2025</v>
      </c>
      <c r="K157" s="62">
        <f t="shared" si="56"/>
        <v>2026</v>
      </c>
      <c r="L157" s="62">
        <f t="shared" si="56"/>
        <v>2026</v>
      </c>
      <c r="M157" s="62">
        <f t="shared" si="56"/>
        <v>2025</v>
      </c>
      <c r="N157" s="62">
        <f t="shared" si="56"/>
        <v>2026</v>
      </c>
      <c r="O157" s="62" t="str">
        <f t="shared" si="56"/>
        <v/>
      </c>
      <c r="Q157" s="101">
        <f t="shared" ref="Q157:Q170" si="57">COUNT(H157:P157)</f>
        <v>7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1.0578571428571428</v>
      </c>
      <c r="X157" s="101">
        <f t="shared" si="58"/>
        <v>0.63471428571428568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- 2030 cliffGROOTVLEI</v>
      </c>
      <c r="D158" s="62" t="str">
        <f>D157</f>
        <v>Scenario B - 2030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2027</v>
      </c>
      <c r="J158" s="62">
        <f t="shared" si="61"/>
        <v>2028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0.38</v>
      </c>
      <c r="Z158" s="101">
        <f t="shared" si="62"/>
        <v>0.19000000000000003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- 2030 cliffKOMATI</v>
      </c>
      <c r="D159" s="62" t="str">
        <f t="shared" ref="D159:D170" si="63">D158</f>
        <v>Scenario B - 2030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2021</v>
      </c>
      <c r="K159" s="62" t="str">
        <f t="shared" si="61"/>
        <v/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3</v>
      </c>
      <c r="R159" s="101">
        <v>0.41</v>
      </c>
      <c r="S159" s="101">
        <f t="shared" si="62"/>
        <v>0.13666666666666666</v>
      </c>
      <c r="T159" s="101">
        <f t="shared" si="62"/>
        <v>0</v>
      </c>
      <c r="U159" s="101">
        <f t="shared" si="62"/>
        <v>0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- 2030 cliffARNOT</v>
      </c>
      <c r="D160" s="62" t="str">
        <f t="shared" si="63"/>
        <v>Scenario B - 2030 cliff</v>
      </c>
      <c r="E160" s="101" t="s">
        <v>159</v>
      </c>
      <c r="F160" s="101"/>
      <c r="G160" s="101" t="s">
        <v>201</v>
      </c>
      <c r="H160" s="62">
        <f t="shared" si="61"/>
        <v>2027</v>
      </c>
      <c r="I160" s="62">
        <f t="shared" si="61"/>
        <v>2026</v>
      </c>
      <c r="J160" s="62">
        <f t="shared" si="61"/>
        <v>2026</v>
      </c>
      <c r="K160" s="62">
        <f t="shared" si="61"/>
        <v>2027</v>
      </c>
      <c r="L160" s="62">
        <f t="shared" si="61"/>
        <v>2029</v>
      </c>
      <c r="M160" s="62">
        <f t="shared" si="61"/>
        <v>2029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1.488</v>
      </c>
      <c r="Z160" s="101">
        <f t="shared" si="62"/>
        <v>0.74399999999999988</v>
      </c>
      <c r="AA160" s="101">
        <f t="shared" si="62"/>
        <v>0.74399999999999988</v>
      </c>
      <c r="AB160" s="101">
        <f t="shared" si="62"/>
        <v>0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- 2030 cliffDUVHA</v>
      </c>
      <c r="D161" s="62" t="str">
        <f t="shared" si="63"/>
        <v>Scenario B - 2030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- 2030 cliffHENDRINA</v>
      </c>
      <c r="D162" s="62" t="str">
        <f t="shared" si="63"/>
        <v>Scenario B - 2030 cliff</v>
      </c>
      <c r="E162" s="101" t="s">
        <v>155</v>
      </c>
      <c r="F162" s="101"/>
      <c r="G162" s="101" t="s">
        <v>198</v>
      </c>
      <c r="H162" s="62">
        <f>H144</f>
        <v>2021</v>
      </c>
      <c r="I162" s="62">
        <f t="shared" ref="I162:O162" si="64">I144</f>
        <v>2025</v>
      </c>
      <c r="J162" s="62" t="str">
        <f t="shared" si="64"/>
        <v/>
      </c>
      <c r="K162" s="62">
        <f t="shared" si="64"/>
        <v>2025</v>
      </c>
      <c r="L162" s="62">
        <f t="shared" si="64"/>
        <v>2025</v>
      </c>
      <c r="M162" s="62">
        <f t="shared" si="64"/>
        <v>2025</v>
      </c>
      <c r="N162" s="62">
        <f t="shared" si="64"/>
        <v>2024</v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1.0774999999999999</v>
      </c>
      <c r="U162" s="101">
        <f t="shared" si="62"/>
        <v>1.0774999999999999</v>
      </c>
      <c r="V162" s="101">
        <f t="shared" si="62"/>
        <v>1.0774999999999999</v>
      </c>
      <c r="W162" s="101">
        <f t="shared" si="62"/>
        <v>0.86199999999999988</v>
      </c>
      <c r="X162" s="101">
        <f t="shared" si="62"/>
        <v>0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- 2030 cliffKENDAL</v>
      </c>
      <c r="D163" s="62" t="str">
        <f t="shared" si="63"/>
        <v>Scenario B - 2030 cliff</v>
      </c>
      <c r="E163" s="103" t="s">
        <v>153</v>
      </c>
      <c r="F163" s="101"/>
      <c r="G163" s="101" t="s">
        <v>206</v>
      </c>
      <c r="H163" s="62">
        <v>2031</v>
      </c>
      <c r="I163" s="62">
        <v>2031</v>
      </c>
      <c r="J163" s="62">
        <v>2031</v>
      </c>
      <c r="K163" s="62">
        <v>2031</v>
      </c>
      <c r="L163" s="62">
        <v>2031</v>
      </c>
      <c r="M163" s="62">
        <v>2031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0</v>
      </c>
      <c r="AE163" s="101">
        <f t="shared" si="62"/>
        <v>0</v>
      </c>
      <c r="AF163" s="101">
        <f t="shared" si="62"/>
        <v>0</v>
      </c>
      <c r="AG163" s="101">
        <f t="shared" si="62"/>
        <v>0</v>
      </c>
      <c r="AH163" s="101">
        <f t="shared" si="62"/>
        <v>0</v>
      </c>
      <c r="AI163" s="101">
        <f t="shared" si="59"/>
        <v>0</v>
      </c>
      <c r="AJ163" s="101">
        <f t="shared" si="59"/>
        <v>0</v>
      </c>
      <c r="AK163" s="101">
        <f t="shared" si="59"/>
        <v>0</v>
      </c>
      <c r="AL163" s="101">
        <f t="shared" si="59"/>
        <v>0</v>
      </c>
      <c r="AM163" s="101">
        <f t="shared" si="59"/>
        <v>0</v>
      </c>
      <c r="AN163" s="101">
        <f t="shared" si="59"/>
        <v>0</v>
      </c>
      <c r="AO163" s="101">
        <f t="shared" si="59"/>
        <v>0</v>
      </c>
      <c r="AP163" s="101">
        <f t="shared" si="59"/>
        <v>0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- 2030 cliffKRIEL</v>
      </c>
      <c r="D164" s="62" t="str">
        <f t="shared" si="63"/>
        <v>Scenario B - 2030 cliff</v>
      </c>
      <c r="E164" s="101" t="s">
        <v>151</v>
      </c>
      <c r="F164" s="101"/>
      <c r="G164" s="101" t="s">
        <v>199</v>
      </c>
      <c r="H164" s="62">
        <f>H146</f>
        <v>2026</v>
      </c>
      <c r="I164" s="62">
        <f t="shared" ref="I164:O164" si="65">I146</f>
        <v>2027</v>
      </c>
      <c r="J164" s="62">
        <f t="shared" si="65"/>
        <v>2028</v>
      </c>
      <c r="K164" s="62">
        <f t="shared" si="65"/>
        <v>2029</v>
      </c>
      <c r="L164" s="62">
        <f t="shared" si="65"/>
        <v>2029</v>
      </c>
      <c r="M164" s="62">
        <f t="shared" si="65"/>
        <v>2030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2.375</v>
      </c>
      <c r="Z164" s="101">
        <f t="shared" si="62"/>
        <v>1.9</v>
      </c>
      <c r="AA164" s="101">
        <f t="shared" si="62"/>
        <v>1.4249999999999998</v>
      </c>
      <c r="AB164" s="101">
        <f t="shared" si="62"/>
        <v>0.47499999999999976</v>
      </c>
      <c r="AC164" s="101">
        <f t="shared" si="62"/>
        <v>0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- 2030 cliffLETHABO</v>
      </c>
      <c r="D165" s="62" t="str">
        <f t="shared" si="63"/>
        <v>Scenario B - 2030 cliff</v>
      </c>
      <c r="E165" s="104" t="s">
        <v>149</v>
      </c>
      <c r="F165" s="101"/>
      <c r="G165" s="101" t="s">
        <v>205</v>
      </c>
      <c r="H165" s="62">
        <f t="shared" ref="H165:O168" si="66">H147</f>
        <v>2036</v>
      </c>
      <c r="I165" s="62">
        <f t="shared" si="66"/>
        <v>2037</v>
      </c>
      <c r="J165" s="62">
        <f t="shared" si="66"/>
        <v>2037</v>
      </c>
      <c r="K165" s="62">
        <f t="shared" si="66"/>
        <v>2038</v>
      </c>
      <c r="L165" s="62">
        <f t="shared" si="66"/>
        <v>2040</v>
      </c>
      <c r="M165" s="62">
        <f t="shared" si="66"/>
        <v>2041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2.9649999999999999</v>
      </c>
      <c r="AJ165" s="101">
        <f t="shared" si="59"/>
        <v>1.7789999999999999</v>
      </c>
      <c r="AK165" s="101">
        <f t="shared" si="59"/>
        <v>1.1859999999999999</v>
      </c>
      <c r="AL165" s="101">
        <f t="shared" si="59"/>
        <v>1.1859999999999999</v>
      </c>
      <c r="AM165" s="101">
        <f t="shared" si="59"/>
        <v>0.59299999999999997</v>
      </c>
      <c r="AN165" s="101">
        <f t="shared" si="59"/>
        <v>0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- 2030 cliffMAJUBA DRY</v>
      </c>
      <c r="D166" s="62" t="str">
        <f t="shared" si="63"/>
        <v>Scenario B - 2030 cliff</v>
      </c>
      <c r="E166" s="104" t="s">
        <v>147</v>
      </c>
      <c r="F166" s="101"/>
      <c r="G166" s="101" t="s">
        <v>197</v>
      </c>
      <c r="H166" s="62">
        <f t="shared" si="66"/>
        <v>2046</v>
      </c>
      <c r="I166" s="62">
        <f t="shared" si="66"/>
        <v>2047</v>
      </c>
      <c r="J166" s="62">
        <f t="shared" si="66"/>
        <v>2048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1.222</v>
      </c>
      <c r="AT166" s="101">
        <f t="shared" si="59"/>
        <v>0.61099999999999988</v>
      </c>
      <c r="AU166" s="101">
        <f t="shared" si="59"/>
        <v>0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- 2030 cliffMAJUBA WET</v>
      </c>
      <c r="D167" s="62" t="str">
        <f t="shared" si="63"/>
        <v>Scenario B - 2030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2049</v>
      </c>
      <c r="L167" s="62">
        <f t="shared" si="66"/>
        <v>2050</v>
      </c>
      <c r="M167" s="62">
        <f t="shared" si="66"/>
        <v>2051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1.3399999999999999</v>
      </c>
      <c r="AW167" s="101">
        <f t="shared" si="59"/>
        <v>0.66999999999999993</v>
      </c>
      <c r="AX167" s="101"/>
      <c r="AY167" s="101"/>
    </row>
    <row r="168" spans="3:51" x14ac:dyDescent="0.25">
      <c r="C168" s="62" t="str">
        <f t="shared" si="60"/>
        <v>Scenario B - 2030 cliffMATIMBA</v>
      </c>
      <c r="D168" s="62" t="str">
        <f t="shared" si="63"/>
        <v>Scenario B - 2030 cliff</v>
      </c>
      <c r="E168" s="104" t="s">
        <v>143</v>
      </c>
      <c r="F168" s="101"/>
      <c r="G168" s="101" t="s">
        <v>204</v>
      </c>
      <c r="H168" s="62">
        <f t="shared" si="66"/>
        <v>2038</v>
      </c>
      <c r="I168" s="62">
        <f t="shared" si="66"/>
        <v>2038</v>
      </c>
      <c r="J168" s="62">
        <f t="shared" si="66"/>
        <v>2039</v>
      </c>
      <c r="K168" s="62">
        <f t="shared" si="66"/>
        <v>2040</v>
      </c>
      <c r="L168" s="62">
        <f t="shared" si="66"/>
        <v>2041</v>
      </c>
      <c r="M168" s="62">
        <f t="shared" si="66"/>
        <v>2042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2.46</v>
      </c>
      <c r="AL168" s="101">
        <f t="shared" si="59"/>
        <v>1.845</v>
      </c>
      <c r="AM168" s="101">
        <f t="shared" si="59"/>
        <v>1.23</v>
      </c>
      <c r="AN168" s="101">
        <f t="shared" si="59"/>
        <v>0.61499999999999999</v>
      </c>
      <c r="AO168" s="101">
        <f t="shared" si="59"/>
        <v>0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- 2030 cliffMATLA</v>
      </c>
      <c r="D169" s="62" t="str">
        <f t="shared" si="63"/>
        <v>Scenario B - 2030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- 2030 cliffTUTUKA</v>
      </c>
      <c r="D170" s="62" t="str">
        <f t="shared" si="63"/>
        <v>Scenario B - 2030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2024</v>
      </c>
      <c r="I174" s="62">
        <f t="shared" ref="I174:O174" si="67">I157</f>
        <v>2024</v>
      </c>
      <c r="J174" s="62">
        <f t="shared" si="67"/>
        <v>2025</v>
      </c>
      <c r="K174" s="62">
        <f t="shared" si="67"/>
        <v>2026</v>
      </c>
      <c r="L174" s="62">
        <f t="shared" si="67"/>
        <v>2026</v>
      </c>
      <c r="M174" s="62">
        <f t="shared" si="67"/>
        <v>2025</v>
      </c>
      <c r="N174" s="62">
        <f t="shared" si="67"/>
        <v>2026</v>
      </c>
      <c r="O174" s="62" t="str">
        <f t="shared" si="67"/>
        <v/>
      </c>
      <c r="Q174" s="101">
        <f t="shared" ref="Q174:Q187" si="68">COUNT(H174:P174)</f>
        <v>7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1.0578571428571428</v>
      </c>
      <c r="X174" s="101">
        <f t="shared" si="69"/>
        <v>0.63471428571428568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2027</v>
      </c>
      <c r="J175" s="62">
        <f t="shared" si="72"/>
        <v>2028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0.38</v>
      </c>
      <c r="Z175" s="101">
        <f t="shared" si="73"/>
        <v>0.19000000000000003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2021</v>
      </c>
      <c r="K176" s="62" t="str">
        <f t="shared" si="72"/>
        <v/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3</v>
      </c>
      <c r="R176" s="101">
        <v>0.41</v>
      </c>
      <c r="S176" s="101">
        <f t="shared" si="73"/>
        <v>0.13666666666666666</v>
      </c>
      <c r="T176" s="101">
        <f t="shared" si="73"/>
        <v>0</v>
      </c>
      <c r="U176" s="101">
        <f t="shared" si="73"/>
        <v>0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2027</v>
      </c>
      <c r="I177" s="62">
        <f t="shared" si="72"/>
        <v>2026</v>
      </c>
      <c r="J177" s="62">
        <f t="shared" si="72"/>
        <v>2026</v>
      </c>
      <c r="K177" s="62">
        <f t="shared" si="72"/>
        <v>2027</v>
      </c>
      <c r="L177" s="62">
        <f t="shared" si="72"/>
        <v>2029</v>
      </c>
      <c r="M177" s="62">
        <f t="shared" si="72"/>
        <v>2029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1.488</v>
      </c>
      <c r="Z177" s="101">
        <f t="shared" si="73"/>
        <v>0.74399999999999988</v>
      </c>
      <c r="AA177" s="101">
        <f t="shared" si="73"/>
        <v>0.74399999999999988</v>
      </c>
      <c r="AB177" s="101">
        <f t="shared" si="73"/>
        <v>0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2021</v>
      </c>
      <c r="I179" s="62">
        <f t="shared" ref="I179:O179" si="75">I162</f>
        <v>2025</v>
      </c>
      <c r="J179" s="62" t="str">
        <f t="shared" si="75"/>
        <v/>
      </c>
      <c r="K179" s="62">
        <f t="shared" si="75"/>
        <v>2025</v>
      </c>
      <c r="L179" s="62">
        <f t="shared" si="75"/>
        <v>2025</v>
      </c>
      <c r="M179" s="62">
        <f t="shared" si="75"/>
        <v>2025</v>
      </c>
      <c r="N179" s="62">
        <f t="shared" si="75"/>
        <v>2024</v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1.0774999999999999</v>
      </c>
      <c r="U179" s="101">
        <f t="shared" si="73"/>
        <v>1.0774999999999999</v>
      </c>
      <c r="V179" s="101">
        <f t="shared" si="73"/>
        <v>1.0774999999999999</v>
      </c>
      <c r="W179" s="101">
        <f t="shared" si="73"/>
        <v>0.86199999999999988</v>
      </c>
      <c r="X179" s="101">
        <f t="shared" si="73"/>
        <v>0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2026</v>
      </c>
      <c r="I181" s="62">
        <f t="shared" ref="I181:O181" si="76">I164</f>
        <v>2027</v>
      </c>
      <c r="J181" s="62">
        <f t="shared" si="76"/>
        <v>2028</v>
      </c>
      <c r="K181" s="62">
        <f t="shared" si="76"/>
        <v>2029</v>
      </c>
      <c r="L181" s="62">
        <f t="shared" si="76"/>
        <v>2029</v>
      </c>
      <c r="M181" s="62">
        <f t="shared" si="76"/>
        <v>2030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2.375</v>
      </c>
      <c r="Z181" s="101">
        <f t="shared" si="73"/>
        <v>1.9</v>
      </c>
      <c r="AA181" s="101">
        <f t="shared" si="73"/>
        <v>1.4249999999999998</v>
      </c>
      <c r="AB181" s="101">
        <f t="shared" si="73"/>
        <v>0.47499999999999976</v>
      </c>
      <c r="AC181" s="101">
        <f t="shared" si="73"/>
        <v>0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2036</v>
      </c>
      <c r="I182" s="62">
        <f t="shared" si="77"/>
        <v>2037</v>
      </c>
      <c r="J182" s="62">
        <f t="shared" si="77"/>
        <v>2037</v>
      </c>
      <c r="K182" s="62">
        <f t="shared" si="77"/>
        <v>2038</v>
      </c>
      <c r="L182" s="62">
        <f t="shared" si="77"/>
        <v>2040</v>
      </c>
      <c r="M182" s="62">
        <f t="shared" si="77"/>
        <v>2041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2.9649999999999999</v>
      </c>
      <c r="AJ182" s="101">
        <f t="shared" si="70"/>
        <v>1.7789999999999999</v>
      </c>
      <c r="AK182" s="101">
        <f t="shared" si="70"/>
        <v>1.1859999999999999</v>
      </c>
      <c r="AL182" s="101">
        <f t="shared" si="70"/>
        <v>1.1859999999999999</v>
      </c>
      <c r="AM182" s="101">
        <f t="shared" si="70"/>
        <v>0.59299999999999997</v>
      </c>
      <c r="AN182" s="101">
        <f t="shared" si="70"/>
        <v>0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2046</v>
      </c>
      <c r="I183" s="62">
        <f t="shared" si="77"/>
        <v>2047</v>
      </c>
      <c r="J183" s="62">
        <f t="shared" si="77"/>
        <v>2048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1.222</v>
      </c>
      <c r="AT183" s="101">
        <f t="shared" si="70"/>
        <v>0.61099999999999988</v>
      </c>
      <c r="AU183" s="101">
        <f t="shared" si="70"/>
        <v>0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2049</v>
      </c>
      <c r="L184" s="62">
        <f t="shared" si="77"/>
        <v>2050</v>
      </c>
      <c r="M184" s="62">
        <f t="shared" si="77"/>
        <v>2051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1.3399999999999999</v>
      </c>
      <c r="AW184" s="101">
        <f t="shared" si="70"/>
        <v>0.66999999999999993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2038</v>
      </c>
      <c r="I185" s="62">
        <f t="shared" si="77"/>
        <v>2038</v>
      </c>
      <c r="J185" s="62">
        <f t="shared" si="77"/>
        <v>2039</v>
      </c>
      <c r="K185" s="62">
        <f t="shared" si="77"/>
        <v>2040</v>
      </c>
      <c r="L185" s="62">
        <f t="shared" si="77"/>
        <v>2041</v>
      </c>
      <c r="M185" s="62">
        <f t="shared" si="77"/>
        <v>2042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2.46</v>
      </c>
      <c r="AL185" s="101">
        <f t="shared" si="70"/>
        <v>1.845</v>
      </c>
      <c r="AM185" s="101">
        <f t="shared" si="70"/>
        <v>1.23</v>
      </c>
      <c r="AN185" s="101">
        <f t="shared" si="70"/>
        <v>0.61499999999999999</v>
      </c>
      <c r="AO185" s="101">
        <f t="shared" si="70"/>
        <v>0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295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2024</v>
      </c>
      <c r="I193" s="62">
        <f t="shared" ref="I193:O193" si="78">I174</f>
        <v>2024</v>
      </c>
      <c r="J193" s="62">
        <f t="shared" si="78"/>
        <v>2025</v>
      </c>
      <c r="K193" s="62">
        <f t="shared" si="78"/>
        <v>2026</v>
      </c>
      <c r="L193" s="62">
        <f t="shared" si="78"/>
        <v>2026</v>
      </c>
      <c r="M193" s="62">
        <f t="shared" si="78"/>
        <v>2025</v>
      </c>
      <c r="N193" s="62">
        <f t="shared" si="78"/>
        <v>2026</v>
      </c>
      <c r="O193" s="62" t="str">
        <f t="shared" si="78"/>
        <v/>
      </c>
      <c r="Q193" s="101">
        <f t="shared" ref="Q193:Q206" si="79">COUNT(H193:P193)</f>
        <v>7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1.0578571428571428</v>
      </c>
      <c r="X193" s="101">
        <f t="shared" si="80"/>
        <v>0.63471428571428568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2027</v>
      </c>
      <c r="J194" s="62">
        <f t="shared" si="83"/>
        <v>2028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0.38</v>
      </c>
      <c r="Z194" s="101">
        <f t="shared" si="84"/>
        <v>0.19000000000000003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2021</v>
      </c>
      <c r="K195" s="62" t="str">
        <f t="shared" si="83"/>
        <v/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3</v>
      </c>
      <c r="R195" s="101">
        <v>0.41</v>
      </c>
      <c r="S195" s="101">
        <f t="shared" si="84"/>
        <v>0.13666666666666666</v>
      </c>
      <c r="T195" s="101">
        <f t="shared" si="84"/>
        <v>0</v>
      </c>
      <c r="U195" s="101">
        <f t="shared" si="84"/>
        <v>0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2027</v>
      </c>
      <c r="I196" s="62">
        <f t="shared" si="83"/>
        <v>2026</v>
      </c>
      <c r="J196" s="62">
        <f t="shared" si="83"/>
        <v>2026</v>
      </c>
      <c r="K196" s="62">
        <f t="shared" si="83"/>
        <v>2027</v>
      </c>
      <c r="L196" s="62">
        <f t="shared" si="83"/>
        <v>2029</v>
      </c>
      <c r="M196" s="62">
        <f t="shared" si="83"/>
        <v>2029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1.488</v>
      </c>
      <c r="Z196" s="101">
        <f t="shared" si="84"/>
        <v>0.74399999999999988</v>
      </c>
      <c r="AA196" s="101">
        <f t="shared" si="84"/>
        <v>0.74399999999999988</v>
      </c>
      <c r="AB196" s="101">
        <f t="shared" si="84"/>
        <v>0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'[7]new retirement plan'!G61</f>
        <v>2028</v>
      </c>
      <c r="I197" s="62">
        <f>'[7]new retirement plan'!H61</f>
        <v>2028</v>
      </c>
      <c r="J197" s="62">
        <f>'[7]new retirement plan'!I61</f>
        <v>2030</v>
      </c>
      <c r="K197" s="62">
        <f>'[7]new retirement plan'!J61</f>
        <v>2030</v>
      </c>
      <c r="L197" s="62">
        <f>'[7]new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2021</v>
      </c>
      <c r="I198" s="62">
        <f t="shared" si="83"/>
        <v>2025</v>
      </c>
      <c r="J198" s="62" t="str">
        <f t="shared" si="83"/>
        <v/>
      </c>
      <c r="K198" s="62">
        <f t="shared" si="83"/>
        <v>2025</v>
      </c>
      <c r="L198" s="62">
        <f t="shared" si="83"/>
        <v>2025</v>
      </c>
      <c r="M198" s="62">
        <f t="shared" si="83"/>
        <v>2025</v>
      </c>
      <c r="N198" s="62">
        <f t="shared" si="83"/>
        <v>2024</v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1.0774999999999999</v>
      </c>
      <c r="U198" s="101">
        <f t="shared" si="84"/>
        <v>1.0774999999999999</v>
      </c>
      <c r="V198" s="101">
        <f t="shared" si="84"/>
        <v>1.0774999999999999</v>
      </c>
      <c r="W198" s="101">
        <f t="shared" si="84"/>
        <v>0.86199999999999988</v>
      </c>
      <c r="X198" s="101">
        <f t="shared" si="84"/>
        <v>0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'[7]new retirement plan'!G63</f>
        <v>2026</v>
      </c>
      <c r="I199" s="62">
        <f>'[7]new retirement plan'!H63</f>
        <v>2028</v>
      </c>
      <c r="J199" s="62">
        <f>'[7]new retirement plan'!I63</f>
        <v>2029</v>
      </c>
      <c r="K199" s="62">
        <f>'[7]new retirement plan'!J63</f>
        <v>2029</v>
      </c>
      <c r="L199" s="62">
        <f>'[7]new retirement plan'!K63</f>
        <v>2030</v>
      </c>
      <c r="M199" s="62">
        <f>'[7]new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2026</v>
      </c>
      <c r="I200" s="62">
        <f t="shared" si="83"/>
        <v>2027</v>
      </c>
      <c r="J200" s="62">
        <f t="shared" si="83"/>
        <v>2028</v>
      </c>
      <c r="K200" s="62">
        <f t="shared" si="83"/>
        <v>2029</v>
      </c>
      <c r="L200" s="62">
        <f t="shared" si="83"/>
        <v>2029</v>
      </c>
      <c r="M200" s="62">
        <f t="shared" si="83"/>
        <v>2030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2.375</v>
      </c>
      <c r="Z200" s="101">
        <f t="shared" si="84"/>
        <v>1.9</v>
      </c>
      <c r="AA200" s="101">
        <f t="shared" si="84"/>
        <v>1.4249999999999998</v>
      </c>
      <c r="AB200" s="101">
        <f t="shared" si="84"/>
        <v>0.47499999999999976</v>
      </c>
      <c r="AC200" s="101">
        <f t="shared" si="84"/>
        <v>0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'[7]new retirement plan'!G65</f>
        <v>2026</v>
      </c>
      <c r="I201" s="62">
        <f>'[7]new retirement plan'!H65</f>
        <v>2027</v>
      </c>
      <c r="J201" s="62">
        <f>'[7]new retirement plan'!I65</f>
        <v>2027</v>
      </c>
      <c r="K201" s="62">
        <f>'[7]new retirement plan'!J65</f>
        <v>2028</v>
      </c>
      <c r="L201" s="62">
        <f>'[7]new retirement plan'!K65</f>
        <v>2030</v>
      </c>
      <c r="M201" s="62">
        <f>'[7]new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'[7]new retirement plan'!G66</f>
        <v>2026</v>
      </c>
      <c r="I202" s="62">
        <f>'[7]new retirement plan'!H66</f>
        <v>2027</v>
      </c>
      <c r="J202" s="62">
        <f>'[7]new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'[7]new retirement plan'!J67</f>
        <v>2029</v>
      </c>
      <c r="L203" s="62">
        <f>'[7]new retirement plan'!K67</f>
        <v>2030</v>
      </c>
      <c r="M203" s="62">
        <f>'[7]new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'[7]new retirement plan'!G68</f>
        <v>2027</v>
      </c>
      <c r="I204" s="62">
        <f>'[7]new retirement plan'!H68</f>
        <v>2027</v>
      </c>
      <c r="J204" s="62">
        <f>'[7]new retirement plan'!I68</f>
        <v>2028</v>
      </c>
      <c r="K204" s="62">
        <f>'[7]new retirement plan'!J68</f>
        <v>2029</v>
      </c>
      <c r="L204" s="62">
        <f>'[7]new retirement plan'!K68</f>
        <v>2030</v>
      </c>
      <c r="M204" s="62">
        <f>'[7]new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'[7]new retirement plan'!G69</f>
        <v>2027</v>
      </c>
      <c r="I205" s="62">
        <f>'[7]new retirement plan'!H69</f>
        <v>2028</v>
      </c>
      <c r="J205" s="62">
        <f>'[7]new retirement plan'!I69</f>
        <v>2028</v>
      </c>
      <c r="K205" s="62">
        <f>'[7]new retirement plan'!J69</f>
        <v>2029</v>
      </c>
      <c r="L205" s="62">
        <f>'[7]new retirement plan'!K69</f>
        <v>2030</v>
      </c>
      <c r="M205" s="62">
        <f>'[7]new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'[7]new retirement plan'!G70</f>
        <v>2025</v>
      </c>
      <c r="I206" s="62">
        <f>'[7]new retirement plan'!H70</f>
        <v>2026</v>
      </c>
      <c r="J206" s="62">
        <f>'[7]new retirement plan'!I70</f>
        <v>2027</v>
      </c>
      <c r="K206" s="62">
        <f>'[7]new retirement plan'!J70</f>
        <v>2027</v>
      </c>
      <c r="L206" s="62">
        <f>'[7]new retirement plan'!K70</f>
        <v>2029</v>
      </c>
      <c r="M206" s="62">
        <f>'[7]new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399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- 2025 cliffCAMDEN</v>
      </c>
      <c r="D211" s="62" t="str">
        <f>E209</f>
        <v>Scenario C - 2025 cliff</v>
      </c>
      <c r="E211" s="101" t="s">
        <v>165</v>
      </c>
      <c r="F211" s="101"/>
      <c r="G211" s="101" t="s">
        <v>208</v>
      </c>
      <c r="H211" s="62">
        <f>H193</f>
        <v>2024</v>
      </c>
      <c r="I211" s="62">
        <f t="shared" ref="I211:N211" si="86">I193</f>
        <v>2024</v>
      </c>
      <c r="J211" s="62">
        <f t="shared" si="86"/>
        <v>2025</v>
      </c>
      <c r="K211" s="62">
        <f t="shared" si="86"/>
        <v>2026</v>
      </c>
      <c r="L211" s="62">
        <f t="shared" si="86"/>
        <v>2026</v>
      </c>
      <c r="M211" s="62">
        <f t="shared" si="86"/>
        <v>2025</v>
      </c>
      <c r="N211" s="62">
        <f t="shared" si="86"/>
        <v>2026</v>
      </c>
      <c r="O211" s="62" t="str">
        <f>O193</f>
        <v/>
      </c>
      <c r="Q211" s="101">
        <f t="shared" ref="Q211:Q224" si="87">COUNT(H211:P211)</f>
        <v>7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1.0578571428571428</v>
      </c>
      <c r="X211" s="101">
        <f t="shared" si="88"/>
        <v>0.63471428571428568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- 2025 cliffGROOTVLEI</v>
      </c>
      <c r="D212" s="62" t="str">
        <f>D211</f>
        <v>Scenario C - 2025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2027</v>
      </c>
      <c r="J212" s="62">
        <f t="shared" si="91"/>
        <v>2028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0.38</v>
      </c>
      <c r="Z212" s="101">
        <f t="shared" si="92"/>
        <v>0.19000000000000003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- 2025 cliffKOMATI</v>
      </c>
      <c r="D213" s="62" t="str">
        <f t="shared" ref="D213:D224" si="93">D212</f>
        <v>Scenario C - 2025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2021</v>
      </c>
      <c r="K213" s="62" t="str">
        <f t="shared" si="91"/>
        <v/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3</v>
      </c>
      <c r="R213" s="101">
        <v>0.41</v>
      </c>
      <c r="S213" s="101">
        <f t="shared" si="92"/>
        <v>0.13666666666666666</v>
      </c>
      <c r="T213" s="101">
        <f t="shared" si="92"/>
        <v>0</v>
      </c>
      <c r="U213" s="101">
        <f t="shared" si="92"/>
        <v>0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- 2025 cliffARNOT</v>
      </c>
      <c r="D214" s="62" t="str">
        <f t="shared" si="93"/>
        <v>Scenario C - 2025 cliff</v>
      </c>
      <c r="E214" s="101" t="s">
        <v>159</v>
      </c>
      <c r="F214" s="101"/>
      <c r="G214" s="101" t="s">
        <v>201</v>
      </c>
      <c r="H214" s="62">
        <f t="shared" si="91"/>
        <v>2027</v>
      </c>
      <c r="I214" s="62">
        <f t="shared" si="91"/>
        <v>2026</v>
      </c>
      <c r="J214" s="62">
        <f t="shared" si="91"/>
        <v>2026</v>
      </c>
      <c r="K214" s="62">
        <f t="shared" si="91"/>
        <v>2027</v>
      </c>
      <c r="L214" s="62">
        <f t="shared" si="91"/>
        <v>2029</v>
      </c>
      <c r="M214" s="62">
        <f t="shared" si="91"/>
        <v>2029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1.488</v>
      </c>
      <c r="Z214" s="101">
        <f t="shared" si="92"/>
        <v>0.74399999999999988</v>
      </c>
      <c r="AA214" s="101">
        <f t="shared" si="92"/>
        <v>0.74399999999999988</v>
      </c>
      <c r="AB214" s="101">
        <f t="shared" si="92"/>
        <v>0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- 2025 cliffDUVHA</v>
      </c>
      <c r="D215" s="62" t="str">
        <f t="shared" si="93"/>
        <v>Scenario C - 2025 cliff</v>
      </c>
      <c r="E215" s="103" t="s">
        <v>157</v>
      </c>
      <c r="F215" s="101"/>
      <c r="G215" s="101" t="s">
        <v>207</v>
      </c>
      <c r="H215" s="62">
        <v>2026</v>
      </c>
      <c r="I215" s="62">
        <v>2026</v>
      </c>
      <c r="J215" s="62">
        <v>2026</v>
      </c>
      <c r="K215" s="62">
        <v>2026</v>
      </c>
      <c r="L215" s="62">
        <v>2026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0</v>
      </c>
      <c r="Z215" s="101">
        <f t="shared" si="92"/>
        <v>0</v>
      </c>
      <c r="AA215" s="101">
        <f t="shared" si="92"/>
        <v>0</v>
      </c>
      <c r="AB215" s="101">
        <f t="shared" si="92"/>
        <v>0</v>
      </c>
      <c r="AC215" s="101">
        <f t="shared" si="92"/>
        <v>0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- 2025 cliffHENDRINA</v>
      </c>
      <c r="D216" s="62" t="str">
        <f t="shared" si="93"/>
        <v>Scenario C - 2025 cliff</v>
      </c>
      <c r="E216" s="101" t="s">
        <v>155</v>
      </c>
      <c r="F216" s="101"/>
      <c r="G216" s="101" t="s">
        <v>198</v>
      </c>
      <c r="H216" s="62">
        <f>H198</f>
        <v>2021</v>
      </c>
      <c r="I216" s="62">
        <f t="shared" ref="I216:N216" si="94">I198</f>
        <v>2025</v>
      </c>
      <c r="J216" s="62" t="str">
        <f t="shared" si="94"/>
        <v/>
      </c>
      <c r="K216" s="62">
        <f t="shared" si="94"/>
        <v>2025</v>
      </c>
      <c r="L216" s="62">
        <f t="shared" si="94"/>
        <v>2025</v>
      </c>
      <c r="M216" s="62">
        <f t="shared" si="94"/>
        <v>2025</v>
      </c>
      <c r="N216" s="62">
        <f t="shared" si="94"/>
        <v>2024</v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1.0774999999999999</v>
      </c>
      <c r="U216" s="101">
        <f t="shared" si="92"/>
        <v>1.0774999999999999</v>
      </c>
      <c r="V216" s="101">
        <f t="shared" si="92"/>
        <v>1.0774999999999999</v>
      </c>
      <c r="W216" s="101">
        <f t="shared" si="92"/>
        <v>0.86199999999999988</v>
      </c>
      <c r="X216" s="101">
        <f t="shared" si="92"/>
        <v>0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- 2025 cliffKENDAL</v>
      </c>
      <c r="D217" s="62" t="str">
        <f t="shared" si="93"/>
        <v>Scenario C - 2025 cliff</v>
      </c>
      <c r="E217" s="103" t="s">
        <v>153</v>
      </c>
      <c r="F217" s="101"/>
      <c r="G217" s="101" t="s">
        <v>206</v>
      </c>
      <c r="H217" s="62">
        <v>2026</v>
      </c>
      <c r="I217" s="62">
        <v>2026</v>
      </c>
      <c r="J217" s="62">
        <v>2026</v>
      </c>
      <c r="K217" s="62">
        <v>2026</v>
      </c>
      <c r="L217" s="62">
        <v>2026</v>
      </c>
      <c r="M217" s="62">
        <v>2026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0</v>
      </c>
      <c r="Z217" s="101">
        <f t="shared" si="92"/>
        <v>0</v>
      </c>
      <c r="AA217" s="101">
        <f t="shared" si="92"/>
        <v>0</v>
      </c>
      <c r="AB217" s="101">
        <f t="shared" si="92"/>
        <v>0</v>
      </c>
      <c r="AC217" s="101">
        <f t="shared" si="92"/>
        <v>0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- 2025 cliffKRIEL</v>
      </c>
      <c r="D218" s="62" t="str">
        <f t="shared" si="93"/>
        <v>Scenario C - 2025 cliff</v>
      </c>
      <c r="E218" s="101" t="s">
        <v>151</v>
      </c>
      <c r="F218" s="101"/>
      <c r="G218" s="101" t="s">
        <v>199</v>
      </c>
      <c r="H218" s="62">
        <f>H200</f>
        <v>2026</v>
      </c>
      <c r="I218" s="62">
        <f t="shared" ref="I218:N218" si="95">I200</f>
        <v>2027</v>
      </c>
      <c r="J218" s="62">
        <f t="shared" si="95"/>
        <v>2028</v>
      </c>
      <c r="K218" s="62">
        <f t="shared" si="95"/>
        <v>2029</v>
      </c>
      <c r="L218" s="62">
        <f t="shared" si="95"/>
        <v>2029</v>
      </c>
      <c r="M218" s="62">
        <f t="shared" si="95"/>
        <v>2030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2.375</v>
      </c>
      <c r="Z218" s="101">
        <f t="shared" si="92"/>
        <v>1.9</v>
      </c>
      <c r="AA218" s="101">
        <f t="shared" si="92"/>
        <v>1.4249999999999998</v>
      </c>
      <c r="AB218" s="101">
        <f t="shared" si="92"/>
        <v>0.47499999999999976</v>
      </c>
      <c r="AC218" s="101">
        <f t="shared" si="92"/>
        <v>0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- 2025 cliffLETHABO</v>
      </c>
      <c r="D219" s="62" t="str">
        <f t="shared" si="93"/>
        <v>Scenario C - 2025 cliff</v>
      </c>
      <c r="E219" s="104" t="s">
        <v>149</v>
      </c>
      <c r="F219" s="101"/>
      <c r="G219" s="101" t="s">
        <v>205</v>
      </c>
      <c r="H219" s="62">
        <v>2026</v>
      </c>
      <c r="I219" s="62">
        <v>2026</v>
      </c>
      <c r="J219" s="62">
        <v>2026</v>
      </c>
      <c r="K219" s="62">
        <v>2026</v>
      </c>
      <c r="L219" s="62">
        <v>2026</v>
      </c>
      <c r="M219" s="62">
        <v>2026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0</v>
      </c>
      <c r="Z219" s="101">
        <f t="shared" si="92"/>
        <v>0</v>
      </c>
      <c r="AA219" s="101">
        <f t="shared" si="92"/>
        <v>0</v>
      </c>
      <c r="AB219" s="101">
        <f t="shared" si="92"/>
        <v>0</v>
      </c>
      <c r="AC219" s="101">
        <f t="shared" si="92"/>
        <v>0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- 2025 cliffMAJUBA DRY</v>
      </c>
      <c r="D220" s="62" t="str">
        <f t="shared" si="93"/>
        <v>Scenario C - 2025 cliff</v>
      </c>
      <c r="E220" s="104" t="s">
        <v>147</v>
      </c>
      <c r="F220" s="101"/>
      <c r="G220" s="101" t="s">
        <v>197</v>
      </c>
      <c r="H220" s="62">
        <v>2026</v>
      </c>
      <c r="I220" s="62">
        <v>2026</v>
      </c>
      <c r="J220" s="62">
        <v>2026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0</v>
      </c>
      <c r="Z220" s="101">
        <f t="shared" si="92"/>
        <v>0</v>
      </c>
      <c r="AA220" s="101">
        <f t="shared" si="92"/>
        <v>0</v>
      </c>
      <c r="AB220" s="101">
        <f t="shared" si="92"/>
        <v>0</v>
      </c>
      <c r="AC220" s="101">
        <f t="shared" si="92"/>
        <v>0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- 2025 cliffMAJUBA WET</v>
      </c>
      <c r="D221" s="62" t="str">
        <f t="shared" si="93"/>
        <v>Scenario C - 2025 cliff</v>
      </c>
      <c r="E221" s="104" t="s">
        <v>145</v>
      </c>
      <c r="F221" s="101"/>
      <c r="G221" s="101"/>
      <c r="K221" s="62">
        <v>2026</v>
      </c>
      <c r="L221" s="62">
        <v>2026</v>
      </c>
      <c r="M221" s="62">
        <v>2026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0</v>
      </c>
      <c r="Z221" s="101">
        <f t="shared" si="92"/>
        <v>0</v>
      </c>
      <c r="AA221" s="101">
        <f t="shared" si="92"/>
        <v>0</v>
      </c>
      <c r="AB221" s="101">
        <f t="shared" si="92"/>
        <v>0</v>
      </c>
      <c r="AC221" s="101">
        <f t="shared" si="92"/>
        <v>0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- 2025 cliffMATIMBA</v>
      </c>
      <c r="D222" s="62" t="str">
        <f t="shared" si="93"/>
        <v>Scenario C - 2025 cliff</v>
      </c>
      <c r="E222" s="104" t="s">
        <v>143</v>
      </c>
      <c r="F222" s="101"/>
      <c r="G222" s="101" t="s">
        <v>204</v>
      </c>
      <c r="H222" s="62">
        <v>2026</v>
      </c>
      <c r="I222" s="62">
        <v>2026</v>
      </c>
      <c r="J222" s="62">
        <v>2026</v>
      </c>
      <c r="K222" s="62">
        <v>2026</v>
      </c>
      <c r="L222" s="62">
        <v>2026</v>
      </c>
      <c r="M222" s="62">
        <v>2026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0</v>
      </c>
      <c r="Z222" s="101">
        <f t="shared" si="92"/>
        <v>0</v>
      </c>
      <c r="AA222" s="101">
        <f t="shared" si="92"/>
        <v>0</v>
      </c>
      <c r="AB222" s="101">
        <f t="shared" si="92"/>
        <v>0</v>
      </c>
      <c r="AC222" s="101">
        <f t="shared" si="92"/>
        <v>0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- 2025 cliffMATLA</v>
      </c>
      <c r="D223" s="62" t="str">
        <f t="shared" si="93"/>
        <v>Scenario C - 2025 cliff</v>
      </c>
      <c r="E223" s="103" t="s">
        <v>141</v>
      </c>
      <c r="F223" s="101"/>
      <c r="G223" s="101" t="s">
        <v>200</v>
      </c>
      <c r="H223" s="62">
        <v>2026</v>
      </c>
      <c r="I223" s="62">
        <v>2026</v>
      </c>
      <c r="J223" s="62">
        <v>2026</v>
      </c>
      <c r="K223" s="62">
        <v>2026</v>
      </c>
      <c r="L223" s="62">
        <v>2026</v>
      </c>
      <c r="M223" s="62">
        <v>2026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0</v>
      </c>
      <c r="Z223" s="101">
        <f t="shared" si="92"/>
        <v>0</v>
      </c>
      <c r="AA223" s="101">
        <f t="shared" si="92"/>
        <v>0</v>
      </c>
      <c r="AB223" s="101">
        <f t="shared" si="92"/>
        <v>0</v>
      </c>
      <c r="AC223" s="101">
        <f t="shared" si="92"/>
        <v>0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- 2025 cliffTUTUKA</v>
      </c>
      <c r="D224" s="62" t="str">
        <f t="shared" si="93"/>
        <v>Scenario C - 2025 cliff</v>
      </c>
      <c r="E224" s="103" t="s">
        <v>139</v>
      </c>
      <c r="F224" s="101"/>
      <c r="G224" s="101" t="s">
        <v>202</v>
      </c>
      <c r="H224" s="62">
        <v>2026</v>
      </c>
      <c r="I224" s="62">
        <v>2026</v>
      </c>
      <c r="J224" s="62">
        <v>2026</v>
      </c>
      <c r="K224" s="62">
        <v>2026</v>
      </c>
      <c r="L224" s="62">
        <v>2026</v>
      </c>
      <c r="M224" s="62">
        <v>2026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0</v>
      </c>
      <c r="Z224" s="101">
        <f t="shared" si="92"/>
        <v>0</v>
      </c>
      <c r="AA224" s="101">
        <f t="shared" si="92"/>
        <v>0</v>
      </c>
      <c r="AB224" s="101">
        <f t="shared" si="92"/>
        <v>0</v>
      </c>
      <c r="AC224" s="101">
        <f t="shared" si="92"/>
        <v>0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296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2024</v>
      </c>
      <c r="I228" s="62">
        <f t="shared" ref="I228:O228" si="96">I211</f>
        <v>2024</v>
      </c>
      <c r="J228" s="62">
        <f t="shared" si="96"/>
        <v>2025</v>
      </c>
      <c r="K228" s="62">
        <f t="shared" si="96"/>
        <v>2026</v>
      </c>
      <c r="L228" s="62">
        <f t="shared" si="96"/>
        <v>2026</v>
      </c>
      <c r="M228" s="62">
        <f t="shared" si="96"/>
        <v>2025</v>
      </c>
      <c r="N228" s="62">
        <f t="shared" si="96"/>
        <v>2026</v>
      </c>
      <c r="O228" s="62" t="str">
        <f t="shared" si="96"/>
        <v/>
      </c>
      <c r="Q228" s="101">
        <f t="shared" ref="Q228:Q241" si="97">COUNT(H228:P228)</f>
        <v>7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1.0578571428571428</v>
      </c>
      <c r="X228" s="101">
        <f t="shared" si="98"/>
        <v>0.63471428571428568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2027</v>
      </c>
      <c r="J229" s="62">
        <f t="shared" si="101"/>
        <v>2028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0.38</v>
      </c>
      <c r="Z229" s="101">
        <f t="shared" si="102"/>
        <v>0.19000000000000003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2021</v>
      </c>
      <c r="K230" s="62" t="str">
        <f t="shared" si="101"/>
        <v/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3</v>
      </c>
      <c r="R230" s="101">
        <v>0.41</v>
      </c>
      <c r="S230" s="101">
        <f t="shared" si="102"/>
        <v>0.13666666666666666</v>
      </c>
      <c r="T230" s="101">
        <f t="shared" si="102"/>
        <v>0</v>
      </c>
      <c r="U230" s="101">
        <f t="shared" si="102"/>
        <v>0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2027</v>
      </c>
      <c r="I231" s="62">
        <f t="shared" si="101"/>
        <v>2026</v>
      </c>
      <c r="J231" s="62">
        <f t="shared" si="101"/>
        <v>2026</v>
      </c>
      <c r="K231" s="62">
        <f t="shared" si="101"/>
        <v>2027</v>
      </c>
      <c r="L231" s="62">
        <f t="shared" si="101"/>
        <v>2029</v>
      </c>
      <c r="M231" s="62">
        <f t="shared" si="101"/>
        <v>2029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1.488</v>
      </c>
      <c r="Z231" s="101">
        <f t="shared" si="102"/>
        <v>0.74399999999999988</v>
      </c>
      <c r="AA231" s="101">
        <f t="shared" si="102"/>
        <v>0.74399999999999988</v>
      </c>
      <c r="AB231" s="101">
        <f t="shared" si="102"/>
        <v>0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2021</v>
      </c>
      <c r="I233" s="62">
        <f t="shared" si="101"/>
        <v>2025</v>
      </c>
      <c r="J233" s="62" t="str">
        <f t="shared" si="101"/>
        <v/>
      </c>
      <c r="K233" s="62">
        <f t="shared" si="101"/>
        <v>2025</v>
      </c>
      <c r="L233" s="62">
        <f t="shared" si="101"/>
        <v>2025</v>
      </c>
      <c r="M233" s="62">
        <f t="shared" si="101"/>
        <v>2025</v>
      </c>
      <c r="N233" s="62">
        <f t="shared" si="101"/>
        <v>2024</v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1.0774999999999999</v>
      </c>
      <c r="U233" s="101">
        <f t="shared" si="102"/>
        <v>1.0774999999999999</v>
      </c>
      <c r="V233" s="101">
        <f t="shared" si="102"/>
        <v>1.0774999999999999</v>
      </c>
      <c r="W233" s="101">
        <f t="shared" si="102"/>
        <v>0.86199999999999988</v>
      </c>
      <c r="X233" s="101">
        <f t="shared" si="102"/>
        <v>0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2026</v>
      </c>
      <c r="I235" s="62">
        <f t="shared" si="101"/>
        <v>2027</v>
      </c>
      <c r="J235" s="62">
        <f t="shared" si="101"/>
        <v>2028</v>
      </c>
      <c r="K235" s="62">
        <f t="shared" si="101"/>
        <v>2029</v>
      </c>
      <c r="L235" s="62">
        <f t="shared" si="101"/>
        <v>2029</v>
      </c>
      <c r="M235" s="62">
        <f t="shared" si="101"/>
        <v>2030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2.375</v>
      </c>
      <c r="Z235" s="101">
        <f t="shared" si="102"/>
        <v>1.9</v>
      </c>
      <c r="AA235" s="101">
        <f t="shared" si="102"/>
        <v>1.4249999999999998</v>
      </c>
      <c r="AB235" s="101">
        <f t="shared" si="102"/>
        <v>0.47499999999999976</v>
      </c>
      <c r="AC235" s="101">
        <f t="shared" si="102"/>
        <v>0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topLeftCell="F1" workbookViewId="0">
      <selection activeCell="W9" sqref="W9"/>
    </sheetView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51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2016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0.94037478705281097</v>
      </c>
    </row>
    <row r="15" spans="1:29" ht="15" x14ac:dyDescent="0.25">
      <c r="A15" s="38" t="s">
        <v>221</v>
      </c>
      <c r="B15" s="72">
        <f>SUMIF($B$1:$Y$1,B10,$B$3:$Y$3)</f>
        <v>1.0634057971014492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</hyperlinks>
  <pageMargins left="0.75" right="0.75" top="1" bottom="1" header="0.5" footer="0.5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2023-03-21T11:21:59Z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