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13_ncr:1_{447C2DD5-6234-456B-B0B8-2D3E5E3E9AD5}" xr6:coauthVersionLast="47" xr6:coauthVersionMax="47" xr10:uidLastSave="{00000000-0000-0000-0000-000000000000}"/>
  <bookViews>
    <workbookView xWindow="2730" yWindow="2730" windowWidth="21600" windowHeight="11505"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BQ44" i="6"/>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101" i="17" l="1"/>
  <c r="CB99" i="17"/>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F91" i="18" s="1"/>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K126" i="8" l="1"/>
  <c r="S126" i="8"/>
  <c r="AQ104" i="17"/>
  <c r="BZ104" i="17"/>
  <c r="CB104" i="17"/>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H134" i="6" l="1"/>
  <c r="T135" i="9"/>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I108" i="17" l="1"/>
  <c r="BG108" i="17"/>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98" i="19"/>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U16" i="23" s="1"/>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O108" i="6" l="1"/>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U105" i="18" l="1"/>
  <c r="V105" i="18" s="1"/>
  <c r="BI105" i="18" s="1"/>
  <c r="BB103" i="18"/>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B105" i="18" l="1"/>
  <c r="BD130" i="17"/>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O228" i="6"/>
  <c r="S228" i="6" s="1"/>
  <c r="BD57"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AC88" i="18"/>
  <c r="AE88" i="18" s="1"/>
  <c r="AF88" i="18" s="1"/>
  <c r="BC88" i="18" s="1"/>
  <c r="BE88" i="18" s="1"/>
  <c r="BG88" i="18" s="1"/>
  <c r="C97" i="6" s="1"/>
  <c r="L97" i="6" s="1"/>
  <c r="Q97" i="6" s="1"/>
  <c r="AJ28" i="6" s="1"/>
  <c r="AB88" i="18"/>
  <c r="AD88" i="18" s="1"/>
  <c r="BS31" i="6"/>
  <c r="AP29" i="6"/>
  <c r="R99" i="6" l="1"/>
  <c r="AK30" i="6" s="1"/>
  <c r="M100" i="6"/>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R102" i="6" s="1"/>
  <c r="AK33" i="6" s="1"/>
  <c r="BS34" i="6"/>
  <c r="AP32" i="6"/>
  <c r="AA92" i="18"/>
  <c r="AP31" i="6"/>
  <c r="AB91" i="18"/>
  <c r="AD91" i="18" s="1"/>
  <c r="AC91" i="18"/>
  <c r="AE91" i="18" s="1"/>
  <c r="AF91" i="18" s="1"/>
  <c r="BC91" i="18" s="1"/>
  <c r="BE91" i="18" s="1"/>
  <c r="BG91" i="18" s="1"/>
  <c r="C100" i="6" s="1"/>
  <c r="L100" i="6" s="1"/>
  <c r="Q100" i="6" s="1"/>
  <c r="AJ31" i="6" s="1"/>
  <c r="AN92" i="18"/>
  <c r="AK93" i="18"/>
  <c r="M103" i="6" l="1"/>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<sst xmlns="http://schemas.openxmlformats.org/spreadsheetml/2006/main" count="3690" uniqueCount="820">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</sst>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18" fillId="0" borderId="0" xfId="0" applyFont="1" applyAlignment="1">
      <alignment horizontal="left"/>
    </xf>
    <xf numFmtId="168" fontId="0" fillId="0" borderId="0" xfId="0" applyNumberFormat="1" applyAlignment="1">
      <alignment horizontal="center"/>
    </xf>
    <xf numFmtId="169"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5"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6"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6"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4"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68"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7"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6"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0"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Border="1" applyAlignment="1">
      <alignment horizontal="right" vertical="center"/>
    </xf>
    <xf numFmtId="164" fontId="0" fillId="0" borderId="6" xfId="0" applyNumberFormat="1" applyBorder="1" applyAlignment="1">
      <alignment horizontal="right" vertical="center"/>
    </xf>
    <xf numFmtId="164"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xf numFmtId="171" fontId="4" fillId="12" borderId="24" xfId="0" applyNumberFormat="1" applyFont="1" applyFill="1" applyBorder="1"/>
    <xf numFmtId="171"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Alignment="1">
      <alignment horizontal="center"/>
    </xf>
    <xf numFmtId="168"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2" fontId="0" fillId="0" borderId="0" xfId="0" applyNumberFormat="1"/>
    <xf numFmtId="43"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172" fontId="0" fillId="0" borderId="0" xfId="0" applyNumberFormat="1" applyAlignment="1">
      <alignment horizontal="right" vertical="center"/>
    </xf>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3"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6"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6" fontId="0" fillId="20" borderId="0" xfId="0" applyNumberFormat="1" applyFill="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xf numFmtId="178" fontId="0" fillId="0" borderId="6" xfId="0" applyNumberFormat="1" applyBorder="1"/>
    <xf numFmtId="178" fontId="0" fillId="0" borderId="0" xfId="0" applyNumberFormat="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2"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41" fontId="1" fillId="0" borderId="58" xfId="0" applyNumberFormat="1" applyFont="1" applyBorder="1"/>
    <xf numFmtId="170" fontId="0" fillId="0" borderId="51" xfId="0" applyNumberFormat="1" applyBorder="1"/>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3" fontId="0" fillId="6" borderId="0" xfId="0" applyNumberFormat="1" applyFill="1"/>
    <xf numFmtId="182" fontId="0" fillId="0" borderId="0" xfId="0" applyNumberFormat="1"/>
    <xf numFmtId="177" fontId="0" fillId="0" borderId="51" xfId="0" applyNumberFormat="1" applyBorder="1"/>
    <xf numFmtId="178" fontId="1" fillId="0" borderId="0" xfId="0" applyNumberFormat="1" applyFont="1"/>
    <xf numFmtId="177"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41" fontId="23" fillId="18" borderId="0" xfId="0" applyNumberFormat="1" applyFont="1" applyFill="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78" fontId="0" fillId="18" borderId="0" xfId="0" applyNumberFormat="1" applyFill="1"/>
    <xf numFmtId="0" fontId="21" fillId="0" borderId="1" xfId="0" applyFont="1" applyBorder="1"/>
    <xf numFmtId="41" fontId="21" fillId="0" borderId="2" xfId="0" applyNumberFormat="1" applyFont="1" applyBorder="1" applyAlignment="1" applyProtection="1">
      <alignment horizontal="right"/>
      <protection locked="0"/>
    </xf>
    <xf numFmtId="178"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0"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69" fontId="4" fillId="5" borderId="58" xfId="0" applyNumberFormat="1" applyFont="1" applyFill="1" applyBorder="1"/>
    <xf numFmtId="169"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66"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6" fontId="0" fillId="0" borderId="54" xfId="0" applyNumberFormat="1" applyBorder="1"/>
    <xf numFmtId="166"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78" fontId="0" fillId="0" borderId="1" xfId="0" applyNumberFormat="1" applyBorder="1"/>
    <xf numFmtId="178" fontId="0" fillId="0" borderId="2" xfId="0" applyNumberFormat="1" applyBorder="1"/>
    <xf numFmtId="178" fontId="1" fillId="0" borderId="33" xfId="0" applyNumberFormat="1" applyFont="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41" fontId="0" fillId="0" borderId="54" xfId="0" applyNumberFormat="1" applyBorder="1"/>
    <xf numFmtId="170" fontId="10" fillId="0" borderId="54" xfId="0" applyNumberFormat="1" applyFont="1" applyBorder="1"/>
    <xf numFmtId="170" fontId="4" fillId="0" borderId="54" xfId="0" applyNumberFormat="1" applyFont="1" applyBorder="1"/>
    <xf numFmtId="171" fontId="4" fillId="0" borderId="8" xfId="0" applyNumberFormat="1" applyFont="1" applyBorder="1"/>
    <xf numFmtId="41" fontId="1" fillId="10" borderId="58" xfId="0" applyNumberFormat="1" applyFont="1" applyFill="1" applyBorder="1"/>
    <xf numFmtId="164" fontId="34" fillId="0" borderId="54" xfId="0" applyNumberFormat="1" applyFont="1" applyBorder="1" applyAlignment="1">
      <alignment horizontal="right" vertical="center"/>
    </xf>
    <xf numFmtId="9" fontId="34" fillId="0" borderId="54" xfId="0" applyNumberFormat="1" applyFont="1" applyBorder="1"/>
    <xf numFmtId="41" fontId="34" fillId="0" borderId="54" xfId="0" applyNumberFormat="1" applyFont="1" applyBorder="1"/>
    <xf numFmtId="164" fontId="1" fillId="11" borderId="60" xfId="0" applyNumberFormat="1" applyFont="1" applyFill="1" applyBorder="1" applyAlignment="1">
      <alignment horizontal="center"/>
    </xf>
    <xf numFmtId="164"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69"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2" borderId="2" xfId="0" applyNumberFormat="1" applyFill="1" applyBorder="1"/>
    <xf numFmtId="169" fontId="0" fillId="2" borderId="0" xfId="0" applyNumberFormat="1" applyFill="1"/>
    <xf numFmtId="169"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6"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164"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41" fontId="4" fillId="0" borderId="1" xfId="0" applyNumberFormat="1" applyFont="1" applyBorder="1"/>
    <xf numFmtId="1" fontId="1" fillId="0" borderId="0" xfId="0" applyNumberFormat="1" applyFont="1" applyAlignment="1">
      <alignment horizontal="right" vertical="center"/>
    </xf>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173" fontId="1" fillId="0" borderId="0" xfId="0" applyNumberFormat="1" applyFont="1"/>
    <xf numFmtId="173" fontId="1" fillId="0" borderId="58" xfId="0" applyNumberFormat="1" applyFont="1" applyBorder="1"/>
    <xf numFmtId="178" fontId="1" fillId="0" borderId="6" xfId="0" applyNumberFormat="1" applyFont="1" applyBorder="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3" fontId="4" fillId="0" borderId="0" xfId="0" applyNumberFormat="1" applyFont="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4" fontId="0" fillId="0" borderId="2" xfId="0" applyNumberFormat="1" applyBorder="1"/>
    <xf numFmtId="164" fontId="1" fillId="0" borderId="33" xfId="0" applyNumberFormat="1" applyFont="1" applyBorder="1"/>
    <xf numFmtId="164" fontId="1" fillId="0" borderId="58" xfId="0" applyNumberFormat="1" applyFont="1" applyBorder="1"/>
    <xf numFmtId="164"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4" fontId="0" fillId="0" borderId="0" xfId="0" applyNumberFormat="1"/>
    <xf numFmtId="187" fontId="0" fillId="0" borderId="0" xfId="0" applyNumberFormat="1"/>
    <xf numFmtId="186" fontId="0" fillId="0" borderId="0" xfId="0" applyNumberFormat="1"/>
    <xf numFmtId="171" fontId="4" fillId="0" borderId="0" xfId="0" applyNumberFormat="1" applyFont="1"/>
    <xf numFmtId="168"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41" fontId="7" fillId="0" borderId="0" xfId="0" applyNumberFormat="1" applyFont="1" applyAlignment="1">
      <alignment horizontal="center"/>
    </xf>
    <xf numFmtId="41" fontId="37" fillId="0" borderId="0" xfId="0" applyNumberFormat="1" applyFont="1" applyAlignment="1">
      <alignment horizontal="center"/>
    </xf>
    <xf numFmtId="2" fontId="4" fillId="0" borderId="0" xfId="0" applyNumberFormat="1" applyFont="1" applyAlignment="1">
      <alignment horizontal="center"/>
    </xf>
    <xf numFmtId="43"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41"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Border="1"/>
    <xf numFmtId="180" fontId="0" fillId="0" borderId="58" xfId="0" applyNumberFormat="1" applyBorder="1"/>
    <xf numFmtId="180" fontId="0" fillId="0" borderId="44" xfId="0" applyNumberFormat="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xf numFmtId="188" fontId="0" fillId="0" borderId="43" xfId="0" applyNumberFormat="1" applyBorder="1"/>
    <xf numFmtId="188" fontId="0" fillId="0" borderId="51" xfId="0" applyNumberFormat="1" applyBorder="1"/>
    <xf numFmtId="173" fontId="7" fillId="0" borderId="2" xfId="0" applyNumberFormat="1" applyFont="1" applyBorder="1"/>
    <xf numFmtId="173" fontId="7" fillId="0" borderId="0" xfId="0" applyNumberFormat="1" applyFont="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5" fontId="0" fillId="0" borderId="33" xfId="0" applyNumberFormat="1" applyBorder="1"/>
    <xf numFmtId="178" fontId="7" fillId="0" borderId="0" xfId="0" applyNumberFormat="1" applyFont="1" applyAlignment="1">
      <alignment horizontal="center"/>
    </xf>
    <xf numFmtId="173" fontId="7"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Border="1"/>
    <xf numFmtId="41" fontId="21" fillId="0" borderId="33" xfId="0" applyNumberFormat="1" applyFont="1" applyBorder="1"/>
    <xf numFmtId="41" fontId="21" fillId="0" borderId="0" xfId="0" applyNumberFormat="1" applyFont="1"/>
    <xf numFmtId="41"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69"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0" fontId="1" fillId="11" borderId="59" xfId="0" applyFont="1" applyFill="1" applyBorder="1" applyAlignment="1">
      <alignment horizontal="center" vertical="center" wrapText="1"/>
    </xf>
    <xf numFmtId="189" fontId="21" fillId="0" borderId="0" xfId="0" applyNumberFormat="1" applyFont="1"/>
    <xf numFmtId="188" fontId="0" fillId="0" borderId="1" xfId="0" applyNumberFormat="1" applyBorder="1"/>
    <xf numFmtId="188"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Border="1" applyAlignment="1" applyProtection="1">
      <alignment horizontal="right"/>
      <protection locked="0"/>
    </xf>
    <xf numFmtId="41" fontId="21" fillId="0" borderId="6" xfId="0" applyNumberFormat="1" applyFont="1" applyBorder="1" applyAlignment="1" applyProtection="1">
      <alignment horizontal="right"/>
      <protection locked="0"/>
    </xf>
    <xf numFmtId="177" fontId="0" fillId="25" borderId="76" xfId="6" applyNumberFormat="1" applyFont="1" applyBorder="1"/>
    <xf numFmtId="178" fontId="21" fillId="25" borderId="70" xfId="6" applyNumberFormat="1" applyFont="1"/>
    <xf numFmtId="177" fontId="0" fillId="25" borderId="77" xfId="6" applyNumberFormat="1" applyFont="1" applyBorder="1"/>
    <xf numFmtId="178" fontId="21" fillId="25" borderId="77" xfId="6" applyNumberFormat="1" applyFont="1" applyBorder="1"/>
    <xf numFmtId="177" fontId="0" fillId="25" borderId="78" xfId="6" applyNumberFormat="1" applyFont="1" applyBorder="1"/>
    <xf numFmtId="0" fontId="23" fillId="18" borderId="1" xfId="0" applyFon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xf numFmtId="41" fontId="24" fillId="18" borderId="0" xfId="0" applyNumberFormat="1" applyFont="1" applyFill="1" applyProtection="1">
      <protection locked="0"/>
    </xf>
    <xf numFmtId="43" fontId="23" fillId="18" borderId="0" xfId="0" applyNumberFormat="1" applyFont="1" applyFill="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43" fontId="21" fillId="18" borderId="0" xfId="0" applyNumberFormat="1" applyFont="1" applyFill="1"/>
    <xf numFmtId="178" fontId="0" fillId="18" borderId="79" xfId="0" applyNumberFormat="1" applyFill="1" applyBorder="1"/>
    <xf numFmtId="43" fontId="0" fillId="18" borderId="1" xfId="0" applyNumberFormat="1" applyFill="1" applyBorder="1"/>
    <xf numFmtId="43" fontId="0" fillId="18" borderId="6" xfId="0" applyNumberFormat="1" applyFill="1" applyBorder="1"/>
    <xf numFmtId="43" fontId="0" fillId="18" borderId="0" xfId="0" applyNumberFormat="1" applyFill="1"/>
    <xf numFmtId="43" fontId="0" fillId="18" borderId="79" xfId="0" applyNumberFormat="1" applyFill="1" applyBorder="1"/>
    <xf numFmtId="0" fontId="22" fillId="0" borderId="7"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22" fillId="12" borderId="28" xfId="0" applyFont="1" applyFill="1" applyBorder="1" applyAlignment="1">
      <alignment horizontal="center" vertical="center"/>
    </xf>
    <xf numFmtId="0" fontId="22" fillId="12" borderId="64"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18"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70" fillId="5" borderId="7" xfId="0" applyFont="1" applyFill="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13" borderId="0" xfId="0"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16425.723916880503</c:v>
                </c:pt>
                <c:pt idx="11">
                  <c:v>15984.352141629424</c:v>
                </c:pt>
                <c:pt idx="12">
                  <c:v>15440.984432419138</c:v>
                </c:pt>
                <c:pt idx="13">
                  <c:v>14861.535476866815</c:v>
                </c:pt>
                <c:pt idx="14">
                  <c:v>14305.741721749877</c:v>
                </c:pt>
                <c:pt idx="15">
                  <c:v>13771.850738171388</c:v>
                </c:pt>
                <c:pt idx="16">
                  <c:v>13258.190460508884</c:v>
                </c:pt>
                <c:pt idx="17">
                  <c:v>12763.193779491556</c:v>
                </c:pt>
                <c:pt idx="18">
                  <c:v>12285.361583238118</c:v>
                </c:pt>
                <c:pt idx="19">
                  <c:v>11823.25922821687</c:v>
                </c:pt>
                <c:pt idx="20">
                  <c:v>11375.513156132769</c:v>
                </c:pt>
                <c:pt idx="21">
                  <c:v>10940.807648491811</c:v>
                </c:pt>
                <c:pt idx="22">
                  <c:v>10515.293749537923</c:v>
                </c:pt>
                <c:pt idx="23">
                  <c:v>10098.465465861951</c:v>
                </c:pt>
                <c:pt idx="24">
                  <c:v>9702.1957170834539</c:v>
                </c:pt>
                <c:pt idx="25">
                  <c:v>9325.4735555747502</c:v>
                </c:pt>
                <c:pt idx="26">
                  <c:v>8967.3374089365825</c:v>
                </c:pt>
                <c:pt idx="27">
                  <c:v>8661.8326493250061</c:v>
                </c:pt>
                <c:pt idx="28">
                  <c:v>8387.5184335573103</c:v>
                </c:pt>
                <c:pt idx="29">
                  <c:v>8132.1078592723925</c:v>
                </c:pt>
                <c:pt idx="30">
                  <c:v>7894.7557668123354</c:v>
                </c:pt>
                <c:pt idx="31">
                  <c:v>7674.6263990633142</c:v>
                </c:pt>
                <c:pt idx="32">
                  <c:v>7466.3392918943282</c:v>
                </c:pt>
                <c:pt idx="33">
                  <c:v>7269.295170765773</c:v>
                </c:pt>
                <c:pt idx="34">
                  <c:v>7082.9296022650906</c:v>
                </c:pt>
                <c:pt idx="35">
                  <c:v>6906.7119664011734</c:v>
                </c:pt>
                <c:pt idx="36">
                  <c:v>6740.1388251521112</c:v>
                </c:pt>
                <c:pt idx="37">
                  <c:v>6582.9697463207394</c:v>
                </c:pt>
                <c:pt idx="38">
                  <c:v>6434.5443156284855</c:v>
                </c:pt>
                <c:pt idx="39">
                  <c:v>6294.4049295047098</c:v>
                </c:pt>
                <c:pt idx="40">
                  <c:v>6162.1359912188864</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816.26147130889444</c:v>
                </c:pt>
                <c:pt idx="10">
                  <c:v>804.55310712020685</c:v>
                </c:pt>
                <c:pt idx="11">
                  <c:v>875.70330766334473</c:v>
                </c:pt>
                <c:pt idx="12">
                  <c:v>839.76710828579792</c:v>
                </c:pt>
                <c:pt idx="13">
                  <c:v>844.68259769659028</c:v>
                </c:pt>
                <c:pt idx="14">
                  <c:v>849.95766413530146</c:v>
                </c:pt>
                <c:pt idx="15">
                  <c:v>854.95030782228321</c:v>
                </c:pt>
                <c:pt idx="16">
                  <c:v>859.28952146647725</c:v>
                </c:pt>
                <c:pt idx="17">
                  <c:v>863.59777814800327</c:v>
                </c:pt>
                <c:pt idx="18">
                  <c:v>868.0012870223552</c:v>
                </c:pt>
                <c:pt idx="19">
                  <c:v>873.85072418380787</c:v>
                </c:pt>
                <c:pt idx="20">
                  <c:v>879.11293157648731</c:v>
                </c:pt>
                <c:pt idx="21">
                  <c:v>885.34194872635214</c:v>
                </c:pt>
                <c:pt idx="22">
                  <c:v>891.86005628144426</c:v>
                </c:pt>
                <c:pt idx="23">
                  <c:v>899.52595276009117</c:v>
                </c:pt>
                <c:pt idx="24">
                  <c:v>907.88576146347657</c:v>
                </c:pt>
                <c:pt idx="25">
                  <c:v>914.55722504901848</c:v>
                </c:pt>
                <c:pt idx="26">
                  <c:v>921.23726133191497</c:v>
                </c:pt>
                <c:pt idx="27">
                  <c:v>929.05318001426315</c:v>
                </c:pt>
                <c:pt idx="28">
                  <c:v>936.68573822542078</c:v>
                </c:pt>
                <c:pt idx="29">
                  <c:v>944.86599654532904</c:v>
                </c:pt>
                <c:pt idx="30">
                  <c:v>953.07387800115657</c:v>
                </c:pt>
                <c:pt idx="31">
                  <c:v>962.30286296408019</c:v>
                </c:pt>
                <c:pt idx="32">
                  <c:v>971.67710752106382</c:v>
                </c:pt>
                <c:pt idx="33">
                  <c:v>981.29329264782564</c:v>
                </c:pt>
                <c:pt idx="34">
                  <c:v>991.28286637046608</c:v>
                </c:pt>
                <c:pt idx="35">
                  <c:v>1001.6944073073263</c:v>
                </c:pt>
                <c:pt idx="36">
                  <c:v>1012.8279598658085</c:v>
                </c:pt>
                <c:pt idx="37">
                  <c:v>1019.7413640211289</c:v>
                </c:pt>
                <c:pt idx="38">
                  <c:v>1026.1818410390676</c:v>
                </c:pt>
                <c:pt idx="39">
                  <c:v>1032.598981269764</c:v>
                </c:pt>
                <c:pt idx="40">
                  <c:v>1038.8732432112213</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275.15845517166412</c:v>
                </c:pt>
                <c:pt idx="12">
                  <c:v>228.791856973352</c:v>
                </c:pt>
                <c:pt idx="13">
                  <c:v>216.90639640602836</c:v>
                </c:pt>
                <c:pt idx="14">
                  <c:v>204.89414946821324</c:v>
                </c:pt>
                <c:pt idx="15">
                  <c:v>192.73543627799813</c:v>
                </c:pt>
                <c:pt idx="16">
                  <c:v>180.37222914300258</c:v>
                </c:pt>
                <c:pt idx="17">
                  <c:v>167.79191934062044</c:v>
                </c:pt>
                <c:pt idx="18">
                  <c:v>154.98142086277571</c:v>
                </c:pt>
                <c:pt idx="19">
                  <c:v>141.92712101168399</c:v>
                </c:pt>
                <c:pt idx="20">
                  <c:v>128.6148276326544</c:v>
                </c:pt>
                <c:pt idx="21">
                  <c:v>113.42577376727571</c:v>
                </c:pt>
                <c:pt idx="22">
                  <c:v>98.341110038483521</c:v>
                </c:pt>
                <c:pt idx="23">
                  <c:v>98.064028567910043</c:v>
                </c:pt>
                <c:pt idx="24">
                  <c:v>97.799429259916053</c:v>
                </c:pt>
                <c:pt idx="25">
                  <c:v>97.546904040278406</c:v>
                </c:pt>
                <c:pt idx="26">
                  <c:v>97.305427719784788</c:v>
                </c:pt>
                <c:pt idx="27">
                  <c:v>97.07466187463389</c:v>
                </c:pt>
                <c:pt idx="28">
                  <c:v>96.854287525066866</c:v>
                </c:pt>
                <c:pt idx="29">
                  <c:v>96.644004088947355</c:v>
                </c:pt>
                <c:pt idx="30">
                  <c:v>96.44352841369853</c:v>
                </c:pt>
                <c:pt idx="31">
                  <c:v>96.251962483404526</c:v>
                </c:pt>
                <c:pt idx="32">
                  <c:v>96.069073413937716</c:v>
                </c:pt>
                <c:pt idx="33">
                  <c:v>95.894641405286436</c:v>
                </c:pt>
                <c:pt idx="34">
                  <c:v>95.728459127027506</c:v>
                </c:pt>
                <c:pt idx="35">
                  <c:v>95.570331147581143</c:v>
                </c:pt>
                <c:pt idx="36">
                  <c:v>95.420049102741416</c:v>
                </c:pt>
                <c:pt idx="37">
                  <c:v>95.277440365034508</c:v>
                </c:pt>
                <c:pt idx="38">
                  <c:v>95.142342665016045</c:v>
                </c:pt>
                <c:pt idx="39">
                  <c:v>95.014603670562778</c:v>
                </c:pt>
                <c:pt idx="40">
                  <c:v>94.894080596963946</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4213.2982069875279</c:v>
                </c:pt>
                <c:pt idx="12">
                  <c:v>4356.2283396619641</c:v>
                </c:pt>
                <c:pt idx="13">
                  <c:v>4498.0961133518758</c:v>
                </c:pt>
                <c:pt idx="14">
                  <c:v>4638.5551576717935</c:v>
                </c:pt>
                <c:pt idx="15">
                  <c:v>4777.2556694816303</c:v>
                </c:pt>
                <c:pt idx="16">
                  <c:v>4916.7532922564824</c:v>
                </c:pt>
                <c:pt idx="17">
                  <c:v>5056.9427905821094</c:v>
                </c:pt>
                <c:pt idx="18">
                  <c:v>5197.7163106848438</c:v>
                </c:pt>
                <c:pt idx="19">
                  <c:v>5338.9635096347838</c:v>
                </c:pt>
                <c:pt idx="20">
                  <c:v>5480.5716912650823</c:v>
                </c:pt>
                <c:pt idx="21">
                  <c:v>5528.0869325500698</c:v>
                </c:pt>
                <c:pt idx="22">
                  <c:v>5574.564668399451</c:v>
                </c:pt>
                <c:pt idx="23">
                  <c:v>5619.9715311876926</c:v>
                </c:pt>
                <c:pt idx="24">
                  <c:v>5664.2747063410307</c:v>
                </c:pt>
                <c:pt idx="25">
                  <c:v>5707.4419715478889</c:v>
                </c:pt>
                <c:pt idx="26">
                  <c:v>5749.55471020798</c:v>
                </c:pt>
                <c:pt idx="27">
                  <c:v>5790.5844692700766</c:v>
                </c:pt>
                <c:pt idx="28">
                  <c:v>5830.5033663967079</c:v>
                </c:pt>
                <c:pt idx="29">
                  <c:v>5869.2841213486436</c:v>
                </c:pt>
                <c:pt idx="30">
                  <c:v>5906.9000868787916</c:v>
                </c:pt>
                <c:pt idx="31">
                  <c:v>5943.4467192106313</c:v>
                </c:pt>
                <c:pt idx="32">
                  <c:v>5978.9009497134921</c:v>
                </c:pt>
                <c:pt idx="33">
                  <c:v>6013.240288940302</c:v>
                </c:pt>
                <c:pt idx="34">
                  <c:v>6046.4428502961873</c:v>
                </c:pt>
                <c:pt idx="35">
                  <c:v>6078.4873731900434</c:v>
                </c:pt>
                <c:pt idx="36">
                  <c:v>6109.3582708871472</c:v>
                </c:pt>
                <c:pt idx="37">
                  <c:v>6139.0356774671081</c:v>
                </c:pt>
                <c:pt idx="38">
                  <c:v>6167.500413073044</c:v>
                </c:pt>
                <c:pt idx="39">
                  <c:v>6194.7340045038718</c:v>
                </c:pt>
                <c:pt idx="40">
                  <c:v>6220.7187051348292</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 ##0_-;\-* #\ ##0_-;_-* "-"??_-;_-@_-</c:formatCode>
                <c:ptCount val="34"/>
                <c:pt idx="0">
                  <c:v>6573.3162308435367</c:v>
                </c:pt>
                <c:pt idx="1">
                  <c:v>6782.3257195400192</c:v>
                </c:pt>
                <c:pt idx="2">
                  <c:v>6996.3761941639132</c:v>
                </c:pt>
                <c:pt idx="3">
                  <c:v>7215.5760361663397</c:v>
                </c:pt>
                <c:pt idx="4">
                  <c:v>7426.4844355045898</c:v>
                </c:pt>
                <c:pt idx="5">
                  <c:v>7634.9422007108979</c:v>
                </c:pt>
                <c:pt idx="6">
                  <c:v>7840.4440662408088</c:v>
                </c:pt>
                <c:pt idx="7">
                  <c:v>8042.4821550653214</c:v>
                </c:pt>
                <c:pt idx="8">
                  <c:v>8240.548022850222</c:v>
                </c:pt>
                <c:pt idx="9">
                  <c:v>8439.1251185527271</c:v>
                </c:pt>
                <c:pt idx="10">
                  <c:v>8638.060414469559</c:v>
                </c:pt>
                <c:pt idx="11">
                  <c:v>8837.1978805699891</c:v>
                </c:pt>
                <c:pt idx="12">
                  <c:v>9036.3786772772637</c:v>
                </c:pt>
                <c:pt idx="13">
                  <c:v>9235.4413564857023</c:v>
                </c:pt>
                <c:pt idx="14">
                  <c:v>9315.5104166398032</c:v>
                </c:pt>
                <c:pt idx="15">
                  <c:v>9393.8311517746661</c:v>
                </c:pt>
                <c:pt idx="16">
                  <c:v>9470.3473333130205</c:v>
                </c:pt>
                <c:pt idx="17">
                  <c:v>9545.0036646382505</c:v>
                </c:pt>
                <c:pt idx="18">
                  <c:v>9617.7458471688078</c:v>
                </c:pt>
                <c:pt idx="19">
                  <c:v>9688.711022001964</c:v>
                </c:pt>
                <c:pt idx="20">
                  <c:v>9757.851242226192</c:v>
                </c:pt>
                <c:pt idx="21">
                  <c:v>9825.1195226532473</c:v>
                </c:pt>
                <c:pt idx="22">
                  <c:v>9890.4698927049085</c:v>
                </c:pt>
                <c:pt idx="23">
                  <c:v>9953.8574484730289</c:v>
                </c:pt>
                <c:pt idx="24">
                  <c:v>10015.443045504033</c:v>
                </c:pt>
                <c:pt idx="25">
                  <c:v>10075.18781030117</c:v>
                </c:pt>
                <c:pt idx="26">
                  <c:v>10133.053845363742</c:v>
                </c:pt>
                <c:pt idx="27">
                  <c:v>10189.004269071567</c:v>
                </c:pt>
                <c:pt idx="28">
                  <c:v>10243.003254698275</c:v>
                </c:pt>
                <c:pt idx="29">
                  <c:v>10295.024536667468</c:v>
                </c:pt>
                <c:pt idx="30">
                  <c:v>10345.034638445472</c:v>
                </c:pt>
                <c:pt idx="31">
                  <c:v>10393.001239600504</c:v>
                </c:pt>
                <c:pt idx="32">
                  <c:v>10438.893210503242</c:v>
                </c:pt>
                <c:pt idx="33">
                  <c:v>10482.680645895343</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 ##0_-;\-* #\ ##0_-;_-* "-"??_-;_-@_-</c:formatCode>
                <c:ptCount val="34"/>
                <c:pt idx="0">
                  <c:v>2912.8310946643915</c:v>
                </c:pt>
                <c:pt idx="1">
                  <c:v>2839.8920266362888</c:v>
                </c:pt>
                <c:pt idx="2">
                  <c:v>2790.1340039583492</c:v>
                </c:pt>
                <c:pt idx="3">
                  <c:v>2714.9921597943135</c:v>
                </c:pt>
                <c:pt idx="4">
                  <c:v>2494.1333457123815</c:v>
                </c:pt>
                <c:pt idx="5">
                  <c:v>2073.8501360922724</c:v>
                </c:pt>
                <c:pt idx="6">
                  <c:v>1966.1161269315601</c:v>
                </c:pt>
                <c:pt idx="7">
                  <c:v>1857.2328813636757</c:v>
                </c:pt>
                <c:pt idx="8">
                  <c:v>1747.0220139936384</c:v>
                </c:pt>
                <c:pt idx="9">
                  <c:v>1634.9575413387672</c:v>
                </c:pt>
                <c:pt idx="10">
                  <c:v>1520.9251734875288</c:v>
                </c:pt>
                <c:pt idx="11">
                  <c:v>1404.8062942444512</c:v>
                </c:pt>
                <c:pt idx="12">
                  <c:v>1286.4775133126673</c:v>
                </c:pt>
                <c:pt idx="13">
                  <c:v>1165.8101879934081</c:v>
                </c:pt>
                <c:pt idx="14">
                  <c:v>1028.1312432856109</c:v>
                </c:pt>
                <c:pt idx="15">
                  <c:v>891.39852761686427</c:v>
                </c:pt>
                <c:pt idx="16">
                  <c:v>888.8869633808855</c:v>
                </c:pt>
                <c:pt idx="17">
                  <c:v>886.48854187169172</c:v>
                </c:pt>
                <c:pt idx="18">
                  <c:v>884.19956416050832</c:v>
                </c:pt>
                <c:pt idx="19">
                  <c:v>882.01073757050824</c:v>
                </c:pt>
                <c:pt idx="20">
                  <c:v>879.9189945089214</c:v>
                </c:pt>
                <c:pt idx="21">
                  <c:v>877.92144363063971</c:v>
                </c:pt>
                <c:pt idx="22">
                  <c:v>876.01536035309903</c:v>
                </c:pt>
                <c:pt idx="23">
                  <c:v>874.19817808141352</c:v>
                </c:pt>
                <c:pt idx="24">
                  <c:v>872.46175688239703</c:v>
                </c:pt>
                <c:pt idx="25">
                  <c:v>870.80398581212808</c:v>
                </c:pt>
                <c:pt idx="26">
                  <c:v>869.2228725257296</c:v>
                </c:pt>
                <c:pt idx="27">
                  <c:v>867.7165377070761</c:v>
                </c:pt>
                <c:pt idx="28">
                  <c:v>866.28320989535655</c:v>
                </c:pt>
                <c:pt idx="29">
                  <c:v>864.92100040387356</c:v>
                </c:pt>
                <c:pt idx="30">
                  <c:v>863.62834447628131</c:v>
                </c:pt>
                <c:pt idx="31">
                  <c:v>862.4037712450687</c:v>
                </c:pt>
                <c:pt idx="32">
                  <c:v>861.24589991810944</c:v>
                </c:pt>
                <c:pt idx="33">
                  <c:v>860.15343624439436</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 ##0_-;\-* #\ ##0_-;_-* "-"??_-;_-@_-</c:formatCode>
                <c:ptCount val="34"/>
                <c:pt idx="0">
                  <c:v>68439.708347615408</c:v>
                </c:pt>
                <c:pt idx="1">
                  <c:v>64333.325846758482</c:v>
                </c:pt>
                <c:pt idx="2">
                  <c:v>60911.340429377713</c:v>
                </c:pt>
                <c:pt idx="3">
                  <c:v>55436.163761568481</c:v>
                </c:pt>
                <c:pt idx="4">
                  <c:v>44485.810425950018</c:v>
                </c:pt>
                <c:pt idx="5">
                  <c:v>40704.72849165908</c:v>
                </c:pt>
                <c:pt idx="6">
                  <c:v>38660.682866758725</c:v>
                </c:pt>
                <c:pt idx="7">
                  <c:v>37730.304068737532</c:v>
                </c:pt>
                <c:pt idx="8">
                  <c:v>36077.67435932321</c:v>
                </c:pt>
                <c:pt idx="9">
                  <c:v>33516.327154471153</c:v>
                </c:pt>
                <c:pt idx="10">
                  <c:v>31599.38977819687</c:v>
                </c:pt>
                <c:pt idx="11">
                  <c:v>29548.302147941758</c:v>
                </c:pt>
                <c:pt idx="12">
                  <c:v>27871.282022494619</c:v>
                </c:pt>
                <c:pt idx="13">
                  <c:v>24754.676468908514</c:v>
                </c:pt>
                <c:pt idx="14">
                  <c:v>23408.554266683659</c:v>
                </c:pt>
                <c:pt idx="15">
                  <c:v>21800.958406186517</c:v>
                </c:pt>
                <c:pt idx="16">
                  <c:v>21313.179602187014</c:v>
                </c:pt>
                <c:pt idx="17">
                  <c:v>19291.628085750377</c:v>
                </c:pt>
                <c:pt idx="18">
                  <c:v>14867.918551617049</c:v>
                </c:pt>
                <c:pt idx="19">
                  <c:v>13687.941669523072</c:v>
                </c:pt>
                <c:pt idx="20">
                  <c:v>13687.941669523079</c:v>
                </c:pt>
                <c:pt idx="21">
                  <c:v>13687.941669523078</c:v>
                </c:pt>
                <c:pt idx="22">
                  <c:v>13687.941669523078</c:v>
                </c:pt>
                <c:pt idx="23">
                  <c:v>13687.941669523083</c:v>
                </c:pt>
                <c:pt idx="24">
                  <c:v>13687.941669523079</c:v>
                </c:pt>
                <c:pt idx="25">
                  <c:v>13687.941669523074</c:v>
                </c:pt>
                <c:pt idx="26">
                  <c:v>13687.941669523079</c:v>
                </c:pt>
                <c:pt idx="27">
                  <c:v>13687.941669523076</c:v>
                </c:pt>
                <c:pt idx="28">
                  <c:v>13687.941669523083</c:v>
                </c:pt>
                <c:pt idx="29">
                  <c:v>13687.941669523087</c:v>
                </c:pt>
                <c:pt idx="30">
                  <c:v>13687.941669523078</c:v>
                </c:pt>
                <c:pt idx="31">
                  <c:v>13687.941669523083</c:v>
                </c:pt>
                <c:pt idx="32">
                  <c:v>13687.941669523083</c:v>
                </c:pt>
                <c:pt idx="33">
                  <c:v>13687.941669523072</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 ##0_-;\-* #\ ##0_-;_-* "-"??_-;_-@_-</c:formatCode>
                <c:ptCount val="34"/>
                <c:pt idx="0">
                  <c:v>6080.5670370000007</c:v>
                </c:pt>
                <c:pt idx="1">
                  <c:v>7449.3121878932852</c:v>
                </c:pt>
                <c:pt idx="2">
                  <c:v>10295.34070894855</c:v>
                </c:pt>
                <c:pt idx="3">
                  <c:v>11096.944848116838</c:v>
                </c:pt>
                <c:pt idx="4">
                  <c:v>12554.321363546935</c:v>
                </c:pt>
                <c:pt idx="5">
                  <c:v>13902.327682230418</c:v>
                </c:pt>
                <c:pt idx="6">
                  <c:v>15108.837876902802</c:v>
                </c:pt>
                <c:pt idx="7">
                  <c:v>16617.136621700181</c:v>
                </c:pt>
                <c:pt idx="8">
                  <c:v>17886.426692415222</c:v>
                </c:pt>
                <c:pt idx="9">
                  <c:v>18724.863724353592</c:v>
                </c:pt>
                <c:pt idx="10">
                  <c:v>19729.53817019931</c:v>
                </c:pt>
                <c:pt idx="11">
                  <c:v>20584.753727672942</c:v>
                </c:pt>
                <c:pt idx="12">
                  <c:v>21585.796083622205</c:v>
                </c:pt>
                <c:pt idx="13">
                  <c:v>21546.30388650671</c:v>
                </c:pt>
                <c:pt idx="14">
                  <c:v>20774.895279975164</c:v>
                </c:pt>
                <c:pt idx="15">
                  <c:v>19835.018883549397</c:v>
                </c:pt>
                <c:pt idx="16">
                  <c:v>19664.905704325913</c:v>
                </c:pt>
                <c:pt idx="17">
                  <c:v>18486.314467814744</c:v>
                </c:pt>
                <c:pt idx="18">
                  <c:v>15672.131180172722</c:v>
                </c:pt>
                <c:pt idx="19">
                  <c:v>10518.495006649337</c:v>
                </c:pt>
                <c:pt idx="20">
                  <c:v>8659.2387300236496</c:v>
                </c:pt>
                <c:pt idx="21">
                  <c:v>8187.8851714053408</c:v>
                </c:pt>
                <c:pt idx="22">
                  <c:v>7727.6109861484929</c:v>
                </c:pt>
                <c:pt idx="23">
                  <c:v>7267.8955866785645</c:v>
                </c:pt>
                <c:pt idx="24">
                  <c:v>7403.681474340985</c:v>
                </c:pt>
                <c:pt idx="25">
                  <c:v>7542.4058045036199</c:v>
                </c:pt>
                <c:pt idx="26">
                  <c:v>7686.0243274207023</c:v>
                </c:pt>
                <c:pt idx="27">
                  <c:v>7837.1960926989841</c:v>
                </c:pt>
                <c:pt idx="28">
                  <c:v>7996.9037925844377</c:v>
                </c:pt>
                <c:pt idx="29">
                  <c:v>8144.1218540337695</c:v>
                </c:pt>
                <c:pt idx="30">
                  <c:v>8205.9709351736819</c:v>
                </c:pt>
                <c:pt idx="31">
                  <c:v>8258.2532182719169</c:v>
                </c:pt>
                <c:pt idx="32">
                  <c:v>8310.063423722584</c:v>
                </c:pt>
                <c:pt idx="33">
                  <c:v>8358.9833578615653</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 ##0_-;\-* #\ ##0_-;_-* "-"??_-;_-@_-</c:formatCode>
                <c:ptCount val="34"/>
                <c:pt idx="0">
                  <c:v>1694.9190000000001</c:v>
                </c:pt>
                <c:pt idx="1">
                  <c:v>1789.9687605419947</c:v>
                </c:pt>
                <c:pt idx="2">
                  <c:v>2562.5527582487894</c:v>
                </c:pt>
                <c:pt idx="3">
                  <c:v>2560.9621544777392</c:v>
                </c:pt>
                <c:pt idx="4">
                  <c:v>2937.5012039878866</c:v>
                </c:pt>
                <c:pt idx="5">
                  <c:v>3148.72204906348</c:v>
                </c:pt>
                <c:pt idx="6">
                  <c:v>3204.8349418807438</c:v>
                </c:pt>
                <c:pt idx="7">
                  <c:v>3265.0525952906887</c:v>
                </c:pt>
                <c:pt idx="8">
                  <c:v>3322.0462446854558</c:v>
                </c:pt>
                <c:pt idx="9">
                  <c:v>3371.5806470164412</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 ##0_-;\-* #\ ##0_-;_-* "-"??_-;_-@_-</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 ##0_-;\-* #\ ##0_-;_-* "-"??_-;_-@_-</c:formatCode>
                <c:ptCount val="34"/>
                <c:pt idx="0">
                  <c:v>68439.708347615408</c:v>
                </c:pt>
                <c:pt idx="1">
                  <c:v>64333.325846758482</c:v>
                </c:pt>
                <c:pt idx="2">
                  <c:v>60911.340429377713</c:v>
                </c:pt>
                <c:pt idx="3">
                  <c:v>55436.163761568481</c:v>
                </c:pt>
                <c:pt idx="4">
                  <c:v>44485.810425950018</c:v>
                </c:pt>
                <c:pt idx="5">
                  <c:v>40704.72849165908</c:v>
                </c:pt>
                <c:pt idx="6">
                  <c:v>38660.682866758725</c:v>
                </c:pt>
                <c:pt idx="7">
                  <c:v>37730.304068737532</c:v>
                </c:pt>
                <c:pt idx="8">
                  <c:v>36077.67435932321</c:v>
                </c:pt>
                <c:pt idx="9">
                  <c:v>33516.327154471153</c:v>
                </c:pt>
                <c:pt idx="10">
                  <c:v>31599.38977819687</c:v>
                </c:pt>
                <c:pt idx="11">
                  <c:v>29548.302147941758</c:v>
                </c:pt>
                <c:pt idx="12">
                  <c:v>27871.282022494619</c:v>
                </c:pt>
                <c:pt idx="13">
                  <c:v>24754.676468908514</c:v>
                </c:pt>
                <c:pt idx="14">
                  <c:v>23408.554266683659</c:v>
                </c:pt>
                <c:pt idx="15">
                  <c:v>21800.958406186517</c:v>
                </c:pt>
                <c:pt idx="16">
                  <c:v>21313.179602187014</c:v>
                </c:pt>
                <c:pt idx="17">
                  <c:v>19291.628085750377</c:v>
                </c:pt>
                <c:pt idx="18">
                  <c:v>14867.918551617049</c:v>
                </c:pt>
                <c:pt idx="19">
                  <c:v>13687.941669523072</c:v>
                </c:pt>
                <c:pt idx="20">
                  <c:v>13687.941669523079</c:v>
                </c:pt>
                <c:pt idx="21">
                  <c:v>13687.941669523078</c:v>
                </c:pt>
                <c:pt idx="22">
                  <c:v>13687.941669523078</c:v>
                </c:pt>
                <c:pt idx="23">
                  <c:v>13687.941669523083</c:v>
                </c:pt>
                <c:pt idx="24">
                  <c:v>13687.941669523079</c:v>
                </c:pt>
                <c:pt idx="25">
                  <c:v>13687.941669523074</c:v>
                </c:pt>
                <c:pt idx="26">
                  <c:v>13687.941669523079</c:v>
                </c:pt>
                <c:pt idx="27">
                  <c:v>13687.941669523076</c:v>
                </c:pt>
                <c:pt idx="28">
                  <c:v>13687.941669523083</c:v>
                </c:pt>
                <c:pt idx="29">
                  <c:v>13687.941669523087</c:v>
                </c:pt>
                <c:pt idx="30">
                  <c:v>13687.941669523078</c:v>
                </c:pt>
                <c:pt idx="31">
                  <c:v>13687.941669523083</c:v>
                </c:pt>
                <c:pt idx="32">
                  <c:v>13687.941669523083</c:v>
                </c:pt>
                <c:pt idx="33">
                  <c:v>13687.941669523072</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 ##0_-;\-* #\ ##0_-;_-* "-"??_-;_-@_-</c:formatCode>
                <c:ptCount val="34"/>
                <c:pt idx="0">
                  <c:v>6080.5670370000007</c:v>
                </c:pt>
                <c:pt idx="1">
                  <c:v>7449.3121878932852</c:v>
                </c:pt>
                <c:pt idx="2">
                  <c:v>10295.34070894855</c:v>
                </c:pt>
                <c:pt idx="3">
                  <c:v>11096.944848116838</c:v>
                </c:pt>
                <c:pt idx="4">
                  <c:v>12554.321363546935</c:v>
                </c:pt>
                <c:pt idx="5">
                  <c:v>13902.327682230418</c:v>
                </c:pt>
                <c:pt idx="6">
                  <c:v>15108.837876902802</c:v>
                </c:pt>
                <c:pt idx="7">
                  <c:v>16617.136621700181</c:v>
                </c:pt>
                <c:pt idx="8">
                  <c:v>17886.426692415222</c:v>
                </c:pt>
                <c:pt idx="9">
                  <c:v>18724.863724353592</c:v>
                </c:pt>
                <c:pt idx="10">
                  <c:v>19729.53817019931</c:v>
                </c:pt>
                <c:pt idx="11">
                  <c:v>20584.753727672942</c:v>
                </c:pt>
                <c:pt idx="12">
                  <c:v>21585.796083622205</c:v>
                </c:pt>
                <c:pt idx="13">
                  <c:v>21546.30388650671</c:v>
                </c:pt>
                <c:pt idx="14">
                  <c:v>20774.895279975164</c:v>
                </c:pt>
                <c:pt idx="15">
                  <c:v>19835.018883549397</c:v>
                </c:pt>
                <c:pt idx="16">
                  <c:v>19664.905704325913</c:v>
                </c:pt>
                <c:pt idx="17">
                  <c:v>18486.314467814744</c:v>
                </c:pt>
                <c:pt idx="18">
                  <c:v>15672.131180172722</c:v>
                </c:pt>
                <c:pt idx="19">
                  <c:v>10518.495006649337</c:v>
                </c:pt>
                <c:pt idx="20">
                  <c:v>8659.2387300236496</c:v>
                </c:pt>
                <c:pt idx="21">
                  <c:v>8187.8851714053408</c:v>
                </c:pt>
                <c:pt idx="22">
                  <c:v>7727.6109861484929</c:v>
                </c:pt>
                <c:pt idx="23">
                  <c:v>7267.8955866785645</c:v>
                </c:pt>
                <c:pt idx="24">
                  <c:v>7403.681474340985</c:v>
                </c:pt>
                <c:pt idx="25">
                  <c:v>7542.4058045036199</c:v>
                </c:pt>
                <c:pt idx="26">
                  <c:v>7686.0243274207023</c:v>
                </c:pt>
                <c:pt idx="27">
                  <c:v>7837.1960926989841</c:v>
                </c:pt>
                <c:pt idx="28">
                  <c:v>7996.9037925844377</c:v>
                </c:pt>
                <c:pt idx="29">
                  <c:v>8144.1218540337695</c:v>
                </c:pt>
                <c:pt idx="30">
                  <c:v>8205.9709351736819</c:v>
                </c:pt>
                <c:pt idx="31">
                  <c:v>8258.2532182719169</c:v>
                </c:pt>
                <c:pt idx="32">
                  <c:v>8310.063423722584</c:v>
                </c:pt>
                <c:pt idx="33">
                  <c:v>8358.9833578615653</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2562.5527582487894</c:v>
                </c:pt>
                <c:pt idx="3">
                  <c:v>2560.9621544777392</c:v>
                </c:pt>
                <c:pt idx="4">
                  <c:v>2937.5012039878866</c:v>
                </c:pt>
                <c:pt idx="5">
                  <c:v>3148.72204906348</c:v>
                </c:pt>
                <c:pt idx="6">
                  <c:v>3204.8349418807438</c:v>
                </c:pt>
                <c:pt idx="7">
                  <c:v>3265.0525952906887</c:v>
                </c:pt>
                <c:pt idx="8">
                  <c:v>3322.0462446854558</c:v>
                </c:pt>
                <c:pt idx="9">
                  <c:v>3371.5806470164412</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 ##0_-;\-* #\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 ##0_-;\-* #\ ##0_-;_-* "-"??_-;_-@_-</c:formatCode>
                <c:ptCount val="34"/>
                <c:pt idx="0">
                  <c:v>6573.3162308435367</c:v>
                </c:pt>
                <c:pt idx="1">
                  <c:v>6679.6175321884148</c:v>
                </c:pt>
                <c:pt idx="2">
                  <c:v>6787.6378998722266</c:v>
                </c:pt>
                <c:pt idx="3">
                  <c:v>6897.4051340163305</c:v>
                </c:pt>
                <c:pt idx="4">
                  <c:v>6996.1812956628055</c:v>
                </c:pt>
                <c:pt idx="5">
                  <c:v>7089.8610118599718</c:v>
                </c:pt>
                <c:pt idx="6">
                  <c:v>7178.1969315182241</c:v>
                </c:pt>
                <c:pt idx="7">
                  <c:v>7260.9530809026564</c:v>
                </c:pt>
                <c:pt idx="8">
                  <c:v>7337.9059050014057</c:v>
                </c:pt>
                <c:pt idx="9">
                  <c:v>7413.228984557808</c:v>
                </c:pt>
                <c:pt idx="10">
                  <c:v>7486.8548455237687</c:v>
                </c:pt>
                <c:pt idx="11">
                  <c:v>7558.7169955069121</c:v>
                </c:pt>
                <c:pt idx="12">
                  <c:v>7628.7500228067647</c:v>
                </c:pt>
                <c:pt idx="13">
                  <c:v>7696.8896946998648</c:v>
                </c:pt>
                <c:pt idx="14">
                  <c:v>7763.6198811821405</c:v>
                </c:pt>
                <c:pt idx="15">
                  <c:v>7828.892999798989</c:v>
                </c:pt>
                <c:pt idx="16">
                  <c:v>7892.6621892104686</c:v>
                </c:pt>
                <c:pt idx="17">
                  <c:v>7954.8813647799961</c:v>
                </c:pt>
                <c:pt idx="18">
                  <c:v>8015.5052736412908</c:v>
                </c:pt>
                <c:pt idx="19">
                  <c:v>8074.6482102668706</c:v>
                </c:pt>
                <c:pt idx="20">
                  <c:v>8132.2702153223645</c:v>
                </c:pt>
                <c:pt idx="21">
                  <c:v>8188.3321309811736</c:v>
                </c:pt>
                <c:pt idx="22">
                  <c:v>8242.7956450006986</c:v>
                </c:pt>
                <c:pt idx="23">
                  <c:v>8295.623334109594</c:v>
                </c:pt>
                <c:pt idx="24">
                  <c:v>8346.9492565894088</c:v>
                </c:pt>
                <c:pt idx="25">
                  <c:v>8396.7410149612406</c:v>
                </c:pt>
                <c:pt idx="26">
                  <c:v>8444.9670251489915</c:v>
                </c:pt>
                <c:pt idx="27">
                  <c:v>8491.5965497194029</c:v>
                </c:pt>
                <c:pt idx="28">
                  <c:v>8536.5997303960448</c:v>
                </c:pt>
                <c:pt idx="29">
                  <c:v>8579.95467724031</c:v>
                </c:pt>
                <c:pt idx="30">
                  <c:v>8621.6334906448992</c:v>
                </c:pt>
                <c:pt idx="31">
                  <c:v>8661.609234506961</c:v>
                </c:pt>
                <c:pt idx="32">
                  <c:v>8699.8559651477972</c:v>
                </c:pt>
                <c:pt idx="33">
                  <c:v>8736.3487592891524</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 ##0_-;\-* #\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 ##0_-;\-* #\ ##0_-;_-* "-"??_-;_-@_-</c:formatCode>
                <c:ptCount val="34"/>
                <c:pt idx="0">
                  <c:v>2912.8310946643915</c:v>
                </c:pt>
                <c:pt idx="1">
                  <c:v>2837.6019857013189</c:v>
                </c:pt>
                <c:pt idx="2">
                  <c:v>2763.9217434216189</c:v>
                </c:pt>
                <c:pt idx="3">
                  <c:v>2691.7426737450974</c:v>
                </c:pt>
                <c:pt idx="4">
                  <c:v>2621.5630555393768</c:v>
                </c:pt>
                <c:pt idx="5">
                  <c:v>2553.3849267763044</c:v>
                </c:pt>
                <c:pt idx="6">
                  <c:v>2487.3419848817243</c:v>
                </c:pt>
                <c:pt idx="7">
                  <c:v>2423.561836812527</c:v>
                </c:pt>
                <c:pt idx="8">
                  <c:v>2362.1677829703644</c:v>
                </c:pt>
                <c:pt idx="9">
                  <c:v>2302.9026688142312</c:v>
                </c:pt>
                <c:pt idx="10">
                  <c:v>2245.7683909149514</c:v>
                </c:pt>
                <c:pt idx="11">
                  <c:v>2122.8243700837052</c:v>
                </c:pt>
                <c:pt idx="12">
                  <c:v>2006.8882501690784</c:v>
                </c:pt>
                <c:pt idx="13">
                  <c:v>1897.5382255377617</c:v>
                </c:pt>
                <c:pt idx="14">
                  <c:v>1803.0034487770192</c:v>
                </c:pt>
                <c:pt idx="15">
                  <c:v>1709.1279919928454</c:v>
                </c:pt>
                <c:pt idx="16">
                  <c:v>1615.8756669955167</c:v>
                </c:pt>
                <c:pt idx="17">
                  <c:v>1523.2119205213223</c:v>
                </c:pt>
                <c:pt idx="18">
                  <c:v>1431.1037230209427</c:v>
                </c:pt>
                <c:pt idx="19">
                  <c:v>1339.511971911847</c:v>
                </c:pt>
                <c:pt idx="20">
                  <c:v>1307.081728805375</c:v>
                </c:pt>
                <c:pt idx="21">
                  <c:v>1248.6523379035129</c:v>
                </c:pt>
                <c:pt idx="22">
                  <c:v>1190.5429187557343</c:v>
                </c:pt>
                <c:pt idx="23">
                  <c:v>1132.7362160457451</c:v>
                </c:pt>
                <c:pt idx="24">
                  <c:v>1075.2096389475591</c:v>
                </c:pt>
                <c:pt idx="25">
                  <c:v>1017.9482903388962</c:v>
                </c:pt>
                <c:pt idx="26">
                  <c:v>960.93780076815722</c:v>
                </c:pt>
                <c:pt idx="27">
                  <c:v>904.16429509359807</c:v>
                </c:pt>
                <c:pt idx="28">
                  <c:v>847.61436093531825</c:v>
                </c:pt>
                <c:pt idx="29">
                  <c:v>791.27484730054823</c:v>
                </c:pt>
                <c:pt idx="30">
                  <c:v>735.13321860018925</c:v>
                </c:pt>
                <c:pt idx="31">
                  <c:v>734.24574648910277</c:v>
                </c:pt>
                <c:pt idx="32">
                  <c:v>733.40626998983112</c:v>
                </c:pt>
                <c:pt idx="33">
                  <c:v>732.61390790447081</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 ##0_-;\-* #\ ##0_-;_-* "-"??_-;_-@_-</c:formatCode>
                <c:ptCount val="34"/>
                <c:pt idx="0">
                  <c:v>68439.708347615408</c:v>
                </c:pt>
                <c:pt idx="1">
                  <c:v>64886.148572305057</c:v>
                </c:pt>
                <c:pt idx="2">
                  <c:v>61517.098453473161</c:v>
                </c:pt>
                <c:pt idx="3">
                  <c:v>58322.977791126919</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36387.956765462433</c:v>
                </c:pt>
                <c:pt idx="13">
                  <c:v>34219.854173807704</c:v>
                </c:pt>
                <c:pt idx="14">
                  <c:v>33020.827958397946</c:v>
                </c:pt>
                <c:pt idx="15">
                  <c:v>31863.814308498775</c:v>
                </c:pt>
                <c:pt idx="16">
                  <c:v>30747.341149823489</c:v>
                </c:pt>
                <c:pt idx="17">
                  <c:v>29669.987987956309</c:v>
                </c:pt>
                <c:pt idx="18">
                  <c:v>28630.38410105016</c:v>
                </c:pt>
                <c:pt idx="19">
                  <c:v>27627.206795850383</c:v>
                </c:pt>
                <c:pt idx="20">
                  <c:v>26659.179724825441</c:v>
                </c:pt>
                <c:pt idx="21">
                  <c:v>25725.071262263602</c:v>
                </c:pt>
                <c:pt idx="22">
                  <c:v>24823.692937269236</c:v>
                </c:pt>
                <c:pt idx="23">
                  <c:v>23953.89792166539</c:v>
                </c:pt>
                <c:pt idx="24">
                  <c:v>22650.218174049245</c:v>
                </c:pt>
                <c:pt idx="25">
                  <c:v>21417.490590039302</c:v>
                </c:pt>
                <c:pt idx="26">
                  <c:v>20251.853631148377</c:v>
                </c:pt>
                <c:pt idx="27">
                  <c:v>19149.655921324491</c:v>
                </c:pt>
                <c:pt idx="28">
                  <c:v>18107.444808958157</c:v>
                </c:pt>
                <c:pt idx="29">
                  <c:v>17121.955551397084</c:v>
                </c:pt>
                <c:pt idx="30">
                  <c:v>16190.101088088571</c:v>
                </c:pt>
                <c:pt idx="31">
                  <c:v>15308.962370313991</c:v>
                </c:pt>
                <c:pt idx="32">
                  <c:v>14475.779217222871</c:v>
                </c:pt>
                <c:pt idx="33">
                  <c:v>13687.941669523083</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 ##0_-;\-* #\ ##0_-;_-* "-"??_-;_-@_-</c:formatCode>
                <c:ptCount val="34"/>
                <c:pt idx="0">
                  <c:v>6080.5670370000007</c:v>
                </c:pt>
                <c:pt idx="1">
                  <c:v>6432.32104401378</c:v>
                </c:pt>
                <c:pt idx="2">
                  <c:v>8184.3988324480906</c:v>
                </c:pt>
                <c:pt idx="3">
                  <c:v>8107.5131744293203</c:v>
                </c:pt>
                <c:pt idx="4">
                  <c:v>8631.5987545352527</c:v>
                </c:pt>
                <c:pt idx="5">
                  <c:v>9124.2219628772546</c:v>
                </c:pt>
                <c:pt idx="6">
                  <c:v>9587.0844184197704</c:v>
                </c:pt>
                <c:pt idx="7">
                  <c:v>10245.759388380251</c:v>
                </c:pt>
                <c:pt idx="8">
                  <c:v>10834.829658775616</c:v>
                </c:pt>
                <c:pt idx="9">
                  <c:v>11266.564236331724</c:v>
                </c:pt>
                <c:pt idx="10">
                  <c:v>11830.018000571867</c:v>
                </c:pt>
                <c:pt idx="11">
                  <c:v>12378.506931597407</c:v>
                </c:pt>
                <c:pt idx="12">
                  <c:v>13069.121340654394</c:v>
                </c:pt>
                <c:pt idx="13">
                  <c:v>13294.745063537208</c:v>
                </c:pt>
                <c:pt idx="14">
                  <c:v>12972.043857747278</c:v>
                </c:pt>
                <c:pt idx="15">
                  <c:v>12568.03274815389</c:v>
                </c:pt>
                <c:pt idx="16">
                  <c:v>12560.512503596907</c:v>
                </c:pt>
                <c:pt idx="17">
                  <c:v>12055.771772564618</c:v>
                </c:pt>
                <c:pt idx="18">
                  <c:v>10716.158329633705</c:v>
                </c:pt>
                <c:pt idx="19">
                  <c:v>8206.9051519014629</c:v>
                </c:pt>
                <c:pt idx="20">
                  <c:v>7356.3307510820132</c:v>
                </c:pt>
                <c:pt idx="21">
                  <c:v>7197.8531185079191</c:v>
                </c:pt>
                <c:pt idx="22">
                  <c:v>7050.4548592952842</c:v>
                </c:pt>
                <c:pt idx="23">
                  <c:v>6903.6153858695707</c:v>
                </c:pt>
                <c:pt idx="24">
                  <c:v>7064.8544588304467</c:v>
                </c:pt>
                <c:pt idx="25">
                  <c:v>7229.0319742915362</c:v>
                </c:pt>
                <c:pt idx="26">
                  <c:v>7398.1036825070732</c:v>
                </c:pt>
                <c:pt idx="27">
                  <c:v>7574.7286330838097</c:v>
                </c:pt>
                <c:pt idx="28">
                  <c:v>7759.8895182677188</c:v>
                </c:pt>
                <c:pt idx="29">
                  <c:v>7946.1083364144197</c:v>
                </c:pt>
                <c:pt idx="30">
                  <c:v>8046.9581742517012</c:v>
                </c:pt>
                <c:pt idx="31">
                  <c:v>8138.241214047307</c:v>
                </c:pt>
                <c:pt idx="32">
                  <c:v>8229.0521761953423</c:v>
                </c:pt>
                <c:pt idx="33">
                  <c:v>8316.9728670316927</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 ##0_-;\-* #\ ##0_-;_-* "-"??_-;_-@_-</c:formatCode>
                <c:ptCount val="34"/>
                <c:pt idx="0">
                  <c:v>1694.9190000000001</c:v>
                </c:pt>
                <c:pt idx="1">
                  <c:v>1789.9687605419947</c:v>
                </c:pt>
                <c:pt idx="2">
                  <c:v>2562.5527582487894</c:v>
                </c:pt>
                <c:pt idx="3">
                  <c:v>2485.7704544777393</c:v>
                </c:pt>
                <c:pt idx="4">
                  <c:v>2636.7344039878863</c:v>
                </c:pt>
                <c:pt idx="5">
                  <c:v>2772.7635490634798</c:v>
                </c:pt>
                <c:pt idx="6">
                  <c:v>2904.0681418807435</c:v>
                </c:pt>
                <c:pt idx="7">
                  <c:v>3039.4774952906882</c:v>
                </c:pt>
                <c:pt idx="8">
                  <c:v>3171.6628446854556</c:v>
                </c:pt>
                <c:pt idx="9">
                  <c:v>3296.3889470164409</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 ##0_-;\-* #\ ##0_-;_-* "-"??_-;_-@_-</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 ##0_-;\-* #\ ##0_-;_-* "-"??_-;_-@_-</c:formatCode>
                <c:ptCount val="34"/>
                <c:pt idx="0">
                  <c:v>68439.708347615408</c:v>
                </c:pt>
                <c:pt idx="1">
                  <c:v>64886.148572305057</c:v>
                </c:pt>
                <c:pt idx="2">
                  <c:v>61517.098453473161</c:v>
                </c:pt>
                <c:pt idx="3">
                  <c:v>58322.977791126919</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36387.956765462433</c:v>
                </c:pt>
                <c:pt idx="13">
                  <c:v>34219.854173807704</c:v>
                </c:pt>
                <c:pt idx="14">
                  <c:v>33020.827958397946</c:v>
                </c:pt>
                <c:pt idx="15">
                  <c:v>31863.814308498775</c:v>
                </c:pt>
                <c:pt idx="16">
                  <c:v>30747.341149823489</c:v>
                </c:pt>
                <c:pt idx="17">
                  <c:v>29669.987987956309</c:v>
                </c:pt>
                <c:pt idx="18">
                  <c:v>28630.38410105016</c:v>
                </c:pt>
                <c:pt idx="19">
                  <c:v>27627.206795850383</c:v>
                </c:pt>
                <c:pt idx="20">
                  <c:v>26659.179724825441</c:v>
                </c:pt>
                <c:pt idx="21">
                  <c:v>25725.071262263602</c:v>
                </c:pt>
                <c:pt idx="22">
                  <c:v>24823.692937269236</c:v>
                </c:pt>
                <c:pt idx="23">
                  <c:v>23953.89792166539</c:v>
                </c:pt>
                <c:pt idx="24">
                  <c:v>22650.218174049245</c:v>
                </c:pt>
                <c:pt idx="25">
                  <c:v>21417.490590039302</c:v>
                </c:pt>
                <c:pt idx="26">
                  <c:v>20251.853631148377</c:v>
                </c:pt>
                <c:pt idx="27">
                  <c:v>19149.655921324491</c:v>
                </c:pt>
                <c:pt idx="28">
                  <c:v>18107.444808958157</c:v>
                </c:pt>
                <c:pt idx="29">
                  <c:v>17121.955551397084</c:v>
                </c:pt>
                <c:pt idx="30">
                  <c:v>16190.101088088571</c:v>
                </c:pt>
                <c:pt idx="31">
                  <c:v>15308.962370313991</c:v>
                </c:pt>
                <c:pt idx="32">
                  <c:v>14475.779217222871</c:v>
                </c:pt>
                <c:pt idx="33">
                  <c:v>13687.941669523083</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 ##0_-;\-* #\ ##0_-;_-* "-"??_-;_-@_-</c:formatCode>
                <c:ptCount val="34"/>
                <c:pt idx="0">
                  <c:v>6080.5670370000007</c:v>
                </c:pt>
                <c:pt idx="1">
                  <c:v>6432.32104401378</c:v>
                </c:pt>
                <c:pt idx="2">
                  <c:v>8184.3988324480906</c:v>
                </c:pt>
                <c:pt idx="3">
                  <c:v>8107.5131744293203</c:v>
                </c:pt>
                <c:pt idx="4">
                  <c:v>8631.5987545352527</c:v>
                </c:pt>
                <c:pt idx="5">
                  <c:v>9124.2219628772546</c:v>
                </c:pt>
                <c:pt idx="6">
                  <c:v>9587.0844184197704</c:v>
                </c:pt>
                <c:pt idx="7">
                  <c:v>10245.759388380251</c:v>
                </c:pt>
                <c:pt idx="8">
                  <c:v>10834.829658775616</c:v>
                </c:pt>
                <c:pt idx="9">
                  <c:v>11266.564236331724</c:v>
                </c:pt>
                <c:pt idx="10">
                  <c:v>11830.018000571867</c:v>
                </c:pt>
                <c:pt idx="11">
                  <c:v>12378.506931597407</c:v>
                </c:pt>
                <c:pt idx="12">
                  <c:v>13069.121340654394</c:v>
                </c:pt>
                <c:pt idx="13">
                  <c:v>13294.745063537208</c:v>
                </c:pt>
                <c:pt idx="14">
                  <c:v>12972.043857747278</c:v>
                </c:pt>
                <c:pt idx="15">
                  <c:v>12568.03274815389</c:v>
                </c:pt>
                <c:pt idx="16">
                  <c:v>12560.512503596907</c:v>
                </c:pt>
                <c:pt idx="17">
                  <c:v>12055.771772564618</c:v>
                </c:pt>
                <c:pt idx="18">
                  <c:v>10716.158329633705</c:v>
                </c:pt>
                <c:pt idx="19">
                  <c:v>8206.9051519014629</c:v>
                </c:pt>
                <c:pt idx="20">
                  <c:v>7356.3307510820132</c:v>
                </c:pt>
                <c:pt idx="21">
                  <c:v>7197.8531185079191</c:v>
                </c:pt>
                <c:pt idx="22">
                  <c:v>7050.4548592952842</c:v>
                </c:pt>
                <c:pt idx="23">
                  <c:v>6903.6153858695707</c:v>
                </c:pt>
                <c:pt idx="24">
                  <c:v>7064.8544588304467</c:v>
                </c:pt>
                <c:pt idx="25">
                  <c:v>7229.0319742915362</c:v>
                </c:pt>
                <c:pt idx="26">
                  <c:v>7398.1036825070732</c:v>
                </c:pt>
                <c:pt idx="27">
                  <c:v>7574.7286330838097</c:v>
                </c:pt>
                <c:pt idx="28">
                  <c:v>7759.8895182677188</c:v>
                </c:pt>
                <c:pt idx="29">
                  <c:v>7946.1083364144197</c:v>
                </c:pt>
                <c:pt idx="30">
                  <c:v>8046.9581742517012</c:v>
                </c:pt>
                <c:pt idx="31">
                  <c:v>8138.241214047307</c:v>
                </c:pt>
                <c:pt idx="32">
                  <c:v>8229.0521761953423</c:v>
                </c:pt>
                <c:pt idx="33">
                  <c:v>8316.9728670316927</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2562.5527582487894</c:v>
                </c:pt>
                <c:pt idx="3">
                  <c:v>2485.7704544777393</c:v>
                </c:pt>
                <c:pt idx="4">
                  <c:v>2636.7344039878863</c:v>
                </c:pt>
                <c:pt idx="5">
                  <c:v>2772.7635490634798</c:v>
                </c:pt>
                <c:pt idx="6">
                  <c:v>2904.0681418807435</c:v>
                </c:pt>
                <c:pt idx="7">
                  <c:v>3039.4774952906882</c:v>
                </c:pt>
                <c:pt idx="8">
                  <c:v>3171.6628446854556</c:v>
                </c:pt>
                <c:pt idx="9">
                  <c:v>3296.3889470164409</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 ##0_-;\-* #\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 ##0_-;\-* #\ ##0_-;_-* "-"??_-;_-@_-</c:formatCode>
                <c:ptCount val="34"/>
                <c:pt idx="0">
                  <c:v>6573.3162308435367</c:v>
                </c:pt>
                <c:pt idx="1">
                  <c:v>6782.3257195400192</c:v>
                </c:pt>
                <c:pt idx="2">
                  <c:v>6996.3761941639132</c:v>
                </c:pt>
                <c:pt idx="3">
                  <c:v>7215.5760361663397</c:v>
                </c:pt>
                <c:pt idx="4">
                  <c:v>7426.4844355045898</c:v>
                </c:pt>
                <c:pt idx="5">
                  <c:v>7634.9422007108979</c:v>
                </c:pt>
                <c:pt idx="6">
                  <c:v>7840.4440662408088</c:v>
                </c:pt>
                <c:pt idx="7">
                  <c:v>8042.4821550653223</c:v>
                </c:pt>
                <c:pt idx="8">
                  <c:v>8240.548022850222</c:v>
                </c:pt>
                <c:pt idx="9">
                  <c:v>8439.1251185527253</c:v>
                </c:pt>
                <c:pt idx="10">
                  <c:v>8638.060414469559</c:v>
                </c:pt>
                <c:pt idx="11">
                  <c:v>8837.1978805699891</c:v>
                </c:pt>
                <c:pt idx="12">
                  <c:v>9036.3786772772637</c:v>
                </c:pt>
                <c:pt idx="13">
                  <c:v>9235.4413564857023</c:v>
                </c:pt>
                <c:pt idx="14">
                  <c:v>9315.5104166398032</c:v>
                </c:pt>
                <c:pt idx="15">
                  <c:v>9393.8311517746661</c:v>
                </c:pt>
                <c:pt idx="16">
                  <c:v>9470.3473333130205</c:v>
                </c:pt>
                <c:pt idx="17">
                  <c:v>9545.0036646382505</c:v>
                </c:pt>
                <c:pt idx="18">
                  <c:v>9617.7458471688078</c:v>
                </c:pt>
                <c:pt idx="19">
                  <c:v>9688.711022001964</c:v>
                </c:pt>
                <c:pt idx="20">
                  <c:v>9757.851242226192</c:v>
                </c:pt>
                <c:pt idx="21">
                  <c:v>9825.1195226532473</c:v>
                </c:pt>
                <c:pt idx="22">
                  <c:v>9890.4698927049085</c:v>
                </c:pt>
                <c:pt idx="23">
                  <c:v>9953.8574484730289</c:v>
                </c:pt>
                <c:pt idx="24">
                  <c:v>10015.443045504031</c:v>
                </c:pt>
                <c:pt idx="25">
                  <c:v>10075.18781030117</c:v>
                </c:pt>
                <c:pt idx="26">
                  <c:v>10133.053845363742</c:v>
                </c:pt>
                <c:pt idx="27">
                  <c:v>10189.004269071567</c:v>
                </c:pt>
                <c:pt idx="28">
                  <c:v>10243.003254698275</c:v>
                </c:pt>
                <c:pt idx="29">
                  <c:v>10295.024536667468</c:v>
                </c:pt>
                <c:pt idx="30">
                  <c:v>10345.034638445472</c:v>
                </c:pt>
                <c:pt idx="31">
                  <c:v>10393.001239600504</c:v>
                </c:pt>
                <c:pt idx="32">
                  <c:v>10438.893210503244</c:v>
                </c:pt>
                <c:pt idx="33">
                  <c:v>10482.680645895343</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 ##0_-;\-* #\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 ##0_-;\-* #\ ##0_-;_-* "-"??_-;_-@_-</c:formatCode>
                <c:ptCount val="34"/>
                <c:pt idx="0">
                  <c:v>2912.8310946643915</c:v>
                </c:pt>
                <c:pt idx="1">
                  <c:v>2839.8920266362888</c:v>
                </c:pt>
                <c:pt idx="2">
                  <c:v>2790.1340039583492</c:v>
                </c:pt>
                <c:pt idx="3">
                  <c:v>2714.9921597943135</c:v>
                </c:pt>
                <c:pt idx="4">
                  <c:v>2494.1333457123815</c:v>
                </c:pt>
                <c:pt idx="5">
                  <c:v>2073.8501360922724</c:v>
                </c:pt>
                <c:pt idx="6">
                  <c:v>1966.1161269315601</c:v>
                </c:pt>
                <c:pt idx="7">
                  <c:v>1857.2328813636757</c:v>
                </c:pt>
                <c:pt idx="8">
                  <c:v>1747.0220139936384</c:v>
                </c:pt>
                <c:pt idx="9">
                  <c:v>1634.957541338767</c:v>
                </c:pt>
                <c:pt idx="10">
                  <c:v>1520.9251734875288</c:v>
                </c:pt>
                <c:pt idx="11">
                  <c:v>1404.8062942444512</c:v>
                </c:pt>
                <c:pt idx="12">
                  <c:v>1286.4775133126673</c:v>
                </c:pt>
                <c:pt idx="13">
                  <c:v>1165.8101879934081</c:v>
                </c:pt>
                <c:pt idx="14">
                  <c:v>1028.1312432856109</c:v>
                </c:pt>
                <c:pt idx="15">
                  <c:v>891.39852761686427</c:v>
                </c:pt>
                <c:pt idx="16">
                  <c:v>888.8869633808855</c:v>
                </c:pt>
                <c:pt idx="17">
                  <c:v>886.48854187169172</c:v>
                </c:pt>
                <c:pt idx="18">
                  <c:v>884.19956416050832</c:v>
                </c:pt>
                <c:pt idx="19">
                  <c:v>882.01073757050824</c:v>
                </c:pt>
                <c:pt idx="20">
                  <c:v>879.9189945089214</c:v>
                </c:pt>
                <c:pt idx="21">
                  <c:v>877.92144363063971</c:v>
                </c:pt>
                <c:pt idx="22">
                  <c:v>876.01536035309903</c:v>
                </c:pt>
                <c:pt idx="23">
                  <c:v>874.19817808141352</c:v>
                </c:pt>
                <c:pt idx="24">
                  <c:v>872.46175688239703</c:v>
                </c:pt>
                <c:pt idx="25">
                  <c:v>870.80398581212808</c:v>
                </c:pt>
                <c:pt idx="26">
                  <c:v>869.2228725257296</c:v>
                </c:pt>
                <c:pt idx="27">
                  <c:v>867.7165377070761</c:v>
                </c:pt>
                <c:pt idx="28">
                  <c:v>866.28320989535655</c:v>
                </c:pt>
                <c:pt idx="29">
                  <c:v>864.92100040387356</c:v>
                </c:pt>
                <c:pt idx="30">
                  <c:v>863.62834447628131</c:v>
                </c:pt>
                <c:pt idx="31">
                  <c:v>862.4037712450687</c:v>
                </c:pt>
                <c:pt idx="32">
                  <c:v>861.24589991810944</c:v>
                </c:pt>
                <c:pt idx="33">
                  <c:v>860.15343624439436</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 ##0_-;\-* #\ ##0_-;_-* "-"??_-;_-@_-</c:formatCode>
                <c:ptCount val="34"/>
                <c:pt idx="0">
                  <c:v>68439.708347615408</c:v>
                </c:pt>
                <c:pt idx="1">
                  <c:v>64333.325846758482</c:v>
                </c:pt>
                <c:pt idx="2">
                  <c:v>60911.340429377713</c:v>
                </c:pt>
                <c:pt idx="3">
                  <c:v>55436.163761568481</c:v>
                </c:pt>
                <c:pt idx="4">
                  <c:v>44485.810425950018</c:v>
                </c:pt>
                <c:pt idx="5">
                  <c:v>40704.72849165908</c:v>
                </c:pt>
                <c:pt idx="6">
                  <c:v>38660.682866758725</c:v>
                </c:pt>
                <c:pt idx="7">
                  <c:v>37730.304068737532</c:v>
                </c:pt>
                <c:pt idx="8">
                  <c:v>36077.67435932321</c:v>
                </c:pt>
                <c:pt idx="9">
                  <c:v>33516.327154471153</c:v>
                </c:pt>
                <c:pt idx="10">
                  <c:v>31599.38977819687</c:v>
                </c:pt>
                <c:pt idx="11">
                  <c:v>29548.302147941758</c:v>
                </c:pt>
                <c:pt idx="12">
                  <c:v>27871.282022494619</c:v>
                </c:pt>
                <c:pt idx="13">
                  <c:v>24754.676468908514</c:v>
                </c:pt>
                <c:pt idx="14">
                  <c:v>23408.554266683659</c:v>
                </c:pt>
                <c:pt idx="15">
                  <c:v>21800.958406186517</c:v>
                </c:pt>
                <c:pt idx="16">
                  <c:v>21313.179602187014</c:v>
                </c:pt>
                <c:pt idx="17">
                  <c:v>19291.628085750377</c:v>
                </c:pt>
                <c:pt idx="18">
                  <c:v>14867.918551617049</c:v>
                </c:pt>
                <c:pt idx="19">
                  <c:v>13687.941669523072</c:v>
                </c:pt>
                <c:pt idx="20">
                  <c:v>13687.941669523079</c:v>
                </c:pt>
                <c:pt idx="21">
                  <c:v>13687.941669523078</c:v>
                </c:pt>
                <c:pt idx="22">
                  <c:v>13687.941669523078</c:v>
                </c:pt>
                <c:pt idx="23">
                  <c:v>13687.941669523083</c:v>
                </c:pt>
                <c:pt idx="24">
                  <c:v>13687.941669523079</c:v>
                </c:pt>
                <c:pt idx="25">
                  <c:v>13687.941669523074</c:v>
                </c:pt>
                <c:pt idx="26">
                  <c:v>13687.941669523079</c:v>
                </c:pt>
                <c:pt idx="27">
                  <c:v>13687.941669523076</c:v>
                </c:pt>
                <c:pt idx="28">
                  <c:v>13687.941669523083</c:v>
                </c:pt>
                <c:pt idx="29">
                  <c:v>13687.941669523087</c:v>
                </c:pt>
                <c:pt idx="30">
                  <c:v>13687.941669523078</c:v>
                </c:pt>
                <c:pt idx="31">
                  <c:v>13687.941669523083</c:v>
                </c:pt>
                <c:pt idx="32">
                  <c:v>13687.941669523083</c:v>
                </c:pt>
                <c:pt idx="33">
                  <c:v>13687.941669523072</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 ##0_-;\-* #\ ##0_-;_-* "-"??_-;_-@_-</c:formatCode>
                <c:ptCount val="34"/>
                <c:pt idx="0">
                  <c:v>6080.5670370000007</c:v>
                </c:pt>
                <c:pt idx="1">
                  <c:v>7449.3121878932852</c:v>
                </c:pt>
                <c:pt idx="2">
                  <c:v>10295.34070894855</c:v>
                </c:pt>
                <c:pt idx="3">
                  <c:v>11096.944848116838</c:v>
                </c:pt>
                <c:pt idx="4">
                  <c:v>12554.321363546935</c:v>
                </c:pt>
                <c:pt idx="5">
                  <c:v>13902.327682230418</c:v>
                </c:pt>
                <c:pt idx="6">
                  <c:v>15108.837876902802</c:v>
                </c:pt>
                <c:pt idx="7">
                  <c:v>16617.136621700181</c:v>
                </c:pt>
                <c:pt idx="8">
                  <c:v>17886.426692415222</c:v>
                </c:pt>
                <c:pt idx="9">
                  <c:v>18724.863724353592</c:v>
                </c:pt>
                <c:pt idx="10">
                  <c:v>19729.53817019931</c:v>
                </c:pt>
                <c:pt idx="11">
                  <c:v>20584.753727672942</c:v>
                </c:pt>
                <c:pt idx="12">
                  <c:v>21585.796083622205</c:v>
                </c:pt>
                <c:pt idx="13">
                  <c:v>21546.30388650671</c:v>
                </c:pt>
                <c:pt idx="14">
                  <c:v>20774.895279975164</c:v>
                </c:pt>
                <c:pt idx="15">
                  <c:v>19835.018883549397</c:v>
                </c:pt>
                <c:pt idx="16">
                  <c:v>19664.905704325913</c:v>
                </c:pt>
                <c:pt idx="17">
                  <c:v>18486.314467814744</c:v>
                </c:pt>
                <c:pt idx="18">
                  <c:v>15672.131180172722</c:v>
                </c:pt>
                <c:pt idx="19">
                  <c:v>10518.495006649337</c:v>
                </c:pt>
                <c:pt idx="20">
                  <c:v>8659.2387300236496</c:v>
                </c:pt>
                <c:pt idx="21">
                  <c:v>8187.8851714053408</c:v>
                </c:pt>
                <c:pt idx="22">
                  <c:v>7727.6109861484929</c:v>
                </c:pt>
                <c:pt idx="23">
                  <c:v>7267.8955866785645</c:v>
                </c:pt>
                <c:pt idx="24">
                  <c:v>7403.681474340985</c:v>
                </c:pt>
                <c:pt idx="25">
                  <c:v>7542.4058045036199</c:v>
                </c:pt>
                <c:pt idx="26">
                  <c:v>7686.0243274207023</c:v>
                </c:pt>
                <c:pt idx="27">
                  <c:v>7837.1960926989841</c:v>
                </c:pt>
                <c:pt idx="28">
                  <c:v>7996.9037925844377</c:v>
                </c:pt>
                <c:pt idx="29">
                  <c:v>8144.1218540337695</c:v>
                </c:pt>
                <c:pt idx="30">
                  <c:v>8205.9709351736819</c:v>
                </c:pt>
                <c:pt idx="31">
                  <c:v>8258.2532182719169</c:v>
                </c:pt>
                <c:pt idx="32">
                  <c:v>8310.063423722584</c:v>
                </c:pt>
                <c:pt idx="33">
                  <c:v>8358.9833578615653</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 ##0_-;\-* #\ ##0_-;_-* "-"??_-;_-@_-</c:formatCode>
                <c:ptCount val="34"/>
                <c:pt idx="0">
                  <c:v>1694.9190000000001</c:v>
                </c:pt>
                <c:pt idx="1">
                  <c:v>1789.9687605419947</c:v>
                </c:pt>
                <c:pt idx="2">
                  <c:v>2562.5527582487894</c:v>
                </c:pt>
                <c:pt idx="3">
                  <c:v>2560.9621544777392</c:v>
                </c:pt>
                <c:pt idx="4">
                  <c:v>2937.5012039878866</c:v>
                </c:pt>
                <c:pt idx="5">
                  <c:v>3148.72204906348</c:v>
                </c:pt>
                <c:pt idx="6">
                  <c:v>3204.8349418807438</c:v>
                </c:pt>
                <c:pt idx="7">
                  <c:v>3265.0525952906887</c:v>
                </c:pt>
                <c:pt idx="8">
                  <c:v>3322.0462446854558</c:v>
                </c:pt>
                <c:pt idx="9">
                  <c:v>3371.5806470164412</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 ##0_-;\-* #\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 ##0_-;\-* #\ ##0_-;_-* "-"??_-;_-@_-</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 ##0_-;\-* #\ ##0_-;_-* "-"??_-;_-@_-</c:formatCode>
                <c:ptCount val="34"/>
                <c:pt idx="0">
                  <c:v>68439.708347615408</c:v>
                </c:pt>
                <c:pt idx="1">
                  <c:v>64333.325846758482</c:v>
                </c:pt>
                <c:pt idx="2">
                  <c:v>60911.340429377713</c:v>
                </c:pt>
                <c:pt idx="3">
                  <c:v>55436.163761568481</c:v>
                </c:pt>
                <c:pt idx="4">
                  <c:v>44485.810425950018</c:v>
                </c:pt>
                <c:pt idx="5">
                  <c:v>40704.72849165908</c:v>
                </c:pt>
                <c:pt idx="6">
                  <c:v>38660.682866758725</c:v>
                </c:pt>
                <c:pt idx="7">
                  <c:v>37730.304068737532</c:v>
                </c:pt>
                <c:pt idx="8">
                  <c:v>36077.67435932321</c:v>
                </c:pt>
                <c:pt idx="9">
                  <c:v>33516.327154471153</c:v>
                </c:pt>
                <c:pt idx="10">
                  <c:v>31599.38977819687</c:v>
                </c:pt>
                <c:pt idx="11">
                  <c:v>29548.302147941758</c:v>
                </c:pt>
                <c:pt idx="12">
                  <c:v>27871.282022494619</c:v>
                </c:pt>
                <c:pt idx="13">
                  <c:v>24754.676468908514</c:v>
                </c:pt>
                <c:pt idx="14">
                  <c:v>23408.554266683659</c:v>
                </c:pt>
                <c:pt idx="15">
                  <c:v>21800.958406186517</c:v>
                </c:pt>
                <c:pt idx="16">
                  <c:v>21313.179602187014</c:v>
                </c:pt>
                <c:pt idx="17">
                  <c:v>19291.628085750377</c:v>
                </c:pt>
                <c:pt idx="18">
                  <c:v>14867.918551617049</c:v>
                </c:pt>
                <c:pt idx="19">
                  <c:v>13687.941669523072</c:v>
                </c:pt>
                <c:pt idx="20">
                  <c:v>13687.941669523079</c:v>
                </c:pt>
                <c:pt idx="21">
                  <c:v>13687.941669523078</c:v>
                </c:pt>
                <c:pt idx="22">
                  <c:v>13687.941669523078</c:v>
                </c:pt>
                <c:pt idx="23">
                  <c:v>13687.941669523083</c:v>
                </c:pt>
                <c:pt idx="24">
                  <c:v>13687.941669523079</c:v>
                </c:pt>
                <c:pt idx="25">
                  <c:v>13687.941669523074</c:v>
                </c:pt>
                <c:pt idx="26">
                  <c:v>13687.941669523079</c:v>
                </c:pt>
                <c:pt idx="27">
                  <c:v>13687.941669523076</c:v>
                </c:pt>
                <c:pt idx="28">
                  <c:v>13687.941669523083</c:v>
                </c:pt>
                <c:pt idx="29">
                  <c:v>13687.941669523087</c:v>
                </c:pt>
                <c:pt idx="30">
                  <c:v>13687.941669523078</c:v>
                </c:pt>
                <c:pt idx="31">
                  <c:v>13687.941669523083</c:v>
                </c:pt>
                <c:pt idx="32">
                  <c:v>13687.941669523083</c:v>
                </c:pt>
                <c:pt idx="33">
                  <c:v>13687.941669523072</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 ##0_-;\-* #\ ##0_-;_-* "-"??_-;_-@_-</c:formatCode>
                <c:ptCount val="34"/>
                <c:pt idx="0">
                  <c:v>6080.5670370000007</c:v>
                </c:pt>
                <c:pt idx="1">
                  <c:v>7449.3121878932852</c:v>
                </c:pt>
                <c:pt idx="2">
                  <c:v>10295.34070894855</c:v>
                </c:pt>
                <c:pt idx="3">
                  <c:v>11096.944848116838</c:v>
                </c:pt>
                <c:pt idx="4">
                  <c:v>12554.321363546935</c:v>
                </c:pt>
                <c:pt idx="5">
                  <c:v>13902.327682230418</c:v>
                </c:pt>
                <c:pt idx="6">
                  <c:v>15108.837876902802</c:v>
                </c:pt>
                <c:pt idx="7">
                  <c:v>16617.136621700181</c:v>
                </c:pt>
                <c:pt idx="8">
                  <c:v>17886.426692415222</c:v>
                </c:pt>
                <c:pt idx="9">
                  <c:v>18724.863724353592</c:v>
                </c:pt>
                <c:pt idx="10">
                  <c:v>19729.53817019931</c:v>
                </c:pt>
                <c:pt idx="11">
                  <c:v>20584.753727672942</c:v>
                </c:pt>
                <c:pt idx="12">
                  <c:v>21585.796083622205</c:v>
                </c:pt>
                <c:pt idx="13">
                  <c:v>21546.30388650671</c:v>
                </c:pt>
                <c:pt idx="14">
                  <c:v>20774.895279975164</c:v>
                </c:pt>
                <c:pt idx="15">
                  <c:v>19835.018883549397</c:v>
                </c:pt>
                <c:pt idx="16">
                  <c:v>19664.905704325913</c:v>
                </c:pt>
                <c:pt idx="17">
                  <c:v>18486.314467814744</c:v>
                </c:pt>
                <c:pt idx="18">
                  <c:v>15672.131180172722</c:v>
                </c:pt>
                <c:pt idx="19">
                  <c:v>10518.495006649337</c:v>
                </c:pt>
                <c:pt idx="20">
                  <c:v>8659.2387300236496</c:v>
                </c:pt>
                <c:pt idx="21">
                  <c:v>8187.8851714053408</c:v>
                </c:pt>
                <c:pt idx="22">
                  <c:v>7727.6109861484929</c:v>
                </c:pt>
                <c:pt idx="23">
                  <c:v>7267.8955866785645</c:v>
                </c:pt>
                <c:pt idx="24">
                  <c:v>7403.681474340985</c:v>
                </c:pt>
                <c:pt idx="25">
                  <c:v>7542.4058045036199</c:v>
                </c:pt>
                <c:pt idx="26">
                  <c:v>7686.0243274207023</c:v>
                </c:pt>
                <c:pt idx="27">
                  <c:v>7837.1960926989841</c:v>
                </c:pt>
                <c:pt idx="28">
                  <c:v>7996.9037925844377</c:v>
                </c:pt>
                <c:pt idx="29">
                  <c:v>8144.1218540337695</c:v>
                </c:pt>
                <c:pt idx="30">
                  <c:v>8205.9709351736819</c:v>
                </c:pt>
                <c:pt idx="31">
                  <c:v>8258.2532182719169</c:v>
                </c:pt>
                <c:pt idx="32">
                  <c:v>8310.063423722584</c:v>
                </c:pt>
                <c:pt idx="33">
                  <c:v>8358.9833578615653</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2562.5527582487894</c:v>
                </c:pt>
                <c:pt idx="3">
                  <c:v>2560.9621544777392</c:v>
                </c:pt>
                <c:pt idx="4">
                  <c:v>2937.5012039878866</c:v>
                </c:pt>
                <c:pt idx="5">
                  <c:v>3148.72204906348</c:v>
                </c:pt>
                <c:pt idx="6">
                  <c:v>3204.8349418807438</c:v>
                </c:pt>
                <c:pt idx="7">
                  <c:v>3265.0525952906887</c:v>
                </c:pt>
                <c:pt idx="8">
                  <c:v>3322.0462446854558</c:v>
                </c:pt>
                <c:pt idx="9">
                  <c:v>3371.5806470164412</c:v>
                </c:pt>
                <c:pt idx="10">
                  <c:v>3420.7616593626267</c:v>
                </c:pt>
                <c:pt idx="11">
                  <c:v>3471.0300255081979</c:v>
                </c:pt>
                <c:pt idx="12">
                  <c:v>3537.8044223284328</c:v>
                </c:pt>
                <c:pt idx="13">
                  <c:v>3597.8752829754594</c:v>
                </c:pt>
                <c:pt idx="14">
                  <c:v>3668.9827846862445</c:v>
                </c:pt>
                <c:pt idx="15">
                  <c:v>3743.3904051781628</c:v>
                </c:pt>
                <c:pt idx="16">
                  <c:v>3830.9006389526726</c:v>
                </c:pt>
                <c:pt idx="17">
                  <c:v>3926.3322451557001</c:v>
                </c:pt>
                <c:pt idx="18">
                  <c:v>4002.4905052646268</c:v>
                </c:pt>
                <c:pt idx="19">
                  <c:v>4078.7466272155002</c:v>
                </c:pt>
                <c:pt idx="20">
                  <c:v>4167.9694432240412</c:v>
                </c:pt>
                <c:pt idx="21">
                  <c:v>4255.0991031687627</c:v>
                </c:pt>
                <c:pt idx="22">
                  <c:v>4348.4810474599535</c:v>
                </c:pt>
                <c:pt idx="23">
                  <c:v>4442.1783243529617</c:v>
                </c:pt>
                <c:pt idx="24">
                  <c:v>4547.532033975378</c:v>
                </c:pt>
                <c:pt idx="25">
                  <c:v>4654.5439581418577</c:v>
                </c:pt>
                <c:pt idx="26">
                  <c:v>4764.3177609587738</c:v>
                </c:pt>
                <c:pt idx="27">
                  <c:v>4878.3539906692804</c:v>
                </c:pt>
                <c:pt idx="28">
                  <c:v>4997.2071977110627</c:v>
                </c:pt>
                <c:pt idx="29">
                  <c:v>5124.3025465521841</c:v>
                </c:pt>
                <c:pt idx="30">
                  <c:v>5203.2226853115508</c:v>
                </c:pt>
                <c:pt idx="31">
                  <c:v>5276.7441124569687</c:v>
                </c:pt>
                <c:pt idx="32">
                  <c:v>5349.9991379215398</c:v>
                </c:pt>
                <c:pt idx="33">
                  <c:v>5421.623132687032</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16063.083173470395</c:v>
                </c:pt>
                <c:pt idx="3">
                  <c:v>15051.060093734426</c:v>
                </c:pt>
                <c:pt idx="4">
                  <c:v>15555.641557701811</c:v>
                </c:pt>
                <c:pt idx="5">
                  <c:v>15960.769388784185</c:v>
                </c:pt>
                <c:pt idx="6">
                  <c:v>16334.435550053271</c:v>
                </c:pt>
                <c:pt idx="7">
                  <c:v>16735.436073473149</c:v>
                </c:pt>
                <c:pt idx="8">
                  <c:v>17114.967356157376</c:v>
                </c:pt>
                <c:pt idx="9">
                  <c:v>17444.826129078869</c:v>
                </c:pt>
                <c:pt idx="10">
                  <c:v>17772.331612543669</c:v>
                </c:pt>
                <c:pt idx="11">
                  <c:v>18107.077986644446</c:v>
                </c:pt>
                <c:pt idx="12">
                  <c:v>18551.741080599193</c:v>
                </c:pt>
                <c:pt idx="13">
                  <c:v>18951.764083783208</c:v>
                </c:pt>
                <c:pt idx="14">
                  <c:v>19425.282126922295</c:v>
                </c:pt>
                <c:pt idx="15">
                  <c:v>19920.776273141539</c:v>
                </c:pt>
                <c:pt idx="16">
                  <c:v>20503.523151524198</c:v>
                </c:pt>
                <c:pt idx="17">
                  <c:v>21139.019918189864</c:v>
                </c:pt>
                <c:pt idx="18">
                  <c:v>21646.171898333007</c:v>
                </c:pt>
                <c:pt idx="19">
                  <c:v>22153.975558633399</c:v>
                </c:pt>
                <c:pt idx="20">
                  <c:v>22748.126839767705</c:v>
                </c:pt>
                <c:pt idx="21">
                  <c:v>23328.33940642776</c:v>
                </c:pt>
                <c:pt idx="22">
                  <c:v>23950.187094244651</c:v>
                </c:pt>
                <c:pt idx="23">
                  <c:v>24574.134640345954</c:v>
                </c:pt>
                <c:pt idx="24">
                  <c:v>25275.704534064822</c:v>
                </c:pt>
                <c:pt idx="25">
                  <c:v>25988.316786003554</c:v>
                </c:pt>
                <c:pt idx="26">
                  <c:v>26719.320900157629</c:v>
                </c:pt>
                <c:pt idx="27">
                  <c:v>27478.709305604705</c:v>
                </c:pt>
                <c:pt idx="28">
                  <c:v>28270.174856569116</c:v>
                </c:pt>
                <c:pt idx="29">
                  <c:v>29116.526358554158</c:v>
                </c:pt>
                <c:pt idx="30">
                  <c:v>29642.070200912669</c:v>
                </c:pt>
                <c:pt idx="31">
                  <c:v>30131.663021263586</c:v>
                </c:pt>
                <c:pt idx="32">
                  <c:v>30619.481823408714</c:v>
                </c:pt>
                <c:pt idx="33">
                  <c:v>31096.439289599883</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111.90638849318943</c:v>
                </c:pt>
                <c:pt idx="10">
                  <c:v>107.36741512404284</c:v>
                </c:pt>
                <c:pt idx="11">
                  <c:v>105.35762365377846</c:v>
                </c:pt>
                <c:pt idx="12">
                  <c:v>103.38172457476958</c:v>
                </c:pt>
                <c:pt idx="13">
                  <c:v>101.51001465601369</c:v>
                </c:pt>
                <c:pt idx="14">
                  <c:v>100.02658365273933</c:v>
                </c:pt>
                <c:pt idx="15">
                  <c:v>98.601248566647257</c:v>
                </c:pt>
                <c:pt idx="16">
                  <c:v>97.109666219370922</c:v>
                </c:pt>
                <c:pt idx="17">
                  <c:v>95.887580949182947</c:v>
                </c:pt>
                <c:pt idx="18">
                  <c:v>94.345524547893817</c:v>
                </c:pt>
                <c:pt idx="19">
                  <c:v>93.497095528842735</c:v>
                </c:pt>
                <c:pt idx="20">
                  <c:v>91.668342730936189</c:v>
                </c:pt>
                <c:pt idx="21">
                  <c:v>90.399623350720134</c:v>
                </c:pt>
                <c:pt idx="22">
                  <c:v>89.116085106183661</c:v>
                </c:pt>
                <c:pt idx="23">
                  <c:v>88.369052765934953</c:v>
                </c:pt>
                <c:pt idx="24">
                  <c:v>87.223629761411757</c:v>
                </c:pt>
                <c:pt idx="25">
                  <c:v>85.132425469599923</c:v>
                </c:pt>
                <c:pt idx="26">
                  <c:v>81.907793040847878</c:v>
                </c:pt>
                <c:pt idx="27">
                  <c:v>80.709030187327784</c:v>
                </c:pt>
                <c:pt idx="28">
                  <c:v>80.114258371324183</c:v>
                </c:pt>
                <c:pt idx="29">
                  <c:v>79.609905041867577</c:v>
                </c:pt>
                <c:pt idx="30">
                  <c:v>79.138775890001838</c:v>
                </c:pt>
                <c:pt idx="31">
                  <c:v>78.629897691840071</c:v>
                </c:pt>
                <c:pt idx="32">
                  <c:v>78.206341736930185</c:v>
                </c:pt>
                <c:pt idx="33">
                  <c:v>77.874609451613395</c:v>
                </c:pt>
                <c:pt idx="34">
                  <c:v>77.645156874190249</c:v>
                </c:pt>
                <c:pt idx="35">
                  <c:v>77.519718179302984</c:v>
                </c:pt>
                <c:pt idx="36">
                  <c:v>77.513749551694858</c:v>
                </c:pt>
                <c:pt idx="37">
                  <c:v>77.105585619816324</c:v>
                </c:pt>
                <c:pt idx="38">
                  <c:v>76.917932461084646</c:v>
                </c:pt>
                <c:pt idx="39">
                  <c:v>76.774041351892848</c:v>
                </c:pt>
                <c:pt idx="40">
                  <c:v>76.658406388042053</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111.90638849318943</c:v>
                </c:pt>
                <c:pt idx="10">
                  <c:v>107.36741512404284</c:v>
                </c:pt>
                <c:pt idx="11">
                  <c:v>105.35762365377846</c:v>
                </c:pt>
                <c:pt idx="12">
                  <c:v>103.38172457476958</c:v>
                </c:pt>
                <c:pt idx="13">
                  <c:v>101.51001465601369</c:v>
                </c:pt>
                <c:pt idx="14">
                  <c:v>100.02658365273933</c:v>
                </c:pt>
                <c:pt idx="15">
                  <c:v>98.601248566647257</c:v>
                </c:pt>
                <c:pt idx="16">
                  <c:v>97.109666219370922</c:v>
                </c:pt>
                <c:pt idx="17">
                  <c:v>95.887580949182947</c:v>
                </c:pt>
                <c:pt idx="18">
                  <c:v>94.345524547893817</c:v>
                </c:pt>
                <c:pt idx="19">
                  <c:v>93.497095528842735</c:v>
                </c:pt>
                <c:pt idx="20">
                  <c:v>91.668342730936189</c:v>
                </c:pt>
                <c:pt idx="21">
                  <c:v>90.399623350720134</c:v>
                </c:pt>
                <c:pt idx="22">
                  <c:v>89.116085106183661</c:v>
                </c:pt>
                <c:pt idx="23">
                  <c:v>88.369052765934953</c:v>
                </c:pt>
                <c:pt idx="24">
                  <c:v>87.223629761411757</c:v>
                </c:pt>
                <c:pt idx="25">
                  <c:v>85.132425469599923</c:v>
                </c:pt>
                <c:pt idx="26">
                  <c:v>81.907793040847878</c:v>
                </c:pt>
                <c:pt idx="27">
                  <c:v>80.709030187327784</c:v>
                </c:pt>
                <c:pt idx="28">
                  <c:v>80.114258371324183</c:v>
                </c:pt>
                <c:pt idx="29">
                  <c:v>79.609905041867577</c:v>
                </c:pt>
                <c:pt idx="30">
                  <c:v>79.138775890001838</c:v>
                </c:pt>
                <c:pt idx="31">
                  <c:v>78.629897691840071</c:v>
                </c:pt>
                <c:pt idx="32">
                  <c:v>78.206341736930185</c:v>
                </c:pt>
                <c:pt idx="33">
                  <c:v>77.874609451613395</c:v>
                </c:pt>
                <c:pt idx="34">
                  <c:v>77.645156874190249</c:v>
                </c:pt>
                <c:pt idx="35">
                  <c:v>77.519718179302984</c:v>
                </c:pt>
                <c:pt idx="36">
                  <c:v>77.513749551694858</c:v>
                </c:pt>
                <c:pt idx="37">
                  <c:v>77.105585619816324</c:v>
                </c:pt>
                <c:pt idx="38">
                  <c:v>76.917932461084646</c:v>
                </c:pt>
                <c:pt idx="39">
                  <c:v>76.774041351892848</c:v>
                </c:pt>
                <c:pt idx="40">
                  <c:v>76.658406388042053</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113.54788737648573</c:v>
                </c:pt>
                <c:pt idx="10">
                  <c:v>107.71993373767972</c:v>
                </c:pt>
                <c:pt idx="11">
                  <c:v>98.528476167232299</c:v>
                </c:pt>
                <c:pt idx="12">
                  <c:v>95.435016155135301</c:v>
                </c:pt>
                <c:pt idx="13">
                  <c:v>94.790706690904059</c:v>
                </c:pt>
                <c:pt idx="14">
                  <c:v>95.588678713307871</c:v>
                </c:pt>
                <c:pt idx="15">
                  <c:v>95.395398062643622</c:v>
                </c:pt>
                <c:pt idx="16">
                  <c:v>93.80407274357124</c:v>
                </c:pt>
                <c:pt idx="17">
                  <c:v>93.019078292560408</c:v>
                </c:pt>
                <c:pt idx="18">
                  <c:v>91.956918602423812</c:v>
                </c:pt>
                <c:pt idx="19">
                  <c:v>91.538909395017598</c:v>
                </c:pt>
                <c:pt idx="20">
                  <c:v>88.586979917577395</c:v>
                </c:pt>
                <c:pt idx="21">
                  <c:v>86.622143824658352</c:v>
                </c:pt>
                <c:pt idx="22">
                  <c:v>84.251840409453891</c:v>
                </c:pt>
                <c:pt idx="23">
                  <c:v>84.338210155690433</c:v>
                </c:pt>
                <c:pt idx="24">
                  <c:v>81.94125368542737</c:v>
                </c:pt>
                <c:pt idx="25">
                  <c:v>75.357124308723471</c:v>
                </c:pt>
                <c:pt idx="26">
                  <c:v>69.676347383600515</c:v>
                </c:pt>
                <c:pt idx="27">
                  <c:v>68.567513681280332</c:v>
                </c:pt>
                <c:pt idx="28">
                  <c:v>68.828773078815559</c:v>
                </c:pt>
                <c:pt idx="29">
                  <c:v>69.147172812440928</c:v>
                </c:pt>
                <c:pt idx="30">
                  <c:v>69.466672609461753</c:v>
                </c:pt>
                <c:pt idx="31">
                  <c:v>70.469231276297435</c:v>
                </c:pt>
                <c:pt idx="32">
                  <c:v>71.485666776292149</c:v>
                </c:pt>
                <c:pt idx="33">
                  <c:v>72.52634813795639</c:v>
                </c:pt>
                <c:pt idx="34">
                  <c:v>73.605388627281442</c:v>
                </c:pt>
                <c:pt idx="35">
                  <c:v>74.727980742988066</c:v>
                </c:pt>
                <c:pt idx="36">
                  <c:v>75.899304727741267</c:v>
                </c:pt>
                <c:pt idx="37">
                  <c:v>76.614335235849452</c:v>
                </c:pt>
                <c:pt idx="38">
                  <c:v>77.27647379436786</c:v>
                </c:pt>
                <c:pt idx="39">
                  <c:v>77.934091927004005</c:v>
                </c:pt>
                <c:pt idx="40">
                  <c:v>78.574288293818029</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113.54788737648573</c:v>
                </c:pt>
                <c:pt idx="10">
                  <c:v>107.71993373767972</c:v>
                </c:pt>
                <c:pt idx="11">
                  <c:v>98.528476167232299</c:v>
                </c:pt>
                <c:pt idx="12">
                  <c:v>95.435016155135301</c:v>
                </c:pt>
                <c:pt idx="13">
                  <c:v>94.790706690904059</c:v>
                </c:pt>
                <c:pt idx="14">
                  <c:v>95.588678713307871</c:v>
                </c:pt>
                <c:pt idx="15">
                  <c:v>95.395398062643622</c:v>
                </c:pt>
                <c:pt idx="16">
                  <c:v>93.80407274357124</c:v>
                </c:pt>
                <c:pt idx="17">
                  <c:v>93.019078292560408</c:v>
                </c:pt>
                <c:pt idx="18">
                  <c:v>91.956918602423812</c:v>
                </c:pt>
                <c:pt idx="19">
                  <c:v>91.538909395017598</c:v>
                </c:pt>
                <c:pt idx="20">
                  <c:v>88.586979917577395</c:v>
                </c:pt>
                <c:pt idx="21">
                  <c:v>86.622143824658352</c:v>
                </c:pt>
                <c:pt idx="22">
                  <c:v>84.251840409453891</c:v>
                </c:pt>
                <c:pt idx="23">
                  <c:v>84.338210155690433</c:v>
                </c:pt>
                <c:pt idx="24">
                  <c:v>81.94125368542737</c:v>
                </c:pt>
                <c:pt idx="25">
                  <c:v>75.357124308723471</c:v>
                </c:pt>
                <c:pt idx="26">
                  <c:v>69.676347383600515</c:v>
                </c:pt>
                <c:pt idx="27">
                  <c:v>68.567513681280332</c:v>
                </c:pt>
                <c:pt idx="28">
                  <c:v>68.828773078815559</c:v>
                </c:pt>
                <c:pt idx="29">
                  <c:v>69.147172812440928</c:v>
                </c:pt>
                <c:pt idx="30">
                  <c:v>69.466672609461753</c:v>
                </c:pt>
                <c:pt idx="31">
                  <c:v>70.469231276297435</c:v>
                </c:pt>
                <c:pt idx="32">
                  <c:v>71.485666776292149</c:v>
                </c:pt>
                <c:pt idx="33">
                  <c:v>72.52634813795639</c:v>
                </c:pt>
                <c:pt idx="34">
                  <c:v>73.605388627281442</c:v>
                </c:pt>
                <c:pt idx="35">
                  <c:v>74.727980742988066</c:v>
                </c:pt>
                <c:pt idx="36">
                  <c:v>75.899304727741267</c:v>
                </c:pt>
                <c:pt idx="37">
                  <c:v>76.614335235849452</c:v>
                </c:pt>
                <c:pt idx="38">
                  <c:v>77.27647379436786</c:v>
                </c:pt>
                <c:pt idx="39">
                  <c:v>77.934091927004005</c:v>
                </c:pt>
                <c:pt idx="40">
                  <c:v>78.574288293818029</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113.54788737648573</c:v>
                </c:pt>
                <c:pt idx="10">
                  <c:v>107.71993373767972</c:v>
                </c:pt>
                <c:pt idx="11">
                  <c:v>98.528476167232299</c:v>
                </c:pt>
                <c:pt idx="12">
                  <c:v>95.435016155135301</c:v>
                </c:pt>
                <c:pt idx="13">
                  <c:v>94.790706690904059</c:v>
                </c:pt>
                <c:pt idx="14">
                  <c:v>95.588678713307857</c:v>
                </c:pt>
                <c:pt idx="15">
                  <c:v>95.395398062643622</c:v>
                </c:pt>
                <c:pt idx="16">
                  <c:v>93.80407274357124</c:v>
                </c:pt>
                <c:pt idx="17">
                  <c:v>93.019078292560408</c:v>
                </c:pt>
                <c:pt idx="18">
                  <c:v>91.956918602423812</c:v>
                </c:pt>
                <c:pt idx="19">
                  <c:v>91.538909395017598</c:v>
                </c:pt>
                <c:pt idx="20">
                  <c:v>88.586979917577395</c:v>
                </c:pt>
                <c:pt idx="21">
                  <c:v>86.622143824658352</c:v>
                </c:pt>
                <c:pt idx="22">
                  <c:v>84.251840409453891</c:v>
                </c:pt>
                <c:pt idx="23">
                  <c:v>84.338210155690433</c:v>
                </c:pt>
                <c:pt idx="24">
                  <c:v>81.94125368542737</c:v>
                </c:pt>
                <c:pt idx="25">
                  <c:v>75.357124308723471</c:v>
                </c:pt>
                <c:pt idx="26">
                  <c:v>69.676347383600515</c:v>
                </c:pt>
                <c:pt idx="27">
                  <c:v>68.567513681280332</c:v>
                </c:pt>
                <c:pt idx="28">
                  <c:v>68.828773078815559</c:v>
                </c:pt>
                <c:pt idx="29">
                  <c:v>69.147172812440928</c:v>
                </c:pt>
                <c:pt idx="30">
                  <c:v>69.466672609461753</c:v>
                </c:pt>
                <c:pt idx="31">
                  <c:v>70.469231276297435</c:v>
                </c:pt>
                <c:pt idx="32">
                  <c:v>71.485666776292149</c:v>
                </c:pt>
                <c:pt idx="33">
                  <c:v>72.52634813795639</c:v>
                </c:pt>
                <c:pt idx="34">
                  <c:v>73.605388627281442</c:v>
                </c:pt>
                <c:pt idx="35">
                  <c:v>74.727980742988066</c:v>
                </c:pt>
                <c:pt idx="36">
                  <c:v>75.899304727741267</c:v>
                </c:pt>
                <c:pt idx="37">
                  <c:v>76.614335235849452</c:v>
                </c:pt>
                <c:pt idx="38">
                  <c:v>77.27647379436786</c:v>
                </c:pt>
                <c:pt idx="39">
                  <c:v>77.934091927004005</c:v>
                </c:pt>
                <c:pt idx="40">
                  <c:v>78.574288293818029</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113.54788737648573</c:v>
                </c:pt>
                <c:pt idx="10">
                  <c:v>107.71993373767972</c:v>
                </c:pt>
                <c:pt idx="11">
                  <c:v>98.528476167232299</c:v>
                </c:pt>
                <c:pt idx="12">
                  <c:v>95.435016155135301</c:v>
                </c:pt>
                <c:pt idx="13">
                  <c:v>94.790706690904059</c:v>
                </c:pt>
                <c:pt idx="14">
                  <c:v>95.588678713307857</c:v>
                </c:pt>
                <c:pt idx="15">
                  <c:v>95.395398062643622</c:v>
                </c:pt>
                <c:pt idx="16">
                  <c:v>93.80407274357124</c:v>
                </c:pt>
                <c:pt idx="17">
                  <c:v>93.019078292560408</c:v>
                </c:pt>
                <c:pt idx="18">
                  <c:v>91.956918602423812</c:v>
                </c:pt>
                <c:pt idx="19">
                  <c:v>91.538909395017598</c:v>
                </c:pt>
                <c:pt idx="20">
                  <c:v>88.586979917577395</c:v>
                </c:pt>
                <c:pt idx="21">
                  <c:v>86.622143824658352</c:v>
                </c:pt>
                <c:pt idx="22">
                  <c:v>84.251840409453891</c:v>
                </c:pt>
                <c:pt idx="23">
                  <c:v>84.338210155690433</c:v>
                </c:pt>
                <c:pt idx="24">
                  <c:v>81.94125368542737</c:v>
                </c:pt>
                <c:pt idx="25">
                  <c:v>75.357124308723471</c:v>
                </c:pt>
                <c:pt idx="26">
                  <c:v>69.676347383600515</c:v>
                </c:pt>
                <c:pt idx="27">
                  <c:v>68.567513681280332</c:v>
                </c:pt>
                <c:pt idx="28">
                  <c:v>68.828773078815559</c:v>
                </c:pt>
                <c:pt idx="29">
                  <c:v>69.147172812440928</c:v>
                </c:pt>
                <c:pt idx="30">
                  <c:v>69.466672609461753</c:v>
                </c:pt>
                <c:pt idx="31">
                  <c:v>70.469231276297435</c:v>
                </c:pt>
                <c:pt idx="32">
                  <c:v>71.485666776292149</c:v>
                </c:pt>
                <c:pt idx="33">
                  <c:v>72.52634813795639</c:v>
                </c:pt>
                <c:pt idx="34">
                  <c:v>73.605388627281442</c:v>
                </c:pt>
                <c:pt idx="35">
                  <c:v>74.727980742988066</c:v>
                </c:pt>
                <c:pt idx="36">
                  <c:v>75.899304727741267</c:v>
                </c:pt>
                <c:pt idx="37">
                  <c:v>76.614335235849452</c:v>
                </c:pt>
                <c:pt idx="38">
                  <c:v>77.27647379436786</c:v>
                </c:pt>
                <c:pt idx="39">
                  <c:v>77.934091927004005</c:v>
                </c:pt>
                <c:pt idx="40">
                  <c:v>78.574288293818029</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0.36076998856317394</c:v>
                </c:pt>
                <c:pt idx="10">
                  <c:v>0.36833998584315464</c:v>
                </c:pt>
                <c:pt idx="11">
                  <c:v>0.38971349985823206</c:v>
                </c:pt>
                <c:pt idx="12">
                  <c:v>0.41034253147076877</c:v>
                </c:pt>
                <c:pt idx="13">
                  <c:v>0.43065103923376968</c:v>
                </c:pt>
                <c:pt idx="14">
                  <c:v>0.45220781363899443</c:v>
                </c:pt>
                <c:pt idx="15">
                  <c:v>0.47314306458919425</c:v>
                </c:pt>
                <c:pt idx="16">
                  <c:v>0.49282656142872167</c:v>
                </c:pt>
                <c:pt idx="17">
                  <c:v>0.51303197439720827</c:v>
                </c:pt>
                <c:pt idx="18">
                  <c:v>0.53077045270477707</c:v>
                </c:pt>
                <c:pt idx="19">
                  <c:v>0.54795248229254334</c:v>
                </c:pt>
                <c:pt idx="20">
                  <c:v>0.56591481061695725</c:v>
                </c:pt>
                <c:pt idx="21">
                  <c:v>0.57600453005111729</c:v>
                </c:pt>
                <c:pt idx="22">
                  <c:v>0.58584127457656199</c:v>
                </c:pt>
                <c:pt idx="23">
                  <c:v>0.59795972641978867</c:v>
                </c:pt>
                <c:pt idx="24">
                  <c:v>0.60805630116404441</c:v>
                </c:pt>
                <c:pt idx="25">
                  <c:v>0.6137390061107314</c:v>
                </c:pt>
                <c:pt idx="26">
                  <c:v>0.61400076987134833</c:v>
                </c:pt>
                <c:pt idx="27">
                  <c:v>0.62136094718791557</c:v>
                </c:pt>
                <c:pt idx="28">
                  <c:v>0.63229614293896186</c:v>
                </c:pt>
                <c:pt idx="29">
                  <c:v>0.64338880951351163</c:v>
                </c:pt>
                <c:pt idx="30">
                  <c:v>0.65436883226899756</c:v>
                </c:pt>
                <c:pt idx="31">
                  <c:v>0.67083783568875455</c:v>
                </c:pt>
                <c:pt idx="32">
                  <c:v>0.68695506395208727</c:v>
                </c:pt>
                <c:pt idx="33">
                  <c:v>0.70273620658294578</c:v>
                </c:pt>
                <c:pt idx="34">
                  <c:v>0.71820594464304699</c:v>
                </c:pt>
                <c:pt idx="35">
                  <c:v>0.73335078435143242</c:v>
                </c:pt>
                <c:pt idx="36">
                  <c:v>0.74820051367787443</c:v>
                </c:pt>
                <c:pt idx="37">
                  <c:v>0.76112097150394975</c:v>
                </c:pt>
                <c:pt idx="38">
                  <c:v>0.77199375873007126</c:v>
                </c:pt>
                <c:pt idx="39">
                  <c:v>0.78241883298744452</c:v>
                </c:pt>
                <c:pt idx="40">
                  <c:v>0.79236787306345446</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0.36076998856317394</c:v>
                </c:pt>
                <c:pt idx="10">
                  <c:v>0.36833998584315464</c:v>
                </c:pt>
                <c:pt idx="11">
                  <c:v>0.38971349985823206</c:v>
                </c:pt>
                <c:pt idx="12">
                  <c:v>0.41034253147076877</c:v>
                </c:pt>
                <c:pt idx="13">
                  <c:v>0.43065103923376968</c:v>
                </c:pt>
                <c:pt idx="14">
                  <c:v>0.45220781363899443</c:v>
                </c:pt>
                <c:pt idx="15">
                  <c:v>0.47314306458919425</c:v>
                </c:pt>
                <c:pt idx="16">
                  <c:v>0.49282656142872167</c:v>
                </c:pt>
                <c:pt idx="17">
                  <c:v>0.51303197439720827</c:v>
                </c:pt>
                <c:pt idx="18">
                  <c:v>0.53077045270477707</c:v>
                </c:pt>
                <c:pt idx="19">
                  <c:v>0.54795248229254334</c:v>
                </c:pt>
                <c:pt idx="20">
                  <c:v>0.56591481061695725</c:v>
                </c:pt>
                <c:pt idx="21">
                  <c:v>0.57600453005111729</c:v>
                </c:pt>
                <c:pt idx="22">
                  <c:v>0.58584127457656199</c:v>
                </c:pt>
                <c:pt idx="23">
                  <c:v>0.59795972641978867</c:v>
                </c:pt>
                <c:pt idx="24">
                  <c:v>0.60805630116404441</c:v>
                </c:pt>
                <c:pt idx="25">
                  <c:v>0.6137390061107314</c:v>
                </c:pt>
                <c:pt idx="26">
                  <c:v>0.61400076987134833</c:v>
                </c:pt>
                <c:pt idx="27">
                  <c:v>0.62136094718791557</c:v>
                </c:pt>
                <c:pt idx="28">
                  <c:v>0.63229614293896186</c:v>
                </c:pt>
                <c:pt idx="29">
                  <c:v>0.64338880951351163</c:v>
                </c:pt>
                <c:pt idx="30">
                  <c:v>0.65436883226899756</c:v>
                </c:pt>
                <c:pt idx="31">
                  <c:v>0.67083783568875455</c:v>
                </c:pt>
                <c:pt idx="32">
                  <c:v>0.68695506395208727</c:v>
                </c:pt>
                <c:pt idx="33">
                  <c:v>0.70273620658294578</c:v>
                </c:pt>
                <c:pt idx="34">
                  <c:v>0.71820594464304699</c:v>
                </c:pt>
                <c:pt idx="35">
                  <c:v>0.73335078435143242</c:v>
                </c:pt>
                <c:pt idx="36">
                  <c:v>0.74820051367787443</c:v>
                </c:pt>
                <c:pt idx="37">
                  <c:v>0.76112097150394975</c:v>
                </c:pt>
                <c:pt idx="38">
                  <c:v>0.77199375873007126</c:v>
                </c:pt>
                <c:pt idx="39">
                  <c:v>0.78241883298744452</c:v>
                </c:pt>
                <c:pt idx="40">
                  <c:v>0.79236787306345446</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0.37621447580546824</c:v>
                </c:pt>
                <c:pt idx="10">
                  <c:v>0.40157009918946829</c:v>
                </c:pt>
                <c:pt idx="11">
                  <c:v>0.47497989513788669</c:v>
                </c:pt>
                <c:pt idx="12">
                  <c:v>0.51509680516620993</c:v>
                </c:pt>
                <c:pt idx="13">
                  <c:v>0.53689154564038388</c:v>
                </c:pt>
                <c:pt idx="14">
                  <c:v>0.5539882076551309</c:v>
                </c:pt>
                <c:pt idx="15">
                  <c:v>0.57391312272489814</c:v>
                </c:pt>
                <c:pt idx="16">
                  <c:v>0.59755415715461579</c:v>
                </c:pt>
                <c:pt idx="17">
                  <c:v>0.61836000260903046</c:v>
                </c:pt>
                <c:pt idx="18">
                  <c:v>0.6398923243030854</c:v>
                </c:pt>
                <c:pt idx="19">
                  <c:v>0.66022043131359209</c:v>
                </c:pt>
                <c:pt idx="20">
                  <c:v>0.68785339922473643</c:v>
                </c:pt>
                <c:pt idx="21">
                  <c:v>0.70017272303827005</c:v>
                </c:pt>
                <c:pt idx="22">
                  <c:v>0.71478647130084183</c:v>
                </c:pt>
                <c:pt idx="23">
                  <c:v>0.72086215897728811</c:v>
                </c:pt>
                <c:pt idx="24">
                  <c:v>0.73736752350947032</c:v>
                </c:pt>
                <c:pt idx="25">
                  <c:v>0.77312397460965654</c:v>
                </c:pt>
                <c:pt idx="26">
                  <c:v>0.77156167675830989</c:v>
                </c:pt>
                <c:pt idx="27">
                  <c:v>0.76786750588769426</c:v>
                </c:pt>
                <c:pt idx="28">
                  <c:v>0.76874863151070516</c:v>
                </c:pt>
                <c:pt idx="29">
                  <c:v>0.76981346715231846</c:v>
                </c:pt>
                <c:pt idx="30">
                  <c:v>0.77087216980438333</c:v>
                </c:pt>
                <c:pt idx="31">
                  <c:v>0.77413194840300614</c:v>
                </c:pt>
                <c:pt idx="32">
                  <c:v>0.77734350557678589</c:v>
                </c:pt>
                <c:pt idx="33">
                  <c:v>0.78053840604742564</c:v>
                </c:pt>
                <c:pt idx="34">
                  <c:v>0.78375566975790967</c:v>
                </c:pt>
                <c:pt idx="35">
                  <c:v>0.78700417423752278</c:v>
                </c:pt>
                <c:pt idx="36">
                  <c:v>0.79029125466945604</c:v>
                </c:pt>
                <c:pt idx="37">
                  <c:v>0.79224843605420403</c:v>
                </c:pt>
                <c:pt idx="38">
                  <c:v>0.79402854213729268</c:v>
                </c:pt>
                <c:pt idx="39">
                  <c:v>0.79576655642791783</c:v>
                </c:pt>
                <c:pt idx="40">
                  <c:v>0.79743058051767912</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0.37621447580546824</c:v>
                </c:pt>
                <c:pt idx="10">
                  <c:v>0.40157009918946829</c:v>
                </c:pt>
                <c:pt idx="11">
                  <c:v>0.47497989513788669</c:v>
                </c:pt>
                <c:pt idx="12">
                  <c:v>0.51509680516620993</c:v>
                </c:pt>
                <c:pt idx="13">
                  <c:v>0.53689154564038388</c:v>
                </c:pt>
                <c:pt idx="14">
                  <c:v>0.5539882076551309</c:v>
                </c:pt>
                <c:pt idx="15">
                  <c:v>0.57391312272489814</c:v>
                </c:pt>
                <c:pt idx="16">
                  <c:v>0.59755415715461579</c:v>
                </c:pt>
                <c:pt idx="17">
                  <c:v>0.61836000260903046</c:v>
                </c:pt>
                <c:pt idx="18">
                  <c:v>0.6398923243030854</c:v>
                </c:pt>
                <c:pt idx="19">
                  <c:v>0.66022043131359209</c:v>
                </c:pt>
                <c:pt idx="20">
                  <c:v>0.68785339922473643</c:v>
                </c:pt>
                <c:pt idx="21">
                  <c:v>0.70017272303827005</c:v>
                </c:pt>
                <c:pt idx="22">
                  <c:v>0.71478647130084183</c:v>
                </c:pt>
                <c:pt idx="23">
                  <c:v>0.72086215897728811</c:v>
                </c:pt>
                <c:pt idx="24">
                  <c:v>0.73736752350947032</c:v>
                </c:pt>
                <c:pt idx="25">
                  <c:v>0.77312397460965654</c:v>
                </c:pt>
                <c:pt idx="26">
                  <c:v>0.77156167675830989</c:v>
                </c:pt>
                <c:pt idx="27">
                  <c:v>0.76786750588769426</c:v>
                </c:pt>
                <c:pt idx="28">
                  <c:v>0.76874863151070516</c:v>
                </c:pt>
                <c:pt idx="29">
                  <c:v>0.76981346715231846</c:v>
                </c:pt>
                <c:pt idx="30">
                  <c:v>0.77087216980438333</c:v>
                </c:pt>
                <c:pt idx="31">
                  <c:v>0.77413194840300614</c:v>
                </c:pt>
                <c:pt idx="32">
                  <c:v>0.77734350557678589</c:v>
                </c:pt>
                <c:pt idx="33">
                  <c:v>0.78053840604742564</c:v>
                </c:pt>
                <c:pt idx="34">
                  <c:v>0.78375566975790967</c:v>
                </c:pt>
                <c:pt idx="35">
                  <c:v>0.78700417423752278</c:v>
                </c:pt>
                <c:pt idx="36">
                  <c:v>0.79029125466945604</c:v>
                </c:pt>
                <c:pt idx="37">
                  <c:v>0.79224843605420403</c:v>
                </c:pt>
                <c:pt idx="38">
                  <c:v>0.79402854213729268</c:v>
                </c:pt>
                <c:pt idx="39">
                  <c:v>0.79576655642791783</c:v>
                </c:pt>
                <c:pt idx="40">
                  <c:v>0.79743058051767912</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0.37621447580546824</c:v>
                </c:pt>
                <c:pt idx="10">
                  <c:v>0.40157009918946829</c:v>
                </c:pt>
                <c:pt idx="11">
                  <c:v>0.47497989513788669</c:v>
                </c:pt>
                <c:pt idx="12">
                  <c:v>0.51509680516620993</c:v>
                </c:pt>
                <c:pt idx="13">
                  <c:v>0.53689154564038388</c:v>
                </c:pt>
                <c:pt idx="14">
                  <c:v>0.5539882076551309</c:v>
                </c:pt>
                <c:pt idx="15">
                  <c:v>0.57391312272489814</c:v>
                </c:pt>
                <c:pt idx="16">
                  <c:v>0.59755415715461579</c:v>
                </c:pt>
                <c:pt idx="17">
                  <c:v>0.61836000260903046</c:v>
                </c:pt>
                <c:pt idx="18">
                  <c:v>0.6398923243030854</c:v>
                </c:pt>
                <c:pt idx="19">
                  <c:v>0.66022043131359209</c:v>
                </c:pt>
                <c:pt idx="20">
                  <c:v>0.68785339922473643</c:v>
                </c:pt>
                <c:pt idx="21">
                  <c:v>0.70017272303827005</c:v>
                </c:pt>
                <c:pt idx="22">
                  <c:v>0.71478647130084183</c:v>
                </c:pt>
                <c:pt idx="23">
                  <c:v>0.72086215897728811</c:v>
                </c:pt>
                <c:pt idx="24">
                  <c:v>0.73736752350947032</c:v>
                </c:pt>
                <c:pt idx="25">
                  <c:v>0.77312397460965654</c:v>
                </c:pt>
                <c:pt idx="26">
                  <c:v>0.77156167675830989</c:v>
                </c:pt>
                <c:pt idx="27">
                  <c:v>0.76786750588769426</c:v>
                </c:pt>
                <c:pt idx="28">
                  <c:v>0.76874863151070516</c:v>
                </c:pt>
                <c:pt idx="29">
                  <c:v>0.76981346715231846</c:v>
                </c:pt>
                <c:pt idx="30">
                  <c:v>0.77087216980438333</c:v>
                </c:pt>
                <c:pt idx="31">
                  <c:v>0.77413194840300614</c:v>
                </c:pt>
                <c:pt idx="32">
                  <c:v>0.77734350557678589</c:v>
                </c:pt>
                <c:pt idx="33">
                  <c:v>0.78053840604742564</c:v>
                </c:pt>
                <c:pt idx="34">
                  <c:v>0.78375566975790967</c:v>
                </c:pt>
                <c:pt idx="35">
                  <c:v>0.78700417423752278</c:v>
                </c:pt>
                <c:pt idx="36">
                  <c:v>0.79029125466945604</c:v>
                </c:pt>
                <c:pt idx="37">
                  <c:v>0.79224843605420403</c:v>
                </c:pt>
                <c:pt idx="38">
                  <c:v>0.79402854213729268</c:v>
                </c:pt>
                <c:pt idx="39">
                  <c:v>0.79576655642791772</c:v>
                </c:pt>
                <c:pt idx="40">
                  <c:v>0.79743058051767912</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0.37621447580546824</c:v>
                </c:pt>
                <c:pt idx="10">
                  <c:v>0.40157009918946829</c:v>
                </c:pt>
                <c:pt idx="11">
                  <c:v>0.47497989513788669</c:v>
                </c:pt>
                <c:pt idx="12">
                  <c:v>0.51509680516620993</c:v>
                </c:pt>
                <c:pt idx="13">
                  <c:v>0.53689154564038388</c:v>
                </c:pt>
                <c:pt idx="14">
                  <c:v>0.5539882076551309</c:v>
                </c:pt>
                <c:pt idx="15">
                  <c:v>0.57391312272489814</c:v>
                </c:pt>
                <c:pt idx="16">
                  <c:v>0.59755415715461579</c:v>
                </c:pt>
                <c:pt idx="17">
                  <c:v>0.61836000260903046</c:v>
                </c:pt>
                <c:pt idx="18">
                  <c:v>0.6398923243030854</c:v>
                </c:pt>
                <c:pt idx="19">
                  <c:v>0.66022043131359209</c:v>
                </c:pt>
                <c:pt idx="20">
                  <c:v>0.68785339922473643</c:v>
                </c:pt>
                <c:pt idx="21">
                  <c:v>0.70017272303827005</c:v>
                </c:pt>
                <c:pt idx="22">
                  <c:v>0.71478647130084183</c:v>
                </c:pt>
                <c:pt idx="23">
                  <c:v>0.72086215897728811</c:v>
                </c:pt>
                <c:pt idx="24">
                  <c:v>0.73736752350947032</c:v>
                </c:pt>
                <c:pt idx="25">
                  <c:v>0.77312397460965654</c:v>
                </c:pt>
                <c:pt idx="26">
                  <c:v>0.77156167675830989</c:v>
                </c:pt>
                <c:pt idx="27">
                  <c:v>0.76786750588769426</c:v>
                </c:pt>
                <c:pt idx="28">
                  <c:v>0.76874863151070516</c:v>
                </c:pt>
                <c:pt idx="29">
                  <c:v>0.76981346715231846</c:v>
                </c:pt>
                <c:pt idx="30">
                  <c:v>0.77087216980438333</c:v>
                </c:pt>
                <c:pt idx="31">
                  <c:v>0.77413194840300614</c:v>
                </c:pt>
                <c:pt idx="32">
                  <c:v>0.77734350557678589</c:v>
                </c:pt>
                <c:pt idx="33">
                  <c:v>0.78053840604742564</c:v>
                </c:pt>
                <c:pt idx="34">
                  <c:v>0.78375566975790967</c:v>
                </c:pt>
                <c:pt idx="35">
                  <c:v>0.78700417423752278</c:v>
                </c:pt>
                <c:pt idx="36">
                  <c:v>0.79029125466945604</c:v>
                </c:pt>
                <c:pt idx="37">
                  <c:v>0.79224843605420403</c:v>
                </c:pt>
                <c:pt idx="38">
                  <c:v>0.79402854213729268</c:v>
                </c:pt>
                <c:pt idx="39">
                  <c:v>0.79576655642791772</c:v>
                </c:pt>
                <c:pt idx="40">
                  <c:v>0.79743058051767912</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21925.781712542605</c:v>
                </c:pt>
                <c:pt idx="10">
                  <c:v>21609.591491412968</c:v>
                </c:pt>
                <c:pt idx="11">
                  <c:v>21317.658177792102</c:v>
                </c:pt>
                <c:pt idx="12">
                  <c:v>21009.110740648743</c:v>
                </c:pt>
                <c:pt idx="13">
                  <c:v>20698.256293468978</c:v>
                </c:pt>
                <c:pt idx="14">
                  <c:v>20384.854690816923</c:v>
                </c:pt>
                <c:pt idx="15">
                  <c:v>20063.11367221842</c:v>
                </c:pt>
                <c:pt idx="16">
                  <c:v>19741.75523806447</c:v>
                </c:pt>
                <c:pt idx="17">
                  <c:v>19429.166042401863</c:v>
                </c:pt>
                <c:pt idx="18">
                  <c:v>19060.842136087871</c:v>
                </c:pt>
                <c:pt idx="19">
                  <c:v>18708.104492033661</c:v>
                </c:pt>
                <c:pt idx="20">
                  <c:v>18367.185508583785</c:v>
                </c:pt>
                <c:pt idx="21">
                  <c:v>18048.892070036618</c:v>
                </c:pt>
                <c:pt idx="22">
                  <c:v>17746.933556858039</c:v>
                </c:pt>
                <c:pt idx="23">
                  <c:v>17463.726766407941</c:v>
                </c:pt>
                <c:pt idx="24">
                  <c:v>17190.262784712926</c:v>
                </c:pt>
                <c:pt idx="25">
                  <c:v>16932.541723623472</c:v>
                </c:pt>
                <c:pt idx="26">
                  <c:v>16709.072534469291</c:v>
                </c:pt>
                <c:pt idx="27">
                  <c:v>16551.076181891807</c:v>
                </c:pt>
                <c:pt idx="28">
                  <c:v>16416.564678786126</c:v>
                </c:pt>
                <c:pt idx="29">
                  <c:v>16291.373643674753</c:v>
                </c:pt>
                <c:pt idx="30">
                  <c:v>16174.276002129856</c:v>
                </c:pt>
                <c:pt idx="31">
                  <c:v>16066.604767755185</c:v>
                </c:pt>
                <c:pt idx="32">
                  <c:v>15957.935767695439</c:v>
                </c:pt>
                <c:pt idx="33">
                  <c:v>15848.569938688639</c:v>
                </c:pt>
                <c:pt idx="34">
                  <c:v>15738.858959837053</c:v>
                </c:pt>
                <c:pt idx="35">
                  <c:v>15629.010656902181</c:v>
                </c:pt>
                <c:pt idx="36">
                  <c:v>15519.636157641728</c:v>
                </c:pt>
                <c:pt idx="37">
                  <c:v>15403.010506433664</c:v>
                </c:pt>
                <c:pt idx="38">
                  <c:v>15291.2151603128</c:v>
                </c:pt>
                <c:pt idx="39">
                  <c:v>15184.903238190695</c:v>
                </c:pt>
                <c:pt idx="40">
                  <c:v>15083.751267292933</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22034.957948736708</c:v>
                </c:pt>
                <c:pt idx="10">
                  <c:v>21843.381072156317</c:v>
                </c:pt>
                <c:pt idx="11">
                  <c:v>21745.7840678291</c:v>
                </c:pt>
                <c:pt idx="12">
                  <c:v>21408.670580614194</c:v>
                </c:pt>
                <c:pt idx="13">
                  <c:v>20967.261737210378</c:v>
                </c:pt>
                <c:pt idx="14">
                  <c:v>20548.55809461432</c:v>
                </c:pt>
                <c:pt idx="15">
                  <c:v>20149.380865450985</c:v>
                </c:pt>
                <c:pt idx="16">
                  <c:v>19769.944941863483</c:v>
                </c:pt>
                <c:pt idx="17">
                  <c:v>19409.590516247208</c:v>
                </c:pt>
                <c:pt idx="18">
                  <c:v>19066.905541643129</c:v>
                </c:pt>
                <c:pt idx="19">
                  <c:v>18742.555596101887</c:v>
                </c:pt>
                <c:pt idx="20">
                  <c:v>18431.692668332078</c:v>
                </c:pt>
                <c:pt idx="21">
                  <c:v>18039.487372770436</c:v>
                </c:pt>
                <c:pt idx="22">
                  <c:v>17656.020401015641</c:v>
                </c:pt>
                <c:pt idx="23">
                  <c:v>17296.869294921442</c:v>
                </c:pt>
                <c:pt idx="24">
                  <c:v>16958.331528616058</c:v>
                </c:pt>
                <c:pt idx="25">
                  <c:v>16635.440780910598</c:v>
                </c:pt>
                <c:pt idx="26">
                  <c:v>16330.109774647113</c:v>
                </c:pt>
                <c:pt idx="27">
                  <c:v>16078.211132844695</c:v>
                </c:pt>
                <c:pt idx="28">
                  <c:v>15856.103429993032</c:v>
                </c:pt>
                <c:pt idx="29">
                  <c:v>15652.675790215399</c:v>
                </c:pt>
                <c:pt idx="30">
                  <c:v>15466.199647176551</c:v>
                </c:pt>
                <c:pt idx="31">
                  <c:v>15297.569520038121</c:v>
                </c:pt>
                <c:pt idx="32">
                  <c:v>15139.939383088387</c:v>
                </c:pt>
                <c:pt idx="33">
                  <c:v>14992.846335272321</c:v>
                </c:pt>
                <c:pt idx="34">
                  <c:v>14855.920185410565</c:v>
                </c:pt>
                <c:pt idx="35">
                  <c:v>14728.688749371395</c:v>
                </c:pt>
                <c:pt idx="36">
                  <c:v>14611.126749342404</c:v>
                </c:pt>
                <c:pt idx="37">
                  <c:v>14494.835990917021</c:v>
                </c:pt>
                <c:pt idx="38">
                  <c:v>14385.306720354609</c:v>
                </c:pt>
                <c:pt idx="39">
                  <c:v>14282.802918486927</c:v>
                </c:pt>
                <c:pt idx="40">
                  <c:v>14186.694195353539</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21886.038015074424</c:v>
                </c:pt>
                <c:pt idx="10">
                  <c:v>21599.448405970415</c:v>
                </c:pt>
                <c:pt idx="11">
                  <c:v>21348.512111451961</c:v>
                </c:pt>
                <c:pt idx="12">
                  <c:v>20865.771737340252</c:v>
                </c:pt>
                <c:pt idx="13">
                  <c:v>20421.220584321309</c:v>
                </c:pt>
                <c:pt idx="14">
                  <c:v>19999.148693025185</c:v>
                </c:pt>
                <c:pt idx="15">
                  <c:v>19596.7921517533</c:v>
                </c:pt>
                <c:pt idx="16">
                  <c:v>19214.605503374845</c:v>
                </c:pt>
                <c:pt idx="17">
                  <c:v>18851.526267562287</c:v>
                </c:pt>
                <c:pt idx="18">
                  <c:v>18506.060601808094</c:v>
                </c:pt>
                <c:pt idx="19">
                  <c:v>18178.000583047145</c:v>
                </c:pt>
                <c:pt idx="20">
                  <c:v>17863.812606606993</c:v>
                </c:pt>
                <c:pt idx="21">
                  <c:v>17467.662303535508</c:v>
                </c:pt>
                <c:pt idx="22">
                  <c:v>17080.059584257302</c:v>
                </c:pt>
                <c:pt idx="23">
                  <c:v>16716.026978377646</c:v>
                </c:pt>
                <c:pt idx="24">
                  <c:v>16372.155614147876</c:v>
                </c:pt>
                <c:pt idx="25">
                  <c:v>16045.019656211936</c:v>
                </c:pt>
                <c:pt idx="26">
                  <c:v>15735.434808196262</c:v>
                </c:pt>
                <c:pt idx="27">
                  <c:v>15478.544960483981</c:v>
                </c:pt>
                <c:pt idx="28">
                  <c:v>15251.561825704506</c:v>
                </c:pt>
                <c:pt idx="29">
                  <c:v>15042.901981255312</c:v>
                </c:pt>
                <c:pt idx="30">
                  <c:v>14851.173260105981</c:v>
                </c:pt>
                <c:pt idx="31">
                  <c:v>14676.627943721429</c:v>
                </c:pt>
                <c:pt idx="32">
                  <c:v>14512.986422542821</c:v>
                </c:pt>
                <c:pt idx="33">
                  <c:v>14359.723393759186</c:v>
                </c:pt>
                <c:pt idx="34">
                  <c:v>14216.383778058771</c:v>
                </c:pt>
                <c:pt idx="35">
                  <c:v>14082.464078046123</c:v>
                </c:pt>
                <c:pt idx="36">
                  <c:v>13957.745105007809</c:v>
                </c:pt>
                <c:pt idx="37">
                  <c:v>13837.02422817401</c:v>
                </c:pt>
                <c:pt idx="38">
                  <c:v>13723.368912405615</c:v>
                </c:pt>
                <c:pt idx="39">
                  <c:v>13616.75251894891</c:v>
                </c:pt>
                <c:pt idx="40">
                  <c:v>13516.6220201619</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50.359792847133136</c:v>
                </c:pt>
                <c:pt idx="9" formatCode="_(* #,##0_);_(* \(#,##0\);_(* &quot;-&quot;_);_(@_)">
                  <c:v>52.992370977903676</c:v>
                </c:pt>
                <c:pt idx="10" formatCode="_(* #,##0_);_(* \(#,##0\);_(* &quot;-&quot;_);_(@_)">
                  <c:v>50.781625743101721</c:v>
                </c:pt>
                <c:pt idx="11" formatCode="_(* #,##0_);_(* \(#,##0\);_(* &quot;-&quot;_);_(@_)">
                  <c:v>50.787753059423501</c:v>
                </c:pt>
                <c:pt idx="12" formatCode="_(* #,##0_);_(* \(#,##0\);_(* &quot;-&quot;_);_(@_)">
                  <c:v>50.359792847133143</c:v>
                </c:pt>
                <c:pt idx="13" formatCode="_(* #,##0_);_(* \(#,##0\);_(* &quot;-&quot;_);_(@_)">
                  <c:v>49.422822449545563</c:v>
                </c:pt>
                <c:pt idx="14" formatCode="_(* #,##0_);_(* \(#,##0\);_(* &quot;-&quot;_);_(@_)">
                  <c:v>49.894033579494405</c:v>
                </c:pt>
                <c:pt idx="15" formatCode="_(* #,##0_);_(* \(#,##0\);_(* &quot;-&quot;_);_(@_)">
                  <c:v>49.409698226927205</c:v>
                </c:pt>
                <c:pt idx="16" formatCode="_(* #,##0_);_(* \(#,##0\);_(* &quot;-&quot;_);_(@_)">
                  <c:v>47.599010514277694</c:v>
                </c:pt>
                <c:pt idx="17" formatCode="_(* #,##0_);_(* \(#,##0\);_(* &quot;-&quot;_);_(@_)">
                  <c:v>46.599596269564167</c:v>
                </c:pt>
                <c:pt idx="18" formatCode="_(* #,##0_);_(* \(#,##0\);_(* &quot;-&quot;_);_(@_)">
                  <c:v>45.314646034956603</c:v>
                </c:pt>
                <c:pt idx="19" formatCode="_(* #,##0_);_(* \(#,##0\);_(* &quot;-&quot;_);_(@_)">
                  <c:v>44.520340557958427</c:v>
                </c:pt>
                <c:pt idx="20" formatCode="_(* #,##0_);_(* \(#,##0\);_(* &quot;-&quot;_);_(@_)">
                  <c:v>41.25779411484752</c:v>
                </c:pt>
                <c:pt idx="21" formatCode="_(* #,##0_);_(* \(#,##0\);_(* &quot;-&quot;_);_(@_)">
                  <c:v>39.014257111139436</c:v>
                </c:pt>
                <c:pt idx="22" formatCode="_(* #,##0_);_(* \(#,##0\);_(* &quot;-&quot;_);_(@_)">
                  <c:v>36.334930676977528</c:v>
                </c:pt>
                <c:pt idx="23" formatCode="_(* #,##0_);_(* \(#,##0\);_(* &quot;-&quot;_);_(@_)">
                  <c:v>35.521966003645026</c:v>
                </c:pt>
                <c:pt idx="24" formatCode="_(* #,##0_);_(* \(#,##0\);_(* &quot;-&quot;_);_(@_)">
                  <c:v>32.152713476250632</c:v>
                </c:pt>
                <c:pt idx="25" formatCode="_(* #,##0_);_(* \(#,##0\);_(* &quot;-&quot;_);_(@_)">
                  <c:v>24.779864252695084</c:v>
                </c:pt>
                <c:pt idx="26" formatCode="_(* #,##0_);_(* \(#,##0\);_(* &quot;-&quot;_);_(@_)">
                  <c:v>11.557949273739366</c:v>
                </c:pt>
                <c:pt idx="27" formatCode="_(* #,##0_);_(* \(#,##0\);_(* &quot;-&quot;_);_(@_)">
                  <c:v>6.5145398947081814</c:v>
                </c:pt>
                <c:pt idx="28" formatCode="_(* #,##0_);_(* \(#,##0\);_(* &quot;-&quot;_);_(@_)">
                  <c:v>4.9501602644871108</c:v>
                </c:pt>
                <c:pt idx="29" formatCode="_(* #,##0_);_(* \(#,##0\);_(* &quot;-&quot;_);_(@_)">
                  <c:v>3.3857806342660397</c:v>
                </c:pt>
                <c:pt idx="30" formatCode="_(* #,##0_);_(* \(#,##0\);_(* &quot;-&quot;_);_(@_)">
                  <c:v>1.8214010040449695</c:v>
                </c:pt>
                <c:pt idx="31" formatCode="_(* #,##0_);_(* \(#,##0\);_(* &quot;-&quot;_);_(@_)">
                  <c:v>1.6941350775526947</c:v>
                </c:pt>
                <c:pt idx="32" formatCode="_(* #,##0_);_(* \(#,##0\);_(* &quot;-&quot;_);_(@_)">
                  <c:v>1.5668691510604194</c:v>
                </c:pt>
                <c:pt idx="33" formatCode="_(* #,##0_);_(* \(#,##0\);_(* &quot;-&quot;_);_(@_)">
                  <c:v>1.4396032245681447</c:v>
                </c:pt>
                <c:pt idx="34" formatCode="_(* #,##0_);_(* \(#,##0\);_(* &quot;-&quot;_);_(@_)">
                  <c:v>1.3123372980758694</c:v>
                </c:pt>
                <c:pt idx="35" formatCode="_(* #,##0_);_(* \(#,##0\);_(* &quot;-&quot;_);_(@_)">
                  <c:v>1.1850713715835943</c:v>
                </c:pt>
                <c:pt idx="36" formatCode="_(* #,##0_);_(* \(#,##0\);_(* &quot;-&quot;_);_(@_)">
                  <c:v>0.99006758809674678</c:v>
                </c:pt>
                <c:pt idx="37" formatCode="_(* #,##0_);_(* \(#,##0\);_(* &quot;-&quot;_);_(@_)">
                  <c:v>0.79506380460989956</c:v>
                </c:pt>
                <c:pt idx="38" formatCode="_(* #,##0_);_(* \(#,##0\);_(* &quot;-&quot;_);_(@_)">
                  <c:v>0.60006002112305223</c:v>
                </c:pt>
                <c:pt idx="39" formatCode="_(* #,##0_);_(* \(#,##0\);_(* &quot;-&quot;_);_(@_)">
                  <c:v>0.4050562376362048</c:v>
                </c:pt>
                <c:pt idx="40" formatCode="_(* #,##0_);_(* \(#,##0\);_(* &quot;-&quot;_);_(@_)">
                  <c:v>0.21005245414935747</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8.9484246619426888E-2</c:v>
                </c:pt>
                <c:pt idx="22">
                  <c:v>0.10687532365207342</c:v>
                </c:pt>
                <c:pt idx="23">
                  <c:v>0.12235613539063572</c:v>
                </c:pt>
                <c:pt idx="24">
                  <c:v>0.13605417130436748</c:v>
                </c:pt>
                <c:pt idx="25">
                  <c:v>0.14808342100012861</c:v>
                </c:pt>
                <c:pt idx="26">
                  <c:v>0.15889496532328184</c:v>
                </c:pt>
                <c:pt idx="27">
                  <c:v>0.16856684788723708</c:v>
                </c:pt>
                <c:pt idx="28">
                  <c:v>0.19063567265852388</c:v>
                </c:pt>
                <c:pt idx="29">
                  <c:v>0.21128048553023682</c:v>
                </c:pt>
                <c:pt idx="30">
                  <c:v>0.23059835949924212</c:v>
                </c:pt>
                <c:pt idx="31">
                  <c:v>0.24750785810203735</c:v>
                </c:pt>
                <c:pt idx="32">
                  <c:v>0.26402012717207901</c:v>
                </c:pt>
                <c:pt idx="33">
                  <c:v>0.28015277736755673</c:v>
                </c:pt>
                <c:pt idx="34">
                  <c:v>0.29592278784212256</c:v>
                </c:pt>
                <c:pt idx="35">
                  <c:v>0.31134654118157257</c:v>
                </c:pt>
                <c:pt idx="36">
                  <c:v>0.32644795969136542</c:v>
                </c:pt>
                <c:pt idx="37">
                  <c:v>0.33336207070624535</c:v>
                </c:pt>
                <c:pt idx="38">
                  <c:v>0.34360140604745293</c:v>
                </c:pt>
                <c:pt idx="39">
                  <c:v>0.35361867361498778</c:v>
                </c:pt>
                <c:pt idx="40">
                  <c:v>0.3634229726270003</c:v>
                </c:pt>
                <c:pt idx="41">
                  <c:v>0.37303052026987349</c:v>
                </c:pt>
                <c:pt idx="42">
                  <c:v>0.38244924069111452</c:v>
                </c:pt>
                <c:pt idx="43">
                  <c:v>0.39168682355784157</c:v>
                </c:pt>
                <c:pt idx="44">
                  <c:v>0.40075073591736332</c:v>
                </c:pt>
                <c:pt idx="45">
                  <c:v>0.40964823355685753</c:v>
                </c:pt>
                <c:pt idx="46">
                  <c:v>0.41838663030709577</c:v>
                </c:pt>
                <c:pt idx="47">
                  <c:v>0.42697276926177974</c:v>
                </c:pt>
                <c:pt idx="48">
                  <c:v>0.42838042053643854</c:v>
                </c:pt>
                <c:pt idx="49">
                  <c:v>0.42971477676209857</c:v>
                </c:pt>
                <c:pt idx="50">
                  <c:v>0.43097677914223742</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0.16963420609902846</c:v>
                </c:pt>
                <c:pt idx="20">
                  <c:v>0.16697077492577461</c:v>
                </c:pt>
                <c:pt idx="21">
                  <c:v>0.19868943488345547</c:v>
                </c:pt>
                <c:pt idx="22">
                  <c:v>0.2235747660326316</c:v>
                </c:pt>
                <c:pt idx="23">
                  <c:v>0.24277133849897348</c:v>
                </c:pt>
                <c:pt idx="24">
                  <c:v>0.2688493159016655</c:v>
                </c:pt>
                <c:pt idx="25">
                  <c:v>0.28685643150106899</c:v>
                </c:pt>
                <c:pt idx="26">
                  <c:v>0.29560628104642461</c:v>
                </c:pt>
                <c:pt idx="27">
                  <c:v>0.30740339267198702</c:v>
                </c:pt>
                <c:pt idx="28">
                  <c:v>0.31718633081419723</c:v>
                </c:pt>
                <c:pt idx="29">
                  <c:v>0.32610844737555411</c:v>
                </c:pt>
                <c:pt idx="30">
                  <c:v>0.32783139595417787</c:v>
                </c:pt>
                <c:pt idx="31">
                  <c:v>0.33291753108416278</c:v>
                </c:pt>
                <c:pt idx="32">
                  <c:v>0.33586475304818963</c:v>
                </c:pt>
                <c:pt idx="33">
                  <c:v>0.34744070215465861</c:v>
                </c:pt>
                <c:pt idx="34">
                  <c:v>0.34773962307081219</c:v>
                </c:pt>
                <c:pt idx="35">
                  <c:v>0.32795043799057078</c:v>
                </c:pt>
                <c:pt idx="36">
                  <c:v>0.27132344088504146</c:v>
                </c:pt>
                <c:pt idx="37">
                  <c:v>0.25791341466498596</c:v>
                </c:pt>
                <c:pt idx="38">
                  <c:v>0.26634234487689956</c:v>
                </c:pt>
                <c:pt idx="39">
                  <c:v>0.27480155077307966</c:v>
                </c:pt>
                <c:pt idx="40">
                  <c:v>0.28280497525166504</c:v>
                </c:pt>
                <c:pt idx="41">
                  <c:v>0.30516874228803825</c:v>
                </c:pt>
                <c:pt idx="42">
                  <c:v>0.32570716173924164</c:v>
                </c:pt>
                <c:pt idx="43">
                  <c:v>0.34463605555278665</c:v>
                </c:pt>
                <c:pt idx="44">
                  <c:v>0.36215331971545373</c:v>
                </c:pt>
                <c:pt idx="45">
                  <c:v>0.37837504181405246</c:v>
                </c:pt>
                <c:pt idx="46">
                  <c:v>0.39323919963184339</c:v>
                </c:pt>
                <c:pt idx="47">
                  <c:v>0.40500057668795986</c:v>
                </c:pt>
                <c:pt idx="48">
                  <c:v>0.41570992087404424</c:v>
                </c:pt>
                <c:pt idx="49">
                  <c:v>0.42564109349733803</c:v>
                </c:pt>
                <c:pt idx="50">
                  <c:v>0.43481260659340415</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0.16963420609902846</c:v>
                </c:pt>
                <c:pt idx="20">
                  <c:v>0.16697077492577461</c:v>
                </c:pt>
                <c:pt idx="21">
                  <c:v>0.19868943488345547</c:v>
                </c:pt>
                <c:pt idx="22">
                  <c:v>0.2235747660326316</c:v>
                </c:pt>
                <c:pt idx="23">
                  <c:v>0.24277133849897348</c:v>
                </c:pt>
                <c:pt idx="24">
                  <c:v>0.2688493159016655</c:v>
                </c:pt>
                <c:pt idx="25">
                  <c:v>0.28685643150106899</c:v>
                </c:pt>
                <c:pt idx="26">
                  <c:v>0.29560628104642461</c:v>
                </c:pt>
                <c:pt idx="27">
                  <c:v>0.30740339267198702</c:v>
                </c:pt>
                <c:pt idx="28">
                  <c:v>0.31718633081419723</c:v>
                </c:pt>
                <c:pt idx="29">
                  <c:v>0.32610844737555411</c:v>
                </c:pt>
                <c:pt idx="30">
                  <c:v>0.32783139595417787</c:v>
                </c:pt>
                <c:pt idx="31">
                  <c:v>0.33291753108416278</c:v>
                </c:pt>
                <c:pt idx="32">
                  <c:v>0.33586475304818963</c:v>
                </c:pt>
                <c:pt idx="33">
                  <c:v>0.34744070215465861</c:v>
                </c:pt>
                <c:pt idx="34">
                  <c:v>0.34773962307081219</c:v>
                </c:pt>
                <c:pt idx="35">
                  <c:v>0.32795043799057078</c:v>
                </c:pt>
                <c:pt idx="36">
                  <c:v>0.27132344088504146</c:v>
                </c:pt>
                <c:pt idx="37">
                  <c:v>0.25791341466498596</c:v>
                </c:pt>
                <c:pt idx="38">
                  <c:v>0.26634234487689956</c:v>
                </c:pt>
                <c:pt idx="39">
                  <c:v>0.27480155077307966</c:v>
                </c:pt>
                <c:pt idx="40">
                  <c:v>0.28280497525166504</c:v>
                </c:pt>
                <c:pt idx="41">
                  <c:v>0.30516874228803825</c:v>
                </c:pt>
                <c:pt idx="42">
                  <c:v>0.32570716173924164</c:v>
                </c:pt>
                <c:pt idx="43">
                  <c:v>0.34463605555278665</c:v>
                </c:pt>
                <c:pt idx="44">
                  <c:v>0.36215331971545373</c:v>
                </c:pt>
                <c:pt idx="45">
                  <c:v>0.37837504181405246</c:v>
                </c:pt>
                <c:pt idx="46">
                  <c:v>0.39323919963184339</c:v>
                </c:pt>
                <c:pt idx="47">
                  <c:v>0.40500057668795986</c:v>
                </c:pt>
                <c:pt idx="48">
                  <c:v>0.41570992087404424</c:v>
                </c:pt>
                <c:pt idx="49">
                  <c:v>0.42564109349733803</c:v>
                </c:pt>
                <c:pt idx="50">
                  <c:v>0.43481260659340415</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9.9034262897181091E-2</c:v>
                </c:pt>
                <c:pt idx="22">
                  <c:v>0.1603010975891157</c:v>
                </c:pt>
                <c:pt idx="23">
                  <c:v>0.17966783027035704</c:v>
                </c:pt>
                <c:pt idx="24">
                  <c:v>0.19812197402919662</c:v>
                </c:pt>
                <c:pt idx="25">
                  <c:v>0.2157382646789352</c:v>
                </c:pt>
                <c:pt idx="26">
                  <c:v>0.23286991932417733</c:v>
                </c:pt>
                <c:pt idx="27">
                  <c:v>0.24954577664502264</c:v>
                </c:pt>
                <c:pt idx="28">
                  <c:v>0.26579388990510533</c:v>
                </c:pt>
                <c:pt idx="29">
                  <c:v>0.28164159769015185</c:v>
                </c:pt>
                <c:pt idx="30">
                  <c:v>0.29711559328224646</c:v>
                </c:pt>
                <c:pt idx="31">
                  <c:v>0.31699518009206651</c:v>
                </c:pt>
                <c:pt idx="32">
                  <c:v>0.33644054339812191</c:v>
                </c:pt>
                <c:pt idx="33">
                  <c:v>0.33923160487106796</c:v>
                </c:pt>
                <c:pt idx="34">
                  <c:v>0.34190989992674348</c:v>
                </c:pt>
                <c:pt idx="35">
                  <c:v>0.34447789085286562</c:v>
                </c:pt>
                <c:pt idx="36">
                  <c:v>0.34694448796127797</c:v>
                </c:pt>
                <c:pt idx="37">
                  <c:v>0.34931177329504914</c:v>
                </c:pt>
                <c:pt idx="38">
                  <c:v>0.35158173141266735</c:v>
                </c:pt>
                <c:pt idx="39">
                  <c:v>0.35375625269174904</c:v>
                </c:pt>
                <c:pt idx="40">
                  <c:v>0.35583713643760551</c:v>
                </c:pt>
                <c:pt idx="41">
                  <c:v>0.35783268259694956</c:v>
                </c:pt>
                <c:pt idx="42">
                  <c:v>0.35974439441261952</c:v>
                </c:pt>
                <c:pt idx="43">
                  <c:v>0.36157370370249042</c:v>
                </c:pt>
                <c:pt idx="44">
                  <c:v>0.36332197294239865</c:v>
                </c:pt>
                <c:pt idx="45">
                  <c:v>0.36499049722876975</c:v>
                </c:pt>
                <c:pt idx="46">
                  <c:v>0.36658076364000425</c:v>
                </c:pt>
                <c:pt idx="47">
                  <c:v>0.36809393406209001</c:v>
                </c:pt>
                <c:pt idx="48">
                  <c:v>0.36953110862747474</c:v>
                </c:pt>
                <c:pt idx="49">
                  <c:v>0.370893327239466</c:v>
                </c:pt>
                <c:pt idx="50">
                  <c:v>0.37218157100180649</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0.15548393155666862</c:v>
                </c:pt>
                <c:pt idx="20">
                  <c:v>0.16520675080924352</c:v>
                </c:pt>
                <c:pt idx="21">
                  <c:v>0.26294952622596801</c:v>
                </c:pt>
                <c:pt idx="22">
                  <c:v>0.28706558067926824</c:v>
                </c:pt>
                <c:pt idx="23">
                  <c:v>0.29309262580641682</c:v>
                </c:pt>
                <c:pt idx="24">
                  <c:v>0.29532905879649052</c:v>
                </c:pt>
                <c:pt idx="25">
                  <c:v>0.29997941102562931</c:v>
                </c:pt>
                <c:pt idx="26">
                  <c:v>0.30796773866479143</c:v>
                </c:pt>
                <c:pt idx="27">
                  <c:v>0.31361903577815242</c:v>
                </c:pt>
                <c:pt idx="28">
                  <c:v>0.32018308815120211</c:v>
                </c:pt>
                <c:pt idx="29">
                  <c:v>0.32610844737555411</c:v>
                </c:pt>
                <c:pt idx="30">
                  <c:v>0.33947437568196359</c:v>
                </c:pt>
                <c:pt idx="31">
                  <c:v>0.35038871214637335</c:v>
                </c:pt>
                <c:pt idx="32">
                  <c:v>0.36313265841080156</c:v>
                </c:pt>
                <c:pt idx="33">
                  <c:v>0.36991646811125578</c:v>
                </c:pt>
                <c:pt idx="34">
                  <c:v>0.38629272789697089</c:v>
                </c:pt>
                <c:pt idx="35">
                  <c:v>0.41900945651695554</c:v>
                </c:pt>
                <c:pt idx="36">
                  <c:v>0.40783458287695618</c:v>
                </c:pt>
                <c:pt idx="37">
                  <c:v>0.4000221113417517</c:v>
                </c:pt>
                <c:pt idx="38">
                  <c:v>0.40029168986864183</c:v>
                </c:pt>
                <c:pt idx="39">
                  <c:v>0.4008477870843189</c:v>
                </c:pt>
                <c:pt idx="40">
                  <c:v>0.40141160594196446</c:v>
                </c:pt>
                <c:pt idx="41">
                  <c:v>0.40580717718292303</c:v>
                </c:pt>
                <c:pt idx="42">
                  <c:v>0.41005065582927047</c:v>
                </c:pt>
                <c:pt idx="43">
                  <c:v>0.41419141332929277</c:v>
                </c:pt>
                <c:pt idx="44">
                  <c:v>0.41828468458581836</c:v>
                </c:pt>
                <c:pt idx="45">
                  <c:v>0.4223414227318022</c:v>
                </c:pt>
                <c:pt idx="46">
                  <c:v>0.42634516534026512</c:v>
                </c:pt>
                <c:pt idx="47">
                  <c:v>0.42859765533045768</c:v>
                </c:pt>
                <c:pt idx="48">
                  <c:v>0.43061121030737315</c:v>
                </c:pt>
                <c:pt idx="49">
                  <c:v>0.43256016872057879</c:v>
                </c:pt>
                <c:pt idx="50">
                  <c:v>0.43440688902670288</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0.15548393155666862</c:v>
                </c:pt>
                <c:pt idx="20">
                  <c:v>0.16520675080924352</c:v>
                </c:pt>
                <c:pt idx="21">
                  <c:v>0.26294952622596801</c:v>
                </c:pt>
                <c:pt idx="22">
                  <c:v>0.28706558067926824</c:v>
                </c:pt>
                <c:pt idx="23">
                  <c:v>0.29309262580641682</c:v>
                </c:pt>
                <c:pt idx="24">
                  <c:v>0.29532905879649052</c:v>
                </c:pt>
                <c:pt idx="25">
                  <c:v>0.29997941102562931</c:v>
                </c:pt>
                <c:pt idx="26">
                  <c:v>0.30796773866479143</c:v>
                </c:pt>
                <c:pt idx="27">
                  <c:v>0.31361903577815242</c:v>
                </c:pt>
                <c:pt idx="28">
                  <c:v>0.32018308815120211</c:v>
                </c:pt>
                <c:pt idx="29">
                  <c:v>0.32610844737555411</c:v>
                </c:pt>
                <c:pt idx="30">
                  <c:v>0.33947437568196359</c:v>
                </c:pt>
                <c:pt idx="31">
                  <c:v>0.35038871214637335</c:v>
                </c:pt>
                <c:pt idx="32">
                  <c:v>0.36313265841080156</c:v>
                </c:pt>
                <c:pt idx="33">
                  <c:v>0.36991646811125578</c:v>
                </c:pt>
                <c:pt idx="34">
                  <c:v>0.38629272789697089</c:v>
                </c:pt>
                <c:pt idx="35">
                  <c:v>0.41900945651695554</c:v>
                </c:pt>
                <c:pt idx="36">
                  <c:v>0.40783458287695618</c:v>
                </c:pt>
                <c:pt idx="37">
                  <c:v>0.4000221113417517</c:v>
                </c:pt>
                <c:pt idx="38">
                  <c:v>0.40029168986864183</c:v>
                </c:pt>
                <c:pt idx="39">
                  <c:v>0.4008477870843189</c:v>
                </c:pt>
                <c:pt idx="40">
                  <c:v>0.40141160594196446</c:v>
                </c:pt>
                <c:pt idx="41">
                  <c:v>0.40580717718292303</c:v>
                </c:pt>
                <c:pt idx="42">
                  <c:v>0.41005065582927047</c:v>
                </c:pt>
                <c:pt idx="43">
                  <c:v>0.41419141332929277</c:v>
                </c:pt>
                <c:pt idx="44">
                  <c:v>0.41828468458581836</c:v>
                </c:pt>
                <c:pt idx="45">
                  <c:v>0.4223414227318022</c:v>
                </c:pt>
                <c:pt idx="46">
                  <c:v>0.42634516534026512</c:v>
                </c:pt>
                <c:pt idx="47">
                  <c:v>0.42859765533045768</c:v>
                </c:pt>
                <c:pt idx="48">
                  <c:v>0.43061121030737315</c:v>
                </c:pt>
                <c:pt idx="49">
                  <c:v>0.43256016872057879</c:v>
                </c:pt>
                <c:pt idx="50">
                  <c:v>0.43440688902670288</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9.9034262897181091E-2</c:v>
                </c:pt>
                <c:pt idx="22">
                  <c:v>0.1603010975891157</c:v>
                </c:pt>
                <c:pt idx="23">
                  <c:v>0.17966783027035704</c:v>
                </c:pt>
                <c:pt idx="24">
                  <c:v>0.19812197402919685</c:v>
                </c:pt>
                <c:pt idx="25">
                  <c:v>0.2157382646789352</c:v>
                </c:pt>
                <c:pt idx="26">
                  <c:v>0.23286991932417733</c:v>
                </c:pt>
                <c:pt idx="27">
                  <c:v>0.24954577664502264</c:v>
                </c:pt>
                <c:pt idx="28">
                  <c:v>0.26579388990510533</c:v>
                </c:pt>
                <c:pt idx="29">
                  <c:v>0.28164159769015185</c:v>
                </c:pt>
                <c:pt idx="30">
                  <c:v>0.29711559328224646</c:v>
                </c:pt>
                <c:pt idx="31">
                  <c:v>0.31699518009206651</c:v>
                </c:pt>
                <c:pt idx="32">
                  <c:v>0.33644054339812191</c:v>
                </c:pt>
                <c:pt idx="33">
                  <c:v>0.33923160487106796</c:v>
                </c:pt>
                <c:pt idx="34">
                  <c:v>0.34190989992674348</c:v>
                </c:pt>
                <c:pt idx="35">
                  <c:v>0.34447789085286562</c:v>
                </c:pt>
                <c:pt idx="36">
                  <c:v>0.34694448796127797</c:v>
                </c:pt>
                <c:pt idx="37">
                  <c:v>0.34931177329504914</c:v>
                </c:pt>
                <c:pt idx="38">
                  <c:v>0.35158173141266735</c:v>
                </c:pt>
                <c:pt idx="39">
                  <c:v>0.35375625269174904</c:v>
                </c:pt>
                <c:pt idx="40">
                  <c:v>0.35583713643760551</c:v>
                </c:pt>
                <c:pt idx="41">
                  <c:v>0.35783268259694956</c:v>
                </c:pt>
                <c:pt idx="42">
                  <c:v>0.35974439441261952</c:v>
                </c:pt>
                <c:pt idx="43">
                  <c:v>0.36157370370249042</c:v>
                </c:pt>
                <c:pt idx="44">
                  <c:v>0.36332197294239865</c:v>
                </c:pt>
                <c:pt idx="45">
                  <c:v>0.36499049722876975</c:v>
                </c:pt>
                <c:pt idx="46">
                  <c:v>0.36658076364000425</c:v>
                </c:pt>
                <c:pt idx="47">
                  <c:v>0.36809393406209001</c:v>
                </c:pt>
                <c:pt idx="48">
                  <c:v>0.36953110862747474</c:v>
                </c:pt>
                <c:pt idx="49">
                  <c:v>0.37089332723946611</c:v>
                </c:pt>
                <c:pt idx="50">
                  <c:v>0.37218157100180649</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0.15548393155666862</c:v>
                </c:pt>
                <c:pt idx="20">
                  <c:v>0.16520675080924352</c:v>
                </c:pt>
                <c:pt idx="21">
                  <c:v>0.26294952622596801</c:v>
                </c:pt>
                <c:pt idx="22">
                  <c:v>0.28706558067926824</c:v>
                </c:pt>
                <c:pt idx="23">
                  <c:v>0.29309262580641682</c:v>
                </c:pt>
                <c:pt idx="24">
                  <c:v>0.29532905879649052</c:v>
                </c:pt>
                <c:pt idx="25">
                  <c:v>0.29997941102562931</c:v>
                </c:pt>
                <c:pt idx="26">
                  <c:v>0.30796773866479143</c:v>
                </c:pt>
                <c:pt idx="27">
                  <c:v>0.31361903577815242</c:v>
                </c:pt>
                <c:pt idx="28">
                  <c:v>0.32018308815120211</c:v>
                </c:pt>
                <c:pt idx="29">
                  <c:v>0.32610844737555411</c:v>
                </c:pt>
                <c:pt idx="30">
                  <c:v>0.33947437568196359</c:v>
                </c:pt>
                <c:pt idx="31">
                  <c:v>0.35038871214637335</c:v>
                </c:pt>
                <c:pt idx="32">
                  <c:v>0.36313265841080156</c:v>
                </c:pt>
                <c:pt idx="33">
                  <c:v>0.36991646811125578</c:v>
                </c:pt>
                <c:pt idx="34">
                  <c:v>0.38629272789697089</c:v>
                </c:pt>
                <c:pt idx="35">
                  <c:v>0.41900945651695554</c:v>
                </c:pt>
                <c:pt idx="36">
                  <c:v>0.40783458287695618</c:v>
                </c:pt>
                <c:pt idx="37">
                  <c:v>0.4000221113417517</c:v>
                </c:pt>
                <c:pt idx="38">
                  <c:v>0.40029168986864183</c:v>
                </c:pt>
                <c:pt idx="39">
                  <c:v>0.4008477870843189</c:v>
                </c:pt>
                <c:pt idx="40">
                  <c:v>0.40141160594196446</c:v>
                </c:pt>
                <c:pt idx="41">
                  <c:v>0.40580717718292303</c:v>
                </c:pt>
                <c:pt idx="42">
                  <c:v>0.41005065582927047</c:v>
                </c:pt>
                <c:pt idx="43">
                  <c:v>0.41419141332929277</c:v>
                </c:pt>
                <c:pt idx="44">
                  <c:v>0.41828468458581836</c:v>
                </c:pt>
                <c:pt idx="45">
                  <c:v>0.4223414227318022</c:v>
                </c:pt>
                <c:pt idx="46">
                  <c:v>0.42634516534026512</c:v>
                </c:pt>
                <c:pt idx="47">
                  <c:v>0.42859765533045768</c:v>
                </c:pt>
                <c:pt idx="48">
                  <c:v>0.43061121030737315</c:v>
                </c:pt>
                <c:pt idx="49">
                  <c:v>0.43256016872057879</c:v>
                </c:pt>
                <c:pt idx="50">
                  <c:v>0.43440688902670288</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0.15548393155666862</c:v>
                </c:pt>
                <c:pt idx="20">
                  <c:v>0.16520675080924352</c:v>
                </c:pt>
                <c:pt idx="21">
                  <c:v>0.26294952622596801</c:v>
                </c:pt>
                <c:pt idx="22">
                  <c:v>0.28706558067926824</c:v>
                </c:pt>
                <c:pt idx="23">
                  <c:v>0.29309262580641682</c:v>
                </c:pt>
                <c:pt idx="24">
                  <c:v>0.29532905879649052</c:v>
                </c:pt>
                <c:pt idx="25">
                  <c:v>0.29997941102562931</c:v>
                </c:pt>
                <c:pt idx="26">
                  <c:v>0.30796773866479143</c:v>
                </c:pt>
                <c:pt idx="27">
                  <c:v>0.31361903577815242</c:v>
                </c:pt>
                <c:pt idx="28">
                  <c:v>0.32018308815120211</c:v>
                </c:pt>
                <c:pt idx="29">
                  <c:v>0.32610844737555411</c:v>
                </c:pt>
                <c:pt idx="30">
                  <c:v>0.33947437568196359</c:v>
                </c:pt>
                <c:pt idx="31">
                  <c:v>0.35038871214637335</c:v>
                </c:pt>
                <c:pt idx="32">
                  <c:v>0.36313265841080156</c:v>
                </c:pt>
                <c:pt idx="33">
                  <c:v>0.36991646811125578</c:v>
                </c:pt>
                <c:pt idx="34">
                  <c:v>0.38629272789697089</c:v>
                </c:pt>
                <c:pt idx="35">
                  <c:v>0.41900945651695554</c:v>
                </c:pt>
                <c:pt idx="36">
                  <c:v>0.40783458287695618</c:v>
                </c:pt>
                <c:pt idx="37">
                  <c:v>0.4000221113417517</c:v>
                </c:pt>
                <c:pt idx="38">
                  <c:v>0.40029168986864183</c:v>
                </c:pt>
                <c:pt idx="39">
                  <c:v>0.4008477870843189</c:v>
                </c:pt>
                <c:pt idx="40">
                  <c:v>0.40141160594196446</c:v>
                </c:pt>
                <c:pt idx="41">
                  <c:v>0.40580717718292303</c:v>
                </c:pt>
                <c:pt idx="42">
                  <c:v>0.41005065582927047</c:v>
                </c:pt>
                <c:pt idx="43">
                  <c:v>0.41419141332929277</c:v>
                </c:pt>
                <c:pt idx="44">
                  <c:v>0.41828468458581836</c:v>
                </c:pt>
                <c:pt idx="45">
                  <c:v>0.4223414227318022</c:v>
                </c:pt>
                <c:pt idx="46">
                  <c:v>0.42634516534026512</c:v>
                </c:pt>
                <c:pt idx="47">
                  <c:v>0.42859765533045768</c:v>
                </c:pt>
                <c:pt idx="48">
                  <c:v>0.43061121030737315</c:v>
                </c:pt>
                <c:pt idx="49">
                  <c:v>0.43256016872057879</c:v>
                </c:pt>
                <c:pt idx="50">
                  <c:v>0.43440688902670288</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 ##0.0_-;\-* #\ ##0.0_-;_-* "-"??_-;_-@_-</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formatCode="_-* #\ ##0_-;\-* #\ ##0_-;_-* &quot;-&quot;??_-;_-@_-">
                  <c:v>456.79851130612758</c:v>
                </c:pt>
                <c:pt idx="11" formatCode="_-* #\ ##0_-;\-* #\ ##0_-;_-* &quot;-&quot;??_-;_-@_-">
                  <c:v>487.61891597202572</c:v>
                </c:pt>
                <c:pt idx="12" formatCode="_-* #\ ##0_-;\-* #\ ##0_-;_-* &quot;-&quot;??_-;_-@_-">
                  <c:v>538.64744356540064</c:v>
                </c:pt>
                <c:pt idx="13" formatCode="_-* #\ ##0_-;\-* #\ ##0_-;_-* &quot;-&quot;??_-;_-@_-">
                  <c:v>589.15519434167379</c:v>
                </c:pt>
                <c:pt idx="14" formatCode="_-* #\ ##0_-;\-* #\ ##0_-;_-* &quot;-&quot;??_-;_-@_-">
                  <c:v>635.23910612615396</c:v>
                </c:pt>
                <c:pt idx="15" formatCode="_-* #\ ##0_-;\-* #\ ##0_-;_-* &quot;-&quot;??_-;_-@_-">
                  <c:v>677.38176547650767</c:v>
                </c:pt>
                <c:pt idx="16" formatCode="_-* #\ ##0_-;\-* #\ ##0_-;_-* &quot;-&quot;??_-;_-@_-">
                  <c:v>715.43001879258736</c:v>
                </c:pt>
                <c:pt idx="17" formatCode="_-* #\ ##0_-;\-* #\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16402.96396416011</c:v>
                </c:pt>
                <c:pt idx="11">
                  <c:v>15969.202590996572</c:v>
                </c:pt>
                <c:pt idx="12">
                  <c:v>15523.612887862477</c:v>
                </c:pt>
                <c:pt idx="13">
                  <c:v>15071.834449560849</c:v>
                </c:pt>
                <c:pt idx="14">
                  <c:v>14619.093586396721</c:v>
                </c:pt>
                <c:pt idx="15">
                  <c:v>14160.854318867994</c:v>
                </c:pt>
                <c:pt idx="16">
                  <c:v>13704.071299465584</c:v>
                </c:pt>
                <c:pt idx="17">
                  <c:v>13256.170111697584</c:v>
                </c:pt>
                <c:pt idx="18">
                  <c:v>12814.599787509567</c:v>
                </c:pt>
                <c:pt idx="19">
                  <c:v>12385.888664631604</c:v>
                </c:pt>
                <c:pt idx="20">
                  <c:v>11969.72936333349</c:v>
                </c:pt>
                <c:pt idx="21">
                  <c:v>11573.189023892492</c:v>
                </c:pt>
                <c:pt idx="22">
                  <c:v>11192.704747093738</c:v>
                </c:pt>
                <c:pt idx="23">
                  <c:v>10829.333961461929</c:v>
                </c:pt>
                <c:pt idx="24">
                  <c:v>10474.86986554718</c:v>
                </c:pt>
                <c:pt idx="25">
                  <c:v>10139.290093474539</c:v>
                </c:pt>
                <c:pt idx="26">
                  <c:v>9838.2631212810011</c:v>
                </c:pt>
                <c:pt idx="27">
                  <c:v>9594.7311699912007</c:v>
                </c:pt>
                <c:pt idx="28">
                  <c:v>9378.3211592299922</c:v>
                </c:pt>
                <c:pt idx="29">
                  <c:v>9170.8091286868057</c:v>
                </c:pt>
                <c:pt idx="30">
                  <c:v>8971.8741524450215</c:v>
                </c:pt>
                <c:pt idx="31">
                  <c:v>8781.1498299863051</c:v>
                </c:pt>
                <c:pt idx="32">
                  <c:v>8589.6992547425871</c:v>
                </c:pt>
                <c:pt idx="33">
                  <c:v>8397.70930715145</c:v>
                </c:pt>
                <c:pt idx="34">
                  <c:v>8205.3603377812869</c:v>
                </c:pt>
                <c:pt idx="35">
                  <c:v>8012.8252296788305</c:v>
                </c:pt>
                <c:pt idx="36">
                  <c:v>7820.2611351591386</c:v>
                </c:pt>
                <c:pt idx="37">
                  <c:v>7628.1253532443234</c:v>
                </c:pt>
                <c:pt idx="38">
                  <c:v>7436.2984184115312</c:v>
                </c:pt>
                <c:pt idx="39">
                  <c:v>7250.8265428002269</c:v>
                </c:pt>
                <c:pt idx="40">
                  <c:v>7071.6258657659719</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965.18898465661198</c:v>
                </c:pt>
                <c:pt idx="10">
                  <c:v>993.04858779095036</c:v>
                </c:pt>
                <c:pt idx="11">
                  <c:v>1052.8992274133789</c:v>
                </c:pt>
                <c:pt idx="12">
                  <c:v>1109.7365877589782</c:v>
                </c:pt>
                <c:pt idx="13">
                  <c:v>1172.4309566505772</c:v>
                </c:pt>
                <c:pt idx="14">
                  <c:v>1235.7173962100646</c:v>
                </c:pt>
                <c:pt idx="15">
                  <c:v>1298.538805430403</c:v>
                </c:pt>
                <c:pt idx="16">
                  <c:v>1360.2842928542614</c:v>
                </c:pt>
                <c:pt idx="17">
                  <c:v>1421.978807306712</c:v>
                </c:pt>
                <c:pt idx="18">
                  <c:v>1429.2295164395491</c:v>
                </c:pt>
                <c:pt idx="19">
                  <c:v>1438.8610554369002</c:v>
                </c:pt>
                <c:pt idx="20">
                  <c:v>1447.5256763766272</c:v>
                </c:pt>
                <c:pt idx="21">
                  <c:v>1457.782222423391</c:v>
                </c:pt>
                <c:pt idx="22">
                  <c:v>1468.5147776031451</c:v>
                </c:pt>
                <c:pt idx="23">
                  <c:v>1481.1372537227801</c:v>
                </c:pt>
                <c:pt idx="24">
                  <c:v>1494.902308601505</c:v>
                </c:pt>
                <c:pt idx="25">
                  <c:v>1505.8873760396166</c:v>
                </c:pt>
                <c:pt idx="26">
                  <c:v>1516.8865590698106</c:v>
                </c:pt>
                <c:pt idx="27">
                  <c:v>1529.7560580508825</c:v>
                </c:pt>
                <c:pt idx="28">
                  <c:v>1542.323640201309</c:v>
                </c:pt>
                <c:pt idx="29">
                  <c:v>1555.7930518458707</c:v>
                </c:pt>
                <c:pt idx="30">
                  <c:v>1569.3079470649179</c:v>
                </c:pt>
                <c:pt idx="31">
                  <c:v>1584.5041661408554</c:v>
                </c:pt>
                <c:pt idx="32">
                  <c:v>1599.9395660826283</c:v>
                </c:pt>
                <c:pt idx="33">
                  <c:v>1615.7733394009406</c:v>
                </c:pt>
                <c:pt idx="34">
                  <c:v>1632.2219251743841</c:v>
                </c:pt>
                <c:pt idx="35">
                  <c:v>1649.3653117580907</c:v>
                </c:pt>
                <c:pt idx="36">
                  <c:v>1667.697544874934</c:v>
                </c:pt>
                <c:pt idx="37">
                  <c:v>1679.0809856895848</c:v>
                </c:pt>
                <c:pt idx="38">
                  <c:v>1689.6857163410402</c:v>
                </c:pt>
                <c:pt idx="39">
                  <c:v>1700.2520212140498</c:v>
                </c:pt>
                <c:pt idx="40">
                  <c:v>1710.5830662190247</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289.2167901677646</c:v>
                </c:pt>
                <c:pt idx="12">
                  <c:v>281.69522416200493</c:v>
                </c:pt>
                <c:pt idx="13">
                  <c:v>274.40921682083996</c:v>
                </c:pt>
                <c:pt idx="14">
                  <c:v>267.37284603356454</c:v>
                </c:pt>
                <c:pt idx="15">
                  <c:v>260.59971458051854</c:v>
                </c:pt>
                <c:pt idx="16">
                  <c:v>254.06145258870976</c:v>
                </c:pt>
                <c:pt idx="17">
                  <c:v>247.75826929213909</c:v>
                </c:pt>
                <c:pt idx="18">
                  <c:v>234.19480569358143</c:v>
                </c:pt>
                <c:pt idx="19">
                  <c:v>221.40446963991948</c:v>
                </c:pt>
                <c:pt idx="20">
                  <c:v>209.34072657571596</c:v>
                </c:pt>
                <c:pt idx="21">
                  <c:v>198.91143530377943</c:v>
                </c:pt>
                <c:pt idx="22">
                  <c:v>188.55488170905181</c:v>
                </c:pt>
                <c:pt idx="23">
                  <c:v>178.26707342825517</c:v>
                </c:pt>
                <c:pt idx="24">
                  <c:v>168.04419846686227</c:v>
                </c:pt>
                <c:pt idx="25">
                  <c:v>157.88261292997831</c:v>
                </c:pt>
                <c:pt idx="26">
                  <c:v>147.77800293189182</c:v>
                </c:pt>
                <c:pt idx="27">
                  <c:v>144.20022485945691</c:v>
                </c:pt>
                <c:pt idx="28">
                  <c:v>137.75416175508605</c:v>
                </c:pt>
                <c:pt idx="29">
                  <c:v>131.34339866131947</c:v>
                </c:pt>
                <c:pt idx="30">
                  <c:v>124.96603193247478</c:v>
                </c:pt>
                <c:pt idx="31">
                  <c:v>118.61956929732267</c:v>
                </c:pt>
                <c:pt idx="32">
                  <c:v>112.30236727150015</c:v>
                </c:pt>
                <c:pt idx="33">
                  <c:v>106.012840584472</c:v>
                </c:pt>
                <c:pt idx="34">
                  <c:v>99.749458499088959</c:v>
                </c:pt>
                <c:pt idx="35">
                  <c:v>93.510741331139286</c:v>
                </c:pt>
                <c:pt idx="36">
                  <c:v>87.295238233233178</c:v>
                </c:pt>
                <c:pt idx="37">
                  <c:v>81.101566250711471</c:v>
                </c:pt>
                <c:pt idx="38">
                  <c:v>81.003658311861969</c:v>
                </c:pt>
                <c:pt idx="39">
                  <c:v>80.911045357911618</c:v>
                </c:pt>
                <c:pt idx="40">
                  <c:v>80.823630173106366</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4006.3395692143868</c:v>
                </c:pt>
                <c:pt idx="12">
                  <c:v>4094.066040865282</c:v>
                </c:pt>
                <c:pt idx="13">
                  <c:v>4179.5816704367107</c:v>
                </c:pt>
                <c:pt idx="14">
                  <c:v>4262.6708621765738</c:v>
                </c:pt>
                <c:pt idx="15">
                  <c:v>4343.120833339507</c:v>
                </c:pt>
                <c:pt idx="16">
                  <c:v>4423.3381931559124</c:v>
                </c:pt>
                <c:pt idx="17">
                  <c:v>4503.2588541054283</c:v>
                </c:pt>
                <c:pt idx="18">
                  <c:v>4582.8180264451748</c:v>
                </c:pt>
                <c:pt idx="19">
                  <c:v>4661.9503023252364</c:v>
                </c:pt>
                <c:pt idx="20">
                  <c:v>4740.5897422979515</c:v>
                </c:pt>
                <c:pt idx="21">
                  <c:v>4819.0093884169537</c:v>
                </c:pt>
                <c:pt idx="22">
                  <c:v>4897.1591504521057</c:v>
                </c:pt>
                <c:pt idx="23">
                  <c:v>4974.9884777949756</c:v>
                </c:pt>
                <c:pt idx="24">
                  <c:v>5052.4464120973771</c:v>
                </c:pt>
                <c:pt idx="25">
                  <c:v>5129.4816411793363</c:v>
                </c:pt>
                <c:pt idx="26">
                  <c:v>5206.1448511865874</c:v>
                </c:pt>
                <c:pt idx="27">
                  <c:v>5282.3887289902686</c:v>
                </c:pt>
                <c:pt idx="28">
                  <c:v>5358.165717599737</c:v>
                </c:pt>
                <c:pt idx="29">
                  <c:v>5433.4280644807559</c:v>
                </c:pt>
                <c:pt idx="30">
                  <c:v>5508.1278706874436</c:v>
                </c:pt>
                <c:pt idx="31">
                  <c:v>5582.3312023307008</c:v>
                </c:pt>
                <c:pt idx="32">
                  <c:v>5655.9945795987232</c:v>
                </c:pt>
                <c:pt idx="33">
                  <c:v>5729.0744515517763</c:v>
                </c:pt>
                <c:pt idx="34">
                  <c:v>5801.5272383822921</c:v>
                </c:pt>
                <c:pt idx="35">
                  <c:v>5873.309374134119</c:v>
                </c:pt>
                <c:pt idx="36">
                  <c:v>5944.3822393744213</c:v>
                </c:pt>
                <c:pt idx="37">
                  <c:v>6014.7026012490442</c:v>
                </c:pt>
                <c:pt idx="38">
                  <c:v>6084.227367248368</c:v>
                </c:pt>
                <c:pt idx="39">
                  <c:v>6152.9136288185055</c:v>
                </c:pt>
                <c:pt idx="40">
                  <c:v>6220.7187051348292</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16402.96396416011</c:v>
                </c:pt>
                <c:pt idx="11">
                  <c:v>15969.202590996572</c:v>
                </c:pt>
                <c:pt idx="12">
                  <c:v>15523.612887862477</c:v>
                </c:pt>
                <c:pt idx="13">
                  <c:v>15071.834449560849</c:v>
                </c:pt>
                <c:pt idx="14">
                  <c:v>14619.093586396721</c:v>
                </c:pt>
                <c:pt idx="15">
                  <c:v>14160.854318867994</c:v>
                </c:pt>
                <c:pt idx="16">
                  <c:v>13704.071299465584</c:v>
                </c:pt>
                <c:pt idx="17">
                  <c:v>13256.170111697584</c:v>
                </c:pt>
                <c:pt idx="18">
                  <c:v>12814.599787509567</c:v>
                </c:pt>
                <c:pt idx="19">
                  <c:v>12385.888664631604</c:v>
                </c:pt>
                <c:pt idx="20">
                  <c:v>11969.72936333349</c:v>
                </c:pt>
                <c:pt idx="21">
                  <c:v>11573.189023892492</c:v>
                </c:pt>
                <c:pt idx="22">
                  <c:v>11192.704747093738</c:v>
                </c:pt>
                <c:pt idx="23">
                  <c:v>10829.333961461929</c:v>
                </c:pt>
                <c:pt idx="24">
                  <c:v>10474.86986554718</c:v>
                </c:pt>
                <c:pt idx="25">
                  <c:v>10139.290093474539</c:v>
                </c:pt>
                <c:pt idx="26">
                  <c:v>9838.2631212810011</c:v>
                </c:pt>
                <c:pt idx="27">
                  <c:v>9594.7311699912007</c:v>
                </c:pt>
                <c:pt idx="28">
                  <c:v>9378.3211592299922</c:v>
                </c:pt>
                <c:pt idx="29">
                  <c:v>9170.8091286868057</c:v>
                </c:pt>
                <c:pt idx="30">
                  <c:v>8971.8741524450215</c:v>
                </c:pt>
                <c:pt idx="31">
                  <c:v>8781.1498299863051</c:v>
                </c:pt>
                <c:pt idx="32">
                  <c:v>8589.6992547425871</c:v>
                </c:pt>
                <c:pt idx="33">
                  <c:v>8397.70930715145</c:v>
                </c:pt>
                <c:pt idx="34">
                  <c:v>8205.3603377812869</c:v>
                </c:pt>
                <c:pt idx="35">
                  <c:v>8012.8252296788305</c:v>
                </c:pt>
                <c:pt idx="36">
                  <c:v>7820.2611351591386</c:v>
                </c:pt>
                <c:pt idx="37">
                  <c:v>7628.1253532443234</c:v>
                </c:pt>
                <c:pt idx="38">
                  <c:v>7436.2984184115312</c:v>
                </c:pt>
                <c:pt idx="39">
                  <c:v>7250.8265428002269</c:v>
                </c:pt>
                <c:pt idx="40">
                  <c:v>7071.6258657659719</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965.18898465661198</c:v>
                </c:pt>
                <c:pt idx="10">
                  <c:v>993.04858779095036</c:v>
                </c:pt>
                <c:pt idx="11">
                  <c:v>1052.8992274133789</c:v>
                </c:pt>
                <c:pt idx="12">
                  <c:v>1109.7365877589782</c:v>
                </c:pt>
                <c:pt idx="13">
                  <c:v>1172.4309566505772</c:v>
                </c:pt>
                <c:pt idx="14">
                  <c:v>1235.7173962100646</c:v>
                </c:pt>
                <c:pt idx="15">
                  <c:v>1298.538805430403</c:v>
                </c:pt>
                <c:pt idx="16">
                  <c:v>1360.2842928542614</c:v>
                </c:pt>
                <c:pt idx="17">
                  <c:v>1421.978807306712</c:v>
                </c:pt>
                <c:pt idx="18">
                  <c:v>1429.2295164395491</c:v>
                </c:pt>
                <c:pt idx="19">
                  <c:v>1438.8610554369002</c:v>
                </c:pt>
                <c:pt idx="20">
                  <c:v>1447.5256763766272</c:v>
                </c:pt>
                <c:pt idx="21">
                  <c:v>1457.782222423391</c:v>
                </c:pt>
                <c:pt idx="22">
                  <c:v>1468.5147776031451</c:v>
                </c:pt>
                <c:pt idx="23">
                  <c:v>1481.1372537227801</c:v>
                </c:pt>
                <c:pt idx="24">
                  <c:v>1494.902308601505</c:v>
                </c:pt>
                <c:pt idx="25">
                  <c:v>1505.8873760396166</c:v>
                </c:pt>
                <c:pt idx="26">
                  <c:v>1516.8865590698106</c:v>
                </c:pt>
                <c:pt idx="27">
                  <c:v>1529.7560580508825</c:v>
                </c:pt>
                <c:pt idx="28">
                  <c:v>1542.323640201309</c:v>
                </c:pt>
                <c:pt idx="29">
                  <c:v>1555.7930518458707</c:v>
                </c:pt>
                <c:pt idx="30">
                  <c:v>1569.3079470649179</c:v>
                </c:pt>
                <c:pt idx="31">
                  <c:v>1584.5041661408554</c:v>
                </c:pt>
                <c:pt idx="32">
                  <c:v>1599.9395660826283</c:v>
                </c:pt>
                <c:pt idx="33">
                  <c:v>1615.7733394009406</c:v>
                </c:pt>
                <c:pt idx="34">
                  <c:v>1632.2219251743841</c:v>
                </c:pt>
                <c:pt idx="35">
                  <c:v>1649.3653117580907</c:v>
                </c:pt>
                <c:pt idx="36">
                  <c:v>1667.697544874934</c:v>
                </c:pt>
                <c:pt idx="37">
                  <c:v>1679.0809856895848</c:v>
                </c:pt>
                <c:pt idx="38">
                  <c:v>1689.6857163410402</c:v>
                </c:pt>
                <c:pt idx="39">
                  <c:v>1700.2520212140498</c:v>
                </c:pt>
                <c:pt idx="40">
                  <c:v>1710.5830662190247</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289.2167901677646</c:v>
                </c:pt>
                <c:pt idx="12">
                  <c:v>281.69522416200493</c:v>
                </c:pt>
                <c:pt idx="13">
                  <c:v>274.40921682083996</c:v>
                </c:pt>
                <c:pt idx="14">
                  <c:v>267.37284603356454</c:v>
                </c:pt>
                <c:pt idx="15">
                  <c:v>260.59971458051854</c:v>
                </c:pt>
                <c:pt idx="16">
                  <c:v>254.06145258870976</c:v>
                </c:pt>
                <c:pt idx="17">
                  <c:v>247.75826929213909</c:v>
                </c:pt>
                <c:pt idx="18">
                  <c:v>234.19480569358143</c:v>
                </c:pt>
                <c:pt idx="19">
                  <c:v>221.40446963991948</c:v>
                </c:pt>
                <c:pt idx="20">
                  <c:v>209.34072657571596</c:v>
                </c:pt>
                <c:pt idx="21">
                  <c:v>198.91143530377943</c:v>
                </c:pt>
                <c:pt idx="22">
                  <c:v>188.55488170905181</c:v>
                </c:pt>
                <c:pt idx="23">
                  <c:v>178.26707342825517</c:v>
                </c:pt>
                <c:pt idx="24">
                  <c:v>168.04419846686227</c:v>
                </c:pt>
                <c:pt idx="25">
                  <c:v>157.88261292997831</c:v>
                </c:pt>
                <c:pt idx="26">
                  <c:v>147.77800293189182</c:v>
                </c:pt>
                <c:pt idx="27">
                  <c:v>144.20022485945691</c:v>
                </c:pt>
                <c:pt idx="28">
                  <c:v>137.75416175508605</c:v>
                </c:pt>
                <c:pt idx="29">
                  <c:v>131.34339866131947</c:v>
                </c:pt>
                <c:pt idx="30">
                  <c:v>124.96603193247478</c:v>
                </c:pt>
                <c:pt idx="31">
                  <c:v>118.61956929732267</c:v>
                </c:pt>
                <c:pt idx="32">
                  <c:v>112.30236727150015</c:v>
                </c:pt>
                <c:pt idx="33">
                  <c:v>106.012840584472</c:v>
                </c:pt>
                <c:pt idx="34">
                  <c:v>99.749458499088959</c:v>
                </c:pt>
                <c:pt idx="35">
                  <c:v>93.510741331139286</c:v>
                </c:pt>
                <c:pt idx="36">
                  <c:v>87.295238233233178</c:v>
                </c:pt>
                <c:pt idx="37">
                  <c:v>81.101566250711471</c:v>
                </c:pt>
                <c:pt idx="38">
                  <c:v>81.003658311861969</c:v>
                </c:pt>
                <c:pt idx="39">
                  <c:v>80.911045357911618</c:v>
                </c:pt>
                <c:pt idx="40">
                  <c:v>80.823630173106366</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4006.3395692143868</c:v>
                </c:pt>
                <c:pt idx="12">
                  <c:v>4094.066040865282</c:v>
                </c:pt>
                <c:pt idx="13">
                  <c:v>4179.5816704367107</c:v>
                </c:pt>
                <c:pt idx="14">
                  <c:v>4262.6708621765738</c:v>
                </c:pt>
                <c:pt idx="15">
                  <c:v>4343.120833339507</c:v>
                </c:pt>
                <c:pt idx="16">
                  <c:v>4423.3381931559124</c:v>
                </c:pt>
                <c:pt idx="17">
                  <c:v>4503.2588541054283</c:v>
                </c:pt>
                <c:pt idx="18">
                  <c:v>4582.8180264451748</c:v>
                </c:pt>
                <c:pt idx="19">
                  <c:v>4661.9503023252364</c:v>
                </c:pt>
                <c:pt idx="20">
                  <c:v>4740.5897422979515</c:v>
                </c:pt>
                <c:pt idx="21">
                  <c:v>4819.0093884169537</c:v>
                </c:pt>
                <c:pt idx="22">
                  <c:v>4897.1591504521057</c:v>
                </c:pt>
                <c:pt idx="23">
                  <c:v>4974.9884777949756</c:v>
                </c:pt>
                <c:pt idx="24">
                  <c:v>5052.4464120973771</c:v>
                </c:pt>
                <c:pt idx="25">
                  <c:v>5129.4816411793363</c:v>
                </c:pt>
                <c:pt idx="26">
                  <c:v>5206.1448511865874</c:v>
                </c:pt>
                <c:pt idx="27">
                  <c:v>5282.3887289902686</c:v>
                </c:pt>
                <c:pt idx="28">
                  <c:v>5358.165717599737</c:v>
                </c:pt>
                <c:pt idx="29">
                  <c:v>5433.4280644807559</c:v>
                </c:pt>
                <c:pt idx="30">
                  <c:v>5508.1278706874436</c:v>
                </c:pt>
                <c:pt idx="31">
                  <c:v>5582.3312023307008</c:v>
                </c:pt>
                <c:pt idx="32">
                  <c:v>5655.9945795987232</c:v>
                </c:pt>
                <c:pt idx="33">
                  <c:v>5729.0744515517763</c:v>
                </c:pt>
                <c:pt idx="34">
                  <c:v>5801.5272383822921</c:v>
                </c:pt>
                <c:pt idx="35">
                  <c:v>5873.309374134119</c:v>
                </c:pt>
                <c:pt idx="36">
                  <c:v>5944.3822393744213</c:v>
                </c:pt>
                <c:pt idx="37">
                  <c:v>6014.7026012490442</c:v>
                </c:pt>
                <c:pt idx="38">
                  <c:v>6084.227367248368</c:v>
                </c:pt>
                <c:pt idx="39">
                  <c:v>6152.9136288185055</c:v>
                </c:pt>
                <c:pt idx="40">
                  <c:v>6220.7187051348292</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16425.701374078832</c:v>
                </c:pt>
                <c:pt idx="11">
                  <c:v>15984.307431159603</c:v>
                </c:pt>
                <c:pt idx="12">
                  <c:v>15440.910570061716</c:v>
                </c:pt>
                <c:pt idx="13">
                  <c:v>14861.425689875348</c:v>
                </c:pt>
                <c:pt idx="14">
                  <c:v>14305.589455569338</c:v>
                </c:pt>
                <c:pt idx="15">
                  <c:v>13771.649663797678</c:v>
                </c:pt>
                <c:pt idx="16">
                  <c:v>13257.934482378099</c:v>
                </c:pt>
                <c:pt idx="17">
                  <c:v>12762.876999017766</c:v>
                </c:pt>
                <c:pt idx="18">
                  <c:v>12284.97829365596</c:v>
                </c:pt>
                <c:pt idx="19">
                  <c:v>11822.80391001852</c:v>
                </c:pt>
                <c:pt idx="20">
                  <c:v>11374.980473057714</c:v>
                </c:pt>
                <c:pt idx="21">
                  <c:v>10940.192444029699</c:v>
                </c:pt>
                <c:pt idx="22">
                  <c:v>10514.599844974562</c:v>
                </c:pt>
                <c:pt idx="23">
                  <c:v>10097.696481443059</c:v>
                </c:pt>
                <c:pt idx="24">
                  <c:v>9701.3550844136062</c:v>
                </c:pt>
                <c:pt idx="25">
                  <c:v>9324.5645292828121</c:v>
                </c:pt>
                <c:pt idx="26">
                  <c:v>8966.3630776495374</c:v>
                </c:pt>
                <c:pt idx="27">
                  <c:v>8660.7959436491019</c:v>
                </c:pt>
                <c:pt idx="28">
                  <c:v>8386.4221358699469</c:v>
                </c:pt>
                <c:pt idx="29">
                  <c:v>8130.9546129319397</c:v>
                </c:pt>
                <c:pt idx="30">
                  <c:v>7893.5480848191428</c:v>
                </c:pt>
                <c:pt idx="31">
                  <c:v>7673.3666722032312</c:v>
                </c:pt>
                <c:pt idx="32">
                  <c:v>7465.0297938783306</c:v>
                </c:pt>
                <c:pt idx="33">
                  <c:v>7267.9380655257928</c:v>
                </c:pt>
                <c:pt idx="34">
                  <c:v>7081.5269508129659</c:v>
                </c:pt>
                <c:pt idx="35">
                  <c:v>6905.2657332756789</c:v>
                </c:pt>
                <c:pt idx="36">
                  <c:v>6738.6508844775799</c:v>
                </c:pt>
                <c:pt idx="37">
                  <c:v>6581.4418873952945</c:v>
                </c:pt>
                <c:pt idx="38">
                  <c:v>6432.978248275509</c:v>
                </c:pt>
                <c:pt idx="39">
                  <c:v>6292.8022890984421</c:v>
                </c:pt>
                <c:pt idx="40">
                  <c:v>6160.4983434027208</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965.18898465661198</c:v>
                </c:pt>
                <c:pt idx="10">
                  <c:v>1048.5083161077769</c:v>
                </c:pt>
                <c:pt idx="11">
                  <c:v>1273.0199745103064</c:v>
                </c:pt>
                <c:pt idx="12">
                  <c:v>1382.7398139171632</c:v>
                </c:pt>
                <c:pt idx="13">
                  <c:v>1390.8335375771253</c:v>
                </c:pt>
                <c:pt idx="14">
                  <c:v>1399.5193319049756</c:v>
                </c:pt>
                <c:pt idx="15">
                  <c:v>1407.7400958936769</c:v>
                </c:pt>
                <c:pt idx="16">
                  <c:v>1414.8849380858983</c:v>
                </c:pt>
                <c:pt idx="17">
                  <c:v>1421.978807306712</c:v>
                </c:pt>
                <c:pt idx="18">
                  <c:v>1429.2295164395491</c:v>
                </c:pt>
                <c:pt idx="19">
                  <c:v>1438.8610554369002</c:v>
                </c:pt>
                <c:pt idx="20">
                  <c:v>1447.5256763766272</c:v>
                </c:pt>
                <c:pt idx="21">
                  <c:v>1457.782222423391</c:v>
                </c:pt>
                <c:pt idx="22">
                  <c:v>1468.5147776031451</c:v>
                </c:pt>
                <c:pt idx="23">
                  <c:v>1481.1372537227801</c:v>
                </c:pt>
                <c:pt idx="24">
                  <c:v>1494.902308601505</c:v>
                </c:pt>
                <c:pt idx="25">
                  <c:v>1505.8873760396166</c:v>
                </c:pt>
                <c:pt idx="26">
                  <c:v>1516.8865590698106</c:v>
                </c:pt>
                <c:pt idx="27">
                  <c:v>1529.7560580508825</c:v>
                </c:pt>
                <c:pt idx="28">
                  <c:v>1542.323640201309</c:v>
                </c:pt>
                <c:pt idx="29">
                  <c:v>1555.7930518458707</c:v>
                </c:pt>
                <c:pt idx="30">
                  <c:v>1569.3079470649179</c:v>
                </c:pt>
                <c:pt idx="31">
                  <c:v>1584.5041661408554</c:v>
                </c:pt>
                <c:pt idx="32">
                  <c:v>1599.9395660826283</c:v>
                </c:pt>
                <c:pt idx="33">
                  <c:v>1615.7733394009406</c:v>
                </c:pt>
                <c:pt idx="34">
                  <c:v>1632.2219251743841</c:v>
                </c:pt>
                <c:pt idx="35">
                  <c:v>1649.3653117580907</c:v>
                </c:pt>
                <c:pt idx="36">
                  <c:v>1667.697544874934</c:v>
                </c:pt>
                <c:pt idx="37">
                  <c:v>1679.0809856895848</c:v>
                </c:pt>
                <c:pt idx="38">
                  <c:v>1689.6857163410402</c:v>
                </c:pt>
                <c:pt idx="39">
                  <c:v>1700.2520212140498</c:v>
                </c:pt>
                <c:pt idx="40">
                  <c:v>1710.5830662190247</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275.15845517166412</c:v>
                </c:pt>
                <c:pt idx="12">
                  <c:v>228.791856973352</c:v>
                </c:pt>
                <c:pt idx="13">
                  <c:v>216.90639640602836</c:v>
                </c:pt>
                <c:pt idx="14">
                  <c:v>204.89414946821324</c:v>
                </c:pt>
                <c:pt idx="15">
                  <c:v>192.73543627799813</c:v>
                </c:pt>
                <c:pt idx="16">
                  <c:v>180.37222914300256</c:v>
                </c:pt>
                <c:pt idx="17">
                  <c:v>167.79191934062044</c:v>
                </c:pt>
                <c:pt idx="18">
                  <c:v>154.98142086277571</c:v>
                </c:pt>
                <c:pt idx="19">
                  <c:v>141.92712101168402</c:v>
                </c:pt>
                <c:pt idx="20">
                  <c:v>128.6148276326544</c:v>
                </c:pt>
                <c:pt idx="21">
                  <c:v>113.42577376727571</c:v>
                </c:pt>
                <c:pt idx="22">
                  <c:v>98.341110038483521</c:v>
                </c:pt>
                <c:pt idx="23">
                  <c:v>98.064028567910043</c:v>
                </c:pt>
                <c:pt idx="24">
                  <c:v>97.799429259916053</c:v>
                </c:pt>
                <c:pt idx="25">
                  <c:v>97.546904040278406</c:v>
                </c:pt>
                <c:pt idx="26">
                  <c:v>97.305427719784788</c:v>
                </c:pt>
                <c:pt idx="27">
                  <c:v>97.07466187463389</c:v>
                </c:pt>
                <c:pt idx="28">
                  <c:v>96.854287525066866</c:v>
                </c:pt>
                <c:pt idx="29">
                  <c:v>96.644004088947369</c:v>
                </c:pt>
                <c:pt idx="30">
                  <c:v>96.44352841369853</c:v>
                </c:pt>
                <c:pt idx="31">
                  <c:v>96.251962483404526</c:v>
                </c:pt>
                <c:pt idx="32">
                  <c:v>96.069073413937716</c:v>
                </c:pt>
                <c:pt idx="33">
                  <c:v>95.894641405286421</c:v>
                </c:pt>
                <c:pt idx="34">
                  <c:v>95.728459127027506</c:v>
                </c:pt>
                <c:pt idx="35">
                  <c:v>95.570331147581143</c:v>
                </c:pt>
                <c:pt idx="36">
                  <c:v>95.420049102741402</c:v>
                </c:pt>
                <c:pt idx="37">
                  <c:v>95.277440365034479</c:v>
                </c:pt>
                <c:pt idx="38">
                  <c:v>95.142342665016031</c:v>
                </c:pt>
                <c:pt idx="39">
                  <c:v>95.014603670562764</c:v>
                </c:pt>
                <c:pt idx="40">
                  <c:v>94.894080596963946</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4213.2982069875279</c:v>
                </c:pt>
                <c:pt idx="12">
                  <c:v>4356.2283396619641</c:v>
                </c:pt>
                <c:pt idx="13">
                  <c:v>4498.0961133518758</c:v>
                </c:pt>
                <c:pt idx="14">
                  <c:v>4638.5551576717935</c:v>
                </c:pt>
                <c:pt idx="15">
                  <c:v>4777.2556694816303</c:v>
                </c:pt>
                <c:pt idx="16">
                  <c:v>4916.7532922564824</c:v>
                </c:pt>
                <c:pt idx="17">
                  <c:v>5056.9427905821094</c:v>
                </c:pt>
                <c:pt idx="18">
                  <c:v>5197.7163106848438</c:v>
                </c:pt>
                <c:pt idx="19">
                  <c:v>5338.9635096347838</c:v>
                </c:pt>
                <c:pt idx="20">
                  <c:v>5480.5716912650823</c:v>
                </c:pt>
                <c:pt idx="21">
                  <c:v>5528.0869325500698</c:v>
                </c:pt>
                <c:pt idx="22">
                  <c:v>5574.564668399451</c:v>
                </c:pt>
                <c:pt idx="23">
                  <c:v>5619.9715311876926</c:v>
                </c:pt>
                <c:pt idx="24">
                  <c:v>5664.2747063410307</c:v>
                </c:pt>
                <c:pt idx="25">
                  <c:v>5707.4419715478889</c:v>
                </c:pt>
                <c:pt idx="26">
                  <c:v>5749.55471020798</c:v>
                </c:pt>
                <c:pt idx="27">
                  <c:v>5790.5844692700766</c:v>
                </c:pt>
                <c:pt idx="28">
                  <c:v>5830.5033663967079</c:v>
                </c:pt>
                <c:pt idx="29">
                  <c:v>5869.2841213486436</c:v>
                </c:pt>
                <c:pt idx="30">
                  <c:v>5906.9000868787916</c:v>
                </c:pt>
                <c:pt idx="31">
                  <c:v>5943.4467192106313</c:v>
                </c:pt>
                <c:pt idx="32">
                  <c:v>5978.9009497134921</c:v>
                </c:pt>
                <c:pt idx="33">
                  <c:v>6013.240288940302</c:v>
                </c:pt>
                <c:pt idx="34">
                  <c:v>6046.4428502961873</c:v>
                </c:pt>
                <c:pt idx="35">
                  <c:v>6078.4873731900434</c:v>
                </c:pt>
                <c:pt idx="36">
                  <c:v>6109.3582708871472</c:v>
                </c:pt>
                <c:pt idx="37">
                  <c:v>6139.0356774671081</c:v>
                </c:pt>
                <c:pt idx="38">
                  <c:v>6167.500413073044</c:v>
                </c:pt>
                <c:pt idx="39">
                  <c:v>6194.7340045038718</c:v>
                </c:pt>
                <c:pt idx="40">
                  <c:v>6220.7187051348292</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16425.701374078832</c:v>
                </c:pt>
                <c:pt idx="11">
                  <c:v>15984.307431159603</c:v>
                </c:pt>
                <c:pt idx="12">
                  <c:v>15440.910570061716</c:v>
                </c:pt>
                <c:pt idx="13">
                  <c:v>14861.425689875348</c:v>
                </c:pt>
                <c:pt idx="14">
                  <c:v>14305.589455569338</c:v>
                </c:pt>
                <c:pt idx="15">
                  <c:v>13771.649663797678</c:v>
                </c:pt>
                <c:pt idx="16">
                  <c:v>13257.934482378099</c:v>
                </c:pt>
                <c:pt idx="17">
                  <c:v>12762.876999017766</c:v>
                </c:pt>
                <c:pt idx="18">
                  <c:v>12284.97829365596</c:v>
                </c:pt>
                <c:pt idx="19">
                  <c:v>11822.80391001852</c:v>
                </c:pt>
                <c:pt idx="20">
                  <c:v>11374.980473057714</c:v>
                </c:pt>
                <c:pt idx="21">
                  <c:v>10940.192444029699</c:v>
                </c:pt>
                <c:pt idx="22">
                  <c:v>10514.599844974562</c:v>
                </c:pt>
                <c:pt idx="23">
                  <c:v>10097.696481443059</c:v>
                </c:pt>
                <c:pt idx="24">
                  <c:v>9701.3550844136062</c:v>
                </c:pt>
                <c:pt idx="25">
                  <c:v>9324.5645292828121</c:v>
                </c:pt>
                <c:pt idx="26">
                  <c:v>8966.3630776495374</c:v>
                </c:pt>
                <c:pt idx="27">
                  <c:v>8660.7959436491019</c:v>
                </c:pt>
                <c:pt idx="28">
                  <c:v>8386.4221358699469</c:v>
                </c:pt>
                <c:pt idx="29">
                  <c:v>8130.9546129319397</c:v>
                </c:pt>
                <c:pt idx="30">
                  <c:v>7893.5480848191428</c:v>
                </c:pt>
                <c:pt idx="31">
                  <c:v>7673.3666722032312</c:v>
                </c:pt>
                <c:pt idx="32">
                  <c:v>7465.0297938783306</c:v>
                </c:pt>
                <c:pt idx="33">
                  <c:v>7267.9380655257928</c:v>
                </c:pt>
                <c:pt idx="34">
                  <c:v>7081.5269508129659</c:v>
                </c:pt>
                <c:pt idx="35">
                  <c:v>6905.2657332756789</c:v>
                </c:pt>
                <c:pt idx="36">
                  <c:v>6738.6508844775799</c:v>
                </c:pt>
                <c:pt idx="37">
                  <c:v>6581.4418873952945</c:v>
                </c:pt>
                <c:pt idx="38">
                  <c:v>6432.978248275509</c:v>
                </c:pt>
                <c:pt idx="39">
                  <c:v>6292.8022890984421</c:v>
                </c:pt>
                <c:pt idx="40">
                  <c:v>6160.4983434027208</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965.18898465661198</c:v>
                </c:pt>
                <c:pt idx="10">
                  <c:v>1048.5083161077769</c:v>
                </c:pt>
                <c:pt idx="11">
                  <c:v>1273.0199745103064</c:v>
                </c:pt>
                <c:pt idx="12">
                  <c:v>1382.7398139171632</c:v>
                </c:pt>
                <c:pt idx="13">
                  <c:v>1390.8335375771253</c:v>
                </c:pt>
                <c:pt idx="14">
                  <c:v>1399.5193319049756</c:v>
                </c:pt>
                <c:pt idx="15">
                  <c:v>1407.7400958936769</c:v>
                </c:pt>
                <c:pt idx="16">
                  <c:v>1414.8849380858983</c:v>
                </c:pt>
                <c:pt idx="17">
                  <c:v>1421.978807306712</c:v>
                </c:pt>
                <c:pt idx="18">
                  <c:v>1429.2295164395491</c:v>
                </c:pt>
                <c:pt idx="19">
                  <c:v>1438.8610554369002</c:v>
                </c:pt>
                <c:pt idx="20">
                  <c:v>1447.5256763766272</c:v>
                </c:pt>
                <c:pt idx="21">
                  <c:v>1457.782222423391</c:v>
                </c:pt>
                <c:pt idx="22">
                  <c:v>1468.5147776031451</c:v>
                </c:pt>
                <c:pt idx="23">
                  <c:v>1481.1372537227801</c:v>
                </c:pt>
                <c:pt idx="24">
                  <c:v>1494.902308601505</c:v>
                </c:pt>
                <c:pt idx="25">
                  <c:v>1505.8873760396166</c:v>
                </c:pt>
                <c:pt idx="26">
                  <c:v>1516.8865590698106</c:v>
                </c:pt>
                <c:pt idx="27">
                  <c:v>1529.7560580508825</c:v>
                </c:pt>
                <c:pt idx="28">
                  <c:v>1542.323640201309</c:v>
                </c:pt>
                <c:pt idx="29">
                  <c:v>1555.7930518458707</c:v>
                </c:pt>
                <c:pt idx="30">
                  <c:v>1569.3079470649179</c:v>
                </c:pt>
                <c:pt idx="31">
                  <c:v>1584.5041661408554</c:v>
                </c:pt>
                <c:pt idx="32">
                  <c:v>1599.9395660826283</c:v>
                </c:pt>
                <c:pt idx="33">
                  <c:v>1615.7733394009406</c:v>
                </c:pt>
                <c:pt idx="34">
                  <c:v>1632.2219251743841</c:v>
                </c:pt>
                <c:pt idx="35">
                  <c:v>1649.3653117580907</c:v>
                </c:pt>
                <c:pt idx="36">
                  <c:v>1667.697544874934</c:v>
                </c:pt>
                <c:pt idx="37">
                  <c:v>1679.0809856895848</c:v>
                </c:pt>
                <c:pt idx="38">
                  <c:v>1689.6857163410402</c:v>
                </c:pt>
                <c:pt idx="39">
                  <c:v>1700.2520212140498</c:v>
                </c:pt>
                <c:pt idx="40">
                  <c:v>1710.5830662190247</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275.15845517166412</c:v>
                </c:pt>
                <c:pt idx="12">
                  <c:v>228.791856973352</c:v>
                </c:pt>
                <c:pt idx="13">
                  <c:v>216.90639640602836</c:v>
                </c:pt>
                <c:pt idx="14">
                  <c:v>204.89414946821324</c:v>
                </c:pt>
                <c:pt idx="15">
                  <c:v>192.73543627799813</c:v>
                </c:pt>
                <c:pt idx="16">
                  <c:v>180.37222914300256</c:v>
                </c:pt>
                <c:pt idx="17">
                  <c:v>167.79191934062044</c:v>
                </c:pt>
                <c:pt idx="18">
                  <c:v>154.98142086277571</c:v>
                </c:pt>
                <c:pt idx="19">
                  <c:v>141.92712101168402</c:v>
                </c:pt>
                <c:pt idx="20">
                  <c:v>128.6148276326544</c:v>
                </c:pt>
                <c:pt idx="21">
                  <c:v>113.42577376727571</c:v>
                </c:pt>
                <c:pt idx="22">
                  <c:v>98.341110038483521</c:v>
                </c:pt>
                <c:pt idx="23">
                  <c:v>98.064028567910043</c:v>
                </c:pt>
                <c:pt idx="24">
                  <c:v>97.799429259916053</c:v>
                </c:pt>
                <c:pt idx="25">
                  <c:v>97.546904040278406</c:v>
                </c:pt>
                <c:pt idx="26">
                  <c:v>97.305427719784788</c:v>
                </c:pt>
                <c:pt idx="27">
                  <c:v>97.07466187463389</c:v>
                </c:pt>
                <c:pt idx="28">
                  <c:v>96.854287525066866</c:v>
                </c:pt>
                <c:pt idx="29">
                  <c:v>96.644004088947369</c:v>
                </c:pt>
                <c:pt idx="30">
                  <c:v>96.44352841369853</c:v>
                </c:pt>
                <c:pt idx="31">
                  <c:v>96.251962483404526</c:v>
                </c:pt>
                <c:pt idx="32">
                  <c:v>96.069073413937716</c:v>
                </c:pt>
                <c:pt idx="33">
                  <c:v>95.894641405286421</c:v>
                </c:pt>
                <c:pt idx="34">
                  <c:v>95.728459127027506</c:v>
                </c:pt>
                <c:pt idx="35">
                  <c:v>95.570331147581143</c:v>
                </c:pt>
                <c:pt idx="36">
                  <c:v>95.420049102741402</c:v>
                </c:pt>
                <c:pt idx="37">
                  <c:v>95.277440365034479</c:v>
                </c:pt>
                <c:pt idx="38">
                  <c:v>95.142342665016031</c:v>
                </c:pt>
                <c:pt idx="39">
                  <c:v>95.014603670562764</c:v>
                </c:pt>
                <c:pt idx="40">
                  <c:v>94.894080596963946</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4213.2982069875279</c:v>
                </c:pt>
                <c:pt idx="12">
                  <c:v>4356.2283396619641</c:v>
                </c:pt>
                <c:pt idx="13">
                  <c:v>4498.0961133518758</c:v>
                </c:pt>
                <c:pt idx="14">
                  <c:v>4638.5551576717935</c:v>
                </c:pt>
                <c:pt idx="15">
                  <c:v>4777.2556694816303</c:v>
                </c:pt>
                <c:pt idx="16">
                  <c:v>4916.7532922564824</c:v>
                </c:pt>
                <c:pt idx="17">
                  <c:v>5056.9427905821094</c:v>
                </c:pt>
                <c:pt idx="18">
                  <c:v>5197.7163106848438</c:v>
                </c:pt>
                <c:pt idx="19">
                  <c:v>5338.9635096347838</c:v>
                </c:pt>
                <c:pt idx="20">
                  <c:v>5480.5716912650823</c:v>
                </c:pt>
                <c:pt idx="21">
                  <c:v>5528.0869325500698</c:v>
                </c:pt>
                <c:pt idx="22">
                  <c:v>5574.564668399451</c:v>
                </c:pt>
                <c:pt idx="23">
                  <c:v>5619.9715311876926</c:v>
                </c:pt>
                <c:pt idx="24">
                  <c:v>5664.2747063410307</c:v>
                </c:pt>
                <c:pt idx="25">
                  <c:v>5707.4419715478889</c:v>
                </c:pt>
                <c:pt idx="26">
                  <c:v>5749.55471020798</c:v>
                </c:pt>
                <c:pt idx="27">
                  <c:v>5790.5844692700766</c:v>
                </c:pt>
                <c:pt idx="28">
                  <c:v>5830.5033663967079</c:v>
                </c:pt>
                <c:pt idx="29">
                  <c:v>5869.2841213486436</c:v>
                </c:pt>
                <c:pt idx="30">
                  <c:v>5906.9000868787916</c:v>
                </c:pt>
                <c:pt idx="31">
                  <c:v>5943.4467192106313</c:v>
                </c:pt>
                <c:pt idx="32">
                  <c:v>5978.9009497134921</c:v>
                </c:pt>
                <c:pt idx="33">
                  <c:v>6013.240288940302</c:v>
                </c:pt>
                <c:pt idx="34">
                  <c:v>6046.4428502961873</c:v>
                </c:pt>
                <c:pt idx="35">
                  <c:v>6078.4873731900434</c:v>
                </c:pt>
                <c:pt idx="36">
                  <c:v>6109.3582708871472</c:v>
                </c:pt>
                <c:pt idx="37">
                  <c:v>6139.0356774671081</c:v>
                </c:pt>
                <c:pt idx="38">
                  <c:v>6167.500413073044</c:v>
                </c:pt>
                <c:pt idx="39">
                  <c:v>6194.7340045038718</c:v>
                </c:pt>
                <c:pt idx="40">
                  <c:v>6220.7187051348292</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16425.723916880503</c:v>
                </c:pt>
                <c:pt idx="11">
                  <c:v>15984.352141629424</c:v>
                </c:pt>
                <c:pt idx="12">
                  <c:v>15440.984432419138</c:v>
                </c:pt>
                <c:pt idx="13">
                  <c:v>14861.535476866815</c:v>
                </c:pt>
                <c:pt idx="14">
                  <c:v>14305.741721749877</c:v>
                </c:pt>
                <c:pt idx="15">
                  <c:v>13771.850738171388</c:v>
                </c:pt>
                <c:pt idx="16">
                  <c:v>13258.190460508884</c:v>
                </c:pt>
                <c:pt idx="17">
                  <c:v>12763.193779491556</c:v>
                </c:pt>
                <c:pt idx="18">
                  <c:v>12285.361583238118</c:v>
                </c:pt>
                <c:pt idx="19">
                  <c:v>11823.25922821687</c:v>
                </c:pt>
                <c:pt idx="20">
                  <c:v>11375.513156132769</c:v>
                </c:pt>
                <c:pt idx="21">
                  <c:v>10940.807648491811</c:v>
                </c:pt>
                <c:pt idx="22">
                  <c:v>10515.293749537923</c:v>
                </c:pt>
                <c:pt idx="23">
                  <c:v>10098.465465861951</c:v>
                </c:pt>
                <c:pt idx="24">
                  <c:v>9702.1957170834539</c:v>
                </c:pt>
                <c:pt idx="25">
                  <c:v>9325.4735555747502</c:v>
                </c:pt>
                <c:pt idx="26">
                  <c:v>8967.3374089365825</c:v>
                </c:pt>
                <c:pt idx="27">
                  <c:v>8661.8326493250061</c:v>
                </c:pt>
                <c:pt idx="28">
                  <c:v>8387.5184335573103</c:v>
                </c:pt>
                <c:pt idx="29">
                  <c:v>8132.1078592723925</c:v>
                </c:pt>
                <c:pt idx="30">
                  <c:v>7894.7557668123354</c:v>
                </c:pt>
                <c:pt idx="31">
                  <c:v>7674.6263990633142</c:v>
                </c:pt>
                <c:pt idx="32">
                  <c:v>7466.3392918943282</c:v>
                </c:pt>
                <c:pt idx="33">
                  <c:v>7269.295170765773</c:v>
                </c:pt>
                <c:pt idx="34">
                  <c:v>7082.9296022650906</c:v>
                </c:pt>
                <c:pt idx="35">
                  <c:v>6906.7119664011734</c:v>
                </c:pt>
                <c:pt idx="36">
                  <c:v>6740.1388251521112</c:v>
                </c:pt>
                <c:pt idx="37">
                  <c:v>6582.9697463207394</c:v>
                </c:pt>
                <c:pt idx="38">
                  <c:v>6434.5443156284855</c:v>
                </c:pt>
                <c:pt idx="39">
                  <c:v>6294.4049295047098</c:v>
                </c:pt>
                <c:pt idx="40">
                  <c:v>6162.1359912188864</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816.26147130889444</c:v>
                </c:pt>
                <c:pt idx="10">
                  <c:v>804.55310712020696</c:v>
                </c:pt>
                <c:pt idx="11">
                  <c:v>875.70330766334484</c:v>
                </c:pt>
                <c:pt idx="12">
                  <c:v>839.76710828579792</c:v>
                </c:pt>
                <c:pt idx="13">
                  <c:v>844.68259769659028</c:v>
                </c:pt>
                <c:pt idx="14">
                  <c:v>849.95766413530146</c:v>
                </c:pt>
                <c:pt idx="15">
                  <c:v>854.95030782228321</c:v>
                </c:pt>
                <c:pt idx="16">
                  <c:v>859.28952146647725</c:v>
                </c:pt>
                <c:pt idx="17">
                  <c:v>863.59777814800327</c:v>
                </c:pt>
                <c:pt idx="18">
                  <c:v>868.0012870223552</c:v>
                </c:pt>
                <c:pt idx="19">
                  <c:v>873.85072418380787</c:v>
                </c:pt>
                <c:pt idx="20">
                  <c:v>879.11293157648731</c:v>
                </c:pt>
                <c:pt idx="21">
                  <c:v>885.34194872635214</c:v>
                </c:pt>
                <c:pt idx="22">
                  <c:v>891.86005628144426</c:v>
                </c:pt>
                <c:pt idx="23">
                  <c:v>899.52595276009117</c:v>
                </c:pt>
                <c:pt idx="24">
                  <c:v>907.88576146347657</c:v>
                </c:pt>
                <c:pt idx="25">
                  <c:v>914.55722504901848</c:v>
                </c:pt>
                <c:pt idx="26">
                  <c:v>921.23726133191497</c:v>
                </c:pt>
                <c:pt idx="27">
                  <c:v>929.05318001426315</c:v>
                </c:pt>
                <c:pt idx="28">
                  <c:v>936.68573822542078</c:v>
                </c:pt>
                <c:pt idx="29">
                  <c:v>944.86599654532904</c:v>
                </c:pt>
                <c:pt idx="30">
                  <c:v>953.07387800115657</c:v>
                </c:pt>
                <c:pt idx="31">
                  <c:v>962.30286296408019</c:v>
                </c:pt>
                <c:pt idx="32">
                  <c:v>971.67710752106382</c:v>
                </c:pt>
                <c:pt idx="33">
                  <c:v>981.29329264782564</c:v>
                </c:pt>
                <c:pt idx="34">
                  <c:v>991.28286637046608</c:v>
                </c:pt>
                <c:pt idx="35">
                  <c:v>1001.6944073073263</c:v>
                </c:pt>
                <c:pt idx="36">
                  <c:v>1012.8279598658085</c:v>
                </c:pt>
                <c:pt idx="37">
                  <c:v>1019.7413640211289</c:v>
                </c:pt>
                <c:pt idx="38">
                  <c:v>1026.1818410390676</c:v>
                </c:pt>
                <c:pt idx="39">
                  <c:v>1032.598981269764</c:v>
                </c:pt>
                <c:pt idx="40">
                  <c:v>1038.8732432112213</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275.15845517166412</c:v>
                </c:pt>
                <c:pt idx="12">
                  <c:v>228.791856973352</c:v>
                </c:pt>
                <c:pt idx="13">
                  <c:v>216.90639640602836</c:v>
                </c:pt>
                <c:pt idx="14">
                  <c:v>204.89414946821324</c:v>
                </c:pt>
                <c:pt idx="15">
                  <c:v>192.73543627799813</c:v>
                </c:pt>
                <c:pt idx="16">
                  <c:v>180.37222914300258</c:v>
                </c:pt>
                <c:pt idx="17">
                  <c:v>167.79191934062044</c:v>
                </c:pt>
                <c:pt idx="18">
                  <c:v>154.98142086277571</c:v>
                </c:pt>
                <c:pt idx="19">
                  <c:v>141.92712101168399</c:v>
                </c:pt>
                <c:pt idx="20">
                  <c:v>128.6148276326544</c:v>
                </c:pt>
                <c:pt idx="21">
                  <c:v>113.42577376727571</c:v>
                </c:pt>
                <c:pt idx="22">
                  <c:v>98.341110038483521</c:v>
                </c:pt>
                <c:pt idx="23">
                  <c:v>98.064028567910043</c:v>
                </c:pt>
                <c:pt idx="24">
                  <c:v>97.799429259916053</c:v>
                </c:pt>
                <c:pt idx="25">
                  <c:v>97.546904040278406</c:v>
                </c:pt>
                <c:pt idx="26">
                  <c:v>97.305427719784788</c:v>
                </c:pt>
                <c:pt idx="27">
                  <c:v>97.07466187463389</c:v>
                </c:pt>
                <c:pt idx="28">
                  <c:v>96.854287525066866</c:v>
                </c:pt>
                <c:pt idx="29">
                  <c:v>96.644004088947355</c:v>
                </c:pt>
                <c:pt idx="30">
                  <c:v>96.44352841369853</c:v>
                </c:pt>
                <c:pt idx="31">
                  <c:v>96.251962483404526</c:v>
                </c:pt>
                <c:pt idx="32">
                  <c:v>96.069073413937716</c:v>
                </c:pt>
                <c:pt idx="33">
                  <c:v>95.894641405286436</c:v>
                </c:pt>
                <c:pt idx="34">
                  <c:v>95.728459127027506</c:v>
                </c:pt>
                <c:pt idx="35">
                  <c:v>95.570331147581143</c:v>
                </c:pt>
                <c:pt idx="36">
                  <c:v>95.420049102741416</c:v>
                </c:pt>
                <c:pt idx="37">
                  <c:v>95.277440365034508</c:v>
                </c:pt>
                <c:pt idx="38">
                  <c:v>95.142342665016045</c:v>
                </c:pt>
                <c:pt idx="39">
                  <c:v>95.014603670562778</c:v>
                </c:pt>
                <c:pt idx="40">
                  <c:v>94.894080596963946</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4213.2982069875279</c:v>
                </c:pt>
                <c:pt idx="12">
                  <c:v>4356.2283396619641</c:v>
                </c:pt>
                <c:pt idx="13">
                  <c:v>4498.0961133518758</c:v>
                </c:pt>
                <c:pt idx="14">
                  <c:v>4638.5551576717935</c:v>
                </c:pt>
                <c:pt idx="15">
                  <c:v>4777.2556694816303</c:v>
                </c:pt>
                <c:pt idx="16">
                  <c:v>4916.7532922564824</c:v>
                </c:pt>
                <c:pt idx="17">
                  <c:v>5056.9427905821094</c:v>
                </c:pt>
                <c:pt idx="18">
                  <c:v>5197.7163106848438</c:v>
                </c:pt>
                <c:pt idx="19">
                  <c:v>5338.9635096347838</c:v>
                </c:pt>
                <c:pt idx="20">
                  <c:v>5480.5716912650823</c:v>
                </c:pt>
                <c:pt idx="21">
                  <c:v>5528.0869325500698</c:v>
                </c:pt>
                <c:pt idx="22">
                  <c:v>5574.564668399451</c:v>
                </c:pt>
                <c:pt idx="23">
                  <c:v>5619.9715311876926</c:v>
                </c:pt>
                <c:pt idx="24">
                  <c:v>5664.2747063410307</c:v>
                </c:pt>
                <c:pt idx="25">
                  <c:v>5707.4419715478889</c:v>
                </c:pt>
                <c:pt idx="26">
                  <c:v>5749.55471020798</c:v>
                </c:pt>
                <c:pt idx="27">
                  <c:v>5790.5844692700766</c:v>
                </c:pt>
                <c:pt idx="28">
                  <c:v>5830.5033663967079</c:v>
                </c:pt>
                <c:pt idx="29">
                  <c:v>5869.2841213486436</c:v>
                </c:pt>
                <c:pt idx="30">
                  <c:v>5906.9000868787916</c:v>
                </c:pt>
                <c:pt idx="31">
                  <c:v>5943.4467192106313</c:v>
                </c:pt>
                <c:pt idx="32">
                  <c:v>5978.9009497134921</c:v>
                </c:pt>
                <c:pt idx="33">
                  <c:v>6013.240288940302</c:v>
                </c:pt>
                <c:pt idx="34">
                  <c:v>6046.4428502961873</c:v>
                </c:pt>
                <c:pt idx="35">
                  <c:v>6078.4873731900434</c:v>
                </c:pt>
                <c:pt idx="36">
                  <c:v>6109.3582708871472</c:v>
                </c:pt>
                <c:pt idx="37">
                  <c:v>6139.0356774671081</c:v>
                </c:pt>
                <c:pt idx="38">
                  <c:v>6167.500413073044</c:v>
                </c:pt>
                <c:pt idx="39">
                  <c:v>6194.7340045038718</c:v>
                </c:pt>
                <c:pt idx="40">
                  <c:v>6220.7187051348292</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5"/>
  <sheetData>
    <row r="1" spans="1:13" ht="15.75">
      <c r="A1" s="512"/>
      <c r="B1" s="512"/>
      <c r="C1" s="512"/>
      <c r="D1" s="512"/>
      <c r="E1" s="512"/>
      <c r="F1" s="512"/>
      <c r="G1" s="512"/>
      <c r="H1" s="512"/>
      <c r="I1" s="512"/>
      <c r="J1" s="512"/>
      <c r="K1" s="512"/>
      <c r="L1" s="512"/>
      <c r="M1" s="512"/>
    </row>
    <row r="2" spans="1:13" ht="15.75">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5">
      <c r="A4" s="514" t="s">
        <v>538</v>
      </c>
      <c r="B4" s="512"/>
      <c r="C4" s="512"/>
      <c r="D4" s="512"/>
      <c r="E4" s="512"/>
      <c r="F4" s="512"/>
      <c r="G4" s="512"/>
      <c r="H4" s="512"/>
      <c r="I4" s="512"/>
      <c r="J4" s="512"/>
      <c r="K4" s="512"/>
      <c r="L4" s="512"/>
      <c r="M4" s="512"/>
    </row>
    <row r="5" spans="1:13" ht="49.5">
      <c r="A5" s="514" t="s">
        <v>536</v>
      </c>
      <c r="B5" s="512"/>
      <c r="C5" s="512"/>
      <c r="D5" s="512"/>
      <c r="E5" s="512"/>
      <c r="F5" s="512"/>
      <c r="G5" s="512"/>
      <c r="H5" s="512"/>
      <c r="I5" s="512"/>
      <c r="J5" s="512"/>
      <c r="K5" s="512"/>
      <c r="L5" s="512"/>
      <c r="M5" s="512"/>
    </row>
    <row r="6" spans="1:13" ht="49.5">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25">
      <c r="A8" s="515"/>
      <c r="B8" s="512"/>
      <c r="C8" s="512"/>
      <c r="D8" s="512"/>
      <c r="E8" s="512"/>
      <c r="F8" s="512"/>
      <c r="G8" s="512"/>
      <c r="H8" s="512"/>
      <c r="I8" s="512"/>
      <c r="J8" s="512"/>
      <c r="K8" s="512"/>
      <c r="L8" s="512"/>
      <c r="M8" s="512"/>
    </row>
    <row r="9" spans="1:13" ht="18.75">
      <c r="A9" s="516" t="s">
        <v>811</v>
      </c>
      <c r="B9" s="512"/>
      <c r="C9" s="512"/>
      <c r="D9" s="512"/>
      <c r="E9" s="512"/>
      <c r="F9" s="512"/>
      <c r="G9" s="512"/>
      <c r="H9" s="512"/>
      <c r="I9" s="512"/>
      <c r="J9" s="512"/>
      <c r="K9" s="512"/>
      <c r="L9" s="512"/>
      <c r="M9" s="512"/>
    </row>
    <row r="10" spans="1:13" ht="15.75">
      <c r="A10" s="512"/>
      <c r="B10" s="512"/>
      <c r="C10" s="512"/>
      <c r="D10" s="512"/>
      <c r="E10" s="512"/>
      <c r="F10" s="512"/>
      <c r="G10" s="512"/>
      <c r="H10" s="512"/>
      <c r="I10" s="512"/>
      <c r="J10" s="512"/>
      <c r="K10" s="512"/>
      <c r="L10" s="512"/>
      <c r="M10" s="512"/>
    </row>
    <row r="11" spans="1:13" ht="20.25">
      <c r="A11" s="515" t="s">
        <v>540</v>
      </c>
      <c r="B11" s="512"/>
      <c r="C11" s="512"/>
      <c r="D11" s="512"/>
      <c r="E11" s="512"/>
      <c r="F11" s="512"/>
      <c r="G11" s="512"/>
      <c r="H11" s="512"/>
      <c r="I11" s="512"/>
      <c r="J11" s="512"/>
      <c r="K11" s="512"/>
      <c r="L11" s="512"/>
      <c r="M11" s="512"/>
    </row>
    <row r="12" spans="1:13" ht="20.25">
      <c r="A12" s="515" t="s">
        <v>541</v>
      </c>
      <c r="B12" s="512"/>
      <c r="C12" s="512"/>
      <c r="D12" s="512"/>
      <c r="E12" s="512"/>
      <c r="F12" s="512"/>
      <c r="G12" s="512"/>
      <c r="H12" s="512"/>
      <c r="I12" s="512"/>
      <c r="J12" s="512"/>
      <c r="K12" s="512"/>
      <c r="L12" s="512"/>
      <c r="M12" s="512"/>
    </row>
    <row r="13" spans="1:13" ht="15.75">
      <c r="A13" s="512"/>
      <c r="B13" s="512"/>
      <c r="C13" s="512"/>
      <c r="D13" s="512"/>
      <c r="E13" s="512"/>
      <c r="F13" s="512"/>
      <c r="G13" s="512"/>
      <c r="H13" s="512"/>
      <c r="I13" s="512"/>
      <c r="J13" s="512"/>
      <c r="K13" s="512"/>
      <c r="L13" s="512"/>
      <c r="M13" s="512"/>
    </row>
    <row r="14" spans="1:13" ht="15.75">
      <c r="A14" s="512"/>
      <c r="B14" s="512"/>
      <c r="C14" s="512"/>
      <c r="D14" s="512"/>
      <c r="E14" s="512"/>
      <c r="F14" s="512"/>
      <c r="G14" s="512"/>
      <c r="H14" s="512"/>
      <c r="I14" s="512"/>
      <c r="J14" s="512"/>
      <c r="K14" s="512"/>
      <c r="L14" s="512"/>
      <c r="M14" s="512"/>
    </row>
    <row r="15" spans="1:13" ht="15.75">
      <c r="A15" s="512"/>
      <c r="B15" s="512"/>
      <c r="C15" s="512"/>
      <c r="D15" s="512"/>
      <c r="E15" s="512"/>
      <c r="F15" s="512"/>
      <c r="G15" s="512"/>
      <c r="H15" s="512"/>
      <c r="I15" s="512"/>
      <c r="J15" s="512"/>
      <c r="K15" s="512"/>
      <c r="L15" s="512"/>
      <c r="M15" s="512"/>
    </row>
    <row r="16" spans="1:13" ht="15.75">
      <c r="A16" s="512"/>
      <c r="B16" s="512"/>
      <c r="C16" s="512"/>
      <c r="D16" s="512"/>
      <c r="E16" s="512"/>
      <c r="F16" s="512"/>
      <c r="G16" s="512"/>
      <c r="H16" s="512"/>
      <c r="I16" s="512"/>
      <c r="J16" s="512"/>
      <c r="K16" s="512"/>
      <c r="L16" s="512"/>
      <c r="M16" s="512"/>
    </row>
    <row r="17" spans="1:13" ht="15.75">
      <c r="A17" s="512"/>
      <c r="B17" s="512"/>
      <c r="C17" s="512"/>
      <c r="D17" s="512"/>
      <c r="E17" s="512"/>
      <c r="F17" s="512"/>
      <c r="G17" s="512"/>
      <c r="H17" s="512"/>
      <c r="I17" s="512"/>
      <c r="J17" s="512"/>
      <c r="K17" s="512"/>
      <c r="L17" s="512"/>
      <c r="M17" s="512"/>
    </row>
    <row r="18" spans="1:13" ht="15.75">
      <c r="A18" s="512"/>
      <c r="B18" s="512"/>
      <c r="C18" s="512"/>
      <c r="D18" s="512"/>
      <c r="E18" s="512"/>
      <c r="F18" s="512"/>
      <c r="G18" s="512"/>
      <c r="H18" s="512"/>
      <c r="I18" s="512"/>
      <c r="J18" s="512"/>
      <c r="K18" s="512"/>
      <c r="L18" s="512"/>
      <c r="M18" s="512"/>
    </row>
    <row r="19" spans="1:13" ht="15.75">
      <c r="A19" s="512"/>
      <c r="B19" s="512"/>
      <c r="C19" s="512"/>
      <c r="D19" s="512"/>
      <c r="E19" s="512"/>
      <c r="F19" s="512"/>
      <c r="G19" s="512"/>
      <c r="H19" s="512"/>
      <c r="I19" s="512"/>
      <c r="J19" s="512"/>
      <c r="K19" s="512"/>
      <c r="L19" s="512"/>
      <c r="M19" s="512"/>
    </row>
    <row r="20" spans="1:13" ht="15.75">
      <c r="A20" s="512"/>
      <c r="B20" s="512"/>
      <c r="C20" s="512"/>
      <c r="D20" s="512"/>
      <c r="E20" s="512"/>
      <c r="F20" s="512"/>
      <c r="G20" s="512"/>
      <c r="H20" s="512"/>
      <c r="I20" s="512"/>
      <c r="J20" s="512"/>
      <c r="K20" s="512"/>
      <c r="L20" s="512"/>
      <c r="M20" s="512"/>
    </row>
    <row r="21" spans="1:13" ht="15.75">
      <c r="A21" s="512"/>
      <c r="B21" s="512"/>
      <c r="C21" s="512"/>
      <c r="D21" s="512"/>
      <c r="E21" s="512"/>
      <c r="F21" s="512"/>
      <c r="G21" s="512"/>
      <c r="H21" s="512"/>
      <c r="I21" s="512"/>
      <c r="J21" s="512"/>
      <c r="K21" s="512"/>
      <c r="L21" s="512"/>
      <c r="M21" s="512"/>
    </row>
    <row r="22" spans="1:13" ht="15.75">
      <c r="A22" s="512"/>
      <c r="B22" s="512"/>
      <c r="C22" s="512"/>
      <c r="D22" s="512"/>
      <c r="E22" s="512"/>
      <c r="F22" s="512"/>
      <c r="G22" s="512"/>
      <c r="H22" s="512"/>
      <c r="I22" s="512"/>
      <c r="J22" s="512"/>
      <c r="K22" s="512"/>
      <c r="L22" s="512"/>
      <c r="M22" s="512"/>
    </row>
    <row r="23" spans="1:13" ht="15.75">
      <c r="A23" s="307"/>
      <c r="B23" s="307"/>
      <c r="C23" s="307"/>
      <c r="D23" s="307"/>
      <c r="E23" s="307"/>
      <c r="F23" s="307"/>
      <c r="G23" s="307"/>
      <c r="H23" s="307"/>
      <c r="I23" s="307"/>
      <c r="J23" s="307"/>
      <c r="K23" s="307"/>
      <c r="L23" s="307"/>
      <c r="M23" s="307"/>
    </row>
    <row r="24" spans="1:13" ht="15.75">
      <c r="A24" s="307"/>
      <c r="B24" s="307"/>
      <c r="C24" s="307"/>
      <c r="D24" s="307"/>
      <c r="E24" s="307"/>
      <c r="F24" s="307"/>
      <c r="G24" s="307"/>
      <c r="H24" s="307"/>
      <c r="I24" s="307"/>
      <c r="J24" s="307"/>
      <c r="K24" s="307"/>
      <c r="L24" s="307"/>
      <c r="M24" s="307"/>
    </row>
    <row r="25" spans="1:13" ht="15.75">
      <c r="A25" s="307"/>
      <c r="B25" s="307"/>
      <c r="C25" s="307"/>
      <c r="D25" s="307"/>
      <c r="E25" s="307"/>
      <c r="F25" s="307"/>
      <c r="G25" s="307"/>
      <c r="H25" s="307"/>
      <c r="I25" s="307"/>
      <c r="J25" s="307"/>
      <c r="K25" s="307"/>
      <c r="L25" s="307"/>
      <c r="M25" s="307"/>
    </row>
    <row r="26" spans="1:13" ht="15.75">
      <c r="A26" s="307"/>
      <c r="B26" s="307"/>
      <c r="C26" s="307"/>
      <c r="D26" s="307"/>
      <c r="E26" s="307"/>
      <c r="F26" s="307"/>
      <c r="G26" s="307"/>
      <c r="H26" s="307"/>
      <c r="I26" s="307"/>
      <c r="J26" s="307"/>
      <c r="K26" s="307"/>
      <c r="L26" s="307"/>
      <c r="M26" s="307"/>
    </row>
    <row r="27" spans="1:13" ht="15.75">
      <c r="A27" s="307"/>
      <c r="B27" s="307"/>
      <c r="C27" s="307"/>
      <c r="D27" s="307"/>
      <c r="E27" s="307"/>
      <c r="F27" s="307"/>
      <c r="G27" s="307"/>
      <c r="H27" s="307"/>
      <c r="I27" s="307"/>
      <c r="J27" s="307"/>
      <c r="K27" s="307"/>
      <c r="L27" s="307"/>
      <c r="M27" s="307"/>
    </row>
    <row r="28" spans="1:13" ht="15.75">
      <c r="A28" s="307"/>
      <c r="B28" s="307"/>
      <c r="C28" s="307"/>
      <c r="D28" s="307"/>
      <c r="E28" s="307"/>
      <c r="F28" s="307"/>
      <c r="G28" s="307"/>
      <c r="H28" s="307"/>
      <c r="I28" s="307"/>
      <c r="J28" s="307"/>
      <c r="K28" s="307"/>
      <c r="L28" s="307"/>
      <c r="M28" s="307"/>
    </row>
    <row r="29" spans="1:13" ht="15.75">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75"/>
  <cols>
    <col min="1" max="1" width="9" bestFit="1" customWidth="1"/>
    <col min="2" max="2" width="25.7109375" customWidth="1"/>
    <col min="3" max="3" width="22" customWidth="1"/>
    <col min="4" max="4" width="25.28515625" customWidth="1"/>
    <col min="5" max="5" width="17.28515625" customWidth="1"/>
    <col min="6" max="6" width="15.5703125" style="157" customWidth="1"/>
    <col min="7" max="7" width="11.85546875" style="157" customWidth="1"/>
    <col min="8" max="8" width="13.85546875" style="157" customWidth="1"/>
    <col min="9" max="9" width="11.42578125" style="157" bestFit="1" customWidth="1"/>
    <col min="10" max="10" width="16.42578125" customWidth="1"/>
    <col min="11" max="11" width="10.140625" customWidth="1"/>
    <col min="12" max="12" width="25.28515625" customWidth="1"/>
    <col min="13" max="13" width="17.28515625" customWidth="1"/>
    <col min="14" max="14" width="15.5703125" style="157" customWidth="1"/>
    <col min="15" max="15" width="11.85546875" style="157" customWidth="1"/>
    <col min="16" max="16" width="13.85546875" style="157" customWidth="1"/>
    <col min="17" max="17" width="12.42578125" style="157" bestFit="1" customWidth="1"/>
    <col min="18" max="18" width="16.42578125" customWidth="1"/>
    <col min="19" max="19" width="10.140625" customWidth="1"/>
    <col min="20" max="20" width="17.5703125" customWidth="1"/>
    <col min="21" max="21" width="15.140625" customWidth="1"/>
    <col min="22" max="22" width="14.7109375" customWidth="1"/>
    <col min="23" max="23" width="15.85546875" customWidth="1"/>
    <col min="24" max="24" width="13.7109375" customWidth="1"/>
    <col min="25" max="25" width="14.140625" bestFit="1" customWidth="1"/>
    <col min="26" max="26" width="12.7109375" customWidth="1"/>
    <col min="27" max="27" width="24" customWidth="1"/>
    <col min="28" max="28" width="22.42578125" customWidth="1"/>
    <col min="29" max="29" width="17.85546875" customWidth="1"/>
    <col min="30" max="30" width="15.5703125" customWidth="1"/>
    <col min="31" max="31" width="14.7109375" customWidth="1"/>
    <col min="32" max="32" width="17.42578125" customWidth="1"/>
    <col min="33" max="33" width="15.5703125" customWidth="1"/>
    <col min="34" max="34" width="19.5703125" style="383" customWidth="1"/>
    <col min="35" max="35" width="12.7109375" style="383" customWidth="1"/>
    <col min="38" max="38" width="15.28515625" customWidth="1"/>
    <col min="39" max="39" width="16" customWidth="1"/>
    <col min="40" max="40" width="17.7109375" customWidth="1"/>
    <col min="41" max="41" width="16.7109375" customWidth="1"/>
    <col min="42" max="42" width="17.28515625" customWidth="1"/>
    <col min="43" max="43" width="14.5703125" customWidth="1"/>
    <col min="45" max="45" width="17.28515625" customWidth="1"/>
    <col min="46" max="46" width="16.42578125" customWidth="1"/>
    <col min="47" max="47" width="16.5703125" customWidth="1"/>
    <col min="48" max="48" width="11.85546875" customWidth="1"/>
    <col min="49" max="49" width="16.7109375" customWidth="1"/>
    <col min="50" max="50" width="12.85546875" customWidth="1"/>
    <col min="52" max="52" width="18.28515625" customWidth="1"/>
    <col min="53" max="53" width="20.85546875" customWidth="1"/>
    <col min="54" max="54" width="22.28515625" customWidth="1"/>
  </cols>
  <sheetData>
    <row r="2" spans="1:54" ht="18.75">
      <c r="A2" s="1058" t="s">
        <v>483</v>
      </c>
      <c r="B2" s="94"/>
    </row>
    <row r="3" spans="1:54" ht="31.9" customHeight="1" thickBot="1">
      <c r="B3" s="1486"/>
      <c r="C3" s="1486"/>
      <c r="E3" s="146"/>
      <c r="J3" s="146"/>
      <c r="K3" s="146"/>
      <c r="M3" s="146"/>
      <c r="R3" s="146"/>
      <c r="S3" s="146"/>
      <c r="T3" s="146"/>
      <c r="U3" s="146"/>
      <c r="V3" s="146"/>
      <c r="W3" s="146"/>
      <c r="X3" s="146"/>
      <c r="AL3" s="490" t="s">
        <v>522</v>
      </c>
    </row>
    <row r="4" spans="1:54" ht="50.45"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5"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1.42578125" customWidth="1"/>
    <col min="14" max="14" width="25.85546875" customWidth="1"/>
    <col min="15" max="15" width="26.140625" customWidth="1"/>
    <col min="16" max="16" width="20.42578125" customWidth="1"/>
    <col min="17" max="17" width="20.7109375" customWidth="1"/>
    <col min="18" max="18" width="19.28515625" customWidth="1"/>
    <col min="19" max="19" width="23.140625" customWidth="1"/>
    <col min="20" max="20" width="17.7109375" customWidth="1"/>
    <col min="21" max="21" width="21.42578125" customWidth="1"/>
    <col min="22" max="22" width="20" customWidth="1"/>
    <col min="23" max="23" width="22.7109375" customWidth="1"/>
    <col min="24" max="24" width="24"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4" width="22.7109375" customWidth="1"/>
    <col min="35" max="37" width="29.140625" customWidth="1"/>
    <col min="38" max="38" width="17.71093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25.855468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4.85546875" customWidth="1"/>
    <col min="63" max="63" width="14.28515625" customWidth="1"/>
    <col min="64" max="64" width="13.140625" customWidth="1"/>
    <col min="65" max="65" width="11.7109375" customWidth="1"/>
    <col min="66" max="66" width="9.28515625" customWidth="1"/>
    <col min="67" max="67" width="12" customWidth="1"/>
    <col min="68" max="68" width="15.28515625" customWidth="1"/>
    <col min="72" max="72" width="15.140625" customWidth="1"/>
    <col min="73" max="73" width="17.28515625" customWidth="1"/>
    <col min="74" max="74" width="16.7109375" customWidth="1"/>
    <col min="75" max="75" width="12.85546875" customWidth="1"/>
    <col min="76" max="76" width="16.85546875" customWidth="1"/>
    <col min="77" max="77" width="17.28515625" customWidth="1"/>
    <col min="78" max="78" width="12.85546875" customWidth="1"/>
    <col min="79" max="79" width="12.5703125" customWidth="1"/>
    <col min="80" max="83" width="15" customWidth="1"/>
    <col min="85" max="85" width="16.5703125" customWidth="1"/>
    <col min="86" max="86" width="17.28515625" customWidth="1"/>
    <col min="87" max="87" width="11.7109375" customWidth="1"/>
    <col min="88" max="88" width="13" customWidth="1"/>
    <col min="89" max="89" width="13.140625" customWidth="1"/>
    <col min="90" max="90" width="10.5703125" customWidth="1"/>
    <col min="91" max="91" width="12.285156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v>2030</v>
      </c>
      <c r="E4" s="521">
        <f>C4</f>
        <v>0.5</v>
      </c>
      <c r="F4" s="102">
        <f>2017+5</f>
        <v>2022</v>
      </c>
      <c r="G4" s="521">
        <f>E4</f>
        <v>0.5</v>
      </c>
      <c r="H4" s="102">
        <f>F4</f>
        <v>2022</v>
      </c>
    </row>
    <row r="5" spans="1:11">
      <c r="A5" s="1514"/>
      <c r="B5" s="1500"/>
      <c r="C5" s="517">
        <v>0.65</v>
      </c>
      <c r="D5" s="114">
        <v>2040</v>
      </c>
      <c r="E5" s="517">
        <f t="shared" ref="E5:E6" si="0">C5</f>
        <v>0.65</v>
      </c>
      <c r="F5" s="114">
        <f>2017+10</f>
        <v>2027</v>
      </c>
      <c r="G5" s="517">
        <f t="shared" ref="G5:G6" si="1">E5</f>
        <v>0.65</v>
      </c>
      <c r="H5" s="114">
        <f t="shared" ref="H5:H6" si="2">F5</f>
        <v>2027</v>
      </c>
    </row>
    <row r="6" spans="1:11" ht="15.75" thickBot="1">
      <c r="A6" s="1515"/>
      <c r="B6" s="1501"/>
      <c r="C6" s="519">
        <v>0.8</v>
      </c>
      <c r="D6" s="123">
        <v>2050</v>
      </c>
      <c r="E6" s="519">
        <f t="shared" si="0"/>
        <v>0.8</v>
      </c>
      <c r="F6" s="123">
        <f>15+2017</f>
        <v>2032</v>
      </c>
      <c r="G6" s="519">
        <f t="shared" si="1"/>
        <v>0.8</v>
      </c>
      <c r="H6" s="123">
        <f t="shared" si="2"/>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2"/>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7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7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75">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7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75">
      <c r="A56" s="297" t="s">
        <v>550</v>
      </c>
      <c r="B56" s="351"/>
      <c r="C56" s="351"/>
      <c r="D56" s="351"/>
      <c r="E56" s="351"/>
      <c r="F56" s="351"/>
      <c r="G56" s="351"/>
      <c r="H56" s="351"/>
      <c r="I56" s="1130"/>
      <c r="J56" s="3"/>
      <c r="K56" s="3"/>
      <c r="L56" s="3"/>
      <c r="M56" s="3"/>
      <c r="N56" s="3"/>
      <c r="O56" s="3"/>
      <c r="P56" s="3"/>
      <c r="W56" s="277"/>
      <c r="Y56" s="266"/>
      <c r="Z56" s="266"/>
      <c r="AA56" s="266"/>
    </row>
    <row r="57" spans="1:44" ht="15.75" thickBot="1">
      <c r="A57" s="297"/>
      <c r="B57" s="351" t="s">
        <v>593</v>
      </c>
      <c r="C57" s="351">
        <v>56521948</v>
      </c>
      <c r="D57" s="1131"/>
      <c r="E57" s="1131"/>
      <c r="F57" s="1131"/>
      <c r="G57" s="1131"/>
      <c r="H57" s="1131"/>
      <c r="I57" s="1131"/>
      <c r="J57" s="3"/>
      <c r="K57" s="3"/>
      <c r="L57" s="3"/>
      <c r="M57" s="3"/>
      <c r="N57" s="3"/>
    </row>
    <row r="58" spans="1:44"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75">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63"/>
      <c r="BK75" s="1563"/>
      <c r="BL75" s="1563"/>
      <c r="BM75" s="1563"/>
      <c r="BN75" s="1563"/>
      <c r="BO75" s="1563"/>
      <c r="BP75" s="1563"/>
      <c r="BQ75" s="1563"/>
    </row>
    <row r="76" spans="1:69"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5"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5"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75">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7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7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5">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25">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BE93" s="383"/>
      <c r="BF93" s="383"/>
      <c r="BG93" s="383"/>
      <c r="BH93" s="383"/>
      <c r="BI93" s="383"/>
      <c r="BJ93" s="383"/>
      <c r="BK93" s="383"/>
      <c r="BL93" s="383"/>
      <c r="CG93" s="1" t="s">
        <v>551</v>
      </c>
    </row>
    <row r="94" spans="1:91" ht="34.9" customHeight="1" thickBot="1">
      <c r="A94" s="1570" t="s">
        <v>602</v>
      </c>
      <c r="B94" s="1571"/>
      <c r="C94" s="1571"/>
      <c r="D94" s="1572"/>
      <c r="E94" s="1567" t="s">
        <v>600</v>
      </c>
      <c r="F94" s="1568"/>
      <c r="G94" s="1569"/>
      <c r="H94" s="1573" t="s">
        <v>601</v>
      </c>
      <c r="I94" s="1574"/>
      <c r="J94" s="1574"/>
      <c r="K94" s="1575"/>
      <c r="L94" s="1576" t="s">
        <v>598</v>
      </c>
      <c r="M94" s="1577"/>
      <c r="N94" s="1577"/>
      <c r="O94" s="1577"/>
      <c r="P94" s="1578"/>
      <c r="Q94" s="1591" t="s">
        <v>775</v>
      </c>
      <c r="R94" s="1577"/>
      <c r="S94" s="1577"/>
      <c r="T94" s="1577"/>
      <c r="U94" s="1578"/>
      <c r="V94" s="1496" t="s">
        <v>756</v>
      </c>
      <c r="W94" s="1478" t="s">
        <v>608</v>
      </c>
      <c r="X94" s="1579"/>
      <c r="Y94" s="1580" t="s">
        <v>594</v>
      </c>
      <c r="Z94" s="1539" t="s">
        <v>763</v>
      </c>
      <c r="AA94" s="1539"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635</v>
      </c>
      <c r="BW94" s="1491"/>
      <c r="BX94" s="1606"/>
      <c r="BY94" s="1490" t="s">
        <v>638</v>
      </c>
      <c r="BZ94" s="1491"/>
      <c r="CA94" s="1492"/>
      <c r="CB94" s="1605" t="s">
        <v>636</v>
      </c>
      <c r="CC94" s="1604"/>
      <c r="CD94" s="1603" t="s">
        <v>639</v>
      </c>
      <c r="CE94" s="1604"/>
      <c r="CG94" s="1595" t="s">
        <v>735</v>
      </c>
      <c r="CH94" s="1596"/>
      <c r="CI94" s="1596"/>
      <c r="CJ94" s="1596"/>
      <c r="CK94" s="1596"/>
      <c r="CL94" s="1596"/>
      <c r="CM94" s="1597"/>
    </row>
    <row r="95" spans="1:91" ht="42.6" customHeight="1" thickBot="1">
      <c r="A95" s="1565"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90"/>
      <c r="W95" s="1302" t="s">
        <v>605</v>
      </c>
      <c r="X95" s="1340" t="s">
        <v>576</v>
      </c>
      <c r="Y95" s="1581"/>
      <c r="Z95" s="1540"/>
      <c r="AA95" s="1540"/>
      <c r="AB95" s="1538"/>
      <c r="AC95" s="1536"/>
      <c r="AD95" s="1538"/>
      <c r="AE95" s="1538"/>
      <c r="AF95" s="1554"/>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98" t="s">
        <v>736</v>
      </c>
    </row>
    <row r="96" spans="1:91" ht="16.5" thickBot="1">
      <c r="A96" s="1566"/>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89"/>
      <c r="AC96" s="1536"/>
      <c r="AD96" s="1589"/>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99"/>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4436.7699999999986</v>
      </c>
      <c r="D99" s="205">
        <f>'Input data'!D119</f>
        <v>52992370.977903679</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111.90638849318943</v>
      </c>
      <c r="BW99" s="100">
        <f t="shared" si="65"/>
        <v>0.36076998856317394</v>
      </c>
      <c r="BX99" s="1385">
        <f t="shared" si="25"/>
        <v>52.992370977903676</v>
      </c>
      <c r="BY99" s="473">
        <f t="shared" si="66"/>
        <v>111.90638849318943</v>
      </c>
      <c r="BZ99" s="100">
        <f t="shared" si="67"/>
        <v>0.36076998856317394</v>
      </c>
      <c r="CA99" s="489">
        <f t="shared" si="26"/>
        <v>52.992370977903676</v>
      </c>
      <c r="CB99" s="579">
        <f t="shared" si="27"/>
        <v>4.7766344222348933E-2</v>
      </c>
      <c r="CC99" s="471">
        <f t="shared" si="68"/>
        <v>0.16963420609902846</v>
      </c>
      <c r="CD99" s="100">
        <f t="shared" si="28"/>
        <v>4.7766344222348933E-2</v>
      </c>
      <c r="CE99" s="471">
        <f t="shared" si="69"/>
        <v>0.16963420609902846</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59.308690000000006</v>
      </c>
      <c r="C100" s="204">
        <f>'Input data'!C120</f>
        <v>4157.24</v>
      </c>
      <c r="D100" s="205">
        <f>'Input data'!D120</f>
        <v>50781625.743101723</v>
      </c>
      <c r="E100" s="579">
        <f t="shared" si="29"/>
        <v>0.74072727272727268</v>
      </c>
      <c r="F100" s="100">
        <f t="shared" si="30"/>
        <v>0.29665909090909087</v>
      </c>
      <c r="G100" s="474">
        <f>B100*F100*'Input data'!$C$9</f>
        <v>538.51529150686906</v>
      </c>
      <c r="H100" s="473">
        <f>'Input data'!I120</f>
        <v>424.26313389388866</v>
      </c>
      <c r="I100" s="474">
        <f>'Input data'!K120</f>
        <v>25162.490686541139</v>
      </c>
      <c r="J100" s="474">
        <f t="shared" si="77"/>
        <v>9496.7251661098635</v>
      </c>
      <c r="K100" s="475">
        <f t="shared" si="78"/>
        <v>2196.7484563286725</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10783.427981347915</v>
      </c>
      <c r="AA100" s="475">
        <f t="shared" si="81"/>
        <v>1286.7028152380517</v>
      </c>
      <c r="AB100" s="938">
        <f t="shared" si="42"/>
        <v>0.11932224311820511</v>
      </c>
      <c r="AC100" s="118" t="str">
        <f t="shared" si="43"/>
        <v>Yes</v>
      </c>
      <c r="AD100" s="938">
        <f t="shared" si="44"/>
        <v>0.11932224311820511</v>
      </c>
      <c r="AE100" s="579">
        <f t="shared" si="11"/>
        <v>7.0040644951311681E-2</v>
      </c>
      <c r="AF100" s="475">
        <f t="shared" si="45"/>
        <v>394.54747036689599</v>
      </c>
      <c r="AG100" s="473">
        <f t="shared" si="46"/>
        <v>9496.7251661098635</v>
      </c>
      <c r="AH100" s="474">
        <f t="shared" si="82"/>
        <v>6897.4051340163305</v>
      </c>
      <c r="AI100" s="474">
        <f t="shared" si="83"/>
        <v>4314.2206364031299</v>
      </c>
      <c r="AJ100" s="474">
        <f t="shared" si="12"/>
        <v>2691.7426737450974</v>
      </c>
      <c r="AK100" s="474">
        <f t="shared" si="47"/>
        <v>23400.093610274424</v>
      </c>
      <c r="AL100" s="640">
        <f t="shared" si="13"/>
        <v>0</v>
      </c>
      <c r="AM100" s="579">
        <f t="shared" si="48"/>
        <v>0.40584133227313579</v>
      </c>
      <c r="AN100" s="100">
        <f t="shared" si="49"/>
        <v>0.29475972399477257</v>
      </c>
      <c r="AO100" s="100">
        <f t="shared" si="50"/>
        <v>0.1843676657134764</v>
      </c>
      <c r="AP100" s="100">
        <f t="shared" si="51"/>
        <v>0.11503127801861517</v>
      </c>
      <c r="AQ100" s="471">
        <f t="shared" si="52"/>
        <v>0.99999999999999989</v>
      </c>
      <c r="AR100" s="473">
        <f t="shared" si="14"/>
        <v>2118.3634654455441</v>
      </c>
      <c r="AS100" s="474">
        <f t="shared" si="15"/>
        <v>2686.6579690644407</v>
      </c>
      <c r="AT100" s="474">
        <f t="shared" si="16"/>
        <v>607.57462659465943</v>
      </c>
      <c r="AU100" s="474">
        <f t="shared" si="17"/>
        <v>0</v>
      </c>
      <c r="AV100" s="474">
        <f t="shared" si="18"/>
        <v>0</v>
      </c>
      <c r="AW100" s="474">
        <f t="shared" si="19"/>
        <v>0</v>
      </c>
      <c r="AX100" s="474">
        <f t="shared" si="20"/>
        <v>2586.042877777486</v>
      </c>
      <c r="AY100" s="474">
        <f t="shared" si="21"/>
        <v>373.88283841736489</v>
      </c>
      <c r="AZ100" s="474">
        <f t="shared" si="22"/>
        <v>543.43677566904421</v>
      </c>
      <c r="BA100" s="474">
        <f t="shared" si="23"/>
        <v>477.72406530926179</v>
      </c>
      <c r="BB100" s="474">
        <f t="shared" si="24"/>
        <v>103.04254783206041</v>
      </c>
      <c r="BC100" s="475">
        <f t="shared" si="53"/>
        <v>9496.7251661098617</v>
      </c>
      <c r="BD100" s="647">
        <f t="shared" si="54"/>
        <v>0</v>
      </c>
      <c r="BE100" s="383">
        <f t="shared" si="55"/>
        <v>0.22306252191072812</v>
      </c>
      <c r="BF100" s="383">
        <f t="shared" si="56"/>
        <v>0.28290362436222583</v>
      </c>
      <c r="BG100" s="383">
        <f t="shared" si="57"/>
        <v>6.3977278058215084E-2</v>
      </c>
      <c r="BH100" s="383">
        <f t="shared" si="58"/>
        <v>0</v>
      </c>
      <c r="BI100" s="383">
        <f t="shared" si="59"/>
        <v>0</v>
      </c>
      <c r="BJ100" s="383">
        <f t="shared" si="60"/>
        <v>0</v>
      </c>
      <c r="BK100" s="383">
        <f t="shared" si="61"/>
        <v>0.43005657566883099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107.36741512404284</v>
      </c>
      <c r="BW100" s="100">
        <f t="shared" si="65"/>
        <v>0.36833998584315464</v>
      </c>
      <c r="BX100" s="1385">
        <f t="shared" si="25"/>
        <v>50.781625743101721</v>
      </c>
      <c r="BY100" s="473">
        <f t="shared" si="66"/>
        <v>107.36741512404284</v>
      </c>
      <c r="BZ100" s="100">
        <f t="shared" si="67"/>
        <v>0.36833998584315464</v>
      </c>
      <c r="CA100" s="489">
        <f t="shared" si="26"/>
        <v>50.781625743101721</v>
      </c>
      <c r="CB100" s="579">
        <f t="shared" si="27"/>
        <v>7.0040644951311681E-2</v>
      </c>
      <c r="CC100" s="471">
        <f t="shared" si="68"/>
        <v>0.16697077492577461</v>
      </c>
      <c r="CD100" s="100">
        <f t="shared" si="28"/>
        <v>7.0040644951311681E-2</v>
      </c>
      <c r="CE100" s="471">
        <f t="shared" si="69"/>
        <v>0.16697077492577461</v>
      </c>
      <c r="CG100" s="473">
        <f t="shared" si="70"/>
        <v>1302.2168434495784</v>
      </c>
      <c r="CH100" s="474">
        <f t="shared" si="71"/>
        <v>504.05822055960681</v>
      </c>
      <c r="CI100" s="474">
        <f t="shared" si="72"/>
        <v>2085.1701887882891</v>
      </c>
      <c r="CJ100" s="474">
        <f t="shared" si="73"/>
        <v>2965.801546439412</v>
      </c>
      <c r="CK100" s="474">
        <f t="shared" si="74"/>
        <v>40.158334779443209</v>
      </c>
      <c r="CL100" s="474">
        <f t="shared" si="75"/>
        <v>6897.4051340163296</v>
      </c>
      <c r="CM100" s="576">
        <f t="shared" si="76"/>
        <v>0</v>
      </c>
    </row>
    <row r="101" spans="1:91">
      <c r="A101" s="89">
        <f>'Input data'!A121</f>
        <v>2021</v>
      </c>
      <c r="B101" s="152">
        <f>'Input data'!B121</f>
        <v>60.158036186957922</v>
      </c>
      <c r="C101" s="204">
        <f>'Input data'!C121</f>
        <v>4296.6100000000006</v>
      </c>
      <c r="D101" s="205">
        <f>'Input data'!D121</f>
        <v>50787753.059423499</v>
      </c>
      <c r="E101" s="579">
        <f t="shared" si="29"/>
        <v>0.74936969696969691</v>
      </c>
      <c r="F101" s="100">
        <f t="shared" si="30"/>
        <v>0.29901212121212117</v>
      </c>
      <c r="G101" s="474">
        <f>B101*F101*'Input data'!$C$9</f>
        <v>550.55979220154882</v>
      </c>
      <c r="H101" s="473">
        <f>'Input data'!I121</f>
        <v>424.26313389388866</v>
      </c>
      <c r="I101" s="474">
        <f>'Input data'!K121</f>
        <v>25522.836961580728</v>
      </c>
      <c r="J101" s="474">
        <f t="shared" si="77"/>
        <v>9003.6315898476932</v>
      </c>
      <c r="K101" s="475">
        <f t="shared" si="78"/>
        <v>2857.3015943095579</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10647.538996036423</v>
      </c>
      <c r="AA101" s="475">
        <f t="shared" si="81"/>
        <v>1643.9074061887295</v>
      </c>
      <c r="AB101" s="938">
        <f t="shared" si="42"/>
        <v>0.15439318013305034</v>
      </c>
      <c r="AC101" s="118" t="str">
        <f t="shared" si="43"/>
        <v>Yes</v>
      </c>
      <c r="AD101" s="938">
        <f t="shared" si="44"/>
        <v>0.15439318013305034</v>
      </c>
      <c r="AE101" s="579">
        <f t="shared" si="11"/>
        <v>8.9484246619426888E-2</v>
      </c>
      <c r="AF101" s="475">
        <f t="shared" si="45"/>
        <v>386.29826698899694</v>
      </c>
      <c r="AG101" s="473">
        <f t="shared" si="46"/>
        <v>9003.6315898476932</v>
      </c>
      <c r="AH101" s="474">
        <f t="shared" si="82"/>
        <v>6996.1812956628055</v>
      </c>
      <c r="AI101" s="474">
        <f t="shared" si="83"/>
        <v>4617.5691834333375</v>
      </c>
      <c r="AJ101" s="474">
        <f t="shared" si="12"/>
        <v>2621.5630555393768</v>
      </c>
      <c r="AK101" s="474">
        <f t="shared" si="47"/>
        <v>23238.945124483213</v>
      </c>
      <c r="AL101" s="640">
        <f t="shared" si="13"/>
        <v>0</v>
      </c>
      <c r="AM101" s="579">
        <f t="shared" si="48"/>
        <v>0.38743718966666807</v>
      </c>
      <c r="AN101" s="100">
        <f t="shared" si="49"/>
        <v>0.30105416825878351</v>
      </c>
      <c r="AO101" s="100">
        <f t="shared" si="50"/>
        <v>0.19869960356197636</v>
      </c>
      <c r="AP101" s="100">
        <f t="shared" si="51"/>
        <v>0.11280903851257212</v>
      </c>
      <c r="AQ101" s="471">
        <f t="shared" si="52"/>
        <v>1</v>
      </c>
      <c r="AR101" s="473">
        <f t="shared" si="14"/>
        <v>1954.9038633026519</v>
      </c>
      <c r="AS101" s="474">
        <f t="shared" si="15"/>
        <v>2479.3469717399389</v>
      </c>
      <c r="AT101" s="474">
        <f t="shared" si="16"/>
        <v>591.7338273452383</v>
      </c>
      <c r="AU101" s="474">
        <f t="shared" si="17"/>
        <v>0</v>
      </c>
      <c r="AV101" s="474">
        <f t="shared" si="18"/>
        <v>0</v>
      </c>
      <c r="AW101" s="474">
        <f t="shared" si="19"/>
        <v>0</v>
      </c>
      <c r="AX101" s="474">
        <f t="shared" si="20"/>
        <v>2518.6190844125958</v>
      </c>
      <c r="AY101" s="474">
        <f t="shared" si="21"/>
        <v>364.13489515750842</v>
      </c>
      <c r="AZ101" s="474">
        <f t="shared" si="22"/>
        <v>529.26819045939692</v>
      </c>
      <c r="BA101" s="474">
        <f t="shared" si="23"/>
        <v>465.26875416897275</v>
      </c>
      <c r="BB101" s="474">
        <f t="shared" si="24"/>
        <v>100.35600326138743</v>
      </c>
      <c r="BC101" s="475">
        <f t="shared" si="53"/>
        <v>9003.6315898476896</v>
      </c>
      <c r="BD101" s="647">
        <f t="shared" si="54"/>
        <v>0</v>
      </c>
      <c r="BE101" s="383">
        <f t="shared" si="55"/>
        <v>0.21712392869416841</v>
      </c>
      <c r="BF101" s="383">
        <f t="shared" si="56"/>
        <v>0.27537188155672648</v>
      </c>
      <c r="BG101" s="383">
        <f t="shared" si="57"/>
        <v>6.5721683682889165E-2</v>
      </c>
      <c r="BH101" s="383">
        <f t="shared" si="58"/>
        <v>0</v>
      </c>
      <c r="BI101" s="383">
        <f t="shared" si="59"/>
        <v>0</v>
      </c>
      <c r="BJ101" s="383">
        <f t="shared" si="60"/>
        <v>0</v>
      </c>
      <c r="BK101" s="383">
        <f t="shared" si="61"/>
        <v>0.44178250606621605</v>
      </c>
      <c r="BL101" s="383">
        <f t="shared" si="62"/>
        <v>1</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105.35762365377846</v>
      </c>
      <c r="BW101" s="100">
        <f t="shared" si="65"/>
        <v>0.38971349985823206</v>
      </c>
      <c r="BX101" s="1385">
        <f t="shared" si="25"/>
        <v>50.787753059423501</v>
      </c>
      <c r="BY101" s="473">
        <f t="shared" si="66"/>
        <v>105.35762365377846</v>
      </c>
      <c r="BZ101" s="100">
        <f t="shared" si="67"/>
        <v>0.38971349985823206</v>
      </c>
      <c r="CA101" s="489">
        <f t="shared" si="26"/>
        <v>50.787753059423501</v>
      </c>
      <c r="CB101" s="579">
        <f t="shared" si="27"/>
        <v>8.9484246619426888E-2</v>
      </c>
      <c r="CC101" s="471">
        <f t="shared" si="68"/>
        <v>0.19868943488345547</v>
      </c>
      <c r="CD101" s="100">
        <f t="shared" si="28"/>
        <v>8.9484246619426888E-2</v>
      </c>
      <c r="CE101" s="471">
        <f t="shared" si="69"/>
        <v>0.19868943488345547</v>
      </c>
      <c r="CG101" s="473">
        <f t="shared" si="70"/>
        <v>1320.8655930776054</v>
      </c>
      <c r="CH101" s="474">
        <f t="shared" si="71"/>
        <v>511.27672306972948</v>
      </c>
      <c r="CI101" s="474">
        <f t="shared" si="72"/>
        <v>2115.031434231506</v>
      </c>
      <c r="CJ101" s="474">
        <f t="shared" si="73"/>
        <v>3008.2741121754316</v>
      </c>
      <c r="CK101" s="474">
        <f t="shared" si="74"/>
        <v>40.733433108532914</v>
      </c>
      <c r="CL101" s="474">
        <f t="shared" si="75"/>
        <v>6996.1812956628055</v>
      </c>
      <c r="CM101" s="576">
        <f t="shared" si="76"/>
        <v>0</v>
      </c>
    </row>
    <row r="102" spans="1:91" s="1" customFormat="1">
      <c r="A102" s="89">
        <f>'Input data'!A122</f>
        <v>2022</v>
      </c>
      <c r="B102" s="152">
        <f>'Input data'!B122</f>
        <v>60.963559588769527</v>
      </c>
      <c r="C102" s="204">
        <f>'Input data'!C122</f>
        <v>4408.5100000000011</v>
      </c>
      <c r="D102" s="205">
        <f>'Input data'!D122</f>
        <v>50359792.847133145</v>
      </c>
      <c r="E102" s="579">
        <f t="shared" si="29"/>
        <v>0.75801212121212114</v>
      </c>
      <c r="F102" s="100">
        <f t="shared" si="30"/>
        <v>0.30136515151515147</v>
      </c>
      <c r="G102" s="474">
        <f>B102*F102*'Input data'!$C$9</f>
        <v>562.32241427517715</v>
      </c>
      <c r="H102" s="473">
        <f>'Input data'!I122</f>
        <v>424.26313389388866</v>
      </c>
      <c r="I102" s="474">
        <f>'Input data'!K122</f>
        <v>25864.590844458187</v>
      </c>
      <c r="J102" s="474">
        <f>$J$97*(1+(($J$110/$J$97)^(1/($A$110-$A$97))-1))^(A102-$A$97)</f>
        <v>8536.1406577284433</v>
      </c>
      <c r="K102" s="475">
        <f t="shared" si="78"/>
        <v>3483.6118605152806</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10503.009783092688</v>
      </c>
      <c r="AA102" s="475">
        <f t="shared" si="81"/>
        <v>1966.8691253642446</v>
      </c>
      <c r="AB102" s="938">
        <f t="shared" si="42"/>
        <v>0.18726718968980011</v>
      </c>
      <c r="AC102" s="118" t="str">
        <f t="shared" si="43"/>
        <v>Yes</v>
      </c>
      <c r="AD102" s="938">
        <f t="shared" si="44"/>
        <v>0.18726718968980011</v>
      </c>
      <c r="AE102" s="579">
        <f t="shared" si="11"/>
        <v>0.10687532365207342</v>
      </c>
      <c r="AF102" s="475">
        <f t="shared" si="45"/>
        <v>378.91987414533639</v>
      </c>
      <c r="AG102" s="473">
        <f t="shared" si="46"/>
        <v>8536.1406577284433</v>
      </c>
      <c r="AH102" s="474">
        <f t="shared" si="82"/>
        <v>7089.8610118599718</v>
      </c>
      <c r="AI102" s="474">
        <f t="shared" si="83"/>
        <v>4920.9177304635441</v>
      </c>
      <c r="AJ102" s="474">
        <f t="shared" si="12"/>
        <v>2553.3849267763044</v>
      </c>
      <c r="AK102" s="474">
        <f t="shared" si="47"/>
        <v>23100.304326828264</v>
      </c>
      <c r="AL102" s="640">
        <f t="shared" si="13"/>
        <v>0</v>
      </c>
      <c r="AM102" s="579">
        <f t="shared" si="48"/>
        <v>0.36952503036138484</v>
      </c>
      <c r="AN102" s="100">
        <f t="shared" si="49"/>
        <v>0.30691634670916174</v>
      </c>
      <c r="AO102" s="100">
        <f t="shared" si="50"/>
        <v>0.21302393513268489</v>
      </c>
      <c r="AP102" s="100">
        <f t="shared" si="51"/>
        <v>0.11053468779676857</v>
      </c>
      <c r="AQ102" s="471">
        <f t="shared" si="52"/>
        <v>1.0000000000000002</v>
      </c>
      <c r="AR102" s="473">
        <f t="shared" si="14"/>
        <v>1801.1935615517802</v>
      </c>
      <c r="AS102" s="474">
        <f t="shared" si="15"/>
        <v>2284.400724855238</v>
      </c>
      <c r="AT102" s="474">
        <f t="shared" si="16"/>
        <v>576.34480018109537</v>
      </c>
      <c r="AU102" s="474">
        <f t="shared" si="17"/>
        <v>0</v>
      </c>
      <c r="AV102" s="474">
        <f t="shared" si="18"/>
        <v>0</v>
      </c>
      <c r="AW102" s="474">
        <f t="shared" si="19"/>
        <v>0</v>
      </c>
      <c r="AX102" s="474">
        <f t="shared" si="20"/>
        <v>2453.1181856722897</v>
      </c>
      <c r="AY102" s="474">
        <f t="shared" si="21"/>
        <v>354.66495861841997</v>
      </c>
      <c r="AZ102" s="474">
        <f t="shared" si="22"/>
        <v>515.50368658332479</v>
      </c>
      <c r="BA102" s="474">
        <f t="shared" si="23"/>
        <v>453.16866259797683</v>
      </c>
      <c r="BB102" s="474">
        <f t="shared" si="24"/>
        <v>97.746077668316218</v>
      </c>
      <c r="BC102" s="475">
        <f t="shared" si="53"/>
        <v>8536.1406577284415</v>
      </c>
      <c r="BD102" s="647">
        <f t="shared" si="54"/>
        <v>0</v>
      </c>
      <c r="BE102" s="383">
        <f t="shared" si="55"/>
        <v>0.21100795239603012</v>
      </c>
      <c r="BF102" s="383">
        <f t="shared" si="56"/>
        <v>0.26761516901516724</v>
      </c>
      <c r="BG102" s="383">
        <f t="shared" si="57"/>
        <v>6.7518193911118948E-2</v>
      </c>
      <c r="BH102" s="383">
        <f t="shared" si="58"/>
        <v>0</v>
      </c>
      <c r="BI102" s="383">
        <f t="shared" si="59"/>
        <v>0</v>
      </c>
      <c r="BJ102" s="383">
        <f t="shared" si="60"/>
        <v>0</v>
      </c>
      <c r="BK102" s="383">
        <f t="shared" si="61"/>
        <v>0.45385868467768359</v>
      </c>
      <c r="BL102" s="383">
        <f t="shared" si="62"/>
        <v>0.99999999999999978</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103.38172457476958</v>
      </c>
      <c r="BW102" s="100">
        <f t="shared" si="65"/>
        <v>0.41034253147076877</v>
      </c>
      <c r="BX102" s="1385">
        <f t="shared" si="25"/>
        <v>50.359792847133143</v>
      </c>
      <c r="BY102" s="473">
        <f t="shared" si="66"/>
        <v>103.38172457476958</v>
      </c>
      <c r="BZ102" s="100">
        <f t="shared" si="67"/>
        <v>0.41034253147076877</v>
      </c>
      <c r="CA102" s="489">
        <f t="shared" si="26"/>
        <v>50.359792847133143</v>
      </c>
      <c r="CB102" s="579">
        <f t="shared" si="27"/>
        <v>0.10687532365207342</v>
      </c>
      <c r="CC102" s="471">
        <f t="shared" si="68"/>
        <v>0.2235747660326316</v>
      </c>
      <c r="CD102" s="100">
        <f t="shared" si="28"/>
        <v>0.10687532365207342</v>
      </c>
      <c r="CE102" s="471">
        <f t="shared" si="69"/>
        <v>0.2235747660326316</v>
      </c>
      <c r="CG102" s="473">
        <f t="shared" si="70"/>
        <v>1338.5521435920725</v>
      </c>
      <c r="CH102" s="474">
        <f t="shared" si="71"/>
        <v>518.12278041033653</v>
      </c>
      <c r="CI102" s="474">
        <f t="shared" si="72"/>
        <v>2143.3519616926401</v>
      </c>
      <c r="CJ102" s="474">
        <f t="shared" si="73"/>
        <v>3048.5552674460337</v>
      </c>
      <c r="CK102" s="474">
        <f t="shared" si="74"/>
        <v>41.278858718888266</v>
      </c>
      <c r="CL102" s="474">
        <f t="shared" si="75"/>
        <v>7089.8610118599709</v>
      </c>
      <c r="CM102" s="576">
        <f t="shared" si="76"/>
        <v>0</v>
      </c>
    </row>
    <row r="103" spans="1:91">
      <c r="A103" s="89">
        <f>'Input data'!A123</f>
        <v>2023</v>
      </c>
      <c r="B103" s="152">
        <f>'Input data'!B123</f>
        <v>61.723133308607778</v>
      </c>
      <c r="C103" s="204">
        <f>'Input data'!C123</f>
        <v>4511.7199999999984</v>
      </c>
      <c r="D103" s="205">
        <f>'Input data'!D123</f>
        <v>49422822.449545562</v>
      </c>
      <c r="E103" s="579">
        <f t="shared" si="29"/>
        <v>0.76665454545454537</v>
      </c>
      <c r="F103" s="100">
        <f t="shared" si="30"/>
        <v>0.30371818181818178</v>
      </c>
      <c r="G103" s="474">
        <f>B103*F103*'Input data'!$C$9</f>
        <v>573.77391797046732</v>
      </c>
      <c r="H103" s="473">
        <f>'Input data'!I123</f>
        <v>424.26313389388866</v>
      </c>
      <c r="I103" s="474">
        <f>'Input data'!K123</f>
        <v>26186.849971260202</v>
      </c>
      <c r="J103" s="474">
        <f t="shared" si="77"/>
        <v>8092.9230168287222</v>
      </c>
      <c r="K103" s="475">
        <f t="shared" si="78"/>
        <v>4076.5892627118037</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10349.420997359284</v>
      </c>
      <c r="AA103" s="475">
        <f t="shared" si="81"/>
        <v>2256.497980530562</v>
      </c>
      <c r="AB103" s="938">
        <f t="shared" si="42"/>
        <v>0.21803132572404976</v>
      </c>
      <c r="AC103" s="118" t="str">
        <f t="shared" si="43"/>
        <v>Yes</v>
      </c>
      <c r="AD103" s="938">
        <f t="shared" si="44"/>
        <v>0.21803132572404976</v>
      </c>
      <c r="AE103" s="579">
        <f t="shared" si="11"/>
        <v>0.12235613539063572</v>
      </c>
      <c r="AF103" s="475">
        <f t="shared" si="45"/>
        <v>372.35193644191264</v>
      </c>
      <c r="AG103" s="473">
        <f t="shared" si="46"/>
        <v>8092.9230168287222</v>
      </c>
      <c r="AH103" s="474">
        <f t="shared" si="82"/>
        <v>7178.1969315182241</v>
      </c>
      <c r="AI103" s="474">
        <f t="shared" si="83"/>
        <v>5224.2662774937517</v>
      </c>
      <c r="AJ103" s="474">
        <f t="shared" si="12"/>
        <v>2487.3419848817243</v>
      </c>
      <c r="AK103" s="474">
        <f t="shared" si="47"/>
        <v>22982.728210722424</v>
      </c>
      <c r="AL103" s="640">
        <f t="shared" si="13"/>
        <v>0</v>
      </c>
      <c r="AM103" s="579">
        <f t="shared" si="48"/>
        <v>0.35213064970472169</v>
      </c>
      <c r="AN103" s="100">
        <f t="shared" si="49"/>
        <v>0.31233006219728471</v>
      </c>
      <c r="AO103" s="100">
        <f t="shared" si="50"/>
        <v>0.22731271194585195</v>
      </c>
      <c r="AP103" s="100">
        <f t="shared" si="51"/>
        <v>0.10822657615214164</v>
      </c>
      <c r="AQ103" s="471">
        <f t="shared" si="52"/>
        <v>0.99999999999999989</v>
      </c>
      <c r="AR103" s="473">
        <f t="shared" si="14"/>
        <v>1656.5437590445563</v>
      </c>
      <c r="AS103" s="474">
        <f t="shared" si="15"/>
        <v>2100.945642208269</v>
      </c>
      <c r="AT103" s="474">
        <f t="shared" si="16"/>
        <v>561.43772301053355</v>
      </c>
      <c r="AU103" s="474">
        <f t="shared" si="17"/>
        <v>0</v>
      </c>
      <c r="AV103" s="474">
        <f t="shared" si="18"/>
        <v>0</v>
      </c>
      <c r="AW103" s="474">
        <f t="shared" si="19"/>
        <v>0</v>
      </c>
      <c r="AX103" s="474">
        <f t="shared" si="20"/>
        <v>2389.6686289298073</v>
      </c>
      <c r="AY103" s="474">
        <f t="shared" si="21"/>
        <v>345.49159936167371</v>
      </c>
      <c r="AZ103" s="474">
        <f t="shared" si="22"/>
        <v>502.170256256215</v>
      </c>
      <c r="BA103" s="474">
        <f t="shared" si="23"/>
        <v>441.44751889631476</v>
      </c>
      <c r="BB103" s="474">
        <f t="shared" si="24"/>
        <v>95.217889121350126</v>
      </c>
      <c r="BC103" s="475">
        <f t="shared" si="53"/>
        <v>8092.9230168287195</v>
      </c>
      <c r="BD103" s="647">
        <f t="shared" si="54"/>
        <v>0</v>
      </c>
      <c r="BE103" s="383">
        <f t="shared" si="55"/>
        <v>0.20469041353783779</v>
      </c>
      <c r="BF103" s="383">
        <f t="shared" si="56"/>
        <v>0.2596028206174068</v>
      </c>
      <c r="BG103" s="383">
        <f t="shared" si="57"/>
        <v>6.9373911236157743E-2</v>
      </c>
      <c r="BH103" s="383">
        <f t="shared" si="58"/>
        <v>0</v>
      </c>
      <c r="BI103" s="383">
        <f t="shared" si="59"/>
        <v>0</v>
      </c>
      <c r="BJ103" s="383">
        <f t="shared" si="60"/>
        <v>0</v>
      </c>
      <c r="BK103" s="383">
        <f t="shared" si="61"/>
        <v>0.46633285460859769</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101.51001465601369</v>
      </c>
      <c r="BW103" s="100">
        <f t="shared" si="65"/>
        <v>0.43065103923376968</v>
      </c>
      <c r="BX103" s="1385">
        <f t="shared" si="25"/>
        <v>49.422822449545563</v>
      </c>
      <c r="BY103" s="473">
        <f t="shared" si="66"/>
        <v>101.51001465601369</v>
      </c>
      <c r="BZ103" s="100">
        <f t="shared" si="67"/>
        <v>0.43065103923376968</v>
      </c>
      <c r="CA103" s="489">
        <f t="shared" si="26"/>
        <v>49.422822449545563</v>
      </c>
      <c r="CB103" s="579">
        <f t="shared" si="27"/>
        <v>0.12235613539063572</v>
      </c>
      <c r="CC103" s="471">
        <f t="shared" si="68"/>
        <v>0.24277133849897348</v>
      </c>
      <c r="CD103" s="100">
        <f t="shared" si="28"/>
        <v>0.12235613539063572</v>
      </c>
      <c r="CE103" s="471">
        <f t="shared" si="69"/>
        <v>0.24277133849897348</v>
      </c>
      <c r="CG103" s="473">
        <f t="shared" si="70"/>
        <v>1355.2297955822789</v>
      </c>
      <c r="CH103" s="474">
        <f t="shared" si="71"/>
        <v>524.57831631250383</v>
      </c>
      <c r="CI103" s="474">
        <f t="shared" si="72"/>
        <v>2170.0569939028228</v>
      </c>
      <c r="CJ103" s="474">
        <f t="shared" si="73"/>
        <v>3086.5386542470405</v>
      </c>
      <c r="CK103" s="474">
        <f t="shared" si="74"/>
        <v>41.793171473577871</v>
      </c>
      <c r="CL103" s="474">
        <f t="shared" si="75"/>
        <v>7178.1969315182241</v>
      </c>
      <c r="CM103" s="576">
        <f t="shared" si="76"/>
        <v>0</v>
      </c>
    </row>
    <row r="104" spans="1:91">
      <c r="A104" s="89">
        <f>'Input data'!A124</f>
        <v>2024</v>
      </c>
      <c r="B104" s="152">
        <f>'Input data'!B124</f>
        <v>62.434728280060035</v>
      </c>
      <c r="C104" s="204">
        <f>'Input data'!C124</f>
        <v>4622.4800000000005</v>
      </c>
      <c r="D104" s="205">
        <f>'Input data'!D124</f>
        <v>49894033.579494402</v>
      </c>
      <c r="E104" s="579">
        <f t="shared" si="29"/>
        <v>0.7752969696969696</v>
      </c>
      <c r="F104" s="100">
        <f t="shared" si="30"/>
        <v>0.30607121212121208</v>
      </c>
      <c r="G104" s="474">
        <f>B104*F104*'Input data'!$C$9</f>
        <v>584.88536728906297</v>
      </c>
      <c r="H104" s="473">
        <f>'Input data'!I124</f>
        <v>424.26313389388866</v>
      </c>
      <c r="I104" s="474">
        <f>'Input data'!K124</f>
        <v>26488.753483911667</v>
      </c>
      <c r="J104" s="474">
        <f t="shared" si="77"/>
        <v>7672.7183375332434</v>
      </c>
      <c r="K104" s="475">
        <f t="shared" si="78"/>
        <v>4637.0940738857107</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10186.372582207505</v>
      </c>
      <c r="AA104" s="475">
        <f t="shared" si="81"/>
        <v>2513.6542446742615</v>
      </c>
      <c r="AB104" s="938">
        <f t="shared" si="42"/>
        <v>0.24676637580141639</v>
      </c>
      <c r="AC104" s="118" t="str">
        <f t="shared" si="43"/>
        <v>Yes</v>
      </c>
      <c r="AD104" s="938">
        <f t="shared" si="44"/>
        <v>0.24676637580141639</v>
      </c>
      <c r="AE104" s="579">
        <f t="shared" si="11"/>
        <v>0.13605417130436748</v>
      </c>
      <c r="AF104" s="475">
        <f t="shared" si="45"/>
        <v>366.54036479696174</v>
      </c>
      <c r="AG104" s="473">
        <f t="shared" si="46"/>
        <v>7672.7183375332434</v>
      </c>
      <c r="AH104" s="474">
        <f t="shared" si="82"/>
        <v>7260.9530809026564</v>
      </c>
      <c r="AI104" s="474">
        <f t="shared" si="83"/>
        <v>5527.6148245239583</v>
      </c>
      <c r="AJ104" s="474">
        <f t="shared" si="12"/>
        <v>2423.561836812527</v>
      </c>
      <c r="AK104" s="474">
        <f t="shared" si="47"/>
        <v>22884.84807977239</v>
      </c>
      <c r="AL104" s="640">
        <f t="shared" si="13"/>
        <v>0</v>
      </c>
      <c r="AM104" s="579">
        <f t="shared" si="48"/>
        <v>0.33527503922191454</v>
      </c>
      <c r="AN104" s="100">
        <f t="shared" si="49"/>
        <v>0.31728211852629756</v>
      </c>
      <c r="AO104" s="100">
        <f t="shared" si="50"/>
        <v>0.24154037663941247</v>
      </c>
      <c r="AP104" s="100">
        <f t="shared" si="51"/>
        <v>0.10590246561237524</v>
      </c>
      <c r="AQ104" s="471">
        <f t="shared" si="52"/>
        <v>0.99999999999999978</v>
      </c>
      <c r="AR104" s="473">
        <f t="shared" si="14"/>
        <v>1520.300764636341</v>
      </c>
      <c r="AS104" s="474">
        <f t="shared" si="15"/>
        <v>1928.1526665802426</v>
      </c>
      <c r="AT104" s="474">
        <f t="shared" si="16"/>
        <v>547.04139901371593</v>
      </c>
      <c r="AU104" s="474">
        <f t="shared" si="17"/>
        <v>0</v>
      </c>
      <c r="AV104" s="474">
        <f t="shared" si="18"/>
        <v>0</v>
      </c>
      <c r="AW104" s="474">
        <f t="shared" si="19"/>
        <v>0</v>
      </c>
      <c r="AX104" s="474">
        <f t="shared" si="20"/>
        <v>2328.3930102509762</v>
      </c>
      <c r="AY104" s="474">
        <f t="shared" si="21"/>
        <v>336.63254198320095</v>
      </c>
      <c r="AZ104" s="474">
        <f t="shared" si="22"/>
        <v>489.29366208676015</v>
      </c>
      <c r="BA104" s="474">
        <f t="shared" si="23"/>
        <v>430.12797044213403</v>
      </c>
      <c r="BB104" s="474">
        <f t="shared" si="24"/>
        <v>92.776322539871416</v>
      </c>
      <c r="BC104" s="475">
        <f t="shared" si="53"/>
        <v>7672.7183375332415</v>
      </c>
      <c r="BD104" s="647">
        <f t="shared" si="54"/>
        <v>0</v>
      </c>
      <c r="BE104" s="383">
        <f t="shared" si="55"/>
        <v>0.19814369533146628</v>
      </c>
      <c r="BF104" s="383">
        <f t="shared" si="56"/>
        <v>0.25129981080475039</v>
      </c>
      <c r="BG104" s="383">
        <f t="shared" si="57"/>
        <v>7.1296947828478258E-2</v>
      </c>
      <c r="BH104" s="383">
        <f t="shared" si="58"/>
        <v>0</v>
      </c>
      <c r="BI104" s="383">
        <f t="shared" si="59"/>
        <v>0</v>
      </c>
      <c r="BJ104" s="383">
        <f t="shared" si="60"/>
        <v>0</v>
      </c>
      <c r="BK104" s="383">
        <f t="shared" si="61"/>
        <v>0.47925954603530513</v>
      </c>
      <c r="BL104" s="383">
        <f t="shared" si="62"/>
        <v>1</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100.02658365273933</v>
      </c>
      <c r="BW104" s="100">
        <f t="shared" si="65"/>
        <v>0.45220781363899443</v>
      </c>
      <c r="BX104" s="1385">
        <f t="shared" si="25"/>
        <v>49.894033579494405</v>
      </c>
      <c r="BY104" s="473">
        <f t="shared" si="66"/>
        <v>100.02658365273933</v>
      </c>
      <c r="BZ104" s="100">
        <f t="shared" si="67"/>
        <v>0.45220781363899443</v>
      </c>
      <c r="CA104" s="489">
        <f t="shared" si="26"/>
        <v>49.894033579494405</v>
      </c>
      <c r="CB104" s="579">
        <f t="shared" si="27"/>
        <v>0.13605417130436748</v>
      </c>
      <c r="CC104" s="471">
        <f t="shared" si="68"/>
        <v>0.2688493159016655</v>
      </c>
      <c r="CD104" s="100">
        <f t="shared" si="28"/>
        <v>0.13605417130436748</v>
      </c>
      <c r="CE104" s="471">
        <f t="shared" si="69"/>
        <v>0.2688493159016655</v>
      </c>
      <c r="CG104" s="473">
        <f t="shared" si="70"/>
        <v>1370.8539976602399</v>
      </c>
      <c r="CH104" s="474">
        <f t="shared" si="71"/>
        <v>530.62608595754875</v>
      </c>
      <c r="CI104" s="474">
        <f t="shared" si="72"/>
        <v>2195.0751931070863</v>
      </c>
      <c r="CJ104" s="474">
        <f t="shared" si="73"/>
        <v>3122.1228067004431</v>
      </c>
      <c r="CK104" s="474">
        <f t="shared" si="74"/>
        <v>42.27499747733799</v>
      </c>
      <c r="CL104" s="474">
        <f t="shared" si="75"/>
        <v>7260.9530809026564</v>
      </c>
      <c r="CM104" s="576">
        <f t="shared" si="76"/>
        <v>0</v>
      </c>
    </row>
    <row r="105" spans="1:91">
      <c r="A105" s="89">
        <f>'Input data'!A125</f>
        <v>2025</v>
      </c>
      <c r="B105" s="152">
        <f>'Input data'!B125</f>
        <v>63.096422221537942</v>
      </c>
      <c r="C105" s="204">
        <f>'Input data'!C125</f>
        <v>4727.3100000000004</v>
      </c>
      <c r="D105" s="205">
        <f>'Input data'!D125</f>
        <v>49409698.226927206</v>
      </c>
      <c r="E105" s="579">
        <f t="shared" si="29"/>
        <v>0.78393939393939382</v>
      </c>
      <c r="F105" s="100">
        <f t="shared" si="30"/>
        <v>0.30842424242424238</v>
      </c>
      <c r="G105" s="474">
        <f>B105*F105*'Input data'!$C$9</f>
        <v>595.62824974932994</v>
      </c>
      <c r="H105" s="473">
        <f>'Input data'!I125</f>
        <v>424.26313389388866</v>
      </c>
      <c r="I105" s="474">
        <f>'Input data'!K125</f>
        <v>26769.485829201683</v>
      </c>
      <c r="J105" s="474">
        <f t="shared" si="77"/>
        <v>7274.3317296730966</v>
      </c>
      <c r="K105" s="475">
        <f t="shared" si="78"/>
        <v>5165.9421815833903</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10013.48553501483</v>
      </c>
      <c r="AA105" s="475">
        <f t="shared" si="81"/>
        <v>2739.1538053417335</v>
      </c>
      <c r="AB105" s="938">
        <f t="shared" si="42"/>
        <v>0.2735464884593431</v>
      </c>
      <c r="AC105" s="118" t="str">
        <f t="shared" si="43"/>
        <v>Yes</v>
      </c>
      <c r="AD105" s="938">
        <f t="shared" si="44"/>
        <v>0.2735464884593431</v>
      </c>
      <c r="AE105" s="579">
        <f t="shared" si="11"/>
        <v>0.14808342100012861</v>
      </c>
      <c r="AF105" s="475">
        <f t="shared" si="45"/>
        <v>361.436797622646</v>
      </c>
      <c r="AG105" s="473">
        <f t="shared" si="46"/>
        <v>7274.3317296730966</v>
      </c>
      <c r="AH105" s="474">
        <f t="shared" si="82"/>
        <v>7337.9059050014057</v>
      </c>
      <c r="AI105" s="474">
        <f t="shared" si="83"/>
        <v>5830.9633715541659</v>
      </c>
      <c r="AJ105" s="474">
        <f t="shared" si="12"/>
        <v>2362.1677829703644</v>
      </c>
      <c r="AK105" s="474">
        <f t="shared" si="47"/>
        <v>22805.368789199034</v>
      </c>
      <c r="AL105" s="640">
        <f t="shared" si="13"/>
        <v>0</v>
      </c>
      <c r="AM105" s="579">
        <f t="shared" si="48"/>
        <v>0.31897452731035553</v>
      </c>
      <c r="AN105" s="100">
        <f t="shared" si="49"/>
        <v>0.32176221190848481</v>
      </c>
      <c r="AO105" s="100">
        <f t="shared" si="50"/>
        <v>0.25568380083885328</v>
      </c>
      <c r="AP105" s="100">
        <f t="shared" si="51"/>
        <v>0.10357945994230633</v>
      </c>
      <c r="AQ105" s="471">
        <f t="shared" si="52"/>
        <v>1</v>
      </c>
      <c r="AR105" s="473">
        <f t="shared" si="14"/>
        <v>1391.8430463826344</v>
      </c>
      <c r="AS105" s="474">
        <f t="shared" si="15"/>
        <v>1765.2335273183839</v>
      </c>
      <c r="AT105" s="474">
        <f t="shared" si="16"/>
        <v>533.18365930400375</v>
      </c>
      <c r="AU105" s="474">
        <f t="shared" si="17"/>
        <v>0</v>
      </c>
      <c r="AV105" s="474">
        <f t="shared" si="18"/>
        <v>0</v>
      </c>
      <c r="AW105" s="474">
        <f t="shared" si="19"/>
        <v>0</v>
      </c>
      <c r="AX105" s="474">
        <f t="shared" si="20"/>
        <v>2269.4097882569085</v>
      </c>
      <c r="AY105" s="474">
        <f t="shared" si="21"/>
        <v>328.10491289876131</v>
      </c>
      <c r="AZ105" s="474">
        <f t="shared" si="22"/>
        <v>476.89879723186061</v>
      </c>
      <c r="BA105" s="474">
        <f t="shared" si="23"/>
        <v>419.23190029643678</v>
      </c>
      <c r="BB105" s="474">
        <f t="shared" si="24"/>
        <v>90.426097984106846</v>
      </c>
      <c r="BC105" s="475">
        <f t="shared" si="53"/>
        <v>7274.3317296730966</v>
      </c>
      <c r="BD105" s="647">
        <f t="shared" si="54"/>
        <v>0</v>
      </c>
      <c r="BE105" s="383">
        <f t="shared" si="55"/>
        <v>0.1913362076553502</v>
      </c>
      <c r="BF105" s="383">
        <f t="shared" si="56"/>
        <v>0.24266607475676838</v>
      </c>
      <c r="BG105" s="383">
        <f t="shared" si="57"/>
        <v>7.329658298769455E-2</v>
      </c>
      <c r="BH105" s="383">
        <f t="shared" si="58"/>
        <v>0</v>
      </c>
      <c r="BI105" s="383">
        <f t="shared" si="59"/>
        <v>0</v>
      </c>
      <c r="BJ105" s="383">
        <f t="shared" si="60"/>
        <v>0</v>
      </c>
      <c r="BK105" s="383">
        <f t="shared" si="61"/>
        <v>0.49270113460018683</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98.601248566647257</v>
      </c>
      <c r="BW105" s="100">
        <f t="shared" si="65"/>
        <v>0.47314306458919425</v>
      </c>
      <c r="BX105" s="1385">
        <f t="shared" si="25"/>
        <v>49.409698226927205</v>
      </c>
      <c r="BY105" s="473">
        <f t="shared" si="66"/>
        <v>98.601248566647257</v>
      </c>
      <c r="BZ105" s="100">
        <f t="shared" si="67"/>
        <v>0.47314306458919425</v>
      </c>
      <c r="CA105" s="489">
        <f t="shared" si="26"/>
        <v>49.409698226927205</v>
      </c>
      <c r="CB105" s="579">
        <f t="shared" si="27"/>
        <v>0.14808342100012861</v>
      </c>
      <c r="CC105" s="471">
        <f t="shared" si="68"/>
        <v>0.28685643150106899</v>
      </c>
      <c r="CD105" s="100">
        <f t="shared" si="28"/>
        <v>0.14808342100012861</v>
      </c>
      <c r="CE105" s="471">
        <f t="shared" si="69"/>
        <v>0.28685643150106899</v>
      </c>
      <c r="CG105" s="473">
        <f t="shared" si="70"/>
        <v>1385.3825430690333</v>
      </c>
      <c r="CH105" s="474">
        <f t="shared" si="71"/>
        <v>536.24975207960324</v>
      </c>
      <c r="CI105" s="474">
        <f t="shared" si="72"/>
        <v>2218.3389758827902</v>
      </c>
      <c r="CJ105" s="474">
        <f t="shared" si="73"/>
        <v>3155.2115988303108</v>
      </c>
      <c r="CK105" s="474">
        <f t="shared" si="74"/>
        <v>42.723035139667047</v>
      </c>
      <c r="CL105" s="474">
        <f t="shared" si="75"/>
        <v>7337.9059050014048</v>
      </c>
      <c r="CM105" s="576">
        <f t="shared" si="76"/>
        <v>0</v>
      </c>
    </row>
    <row r="106" spans="1:91">
      <c r="A106" s="89">
        <f>'Input data'!A126</f>
        <v>2026</v>
      </c>
      <c r="B106" s="152">
        <f>'Input data'!B126</f>
        <v>63.744102485123491</v>
      </c>
      <c r="C106" s="204">
        <f>'Input data'!C126</f>
        <v>4818.42</v>
      </c>
      <c r="D106" s="205">
        <f>'Input data'!D126</f>
        <v>47599010.514277697</v>
      </c>
      <c r="E106" s="579">
        <f t="shared" si="29"/>
        <v>0.79258181818181805</v>
      </c>
      <c r="F106" s="100">
        <f t="shared" si="30"/>
        <v>0.31077727272727268</v>
      </c>
      <c r="G106" s="474">
        <f>B106*F106*'Input data'!$C$9</f>
        <v>606.33314388858446</v>
      </c>
      <c r="H106" s="473">
        <f>'Input data'!I126</f>
        <v>424.26313389388866</v>
      </c>
      <c r="I106" s="474">
        <f>'Input data'!K126</f>
        <v>27044.272687591711</v>
      </c>
      <c r="J106" s="474">
        <f t="shared" si="77"/>
        <v>6896.6303447470355</v>
      </c>
      <c r="K106" s="475">
        <f t="shared" si="78"/>
        <v>5671.3420889015624</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9837.8355103767353</v>
      </c>
      <c r="AA106" s="475">
        <f t="shared" si="81"/>
        <v>2941.2051656296999</v>
      </c>
      <c r="AB106" s="938">
        <f t="shared" si="42"/>
        <v>0.29896872767667038</v>
      </c>
      <c r="AC106" s="118" t="str">
        <f t="shared" si="43"/>
        <v>Yes</v>
      </c>
      <c r="AD106" s="938">
        <f t="shared" si="44"/>
        <v>0.29896872767667038</v>
      </c>
      <c r="AE106" s="579">
        <f t="shared" si="11"/>
        <v>0.15889496532328184</v>
      </c>
      <c r="AF106" s="475">
        <f t="shared" si="45"/>
        <v>356.84985794587237</v>
      </c>
      <c r="AG106" s="473">
        <f t="shared" si="46"/>
        <v>6896.6303447470355</v>
      </c>
      <c r="AH106" s="474">
        <f t="shared" si="82"/>
        <v>7413.228984557808</v>
      </c>
      <c r="AI106" s="474">
        <f t="shared" si="83"/>
        <v>6134.3119185843725</v>
      </c>
      <c r="AJ106" s="474">
        <f t="shared" si="12"/>
        <v>2302.9026688142312</v>
      </c>
      <c r="AK106" s="474">
        <f t="shared" si="47"/>
        <v>22747.073916703448</v>
      </c>
      <c r="AL106" s="640">
        <f t="shared" si="13"/>
        <v>0</v>
      </c>
      <c r="AM106" s="579">
        <f t="shared" si="48"/>
        <v>0.30318758227987985</v>
      </c>
      <c r="AN106" s="100">
        <f t="shared" si="49"/>
        <v>0.32589813580876376</v>
      </c>
      <c r="AO106" s="100">
        <f t="shared" si="50"/>
        <v>0.26967476964498166</v>
      </c>
      <c r="AP106" s="100">
        <f t="shared" si="51"/>
        <v>0.10123951226637472</v>
      </c>
      <c r="AQ106" s="471">
        <f t="shared" si="52"/>
        <v>1</v>
      </c>
      <c r="AR106" s="473">
        <f t="shared" si="14"/>
        <v>1270.8687758712792</v>
      </c>
      <c r="AS106" s="474">
        <f t="shared" si="15"/>
        <v>1611.8054243404413</v>
      </c>
      <c r="AT106" s="474">
        <f t="shared" si="16"/>
        <v>519.80645948668109</v>
      </c>
      <c r="AU106" s="474">
        <f t="shared" si="17"/>
        <v>0</v>
      </c>
      <c r="AV106" s="474">
        <f t="shared" si="18"/>
        <v>0</v>
      </c>
      <c r="AW106" s="474">
        <f t="shared" si="19"/>
        <v>0</v>
      </c>
      <c r="AX106" s="474">
        <f t="shared" si="20"/>
        <v>2212.471906393595</v>
      </c>
      <c r="AY106" s="474">
        <f t="shared" si="21"/>
        <v>319.87299336352766</v>
      </c>
      <c r="AZ106" s="474">
        <f t="shared" si="22"/>
        <v>464.93374468028935</v>
      </c>
      <c r="BA106" s="474">
        <f t="shared" si="23"/>
        <v>408.71366928504</v>
      </c>
      <c r="BB106" s="474">
        <f t="shared" si="24"/>
        <v>88.157371326179572</v>
      </c>
      <c r="BC106" s="475">
        <f t="shared" si="53"/>
        <v>6896.6303447470336</v>
      </c>
      <c r="BD106" s="647">
        <f t="shared" si="54"/>
        <v>0</v>
      </c>
      <c r="BE106" s="383">
        <f t="shared" si="55"/>
        <v>0.18427387178134952</v>
      </c>
      <c r="BF106" s="383">
        <f t="shared" si="56"/>
        <v>0.23370912224810012</v>
      </c>
      <c r="BG106" s="383">
        <f t="shared" si="57"/>
        <v>7.5371077396166788E-2</v>
      </c>
      <c r="BH106" s="383">
        <f t="shared" si="58"/>
        <v>0</v>
      </c>
      <c r="BI106" s="383">
        <f t="shared" si="59"/>
        <v>0</v>
      </c>
      <c r="BJ106" s="383">
        <f t="shared" si="60"/>
        <v>0</v>
      </c>
      <c r="BK106" s="383">
        <f t="shared" si="61"/>
        <v>0.50664592857438351</v>
      </c>
      <c r="BL106" s="383">
        <f t="shared" si="62"/>
        <v>0.99999999999999989</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97.109666219370922</v>
      </c>
      <c r="BW106" s="100">
        <f t="shared" si="65"/>
        <v>0.49282656142872167</v>
      </c>
      <c r="BX106" s="1385">
        <f t="shared" si="25"/>
        <v>47.599010514277694</v>
      </c>
      <c r="BY106" s="473">
        <f t="shared" si="66"/>
        <v>97.109666219370922</v>
      </c>
      <c r="BZ106" s="100">
        <f t="shared" si="67"/>
        <v>0.49282656142872167</v>
      </c>
      <c r="CA106" s="489">
        <f t="shared" si="26"/>
        <v>47.599010514277694</v>
      </c>
      <c r="CB106" s="579">
        <f t="shared" si="27"/>
        <v>0.15889496532328184</v>
      </c>
      <c r="CC106" s="471">
        <f t="shared" si="68"/>
        <v>0.29560628104642461</v>
      </c>
      <c r="CD106" s="100">
        <f t="shared" si="28"/>
        <v>0.15889496532328184</v>
      </c>
      <c r="CE106" s="471">
        <f t="shared" si="69"/>
        <v>0.29560628104642461</v>
      </c>
      <c r="CG106" s="473">
        <f t="shared" si="70"/>
        <v>1399.6033958380117</v>
      </c>
      <c r="CH106" s="474">
        <f t="shared" si="71"/>
        <v>541.75431745028516</v>
      </c>
      <c r="CI106" s="474">
        <f t="shared" si="72"/>
        <v>2241.1100668897761</v>
      </c>
      <c r="CJ106" s="474">
        <f t="shared" si="73"/>
        <v>3187.599620338463</v>
      </c>
      <c r="CK106" s="474">
        <f t="shared" si="74"/>
        <v>43.161584041271631</v>
      </c>
      <c r="CL106" s="474">
        <f t="shared" si="75"/>
        <v>7413.2289845578071</v>
      </c>
      <c r="CM106" s="576">
        <f t="shared" si="76"/>
        <v>0</v>
      </c>
    </row>
    <row r="107" spans="1:91" s="1" customFormat="1">
      <c r="A107" s="89">
        <f>'Input data'!A127</f>
        <v>2027</v>
      </c>
      <c r="B107" s="152">
        <f>'Input data'!B127</f>
        <v>64.377188881988602</v>
      </c>
      <c r="C107" s="204">
        <f>'Input data'!C127</f>
        <v>4908.8799999999992</v>
      </c>
      <c r="D107" s="205">
        <f>'Input data'!D127</f>
        <v>46599596.269564167</v>
      </c>
      <c r="E107" s="579">
        <f t="shared" si="29"/>
        <v>0.80122424242424228</v>
      </c>
      <c r="F107" s="100">
        <f t="shared" si="30"/>
        <v>0.31313030303030298</v>
      </c>
      <c r="G107" s="474">
        <f>B107*F107*'Input data'!$C$9</f>
        <v>616.99146140224809</v>
      </c>
      <c r="H107" s="473">
        <f>'Input data'!I127</f>
        <v>424.26313389388866</v>
      </c>
      <c r="I107" s="474">
        <f>'Input data'!K127</f>
        <v>27312.86790635129</v>
      </c>
      <c r="J107" s="474">
        <f t="shared" si="77"/>
        <v>6538.5401545638715</v>
      </c>
      <c r="K107" s="475">
        <f t="shared" si="78"/>
        <v>6154.2534323165173</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9659.3081165783187</v>
      </c>
      <c r="AA107" s="475">
        <f t="shared" si="81"/>
        <v>3120.7679620144472</v>
      </c>
      <c r="AB107" s="938">
        <f t="shared" si="42"/>
        <v>0.32308400605404208</v>
      </c>
      <c r="AC107" s="118" t="str">
        <f t="shared" si="43"/>
        <v>Yes</v>
      </c>
      <c r="AD107" s="938">
        <f t="shared" si="44"/>
        <v>0.32308400605404208</v>
      </c>
      <c r="AE107" s="579">
        <f t="shared" si="11"/>
        <v>0.16856684788723708</v>
      </c>
      <c r="AF107" s="475">
        <f t="shared" si="45"/>
        <v>352.746434738635</v>
      </c>
      <c r="AG107" s="473">
        <f t="shared" si="46"/>
        <v>6538.5401545638715</v>
      </c>
      <c r="AH107" s="474">
        <f t="shared" si="82"/>
        <v>7486.8548455237687</v>
      </c>
      <c r="AI107" s="474">
        <f t="shared" si="83"/>
        <v>6437.6604656145792</v>
      </c>
      <c r="AJ107" s="474">
        <f t="shared" si="12"/>
        <v>2245.7683909149514</v>
      </c>
      <c r="AK107" s="474">
        <f t="shared" si="47"/>
        <v>22708.823856617171</v>
      </c>
      <c r="AL107" s="640">
        <f t="shared" si="13"/>
        <v>0</v>
      </c>
      <c r="AM107" s="579">
        <f t="shared" si="48"/>
        <v>0.28792949365621123</v>
      </c>
      <c r="AN107" s="100">
        <f t="shared" si="49"/>
        <v>0.3296892385442568</v>
      </c>
      <c r="AO107" s="100">
        <f t="shared" si="50"/>
        <v>0.28348718129401035</v>
      </c>
      <c r="AP107" s="100">
        <f t="shared" si="51"/>
        <v>9.8894086505521617E-2</v>
      </c>
      <c r="AQ107" s="471">
        <f t="shared" si="52"/>
        <v>1</v>
      </c>
      <c r="AR107" s="473">
        <f t="shared" si="14"/>
        <v>1156.9029948051495</v>
      </c>
      <c r="AS107" s="474">
        <f t="shared" si="15"/>
        <v>1467.26598203205</v>
      </c>
      <c r="AT107" s="474">
        <f t="shared" si="16"/>
        <v>506.91022765181827</v>
      </c>
      <c r="AU107" s="474">
        <f t="shared" si="17"/>
        <v>0</v>
      </c>
      <c r="AV107" s="474">
        <f t="shared" si="18"/>
        <v>0</v>
      </c>
      <c r="AW107" s="474">
        <f t="shared" si="19"/>
        <v>0</v>
      </c>
      <c r="AX107" s="474">
        <f t="shared" si="20"/>
        <v>2157.5811867570033</v>
      </c>
      <c r="AY107" s="474">
        <f t="shared" si="21"/>
        <v>311.93704681103333</v>
      </c>
      <c r="AZ107" s="474">
        <f t="shared" si="22"/>
        <v>453.39888733132722</v>
      </c>
      <c r="BA107" s="474">
        <f t="shared" si="23"/>
        <v>398.57361400680736</v>
      </c>
      <c r="BB107" s="474">
        <f t="shared" si="24"/>
        <v>85.970215168679715</v>
      </c>
      <c r="BC107" s="475">
        <f t="shared" si="53"/>
        <v>6538.5401545638697</v>
      </c>
      <c r="BD107" s="647">
        <f t="shared" si="54"/>
        <v>0</v>
      </c>
      <c r="BE107" s="383">
        <f t="shared" si="55"/>
        <v>0.17693597767349289</v>
      </c>
      <c r="BF107" s="383">
        <f t="shared" si="56"/>
        <v>0.22440268735031096</v>
      </c>
      <c r="BG107" s="383">
        <f t="shared" si="57"/>
        <v>7.7526514431206381E-2</v>
      </c>
      <c r="BH107" s="383">
        <f t="shared" si="58"/>
        <v>0</v>
      </c>
      <c r="BI107" s="383">
        <f t="shared" si="59"/>
        <v>0</v>
      </c>
      <c r="BJ107" s="383">
        <f t="shared" si="60"/>
        <v>0</v>
      </c>
      <c r="BK107" s="383">
        <f t="shared" si="61"/>
        <v>0.52113482054498961</v>
      </c>
      <c r="BL107" s="383">
        <f t="shared" si="62"/>
        <v>0.99999999999999989</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95.887580949182947</v>
      </c>
      <c r="BW107" s="100">
        <f t="shared" si="65"/>
        <v>0.51303197439720827</v>
      </c>
      <c r="BX107" s="1385">
        <f t="shared" si="25"/>
        <v>46.599596269564167</v>
      </c>
      <c r="BY107" s="473">
        <f t="shared" si="66"/>
        <v>95.887580949182947</v>
      </c>
      <c r="BZ107" s="100">
        <f t="shared" si="67"/>
        <v>0.51303197439720827</v>
      </c>
      <c r="CA107" s="489">
        <f t="shared" si="26"/>
        <v>46.599596269564167</v>
      </c>
      <c r="CB107" s="579">
        <f t="shared" si="27"/>
        <v>0.16856684788723708</v>
      </c>
      <c r="CC107" s="471">
        <f t="shared" si="68"/>
        <v>0.30740339267198702</v>
      </c>
      <c r="CD107" s="100">
        <f t="shared" si="28"/>
        <v>0.16856684788723708</v>
      </c>
      <c r="CE107" s="471">
        <f t="shared" si="69"/>
        <v>0.30740339267198702</v>
      </c>
      <c r="CG107" s="473">
        <f t="shared" si="70"/>
        <v>1413.5038169964716</v>
      </c>
      <c r="CH107" s="474">
        <f t="shared" si="71"/>
        <v>547.13485110672434</v>
      </c>
      <c r="CI107" s="474">
        <f t="shared" si="72"/>
        <v>2263.3680678955398</v>
      </c>
      <c r="CJ107" s="474">
        <f t="shared" si="73"/>
        <v>3219.2578581928528</v>
      </c>
      <c r="CK107" s="474">
        <f t="shared" si="74"/>
        <v>43.590251332179939</v>
      </c>
      <c r="CL107" s="474">
        <f t="shared" si="75"/>
        <v>7486.8548455237678</v>
      </c>
      <c r="CM107" s="576">
        <f t="shared" si="76"/>
        <v>0</v>
      </c>
    </row>
    <row r="108" spans="1:91">
      <c r="A108" s="89">
        <f>'Input data'!A128</f>
        <v>2028</v>
      </c>
      <c r="B108" s="152">
        <f>'Input data'!B128</f>
        <v>64.995109664264291</v>
      </c>
      <c r="C108" s="204">
        <f>'Input data'!C128</f>
        <v>5001.3400000000011</v>
      </c>
      <c r="D108" s="205">
        <f>'Input data'!D128</f>
        <v>45314646.034956604</v>
      </c>
      <c r="E108" s="579">
        <f t="shared" si="29"/>
        <v>0.80986666666666651</v>
      </c>
      <c r="F108" s="100">
        <f t="shared" si="30"/>
        <v>0.31548333333333328</v>
      </c>
      <c r="G108" s="474">
        <f>B108*F108*'Input data'!$C$9</f>
        <v>627.5945283524394</v>
      </c>
      <c r="H108" s="473">
        <f>'Input data'!I128</f>
        <v>424.26313389388866</v>
      </c>
      <c r="I108" s="474">
        <f>'Input data'!K128</f>
        <v>27575.028913937738</v>
      </c>
      <c r="J108" s="474">
        <f t="shared" si="77"/>
        <v>6199.0428971457768</v>
      </c>
      <c r="K108" s="475">
        <f t="shared" si="78"/>
        <v>6615.5817463352105</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9781.1391731789172</v>
      </c>
      <c r="AA108" s="475">
        <f t="shared" si="81"/>
        <v>3582.0962760331404</v>
      </c>
      <c r="AB108" s="938">
        <f t="shared" si="42"/>
        <v>0.36622485506143165</v>
      </c>
      <c r="AC108" s="118" t="str">
        <f t="shared" si="43"/>
        <v>Yes</v>
      </c>
      <c r="AD108" s="938">
        <f t="shared" si="44"/>
        <v>0.36622485506143165</v>
      </c>
      <c r="AE108" s="579">
        <f t="shared" si="11"/>
        <v>0.19063567265852388</v>
      </c>
      <c r="AF108" s="475">
        <f t="shared" si="45"/>
        <v>343.38344597981381</v>
      </c>
      <c r="AG108" s="473">
        <f t="shared" si="46"/>
        <v>6199.0428971457768</v>
      </c>
      <c r="AH108" s="474">
        <f t="shared" si="82"/>
        <v>7558.7169955069121</v>
      </c>
      <c r="AI108" s="474">
        <f t="shared" si="83"/>
        <v>6437.6604656145792</v>
      </c>
      <c r="AJ108" s="474">
        <f t="shared" si="12"/>
        <v>2122.8243700837052</v>
      </c>
      <c r="AK108" s="474">
        <f t="shared" si="47"/>
        <v>22318.244728350972</v>
      </c>
      <c r="AL108" s="640">
        <f t="shared" si="13"/>
        <v>0</v>
      </c>
      <c r="AM108" s="579">
        <f t="shared" si="48"/>
        <v>0.27775673994967459</v>
      </c>
      <c r="AN108" s="100">
        <f t="shared" si="49"/>
        <v>0.33867882924973208</v>
      </c>
      <c r="AO108" s="100">
        <f t="shared" si="50"/>
        <v>0.2884483320248204</v>
      </c>
      <c r="AP108" s="100">
        <f t="shared" si="51"/>
        <v>9.5116098775772956E-2</v>
      </c>
      <c r="AQ108" s="471">
        <f t="shared" si="52"/>
        <v>1</v>
      </c>
      <c r="AR108" s="473">
        <f t="shared" si="14"/>
        <v>1101.7041116428793</v>
      </c>
      <c r="AS108" s="474">
        <f t="shared" si="15"/>
        <v>1397.2588648633352</v>
      </c>
      <c r="AT108" s="474">
        <f t="shared" si="16"/>
        <v>479.15955583716755</v>
      </c>
      <c r="AU108" s="474">
        <f t="shared" si="17"/>
        <v>0</v>
      </c>
      <c r="AV108" s="474">
        <f t="shared" si="18"/>
        <v>0</v>
      </c>
      <c r="AW108" s="474">
        <f t="shared" si="19"/>
        <v>0</v>
      </c>
      <c r="AX108" s="474">
        <f t="shared" si="20"/>
        <v>2039.4649520451558</v>
      </c>
      <c r="AY108" s="474">
        <f t="shared" si="21"/>
        <v>294.8601323187296</v>
      </c>
      <c r="AZ108" s="474">
        <f t="shared" si="22"/>
        <v>428.5776802672201</v>
      </c>
      <c r="BA108" s="474">
        <f t="shared" si="23"/>
        <v>376.75380262221756</v>
      </c>
      <c r="BB108" s="474">
        <f t="shared" si="24"/>
        <v>81.263797549069906</v>
      </c>
      <c r="BC108" s="475">
        <f t="shared" si="53"/>
        <v>6199.0428971457741</v>
      </c>
      <c r="BD108" s="647">
        <f t="shared" si="54"/>
        <v>0</v>
      </c>
      <c r="BE108" s="383">
        <f t="shared" si="55"/>
        <v>0.17772164669970861</v>
      </c>
      <c r="BF108" s="383">
        <f t="shared" si="56"/>
        <v>0.22539912822779065</v>
      </c>
      <c r="BG108" s="383">
        <f t="shared" si="57"/>
        <v>7.729573158104569E-2</v>
      </c>
      <c r="BH108" s="383">
        <f t="shared" si="58"/>
        <v>0</v>
      </c>
      <c r="BI108" s="383">
        <f t="shared" si="59"/>
        <v>0</v>
      </c>
      <c r="BJ108" s="383">
        <f t="shared" si="60"/>
        <v>0</v>
      </c>
      <c r="BK108" s="383">
        <f t="shared" si="61"/>
        <v>0.51958349349145505</v>
      </c>
      <c r="BL108" s="383">
        <f t="shared" si="62"/>
        <v>1</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94.345524547893817</v>
      </c>
      <c r="BW108" s="100">
        <f t="shared" si="65"/>
        <v>0.53077045270477707</v>
      </c>
      <c r="BX108" s="1385">
        <f t="shared" si="25"/>
        <v>45.314646034956603</v>
      </c>
      <c r="BY108" s="473">
        <f t="shared" si="66"/>
        <v>94.345524547893817</v>
      </c>
      <c r="BZ108" s="100">
        <f t="shared" si="67"/>
        <v>0.53077045270477707</v>
      </c>
      <c r="CA108" s="489">
        <f t="shared" si="26"/>
        <v>45.314646034956603</v>
      </c>
      <c r="CB108" s="579">
        <f t="shared" si="27"/>
        <v>0.19063567265852388</v>
      </c>
      <c r="CC108" s="471">
        <f t="shared" si="68"/>
        <v>0.31718633081419723</v>
      </c>
      <c r="CD108" s="100">
        <f t="shared" si="28"/>
        <v>0.19063567265852388</v>
      </c>
      <c r="CE108" s="471">
        <f t="shared" si="69"/>
        <v>0.31718633081419723</v>
      </c>
      <c r="CG108" s="473">
        <f t="shared" si="70"/>
        <v>1427.0712529084255</v>
      </c>
      <c r="CH108" s="474">
        <f t="shared" si="71"/>
        <v>552.38649382486039</v>
      </c>
      <c r="CI108" s="474">
        <f t="shared" si="72"/>
        <v>2285.0928774341419</v>
      </c>
      <c r="CJ108" s="474">
        <f t="shared" si="73"/>
        <v>3250.15772146163</v>
      </c>
      <c r="CK108" s="474">
        <f t="shared" si="74"/>
        <v>44.008649877853472</v>
      </c>
      <c r="CL108" s="474">
        <f t="shared" si="75"/>
        <v>7558.7169955069121</v>
      </c>
      <c r="CM108" s="576">
        <f t="shared" si="76"/>
        <v>0</v>
      </c>
    </row>
    <row r="109" spans="1:91">
      <c r="A109" s="89">
        <f>'Input data'!A129</f>
        <v>2029</v>
      </c>
      <c r="B109" s="152">
        <f>'Input data'!B129</f>
        <v>65.59730237662275</v>
      </c>
      <c r="C109" s="204">
        <f>'Input data'!C129</f>
        <v>5124.16</v>
      </c>
      <c r="D109" s="205">
        <f>'Input data'!D129</f>
        <v>44520340.557958424</v>
      </c>
      <c r="E109" s="579">
        <f t="shared" si="29"/>
        <v>0.81850909090909074</v>
      </c>
      <c r="F109" s="100">
        <f t="shared" si="30"/>
        <v>0.31783636363636358</v>
      </c>
      <c r="G109" s="474">
        <f>B109*F109*'Input data'!$C$9</f>
        <v>638.13359649176766</v>
      </c>
      <c r="H109" s="473">
        <f>'Input data'!I129</f>
        <v>424.26313389388866</v>
      </c>
      <c r="I109" s="474">
        <f>'Input data'!K129</f>
        <v>27830.517081291</v>
      </c>
      <c r="J109" s="474">
        <f t="shared" si="77"/>
        <v>5877.1731812078651</v>
      </c>
      <c r="K109" s="475">
        <f t="shared" si="78"/>
        <v>7056.181526916067</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9899.869237821862</v>
      </c>
      <c r="AA109" s="475">
        <f t="shared" si="81"/>
        <v>4022.6960566139969</v>
      </c>
      <c r="AB109" s="938">
        <f t="shared" si="42"/>
        <v>0.40633830205004384</v>
      </c>
      <c r="AC109" s="118" t="str">
        <f t="shared" si="43"/>
        <v>Yes</v>
      </c>
      <c r="AD109" s="938">
        <f t="shared" si="44"/>
        <v>0.40633830205004384</v>
      </c>
      <c r="AE109" s="579">
        <f t="shared" si="11"/>
        <v>0.21128048553023682</v>
      </c>
      <c r="AF109" s="475">
        <f t="shared" si="45"/>
        <v>334.62461297220801</v>
      </c>
      <c r="AG109" s="473">
        <f t="shared" si="46"/>
        <v>5877.1731812078651</v>
      </c>
      <c r="AH109" s="474">
        <f t="shared" si="82"/>
        <v>7628.7500228067647</v>
      </c>
      <c r="AI109" s="474">
        <f t="shared" si="83"/>
        <v>6437.6604656145792</v>
      </c>
      <c r="AJ109" s="474">
        <f t="shared" si="12"/>
        <v>2006.8882501690784</v>
      </c>
      <c r="AK109" s="474">
        <f t="shared" si="47"/>
        <v>21950.471919798289</v>
      </c>
      <c r="AL109" s="640">
        <f t="shared" si="13"/>
        <v>0</v>
      </c>
      <c r="AM109" s="579">
        <f t="shared" si="48"/>
        <v>0.26774700802249873</v>
      </c>
      <c r="AN109" s="100">
        <f t="shared" si="49"/>
        <v>0.3475437817774657</v>
      </c>
      <c r="AO109" s="100">
        <f t="shared" si="50"/>
        <v>0.29328118726268082</v>
      </c>
      <c r="AP109" s="100">
        <f t="shared" si="51"/>
        <v>9.1428022937354705E-2</v>
      </c>
      <c r="AQ109" s="471">
        <f t="shared" si="52"/>
        <v>1</v>
      </c>
      <c r="AR109" s="473">
        <f t="shared" si="14"/>
        <v>1048.8915311084959</v>
      </c>
      <c r="AS109" s="474">
        <f t="shared" si="15"/>
        <v>1330.2782250090147</v>
      </c>
      <c r="AT109" s="474">
        <f t="shared" si="16"/>
        <v>452.99069302088719</v>
      </c>
      <c r="AU109" s="474">
        <f t="shared" si="17"/>
        <v>0</v>
      </c>
      <c r="AV109" s="474">
        <f t="shared" si="18"/>
        <v>0</v>
      </c>
      <c r="AW109" s="474">
        <f t="shared" si="19"/>
        <v>0</v>
      </c>
      <c r="AX109" s="474">
        <f t="shared" si="20"/>
        <v>1928.0814308390834</v>
      </c>
      <c r="AY109" s="474">
        <f t="shared" si="21"/>
        <v>278.756614693671</v>
      </c>
      <c r="AZ109" s="474">
        <f t="shared" si="22"/>
        <v>405.17130052501193</v>
      </c>
      <c r="BA109" s="474">
        <f t="shared" si="23"/>
        <v>356.17773676643571</v>
      </c>
      <c r="BB109" s="474">
        <f t="shared" si="24"/>
        <v>76.825649245263008</v>
      </c>
      <c r="BC109" s="475">
        <f t="shared" si="53"/>
        <v>5877.1731812078624</v>
      </c>
      <c r="BD109" s="647">
        <f t="shared" si="54"/>
        <v>0</v>
      </c>
      <c r="BE109" s="383">
        <f t="shared" si="55"/>
        <v>0.17846871255424368</v>
      </c>
      <c r="BF109" s="383">
        <f t="shared" si="56"/>
        <v>0.22634660984000801</v>
      </c>
      <c r="BG109" s="383">
        <f t="shared" si="57"/>
        <v>7.7076288047681726E-2</v>
      </c>
      <c r="BH109" s="383">
        <f t="shared" si="58"/>
        <v>0</v>
      </c>
      <c r="BI109" s="383">
        <f t="shared" si="59"/>
        <v>0</v>
      </c>
      <c r="BJ109" s="383">
        <f t="shared" si="60"/>
        <v>0</v>
      </c>
      <c r="BK109" s="383">
        <f t="shared" si="61"/>
        <v>0.51810838955806671</v>
      </c>
      <c r="BL109" s="383">
        <f t="shared" si="62"/>
        <v>1</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93.497095528842735</v>
      </c>
      <c r="BW109" s="100">
        <f t="shared" si="65"/>
        <v>0.54795248229254334</v>
      </c>
      <c r="BX109" s="1385">
        <f t="shared" si="25"/>
        <v>44.520340557958427</v>
      </c>
      <c r="BY109" s="473">
        <f t="shared" si="66"/>
        <v>93.497095528842735</v>
      </c>
      <c r="BZ109" s="100">
        <f t="shared" si="67"/>
        <v>0.54795248229254334</v>
      </c>
      <c r="CA109" s="489">
        <f t="shared" si="26"/>
        <v>44.520340557958427</v>
      </c>
      <c r="CB109" s="579">
        <f t="shared" si="27"/>
        <v>0.21128048553023682</v>
      </c>
      <c r="CC109" s="471">
        <f t="shared" si="68"/>
        <v>0.32610844737555411</v>
      </c>
      <c r="CD109" s="100">
        <f t="shared" si="28"/>
        <v>0.21128048553023682</v>
      </c>
      <c r="CE109" s="471">
        <f t="shared" si="69"/>
        <v>0.32610844737555411</v>
      </c>
      <c r="CG109" s="473">
        <f t="shared" si="70"/>
        <v>1440.2933539704416</v>
      </c>
      <c r="CH109" s="474">
        <f t="shared" si="71"/>
        <v>557.50446535694721</v>
      </c>
      <c r="CI109" s="474">
        <f t="shared" si="72"/>
        <v>2306.2647207460654</v>
      </c>
      <c r="CJ109" s="474">
        <f t="shared" si="73"/>
        <v>3280.2710838975104</v>
      </c>
      <c r="CK109" s="474">
        <f t="shared" si="74"/>
        <v>44.416398835799306</v>
      </c>
      <c r="CL109" s="474">
        <f t="shared" si="75"/>
        <v>7628.7500228067638</v>
      </c>
      <c r="CM109" s="576">
        <f t="shared" si="76"/>
        <v>0</v>
      </c>
    </row>
    <row r="110" spans="1:91" s="1" customFormat="1">
      <c r="A110" s="89">
        <f>'Input data'!A130</f>
        <v>2030</v>
      </c>
      <c r="B110" s="152">
        <f>'Input data'!B130</f>
        <v>66.183214701401099</v>
      </c>
      <c r="C110" s="204">
        <f>'Input data'!C130</f>
        <v>5234.6499999999996</v>
      </c>
      <c r="D110" s="205">
        <f>'Input data'!D130</f>
        <v>41257794.114847519</v>
      </c>
      <c r="E110" s="579">
        <f t="shared" si="29"/>
        <v>0.82715151515151497</v>
      </c>
      <c r="F110" s="100">
        <f t="shared" si="30"/>
        <v>0.32018939393939388</v>
      </c>
      <c r="G110" s="474">
        <f>B110*F110*'Input data'!$C$9</f>
        <v>648.59985489181918</v>
      </c>
      <c r="H110" s="473">
        <f>'Input data'!I130</f>
        <v>424.26313389388866</v>
      </c>
      <c r="I110" s="474">
        <f>'Input data'!K130</f>
        <v>28079.098080388514</v>
      </c>
      <c r="J110" s="474">
        <f>J97*(1-$C$4)</f>
        <v>5572.0157409803969</v>
      </c>
      <c r="K110" s="475">
        <f t="shared" si="78"/>
        <v>7476.8591432738331</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10015.38941395216</v>
      </c>
      <c r="AA110" s="475">
        <f t="shared" si="81"/>
        <v>4443.373672971763</v>
      </c>
      <c r="AB110" s="938">
        <f t="shared" si="42"/>
        <v>0.44365460885443186</v>
      </c>
      <c r="AC110" s="118" t="str">
        <f t="shared" si="43"/>
        <v>Yes</v>
      </c>
      <c r="AD110" s="938">
        <f t="shared" si="44"/>
        <v>0.44365460885443186</v>
      </c>
      <c r="AE110" s="579">
        <f t="shared" si="11"/>
        <v>0.23059835949924212</v>
      </c>
      <c r="AF110" s="475">
        <f t="shared" si="45"/>
        <v>326.42875122195062</v>
      </c>
      <c r="AG110" s="473">
        <f t="shared" si="46"/>
        <v>5572.0157409803969</v>
      </c>
      <c r="AH110" s="474">
        <f t="shared" si="82"/>
        <v>7696.8896946998648</v>
      </c>
      <c r="AI110" s="474">
        <f t="shared" si="83"/>
        <v>6437.6604656145792</v>
      </c>
      <c r="AJ110" s="474">
        <f t="shared" si="12"/>
        <v>1897.5382255377617</v>
      </c>
      <c r="AK110" s="474">
        <f t="shared" si="47"/>
        <v>21604.104126832604</v>
      </c>
      <c r="AL110" s="640">
        <f t="shared" si="13"/>
        <v>0</v>
      </c>
      <c r="AM110" s="579">
        <f t="shared" si="48"/>
        <v>0.257914686407194</v>
      </c>
      <c r="AN110" s="100">
        <f t="shared" si="49"/>
        <v>0.35626979251318358</v>
      </c>
      <c r="AO110" s="100">
        <f t="shared" si="50"/>
        <v>0.2979832178099398</v>
      </c>
      <c r="AP110" s="100">
        <f t="shared" si="51"/>
        <v>8.7832303269682555E-2</v>
      </c>
      <c r="AQ110" s="471">
        <f t="shared" si="52"/>
        <v>1</v>
      </c>
      <c r="AR110" s="473">
        <f t="shared" si="14"/>
        <v>998.3858715165203</v>
      </c>
      <c r="AS110" s="474">
        <f t="shared" si="15"/>
        <v>1266.2233850162479</v>
      </c>
      <c r="AT110" s="474">
        <f t="shared" si="16"/>
        <v>428.30843010195395</v>
      </c>
      <c r="AU110" s="474">
        <f t="shared" si="17"/>
        <v>0</v>
      </c>
      <c r="AV110" s="474">
        <f t="shared" si="18"/>
        <v>0</v>
      </c>
      <c r="AW110" s="474">
        <f t="shared" si="19"/>
        <v>0</v>
      </c>
      <c r="AX110" s="474">
        <f t="shared" si="20"/>
        <v>1823.0253810387644</v>
      </c>
      <c r="AY110" s="474">
        <f t="shared" si="21"/>
        <v>263.56790516770349</v>
      </c>
      <c r="AZ110" s="474">
        <f t="shared" si="22"/>
        <v>383.09458963262421</v>
      </c>
      <c r="BA110" s="474">
        <f t="shared" si="23"/>
        <v>336.7705553823925</v>
      </c>
      <c r="BB110" s="474">
        <f t="shared" si="24"/>
        <v>72.639623124187935</v>
      </c>
      <c r="BC110" s="475">
        <f t="shared" si="53"/>
        <v>5572.0157409803942</v>
      </c>
      <c r="BD110" s="647">
        <f t="shared" si="54"/>
        <v>0</v>
      </c>
      <c r="BE110" s="383">
        <f t="shared" si="55"/>
        <v>0.17917858059404093</v>
      </c>
      <c r="BF110" s="383">
        <f t="shared" si="56"/>
        <v>0.22724691455976689</v>
      </c>
      <c r="BG110" s="383">
        <f t="shared" si="57"/>
        <v>7.6867771020796366E-2</v>
      </c>
      <c r="BH110" s="383">
        <f t="shared" si="58"/>
        <v>0</v>
      </c>
      <c r="BI110" s="383">
        <f t="shared" si="59"/>
        <v>0</v>
      </c>
      <c r="BJ110" s="383">
        <f t="shared" si="60"/>
        <v>0</v>
      </c>
      <c r="BK110" s="383">
        <f t="shared" si="61"/>
        <v>0.51670673382539589</v>
      </c>
      <c r="BL110" s="383">
        <f t="shared" si="62"/>
        <v>1</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91.668342730936189</v>
      </c>
      <c r="BW110" s="100">
        <f t="shared" si="65"/>
        <v>0.56591481061695725</v>
      </c>
      <c r="BX110" s="1385">
        <f t="shared" si="25"/>
        <v>41.25779411484752</v>
      </c>
      <c r="BY110" s="473">
        <f t="shared" si="66"/>
        <v>91.668342730936189</v>
      </c>
      <c r="BZ110" s="100">
        <f t="shared" si="67"/>
        <v>0.56591481061695725</v>
      </c>
      <c r="CA110" s="489">
        <f t="shared" si="26"/>
        <v>41.25779411484752</v>
      </c>
      <c r="CB110" s="579">
        <f t="shared" si="27"/>
        <v>0.23059835949924212</v>
      </c>
      <c r="CC110" s="471">
        <f t="shared" si="68"/>
        <v>0.32783139595417787</v>
      </c>
      <c r="CD110" s="100">
        <f t="shared" si="28"/>
        <v>0.23059835949924212</v>
      </c>
      <c r="CE110" s="471">
        <f t="shared" si="69"/>
        <v>0.32783139595417787</v>
      </c>
      <c r="CG110" s="473">
        <f t="shared" si="70"/>
        <v>1453.1579931676831</v>
      </c>
      <c r="CH110" s="474">
        <f t="shared" si="71"/>
        <v>562.48407161417049</v>
      </c>
      <c r="CI110" s="474">
        <f t="shared" si="72"/>
        <v>2326.8641794910054</v>
      </c>
      <c r="CJ110" s="474">
        <f t="shared" si="73"/>
        <v>3309.5703261991957</v>
      </c>
      <c r="CK110" s="474">
        <f t="shared" si="74"/>
        <v>44.813124227809318</v>
      </c>
      <c r="CL110" s="474">
        <f t="shared" si="75"/>
        <v>7696.8896946998648</v>
      </c>
      <c r="CM110" s="576">
        <f t="shared" si="76"/>
        <v>0</v>
      </c>
    </row>
    <row r="111" spans="1:91">
      <c r="A111" s="89">
        <f>'Input data'!A131</f>
        <v>2031</v>
      </c>
      <c r="B111" s="152">
        <f>'Input data'!B131</f>
        <v>66.757007289602299</v>
      </c>
      <c r="C111" s="204">
        <f>'Input data'!C131</f>
        <v>5365.4400000000005</v>
      </c>
      <c r="D111" s="205">
        <f>'Input data'!D131</f>
        <v>39014257.111139439</v>
      </c>
      <c r="E111" s="579">
        <f t="shared" si="29"/>
        <v>0.8357939393939392</v>
      </c>
      <c r="F111" s="100">
        <f t="shared" si="30"/>
        <v>0.32254242424242419</v>
      </c>
      <c r="G111" s="474">
        <f>B111*F111*'Input data'!$C$9</f>
        <v>659.03086034178807</v>
      </c>
      <c r="H111" s="473">
        <f>'Input data'!I131</f>
        <v>424.26313389388866</v>
      </c>
      <c r="I111" s="474">
        <f>'Input data'!K131</f>
        <v>28322.537122063841</v>
      </c>
      <c r="J111" s="474">
        <f t="shared" ref="J111:J116" si="87">($J$117-$J$107)/($A$117-$A$107)+J110</f>
        <v>5308.2028273926371</v>
      </c>
      <c r="K111" s="475">
        <f t="shared" si="78"/>
        <v>7853.802670518402</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10128.520027608969</v>
      </c>
      <c r="AA111" s="475">
        <f t="shared" si="81"/>
        <v>4820.3172002163319</v>
      </c>
      <c r="AB111" s="938">
        <f t="shared" si="42"/>
        <v>0.47591525583962929</v>
      </c>
      <c r="AC111" s="118" t="str">
        <f t="shared" si="43"/>
        <v>Yes</v>
      </c>
      <c r="AD111" s="938">
        <f t="shared" si="44"/>
        <v>0.47591525583962929</v>
      </c>
      <c r="AE111" s="579">
        <f t="shared" si="11"/>
        <v>0.24750785810203735</v>
      </c>
      <c r="AF111" s="475">
        <f t="shared" si="45"/>
        <v>319.25467435215438</v>
      </c>
      <c r="AG111" s="473">
        <f t="shared" si="46"/>
        <v>5308.2028273926371</v>
      </c>
      <c r="AH111" s="474">
        <f t="shared" si="82"/>
        <v>7763.6198811821405</v>
      </c>
      <c r="AI111" s="474">
        <f t="shared" si="83"/>
        <v>6437.6604656145792</v>
      </c>
      <c r="AJ111" s="474">
        <f t="shared" si="12"/>
        <v>1803.0034487770192</v>
      </c>
      <c r="AK111" s="474">
        <f t="shared" si="47"/>
        <v>21312.486622966378</v>
      </c>
      <c r="AL111" s="640">
        <f t="shared" si="13"/>
        <v>0</v>
      </c>
      <c r="AM111" s="579">
        <f t="shared" si="48"/>
        <v>0.24906539163161315</v>
      </c>
      <c r="AN111" s="100">
        <f t="shared" si="49"/>
        <v>0.3642756482866738</v>
      </c>
      <c r="AO111" s="100">
        <f t="shared" si="50"/>
        <v>0.30206050469387008</v>
      </c>
      <c r="AP111" s="100">
        <f t="shared" si="51"/>
        <v>8.4598455387842872E-2</v>
      </c>
      <c r="AQ111" s="471">
        <f t="shared" si="52"/>
        <v>0.99999999999999989</v>
      </c>
      <c r="AR111" s="473">
        <f t="shared" si="14"/>
        <v>954.72312152622544</v>
      </c>
      <c r="AS111" s="474">
        <f t="shared" si="15"/>
        <v>1210.8472056560072</v>
      </c>
      <c r="AT111" s="474">
        <f t="shared" si="16"/>
        <v>406.97023449698395</v>
      </c>
      <c r="AU111" s="474">
        <f t="shared" si="17"/>
        <v>0</v>
      </c>
      <c r="AV111" s="474">
        <f t="shared" si="18"/>
        <v>0</v>
      </c>
      <c r="AW111" s="474">
        <f t="shared" si="19"/>
        <v>0</v>
      </c>
      <c r="AX111" s="474">
        <f t="shared" si="20"/>
        <v>1732.2028115082735</v>
      </c>
      <c r="AY111" s="474">
        <f t="shared" si="21"/>
        <v>250.4370323657792</v>
      </c>
      <c r="AZ111" s="474">
        <f t="shared" si="22"/>
        <v>364.00893379614968</v>
      </c>
      <c r="BA111" s="474">
        <f t="shared" si="23"/>
        <v>319.9927488306202</v>
      </c>
      <c r="BB111" s="474">
        <f t="shared" si="24"/>
        <v>69.020739212595871</v>
      </c>
      <c r="BC111" s="475">
        <f t="shared" si="53"/>
        <v>5308.2028273926353</v>
      </c>
      <c r="BD111" s="647">
        <f t="shared" si="54"/>
        <v>0</v>
      </c>
      <c r="BE111" s="383">
        <f t="shared" si="55"/>
        <v>0.17985807109695184</v>
      </c>
      <c r="BF111" s="383">
        <f t="shared" si="56"/>
        <v>0.228108692344518</v>
      </c>
      <c r="BG111" s="383">
        <f t="shared" si="57"/>
        <v>7.6668177108237187E-2</v>
      </c>
      <c r="BH111" s="383">
        <f t="shared" si="58"/>
        <v>0</v>
      </c>
      <c r="BI111" s="383">
        <f t="shared" si="59"/>
        <v>0</v>
      </c>
      <c r="BJ111" s="383">
        <f t="shared" si="60"/>
        <v>0</v>
      </c>
      <c r="BK111" s="383">
        <f t="shared" si="61"/>
        <v>0.51536505945029287</v>
      </c>
      <c r="BL111" s="383">
        <f t="shared" si="62"/>
        <v>1</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90.399623350720134</v>
      </c>
      <c r="BW111" s="100">
        <f t="shared" si="65"/>
        <v>0.57600453005111729</v>
      </c>
      <c r="BX111" s="1385">
        <f t="shared" si="25"/>
        <v>39.014257111139436</v>
      </c>
      <c r="BY111" s="473">
        <f t="shared" si="66"/>
        <v>90.399623350720134</v>
      </c>
      <c r="BZ111" s="100">
        <f t="shared" si="67"/>
        <v>0.57600453005111729</v>
      </c>
      <c r="CA111" s="489">
        <f t="shared" si="26"/>
        <v>39.014257111139436</v>
      </c>
      <c r="CB111" s="579">
        <f t="shared" si="27"/>
        <v>0.24750785810203735</v>
      </c>
      <c r="CC111" s="471">
        <f t="shared" si="68"/>
        <v>0.33291753108416278</v>
      </c>
      <c r="CD111" s="100">
        <f t="shared" si="28"/>
        <v>0.24750785810203735</v>
      </c>
      <c r="CE111" s="471">
        <f t="shared" si="69"/>
        <v>0.33291753108416278</v>
      </c>
      <c r="CG111" s="473">
        <f t="shared" si="70"/>
        <v>1465.7565242261528</v>
      </c>
      <c r="CH111" s="474">
        <f t="shared" si="71"/>
        <v>567.36067352493592</v>
      </c>
      <c r="CI111" s="474">
        <f t="shared" si="72"/>
        <v>2347.037533504807</v>
      </c>
      <c r="CJ111" s="474">
        <f t="shared" si="73"/>
        <v>3338.2635066660478</v>
      </c>
      <c r="CK111" s="474">
        <f t="shared" si="74"/>
        <v>45.201643260196427</v>
      </c>
      <c r="CL111" s="474">
        <f t="shared" si="75"/>
        <v>7763.6198811821405</v>
      </c>
      <c r="CM111" s="576">
        <f t="shared" si="76"/>
        <v>0</v>
      </c>
    </row>
    <row r="112" spans="1:91">
      <c r="A112" s="89">
        <f>'Input data'!A132</f>
        <v>2032</v>
      </c>
      <c r="B112" s="152">
        <f>'Input data'!B132</f>
        <v>67.318270994163854</v>
      </c>
      <c r="C112" s="204">
        <f>'Input data'!C132</f>
        <v>5502.3</v>
      </c>
      <c r="D112" s="205">
        <f>'Input data'!D132</f>
        <v>36334930.67697753</v>
      </c>
      <c r="E112" s="579">
        <f t="shared" si="29"/>
        <v>0.84443636363636343</v>
      </c>
      <c r="F112" s="100">
        <f t="shared" si="30"/>
        <v>0.32489545454545449</v>
      </c>
      <c r="G112" s="474">
        <f>B112*F112*'Input data'!$C$9</f>
        <v>669.41992567162379</v>
      </c>
      <c r="H112" s="473">
        <f>'Input data'!I132</f>
        <v>424.26313389388866</v>
      </c>
      <c r="I112" s="474">
        <f>'Input data'!K132</f>
        <v>28560.66062030202</v>
      </c>
      <c r="J112" s="474">
        <f t="shared" si="87"/>
        <v>5044.3899138048773</v>
      </c>
      <c r="K112" s="475">
        <f t="shared" si="78"/>
        <v>8228.2759666659986</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10239.180410168805</v>
      </c>
      <c r="AA112" s="475">
        <f t="shared" si="81"/>
        <v>5194.7904963639276</v>
      </c>
      <c r="AB112" s="938">
        <f t="shared" si="42"/>
        <v>0.50734436627416402</v>
      </c>
      <c r="AC112" s="118" t="str">
        <f t="shared" si="43"/>
        <v>Yes</v>
      </c>
      <c r="AD112" s="938">
        <f t="shared" si="44"/>
        <v>0.50734436627416402</v>
      </c>
      <c r="AE112" s="579">
        <f t="shared" si="11"/>
        <v>0.26402012717207901</v>
      </c>
      <c r="AF112" s="475">
        <f t="shared" si="45"/>
        <v>312.24912732879937</v>
      </c>
      <c r="AG112" s="473">
        <f t="shared" si="46"/>
        <v>5044.3899138048773</v>
      </c>
      <c r="AH112" s="474">
        <f t="shared" si="82"/>
        <v>7828.892999798989</v>
      </c>
      <c r="AI112" s="474">
        <f t="shared" si="83"/>
        <v>6437.6604656145792</v>
      </c>
      <c r="AJ112" s="474">
        <f t="shared" si="12"/>
        <v>1709.1279919928454</v>
      </c>
      <c r="AK112" s="474">
        <f t="shared" si="47"/>
        <v>21020.071371211292</v>
      </c>
      <c r="AL112" s="640">
        <f t="shared" si="13"/>
        <v>0</v>
      </c>
      <c r="AM112" s="579">
        <f t="shared" si="48"/>
        <v>0.23997967584037713</v>
      </c>
      <c r="AN112" s="100">
        <f t="shared" si="49"/>
        <v>0.37244844993824799</v>
      </c>
      <c r="AO112" s="100">
        <f t="shared" si="50"/>
        <v>0.30626254078430398</v>
      </c>
      <c r="AP112" s="100">
        <f t="shared" si="51"/>
        <v>8.1309333437070822E-2</v>
      </c>
      <c r="AQ112" s="471">
        <f t="shared" si="52"/>
        <v>0.99999999999999989</v>
      </c>
      <c r="AR112" s="473">
        <f t="shared" si="14"/>
        <v>910.55373276318005</v>
      </c>
      <c r="AS112" s="474">
        <f t="shared" si="15"/>
        <v>1154.82847126758</v>
      </c>
      <c r="AT112" s="474">
        <f t="shared" si="16"/>
        <v>385.78085924266549</v>
      </c>
      <c r="AU112" s="474">
        <f t="shared" si="17"/>
        <v>0</v>
      </c>
      <c r="AV112" s="474">
        <f t="shared" si="18"/>
        <v>0</v>
      </c>
      <c r="AW112" s="474">
        <f t="shared" si="19"/>
        <v>0</v>
      </c>
      <c r="AX112" s="474">
        <f t="shared" si="20"/>
        <v>1642.0136716685972</v>
      </c>
      <c r="AY112" s="474">
        <f t="shared" si="21"/>
        <v>237.39773905496651</v>
      </c>
      <c r="AZ112" s="474">
        <f t="shared" si="22"/>
        <v>345.05638827727546</v>
      </c>
      <c r="BA112" s="474">
        <f t="shared" si="23"/>
        <v>303.33195681467942</v>
      </c>
      <c r="BB112" s="474">
        <f t="shared" si="24"/>
        <v>65.427094715931858</v>
      </c>
      <c r="BC112" s="475">
        <f t="shared" si="53"/>
        <v>5044.3899138048755</v>
      </c>
      <c r="BD112" s="647">
        <f t="shared" si="54"/>
        <v>0</v>
      </c>
      <c r="BE112" s="383">
        <f t="shared" si="55"/>
        <v>0.18050819788361064</v>
      </c>
      <c r="BF112" s="383">
        <f t="shared" si="56"/>
        <v>0.22893322899310087</v>
      </c>
      <c r="BG112" s="383">
        <f t="shared" si="57"/>
        <v>7.647720850977581E-2</v>
      </c>
      <c r="BH112" s="383">
        <f t="shared" si="58"/>
        <v>0</v>
      </c>
      <c r="BI112" s="383">
        <f t="shared" si="59"/>
        <v>0</v>
      </c>
      <c r="BJ112" s="383">
        <f t="shared" si="60"/>
        <v>0</v>
      </c>
      <c r="BK112" s="383">
        <f t="shared" si="61"/>
        <v>0.51408136461351273</v>
      </c>
      <c r="BL112" s="383">
        <f t="shared" si="62"/>
        <v>1</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89.116085106183661</v>
      </c>
      <c r="BW112" s="100">
        <f t="shared" si="65"/>
        <v>0.58584127457656199</v>
      </c>
      <c r="BX112" s="1385">
        <f t="shared" si="25"/>
        <v>36.334930676977528</v>
      </c>
      <c r="BY112" s="473">
        <f t="shared" si="66"/>
        <v>89.116085106183661</v>
      </c>
      <c r="BZ112" s="100">
        <f t="shared" si="67"/>
        <v>0.58584127457656199</v>
      </c>
      <c r="CA112" s="489">
        <f t="shared" si="26"/>
        <v>36.334930676977528</v>
      </c>
      <c r="CB112" s="579">
        <f t="shared" si="27"/>
        <v>0.26402012717207901</v>
      </c>
      <c r="CC112" s="471">
        <f t="shared" si="68"/>
        <v>0.33586475304818963</v>
      </c>
      <c r="CD112" s="100">
        <f t="shared" si="28"/>
        <v>0.26402012717207901</v>
      </c>
      <c r="CE112" s="471">
        <f t="shared" si="69"/>
        <v>0.33586475304818963</v>
      </c>
      <c r="CG112" s="473">
        <f t="shared" si="70"/>
        <v>1478.0799636697984</v>
      </c>
      <c r="CH112" s="474">
        <f t="shared" si="71"/>
        <v>572.13079379206692</v>
      </c>
      <c r="CI112" s="474">
        <f t="shared" si="72"/>
        <v>2366.7703980277065</v>
      </c>
      <c r="CJ112" s="474">
        <f t="shared" si="73"/>
        <v>3366.3301654128345</v>
      </c>
      <c r="CK112" s="474">
        <f t="shared" si="74"/>
        <v>45.581678896581813</v>
      </c>
      <c r="CL112" s="474">
        <f t="shared" si="75"/>
        <v>7828.8929997989881</v>
      </c>
      <c r="CM112" s="576">
        <f t="shared" si="76"/>
        <v>0</v>
      </c>
    </row>
    <row r="113" spans="1:91">
      <c r="A113" s="89">
        <f>'Input data'!A133</f>
        <v>2033</v>
      </c>
      <c r="B113" s="152">
        <f>'Input data'!B133</f>
        <v>67.86660286866902</v>
      </c>
      <c r="C113" s="204">
        <f>'Input data'!C133</f>
        <v>5663.260000000002</v>
      </c>
      <c r="D113" s="205">
        <f>'Input data'!D133</f>
        <v>35521966.003645025</v>
      </c>
      <c r="E113" s="579">
        <f t="shared" si="29"/>
        <v>0.85307878787878766</v>
      </c>
      <c r="F113" s="100">
        <f t="shared" si="30"/>
        <v>0.32724848484848479</v>
      </c>
      <c r="G113" s="474">
        <f>B113*F113*'Input data'!$C$9</f>
        <v>679.76030795158988</v>
      </c>
      <c r="H113" s="473">
        <f>'Input data'!I133</f>
        <v>424.26313389388866</v>
      </c>
      <c r="I113" s="474">
        <f>'Input data'!K133</f>
        <v>28793.297619793491</v>
      </c>
      <c r="J113" s="474">
        <f t="shared" si="87"/>
        <v>4780.5770002171175</v>
      </c>
      <c r="K113" s="475">
        <f t="shared" si="78"/>
        <v>8600.1995856304638</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10347.291115545511</v>
      </c>
      <c r="AA113" s="475">
        <f t="shared" si="81"/>
        <v>5566.7141153283937</v>
      </c>
      <c r="AB113" s="938">
        <f t="shared" si="42"/>
        <v>0.53798758082345843</v>
      </c>
      <c r="AC113" s="118" t="str">
        <f t="shared" si="43"/>
        <v>Yes</v>
      </c>
      <c r="AD113" s="938">
        <f t="shared" si="44"/>
        <v>0.53798758082345843</v>
      </c>
      <c r="AE113" s="579">
        <f t="shared" si="11"/>
        <v>0.28015277736755673</v>
      </c>
      <c r="AF113" s="475">
        <f t="shared" si="45"/>
        <v>305.40463859885216</v>
      </c>
      <c r="AG113" s="473">
        <f t="shared" si="46"/>
        <v>4780.5770002171175</v>
      </c>
      <c r="AH113" s="474">
        <f t="shared" si="82"/>
        <v>7892.6621892104686</v>
      </c>
      <c r="AI113" s="474">
        <f t="shared" si="83"/>
        <v>6437.6604656145792</v>
      </c>
      <c r="AJ113" s="474">
        <f t="shared" si="12"/>
        <v>1615.8756669955167</v>
      </c>
      <c r="AK113" s="474">
        <f t="shared" si="47"/>
        <v>20726.775322037684</v>
      </c>
      <c r="AL113" s="640">
        <f t="shared" si="13"/>
        <v>0</v>
      </c>
      <c r="AM113" s="579">
        <f t="shared" si="48"/>
        <v>0.23064740780656715</v>
      </c>
      <c r="AN113" s="100">
        <f t="shared" si="49"/>
        <v>0.38079547187538715</v>
      </c>
      <c r="AO113" s="100">
        <f t="shared" si="50"/>
        <v>0.31059633568612843</v>
      </c>
      <c r="AP113" s="100">
        <f t="shared" si="51"/>
        <v>7.7960784631917232E-2</v>
      </c>
      <c r="AQ113" s="471">
        <f t="shared" si="52"/>
        <v>1</v>
      </c>
      <c r="AR113" s="473">
        <f t="shared" si="14"/>
        <v>865.90551318206519</v>
      </c>
      <c r="AS113" s="474">
        <f t="shared" si="15"/>
        <v>1098.2024498605729</v>
      </c>
      <c r="AT113" s="474">
        <f t="shared" si="16"/>
        <v>364.73213601515647</v>
      </c>
      <c r="AU113" s="474">
        <f t="shared" si="17"/>
        <v>0</v>
      </c>
      <c r="AV113" s="474">
        <f t="shared" si="18"/>
        <v>0</v>
      </c>
      <c r="AW113" s="474">
        <f t="shared" si="19"/>
        <v>0</v>
      </c>
      <c r="AX113" s="474">
        <f t="shared" si="20"/>
        <v>1552.4231943738241</v>
      </c>
      <c r="AY113" s="474">
        <f t="shared" si="21"/>
        <v>224.44499869865655</v>
      </c>
      <c r="AZ113" s="474">
        <f t="shared" si="22"/>
        <v>326.22964703098762</v>
      </c>
      <c r="BA113" s="474">
        <f t="shared" si="23"/>
        <v>286.78175674102897</v>
      </c>
      <c r="BB113" s="474">
        <f t="shared" si="24"/>
        <v>61.85730431482385</v>
      </c>
      <c r="BC113" s="475">
        <f t="shared" si="53"/>
        <v>4780.5770002171157</v>
      </c>
      <c r="BD113" s="647">
        <f t="shared" si="54"/>
        <v>0</v>
      </c>
      <c r="BE113" s="383">
        <f t="shared" si="55"/>
        <v>0.18112991656503788</v>
      </c>
      <c r="BF113" s="383">
        <f t="shared" si="56"/>
        <v>0.22972173647881766</v>
      </c>
      <c r="BG113" s="383">
        <f t="shared" si="57"/>
        <v>7.6294584523707437E-2</v>
      </c>
      <c r="BH113" s="383">
        <f t="shared" si="58"/>
        <v>0</v>
      </c>
      <c r="BI113" s="383">
        <f t="shared" si="59"/>
        <v>0</v>
      </c>
      <c r="BJ113" s="383">
        <f t="shared" si="60"/>
        <v>0</v>
      </c>
      <c r="BK113" s="383">
        <f t="shared" si="61"/>
        <v>0.51285376243243697</v>
      </c>
      <c r="BL113" s="383">
        <f t="shared" si="62"/>
        <v>0.99999999999999989</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88.369052765934953</v>
      </c>
      <c r="BW113" s="100">
        <f t="shared" si="65"/>
        <v>0.59795972641978867</v>
      </c>
      <c r="BX113" s="1385">
        <f t="shared" si="25"/>
        <v>35.521966003645026</v>
      </c>
      <c r="BY113" s="473">
        <f t="shared" si="66"/>
        <v>88.369052765934953</v>
      </c>
      <c r="BZ113" s="100">
        <f t="shared" si="67"/>
        <v>0.59795972641978867</v>
      </c>
      <c r="CA113" s="489">
        <f t="shared" si="26"/>
        <v>35.521966003645026</v>
      </c>
      <c r="CB113" s="579">
        <f t="shared" si="27"/>
        <v>0.28015277736755673</v>
      </c>
      <c r="CC113" s="471">
        <f t="shared" si="68"/>
        <v>0.34744070215465861</v>
      </c>
      <c r="CD113" s="100">
        <f t="shared" si="28"/>
        <v>0.28015277736755673</v>
      </c>
      <c r="CE113" s="471">
        <f t="shared" si="69"/>
        <v>0.34744070215465861</v>
      </c>
      <c r="CG113" s="473">
        <f t="shared" si="70"/>
        <v>1490.1194641676329</v>
      </c>
      <c r="CH113" s="474">
        <f t="shared" si="71"/>
        <v>576.791007817013</v>
      </c>
      <c r="CI113" s="474">
        <f t="shared" si="72"/>
        <v>2386.0486063017479</v>
      </c>
      <c r="CJ113" s="474">
        <f t="shared" si="73"/>
        <v>3393.7501526249857</v>
      </c>
      <c r="CK113" s="474">
        <f t="shared" si="74"/>
        <v>45.952958299087889</v>
      </c>
      <c r="CL113" s="474">
        <f t="shared" si="75"/>
        <v>7892.6621892104677</v>
      </c>
      <c r="CM113" s="576">
        <f t="shared" si="76"/>
        <v>0</v>
      </c>
    </row>
    <row r="114" spans="1:91">
      <c r="A114" s="89">
        <f>'Input data'!A134</f>
        <v>2034</v>
      </c>
      <c r="B114" s="152">
        <f>'Input data'!B134</f>
        <v>68.401606645337111</v>
      </c>
      <c r="C114" s="204">
        <f>'Input data'!C134</f>
        <v>5838.79</v>
      </c>
      <c r="D114" s="205">
        <f>'Input data'!D134</f>
        <v>32152713.47625063</v>
      </c>
      <c r="E114" s="579">
        <f t="shared" si="29"/>
        <v>0.86172121212121189</v>
      </c>
      <c r="F114" s="100">
        <f t="shared" si="30"/>
        <v>0.32960151515151509</v>
      </c>
      <c r="G114" s="474">
        <f>B114*F114*'Input data'!$C$9</f>
        <v>690.04521554713313</v>
      </c>
      <c r="H114" s="473">
        <f>'Input data'!I134</f>
        <v>424.26313389388866</v>
      </c>
      <c r="I114" s="474">
        <f>'Input data'!K134</f>
        <v>29020.279998727765</v>
      </c>
      <c r="J114" s="474">
        <f t="shared" si="87"/>
        <v>4516.7640866293577</v>
      </c>
      <c r="K114" s="475">
        <f t="shared" si="78"/>
        <v>8969.4953981049366</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10452.774014432223</v>
      </c>
      <c r="AA114" s="475">
        <f t="shared" si="81"/>
        <v>5936.0099278028656</v>
      </c>
      <c r="AB114" s="938">
        <f t="shared" si="42"/>
        <v>0.56788847817880428</v>
      </c>
      <c r="AC114" s="118" t="str">
        <f t="shared" si="43"/>
        <v>Yes</v>
      </c>
      <c r="AD114" s="938">
        <f t="shared" si="44"/>
        <v>0.56788847817880428</v>
      </c>
      <c r="AE114" s="579">
        <f t="shared" si="11"/>
        <v>0.29592278784212256</v>
      </c>
      <c r="AF114" s="475">
        <f t="shared" si="45"/>
        <v>298.71400453337344</v>
      </c>
      <c r="AG114" s="473">
        <f t="shared" si="46"/>
        <v>4516.7640866293577</v>
      </c>
      <c r="AH114" s="474">
        <f t="shared" si="82"/>
        <v>7954.8813647799961</v>
      </c>
      <c r="AI114" s="474">
        <f t="shared" si="83"/>
        <v>6437.6604656145792</v>
      </c>
      <c r="AJ114" s="474">
        <f t="shared" si="12"/>
        <v>1523.2119205213223</v>
      </c>
      <c r="AK114" s="474">
        <f t="shared" si="47"/>
        <v>20432.517837545256</v>
      </c>
      <c r="AL114" s="640">
        <f t="shared" si="13"/>
        <v>0</v>
      </c>
      <c r="AM114" s="579">
        <f t="shared" si="48"/>
        <v>0.2210576358009923</v>
      </c>
      <c r="AN114" s="100">
        <f t="shared" si="49"/>
        <v>0.38932457703096707</v>
      </c>
      <c r="AO114" s="100">
        <f t="shared" si="50"/>
        <v>0.31506936721157386</v>
      </c>
      <c r="AP114" s="100">
        <f t="shared" si="51"/>
        <v>7.4548419956466785E-2</v>
      </c>
      <c r="AQ114" s="471">
        <f t="shared" si="52"/>
        <v>1</v>
      </c>
      <c r="AR114" s="473">
        <f t="shared" si="14"/>
        <v>820.80501441751085</v>
      </c>
      <c r="AS114" s="474">
        <f t="shared" si="15"/>
        <v>1041.0028160908857</v>
      </c>
      <c r="AT114" s="474">
        <f t="shared" si="16"/>
        <v>343.81626552275571</v>
      </c>
      <c r="AU114" s="474">
        <f t="shared" si="17"/>
        <v>0</v>
      </c>
      <c r="AV114" s="474">
        <f t="shared" si="18"/>
        <v>0</v>
      </c>
      <c r="AW114" s="474">
        <f t="shared" si="19"/>
        <v>0</v>
      </c>
      <c r="AX114" s="474">
        <f t="shared" si="20"/>
        <v>1463.3981832035097</v>
      </c>
      <c r="AY114" s="474">
        <f t="shared" si="21"/>
        <v>211.57401185133068</v>
      </c>
      <c r="AZ114" s="474">
        <f t="shared" si="22"/>
        <v>307.52173408799922</v>
      </c>
      <c r="BA114" s="474">
        <f t="shared" si="23"/>
        <v>270.33601617889411</v>
      </c>
      <c r="BB114" s="474">
        <f t="shared" si="24"/>
        <v>58.310045276469978</v>
      </c>
      <c r="BC114" s="475">
        <f t="shared" si="53"/>
        <v>4516.7640866293568</v>
      </c>
      <c r="BD114" s="647">
        <f t="shared" si="54"/>
        <v>0</v>
      </c>
      <c r="BE114" s="383">
        <f t="shared" si="55"/>
        <v>0.18172412786562825</v>
      </c>
      <c r="BF114" s="383">
        <f t="shared" si="56"/>
        <v>0.23047535716387968</v>
      </c>
      <c r="BG114" s="383">
        <f t="shared" si="57"/>
        <v>7.6120040570754985E-2</v>
      </c>
      <c r="BH114" s="383">
        <f t="shared" si="58"/>
        <v>0</v>
      </c>
      <c r="BI114" s="383">
        <f t="shared" si="59"/>
        <v>0</v>
      </c>
      <c r="BJ114" s="383">
        <f t="shared" si="60"/>
        <v>0</v>
      </c>
      <c r="BK114" s="383">
        <f t="shared" si="61"/>
        <v>0.51168047439973696</v>
      </c>
      <c r="BL114" s="383">
        <f t="shared" si="62"/>
        <v>0.99999999999999989</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87.223629761411757</v>
      </c>
      <c r="BW114" s="100">
        <f t="shared" si="65"/>
        <v>0.60805630116404441</v>
      </c>
      <c r="BX114" s="1385">
        <f t="shared" si="25"/>
        <v>32.152713476250632</v>
      </c>
      <c r="BY114" s="473">
        <f t="shared" si="66"/>
        <v>87.223629761411757</v>
      </c>
      <c r="BZ114" s="100">
        <f t="shared" si="67"/>
        <v>0.60805630116404441</v>
      </c>
      <c r="CA114" s="489">
        <f t="shared" si="26"/>
        <v>32.152713476250632</v>
      </c>
      <c r="CB114" s="579">
        <f t="shared" si="27"/>
        <v>0.29592278784212256</v>
      </c>
      <c r="CC114" s="471">
        <f t="shared" si="68"/>
        <v>0.34773962307081219</v>
      </c>
      <c r="CD114" s="100">
        <f t="shared" si="28"/>
        <v>0.29592278784212256</v>
      </c>
      <c r="CE114" s="471">
        <f t="shared" si="69"/>
        <v>0.34773962307081219</v>
      </c>
      <c r="CG114" s="473">
        <f t="shared" si="70"/>
        <v>1501.8663250287705</v>
      </c>
      <c r="CH114" s="474">
        <f t="shared" si="71"/>
        <v>581.33794776223851</v>
      </c>
      <c r="CI114" s="474">
        <f t="shared" si="72"/>
        <v>2404.8582263759304</v>
      </c>
      <c r="CJ114" s="474">
        <f t="shared" si="73"/>
        <v>3420.5036524610668</v>
      </c>
      <c r="CK114" s="474">
        <f t="shared" si="74"/>
        <v>46.315213151988935</v>
      </c>
      <c r="CL114" s="474">
        <f t="shared" si="75"/>
        <v>7954.8813647799952</v>
      </c>
      <c r="CM114" s="576">
        <f t="shared" si="76"/>
        <v>0</v>
      </c>
    </row>
    <row r="115" spans="1:91">
      <c r="A115" s="89">
        <f>'Input data'!A135</f>
        <v>2035</v>
      </c>
      <c r="B115" s="152">
        <f>'Input data'!B135</f>
        <v>68.922893208527455</v>
      </c>
      <c r="C115" s="204">
        <f>'Input data'!C135</f>
        <v>5978.8699999999981</v>
      </c>
      <c r="D115" s="205">
        <f>'Input data'!D135</f>
        <v>24779864.252695084</v>
      </c>
      <c r="E115" s="579">
        <f t="shared" si="29"/>
        <v>0.87036363636363612</v>
      </c>
      <c r="F115" s="100">
        <f t="shared" si="30"/>
        <v>0.33195454545454539</v>
      </c>
      <c r="G115" s="474">
        <f>B115*F115*'Input data'!$C$9</f>
        <v>700.26781533471831</v>
      </c>
      <c r="H115" s="473">
        <f>'Input data'!I135</f>
        <v>424.26313389388866</v>
      </c>
      <c r="I115" s="474">
        <f>'Input data'!K135</f>
        <v>29241.442669683674</v>
      </c>
      <c r="J115" s="474">
        <f t="shared" si="87"/>
        <v>4252.9511730415979</v>
      </c>
      <c r="K115" s="475">
        <f t="shared" si="78"/>
        <v>9336.086684919248</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10555.552387658776</v>
      </c>
      <c r="AA115" s="475">
        <f t="shared" si="81"/>
        <v>6302.6012146171779</v>
      </c>
      <c r="AB115" s="938">
        <f t="shared" si="42"/>
        <v>0.59708871531782493</v>
      </c>
      <c r="AC115" s="118" t="str">
        <f t="shared" si="43"/>
        <v>Yes</v>
      </c>
      <c r="AD115" s="938">
        <f t="shared" si="44"/>
        <v>0.59708871531782493</v>
      </c>
      <c r="AE115" s="579">
        <f t="shared" si="11"/>
        <v>0.31134654118157257</v>
      </c>
      <c r="AF115" s="475">
        <f t="shared" si="45"/>
        <v>292.17027460517204</v>
      </c>
      <c r="AG115" s="473">
        <f t="shared" si="46"/>
        <v>4252.9511730415979</v>
      </c>
      <c r="AH115" s="474">
        <f t="shared" si="82"/>
        <v>8015.5052736412908</v>
      </c>
      <c r="AI115" s="474">
        <f t="shared" si="83"/>
        <v>6437.6604656145792</v>
      </c>
      <c r="AJ115" s="474">
        <f t="shared" si="12"/>
        <v>1431.1037230209427</v>
      </c>
      <c r="AK115" s="474">
        <f t="shared" si="47"/>
        <v>20137.220635318412</v>
      </c>
      <c r="AL115" s="640">
        <f t="shared" si="13"/>
        <v>0</v>
      </c>
      <c r="AM115" s="579">
        <f t="shared" si="48"/>
        <v>0.21119851890495761</v>
      </c>
      <c r="AN115" s="100">
        <f t="shared" si="49"/>
        <v>0.39804426930611264</v>
      </c>
      <c r="AO115" s="100">
        <f t="shared" si="50"/>
        <v>0.31968962262466594</v>
      </c>
      <c r="AP115" s="100">
        <f t="shared" si="51"/>
        <v>7.1067589164263728E-2</v>
      </c>
      <c r="AQ115" s="471">
        <f t="shared" si="52"/>
        <v>0.99999999999999989</v>
      </c>
      <c r="AR115" s="473">
        <f t="shared" si="14"/>
        <v>775.27761724201935</v>
      </c>
      <c r="AS115" s="474">
        <f t="shared" si="15"/>
        <v>983.26175964447953</v>
      </c>
      <c r="AT115" s="474">
        <f t="shared" si="16"/>
        <v>323.02579240344443</v>
      </c>
      <c r="AU115" s="474">
        <f t="shared" si="17"/>
        <v>0</v>
      </c>
      <c r="AV115" s="474">
        <f t="shared" si="18"/>
        <v>0</v>
      </c>
      <c r="AW115" s="474">
        <f t="shared" si="19"/>
        <v>0</v>
      </c>
      <c r="AX115" s="474">
        <f t="shared" si="20"/>
        <v>1374.9069056181336</v>
      </c>
      <c r="AY115" s="474">
        <f t="shared" si="21"/>
        <v>198.78019071127525</v>
      </c>
      <c r="AZ115" s="474">
        <f t="shared" si="22"/>
        <v>288.92598110220172</v>
      </c>
      <c r="BA115" s="474">
        <f t="shared" si="23"/>
        <v>253.98887312269395</v>
      </c>
      <c r="BB115" s="474">
        <f t="shared" si="24"/>
        <v>54.784053197348769</v>
      </c>
      <c r="BC115" s="475">
        <f t="shared" si="53"/>
        <v>4252.951173041597</v>
      </c>
      <c r="BD115" s="647">
        <f t="shared" si="54"/>
        <v>0</v>
      </c>
      <c r="BE115" s="383">
        <f t="shared" si="55"/>
        <v>0.18229168069370558</v>
      </c>
      <c r="BF115" s="383">
        <f t="shared" si="56"/>
        <v>0.23119516769370221</v>
      </c>
      <c r="BG115" s="383">
        <f t="shared" si="57"/>
        <v>7.5953327292122425E-2</v>
      </c>
      <c r="BH115" s="383">
        <f t="shared" si="58"/>
        <v>0</v>
      </c>
      <c r="BI115" s="383">
        <f t="shared" si="59"/>
        <v>0</v>
      </c>
      <c r="BJ115" s="383">
        <f t="shared" si="60"/>
        <v>0</v>
      </c>
      <c r="BK115" s="383">
        <f t="shared" si="61"/>
        <v>0.51055982432046976</v>
      </c>
      <c r="BL115" s="383">
        <f t="shared" si="62"/>
        <v>1</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85.132425469599923</v>
      </c>
      <c r="BW115" s="100">
        <f t="shared" si="65"/>
        <v>0.6137390061107314</v>
      </c>
      <c r="BX115" s="1385">
        <f t="shared" si="25"/>
        <v>24.779864252695084</v>
      </c>
      <c r="BY115" s="473">
        <f t="shared" si="66"/>
        <v>85.132425469599923</v>
      </c>
      <c r="BZ115" s="100">
        <f t="shared" si="67"/>
        <v>0.6137390061107314</v>
      </c>
      <c r="CA115" s="489">
        <f t="shared" si="26"/>
        <v>24.779864252695084</v>
      </c>
      <c r="CB115" s="579">
        <f t="shared" si="27"/>
        <v>0.31134654118157257</v>
      </c>
      <c r="CC115" s="471">
        <f t="shared" si="68"/>
        <v>0.32795043799057078</v>
      </c>
      <c r="CD115" s="100">
        <f t="shared" si="28"/>
        <v>0.31134654118157257</v>
      </c>
      <c r="CE115" s="471">
        <f t="shared" si="69"/>
        <v>0.32795043799057078</v>
      </c>
      <c r="CG115" s="473">
        <f t="shared" si="70"/>
        <v>1513.3120025989613</v>
      </c>
      <c r="CH115" s="474">
        <f t="shared" si="71"/>
        <v>585.76830657548078</v>
      </c>
      <c r="CI115" s="474">
        <f t="shared" si="72"/>
        <v>2423.1855777536189</v>
      </c>
      <c r="CJ115" s="474">
        <f t="shared" si="73"/>
        <v>3446.571206730905</v>
      </c>
      <c r="CK115" s="474">
        <f t="shared" si="74"/>
        <v>46.66817998232397</v>
      </c>
      <c r="CL115" s="474">
        <f t="shared" si="75"/>
        <v>8015.505273641289</v>
      </c>
      <c r="CM115" s="576">
        <f t="shared" si="76"/>
        <v>0</v>
      </c>
    </row>
    <row r="116" spans="1:91">
      <c r="A116" s="89">
        <f>'Input data'!A136</f>
        <v>2036</v>
      </c>
      <c r="B116" s="152">
        <f>'Input data'!B136</f>
        <v>69.431445341664755</v>
      </c>
      <c r="C116" s="204">
        <f>'Input data'!C136</f>
        <v>6119.1299999999983</v>
      </c>
      <c r="D116" s="205">
        <f>'Input data'!D136</f>
        <v>11557949.273739366</v>
      </c>
      <c r="E116" s="579">
        <f t="shared" si="29"/>
        <v>0.87900606060606035</v>
      </c>
      <c r="F116" s="100">
        <f t="shared" si="30"/>
        <v>0.33430757575757569</v>
      </c>
      <c r="G116" s="474">
        <f>B116*F116*'Input data'!$C$9</f>
        <v>710.43519961649861</v>
      </c>
      <c r="H116" s="473">
        <f>'Input data'!I136</f>
        <v>424.26313389388866</v>
      </c>
      <c r="I116" s="474">
        <f>'Input data'!K136</f>
        <v>29457.202591436926</v>
      </c>
      <c r="J116" s="474">
        <f t="shared" si="87"/>
        <v>3989.1382594538386</v>
      </c>
      <c r="K116" s="475">
        <f t="shared" si="78"/>
        <v>9700.1672145085722</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10655.820003660341</v>
      </c>
      <c r="AA116" s="475">
        <f t="shared" si="81"/>
        <v>6666.6817442065021</v>
      </c>
      <c r="AB116" s="938">
        <f t="shared" si="42"/>
        <v>0.62563760854785977</v>
      </c>
      <c r="AC116" s="118" t="str">
        <f t="shared" si="43"/>
        <v>Yes</v>
      </c>
      <c r="AD116" s="938">
        <f t="shared" si="44"/>
        <v>0.62563760854785977</v>
      </c>
      <c r="AE116" s="579">
        <f t="shared" si="11"/>
        <v>0.32644795969136542</v>
      </c>
      <c r="AF116" s="475">
        <f t="shared" si="45"/>
        <v>285.7632994619641</v>
      </c>
      <c r="AG116" s="473">
        <f t="shared" si="46"/>
        <v>3989.1382594538386</v>
      </c>
      <c r="AH116" s="474">
        <f t="shared" si="82"/>
        <v>8074.6482102668706</v>
      </c>
      <c r="AI116" s="474">
        <f t="shared" si="83"/>
        <v>6437.6604656145792</v>
      </c>
      <c r="AJ116" s="474">
        <f t="shared" si="12"/>
        <v>1339.511971911847</v>
      </c>
      <c r="AK116" s="474">
        <f t="shared" si="47"/>
        <v>19840.958907247139</v>
      </c>
      <c r="AL116" s="640">
        <f t="shared" si="13"/>
        <v>0</v>
      </c>
      <c r="AM116" s="579">
        <f t="shared" si="48"/>
        <v>0.20105571903567421</v>
      </c>
      <c r="AN116" s="100">
        <f t="shared" si="49"/>
        <v>0.40696864743354277</v>
      </c>
      <c r="AO116" s="100">
        <f t="shared" si="50"/>
        <v>0.32446317215359732</v>
      </c>
      <c r="AP116" s="100">
        <f t="shared" si="51"/>
        <v>6.7512461377185501E-2</v>
      </c>
      <c r="AQ116" s="471">
        <f t="shared" si="52"/>
        <v>0.99999999999999978</v>
      </c>
      <c r="AR116" s="473">
        <f t="shared" si="14"/>
        <v>729.35336910618912</v>
      </c>
      <c r="AS116" s="474">
        <f t="shared" si="15"/>
        <v>925.01738881764857</v>
      </c>
      <c r="AT116" s="474">
        <f t="shared" si="16"/>
        <v>302.35189050262346</v>
      </c>
      <c r="AU116" s="474">
        <f t="shared" si="17"/>
        <v>0</v>
      </c>
      <c r="AV116" s="474">
        <f t="shared" si="18"/>
        <v>0</v>
      </c>
      <c r="AW116" s="474">
        <f t="shared" si="19"/>
        <v>0</v>
      </c>
      <c r="AX116" s="474">
        <f t="shared" si="20"/>
        <v>1286.9117945218361</v>
      </c>
      <c r="AY116" s="474">
        <f t="shared" si="21"/>
        <v>186.05810393295781</v>
      </c>
      <c r="AZ116" s="474">
        <f t="shared" si="22"/>
        <v>270.43449364089997</v>
      </c>
      <c r="BA116" s="474">
        <f t="shared" si="23"/>
        <v>237.7333877394077</v>
      </c>
      <c r="BB116" s="474">
        <f t="shared" si="24"/>
        <v>51.277831192275002</v>
      </c>
      <c r="BC116" s="475">
        <f t="shared" si="53"/>
        <v>3989.1382594538372</v>
      </c>
      <c r="BD116" s="647">
        <f t="shared" si="54"/>
        <v>0</v>
      </c>
      <c r="BE116" s="383">
        <f t="shared" si="55"/>
        <v>0.18283481836652277</v>
      </c>
      <c r="BF116" s="383">
        <f t="shared" si="56"/>
        <v>0.23188401320146146</v>
      </c>
      <c r="BG116" s="383">
        <f t="shared" si="57"/>
        <v>7.5793785734570962E-2</v>
      </c>
      <c r="BH116" s="383">
        <f t="shared" si="58"/>
        <v>0</v>
      </c>
      <c r="BI116" s="383">
        <f t="shared" si="59"/>
        <v>0</v>
      </c>
      <c r="BJ116" s="383">
        <f t="shared" si="60"/>
        <v>0</v>
      </c>
      <c r="BK116" s="383">
        <f t="shared" si="61"/>
        <v>0.50948738269744498</v>
      </c>
      <c r="BL116" s="383">
        <f t="shared" si="62"/>
        <v>1.0000000000000002</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81.907793040847878</v>
      </c>
      <c r="BW116" s="100">
        <f t="shared" si="65"/>
        <v>0.61400076987134833</v>
      </c>
      <c r="BX116" s="1385">
        <f t="shared" si="25"/>
        <v>11.557949273739366</v>
      </c>
      <c r="BY116" s="473">
        <f t="shared" si="66"/>
        <v>81.907793040847878</v>
      </c>
      <c r="BZ116" s="100">
        <f t="shared" si="67"/>
        <v>0.61400076987134833</v>
      </c>
      <c r="CA116" s="489">
        <f t="shared" si="26"/>
        <v>11.557949273739366</v>
      </c>
      <c r="CB116" s="579">
        <f t="shared" si="27"/>
        <v>0.32644795969136542</v>
      </c>
      <c r="CC116" s="471">
        <f t="shared" si="68"/>
        <v>0.27132344088504146</v>
      </c>
      <c r="CD116" s="100">
        <f t="shared" si="28"/>
        <v>0.32644795969136542</v>
      </c>
      <c r="CE116" s="471">
        <f t="shared" si="69"/>
        <v>0.27132344088504146</v>
      </c>
      <c r="CG116" s="473">
        <f t="shared" si="70"/>
        <v>1524.4780754551248</v>
      </c>
      <c r="CH116" s="474">
        <f t="shared" si="71"/>
        <v>590.09043682807919</v>
      </c>
      <c r="CI116" s="474">
        <f t="shared" si="72"/>
        <v>2441.0652130560102</v>
      </c>
      <c r="CJ116" s="474">
        <f t="shared" si="73"/>
        <v>3472.0019606879332</v>
      </c>
      <c r="CK116" s="474">
        <f t="shared" si="74"/>
        <v>47.012524239722467</v>
      </c>
      <c r="CL116" s="474">
        <f t="shared" si="75"/>
        <v>8074.6482102668697</v>
      </c>
      <c r="CM116" s="576">
        <f t="shared" si="76"/>
        <v>0</v>
      </c>
    </row>
    <row r="117" spans="1:91" s="1" customFormat="1">
      <c r="A117" s="89">
        <f>'Input data'!A137</f>
        <v>2037</v>
      </c>
      <c r="B117" s="152">
        <f>'Input data'!B137</f>
        <v>69.92691944658003</v>
      </c>
      <c r="C117" s="204">
        <f>'Input data'!C137</f>
        <v>6283.2400000000007</v>
      </c>
      <c r="D117" s="205">
        <f>'Input data'!D137</f>
        <v>6514539.8947081817</v>
      </c>
      <c r="E117" s="579">
        <f t="shared" si="29"/>
        <v>0.88764848484848458</v>
      </c>
      <c r="F117" s="100">
        <f t="shared" si="30"/>
        <v>0.33666060606060599</v>
      </c>
      <c r="G117" s="474">
        <f>B117*F117*'Input data'!$C$9</f>
        <v>720.54107650919866</v>
      </c>
      <c r="H117" s="473">
        <f>'Input data'!I137</f>
        <v>424.26313389388866</v>
      </c>
      <c r="I117" s="474">
        <f>'Input data'!K137</f>
        <v>29667.41398795155</v>
      </c>
      <c r="J117" s="474">
        <f>J97*(1-$C$5)</f>
        <v>3900.4110186862777</v>
      </c>
      <c r="K117" s="475">
        <f t="shared" si="78"/>
        <v>9886.5835692395012</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10753.509117623709</v>
      </c>
      <c r="AA117" s="475">
        <f t="shared" si="81"/>
        <v>6853.0980989374311</v>
      </c>
      <c r="AB117" s="938">
        <f t="shared" si="42"/>
        <v>0.63728946746379067</v>
      </c>
      <c r="AC117" s="118" t="str">
        <f t="shared" si="43"/>
        <v>Yes</v>
      </c>
      <c r="AD117" s="938">
        <f t="shared" si="44"/>
        <v>0.63728946746379067</v>
      </c>
      <c r="AE117" s="579">
        <f t="shared" si="11"/>
        <v>0.33336207070624535</v>
      </c>
      <c r="AF117" s="475">
        <f t="shared" si="45"/>
        <v>282.82989705470089</v>
      </c>
      <c r="AG117" s="473">
        <f t="shared" si="46"/>
        <v>3900.4110186862777</v>
      </c>
      <c r="AH117" s="474">
        <f t="shared" si="82"/>
        <v>8132.2702153223645</v>
      </c>
      <c r="AI117" s="474">
        <f t="shared" si="83"/>
        <v>6437.6604656145792</v>
      </c>
      <c r="AJ117" s="474">
        <f t="shared" si="12"/>
        <v>1307.081728805375</v>
      </c>
      <c r="AK117" s="474">
        <f t="shared" si="47"/>
        <v>19777.423428428592</v>
      </c>
      <c r="AL117" s="640">
        <f t="shared" si="13"/>
        <v>0</v>
      </c>
      <c r="AM117" s="579">
        <f t="shared" si="48"/>
        <v>0.19721532649595414</v>
      </c>
      <c r="AN117" s="100">
        <f t="shared" si="49"/>
        <v>0.41118956899273462</v>
      </c>
      <c r="AO117" s="100">
        <f t="shared" si="50"/>
        <v>0.32550551839634051</v>
      </c>
      <c r="AP117" s="100">
        <f t="shared" si="51"/>
        <v>6.6089586114970927E-2</v>
      </c>
      <c r="AQ117" s="471">
        <f t="shared" si="52"/>
        <v>1</v>
      </c>
      <c r="AR117" s="473">
        <f t="shared" si="14"/>
        <v>715.15692662802792</v>
      </c>
      <c r="AS117" s="474">
        <f t="shared" si="15"/>
        <v>907.01245909785882</v>
      </c>
      <c r="AT117" s="474">
        <f t="shared" si="16"/>
        <v>295.03180265099599</v>
      </c>
      <c r="AU117" s="474">
        <f t="shared" si="17"/>
        <v>0</v>
      </c>
      <c r="AV117" s="474">
        <f t="shared" si="18"/>
        <v>0</v>
      </c>
      <c r="AW117" s="474">
        <f t="shared" si="19"/>
        <v>0</v>
      </c>
      <c r="AX117" s="474">
        <f t="shared" si="20"/>
        <v>1255.7550275588935</v>
      </c>
      <c r="AY117" s="474">
        <f t="shared" si="21"/>
        <v>181.55354580357948</v>
      </c>
      <c r="AZ117" s="474">
        <f t="shared" si="22"/>
        <v>263.88714165222564</v>
      </c>
      <c r="BA117" s="474">
        <f t="shared" si="23"/>
        <v>231.97774559467183</v>
      </c>
      <c r="BB117" s="474">
        <f t="shared" si="24"/>
        <v>50.036369700023748</v>
      </c>
      <c r="BC117" s="475">
        <f t="shared" si="53"/>
        <v>3900.4110186862772</v>
      </c>
      <c r="BD117" s="647">
        <f t="shared" si="54"/>
        <v>0</v>
      </c>
      <c r="BE117" s="383">
        <f t="shared" si="55"/>
        <v>0.18335424733491409</v>
      </c>
      <c r="BF117" s="383">
        <f t="shared" si="56"/>
        <v>0.23254278965793598</v>
      </c>
      <c r="BG117" s="383">
        <f t="shared" si="57"/>
        <v>7.5641208384845449E-2</v>
      </c>
      <c r="BH117" s="383">
        <f t="shared" si="58"/>
        <v>0</v>
      </c>
      <c r="BI117" s="383">
        <f t="shared" si="59"/>
        <v>0</v>
      </c>
      <c r="BJ117" s="383">
        <f t="shared" si="60"/>
        <v>0</v>
      </c>
      <c r="BK117" s="383">
        <f t="shared" si="61"/>
        <v>0.50846175462230436</v>
      </c>
      <c r="BL117" s="383">
        <f t="shared" si="62"/>
        <v>0.99999999999999989</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80.709030187327784</v>
      </c>
      <c r="BW117" s="100">
        <f t="shared" si="65"/>
        <v>0.62136094718791557</v>
      </c>
      <c r="BX117" s="1385">
        <f t="shared" si="25"/>
        <v>6.5145398947081814</v>
      </c>
      <c r="BY117" s="473">
        <f t="shared" si="66"/>
        <v>80.709030187327784</v>
      </c>
      <c r="BZ117" s="100">
        <f t="shared" si="67"/>
        <v>0.62136094718791557</v>
      </c>
      <c r="CA117" s="489">
        <f t="shared" si="26"/>
        <v>6.5145398947081814</v>
      </c>
      <c r="CB117" s="579">
        <f t="shared" si="27"/>
        <v>0.33336207070624535</v>
      </c>
      <c r="CC117" s="471">
        <f t="shared" si="68"/>
        <v>0.25791341466498596</v>
      </c>
      <c r="CD117" s="100">
        <f t="shared" si="28"/>
        <v>0.33336207070624535</v>
      </c>
      <c r="CE117" s="471">
        <f t="shared" si="69"/>
        <v>0.25791341466498596</v>
      </c>
      <c r="CG117" s="473">
        <f t="shared" si="70"/>
        <v>1535.3569993516694</v>
      </c>
      <c r="CH117" s="474">
        <f t="shared" si="71"/>
        <v>594.30141831590095</v>
      </c>
      <c r="CI117" s="474">
        <f t="shared" si="72"/>
        <v>2458.4850520861069</v>
      </c>
      <c r="CJ117" s="474">
        <f t="shared" si="73"/>
        <v>3496.7787322972604</v>
      </c>
      <c r="CK117" s="474">
        <f t="shared" si="74"/>
        <v>47.34801327142646</v>
      </c>
      <c r="CL117" s="474">
        <f t="shared" si="75"/>
        <v>8132.2702153223636</v>
      </c>
      <c r="CM117" s="576">
        <f t="shared" si="76"/>
        <v>0</v>
      </c>
    </row>
    <row r="118" spans="1:91">
      <c r="A118" s="89">
        <f>'Input data'!A138</f>
        <v>2038</v>
      </c>
      <c r="B118" s="152">
        <f>'Input data'!B138</f>
        <v>70.408978817025954</v>
      </c>
      <c r="C118" s="204">
        <f>'Input data'!C138</f>
        <v>6443.4999999999982</v>
      </c>
      <c r="D118" s="205">
        <f>'Input data'!D138</f>
        <v>4950160.264487111</v>
      </c>
      <c r="E118" s="579">
        <f t="shared" si="29"/>
        <v>0.89629090909090881</v>
      </c>
      <c r="F118" s="100">
        <f t="shared" si="30"/>
        <v>0.33901363636363629</v>
      </c>
      <c r="G118" s="474">
        <f>B118*F118*'Input data'!$C$9</f>
        <v>730.57912665869344</v>
      </c>
      <c r="H118" s="473">
        <f>'Input data'!I138</f>
        <v>424.26313389388866</v>
      </c>
      <c r="I118" s="474">
        <f>'Input data'!K138</f>
        <v>29871.934007179854</v>
      </c>
      <c r="J118" s="474">
        <f t="shared" ref="J118:J126" si="94">($J$127-$J$117)/($A$127-$A$117)+J117</f>
        <v>3733.2505464568658</v>
      </c>
      <c r="K118" s="475">
        <f t="shared" si="78"/>
        <v>10148.788267412174</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10848.553343566969</v>
      </c>
      <c r="AA118" s="475">
        <f t="shared" si="81"/>
        <v>7115.3027971101037</v>
      </c>
      <c r="AB118" s="938">
        <f t="shared" si="42"/>
        <v>0.65587572570949026</v>
      </c>
      <c r="AC118" s="118" t="str">
        <f t="shared" si="43"/>
        <v>Yes</v>
      </c>
      <c r="AD118" s="938">
        <f t="shared" si="44"/>
        <v>0.65587572570949026</v>
      </c>
      <c r="AE118" s="579">
        <f t="shared" si="11"/>
        <v>0.34360140604745293</v>
      </c>
      <c r="AF118" s="475">
        <f t="shared" si="45"/>
        <v>278.48572455384976</v>
      </c>
      <c r="AG118" s="473">
        <f t="shared" si="46"/>
        <v>3733.2505464568658</v>
      </c>
      <c r="AH118" s="474">
        <f t="shared" si="82"/>
        <v>8188.3321309811736</v>
      </c>
      <c r="AI118" s="474">
        <f t="shared" si="83"/>
        <v>6437.6604656145792</v>
      </c>
      <c r="AJ118" s="474">
        <f t="shared" si="12"/>
        <v>1248.6523379035129</v>
      </c>
      <c r="AK118" s="474">
        <f t="shared" si="47"/>
        <v>19607.895480956133</v>
      </c>
      <c r="AL118" s="640">
        <f t="shared" si="13"/>
        <v>0</v>
      </c>
      <c r="AM118" s="579">
        <f t="shared" si="48"/>
        <v>0.19039526960365166</v>
      </c>
      <c r="AN118" s="100">
        <f t="shared" si="49"/>
        <v>0.41760382387462058</v>
      </c>
      <c r="AO118" s="100">
        <f t="shared" si="50"/>
        <v>0.32831980728717458</v>
      </c>
      <c r="AP118" s="100">
        <f t="shared" si="51"/>
        <v>6.3681099234553104E-2</v>
      </c>
      <c r="AQ118" s="471">
        <f t="shared" si="52"/>
        <v>0.99999999999999989</v>
      </c>
      <c r="AR118" s="473">
        <f t="shared" si="14"/>
        <v>686.36048272656717</v>
      </c>
      <c r="AS118" s="474">
        <f t="shared" si="15"/>
        <v>870.49077773837382</v>
      </c>
      <c r="AT118" s="474">
        <f t="shared" si="16"/>
        <v>281.84324056977749</v>
      </c>
      <c r="AU118" s="474">
        <f t="shared" si="17"/>
        <v>0</v>
      </c>
      <c r="AV118" s="474">
        <f t="shared" si="18"/>
        <v>0</v>
      </c>
      <c r="AW118" s="474">
        <f t="shared" si="19"/>
        <v>0</v>
      </c>
      <c r="AX118" s="474">
        <f t="shared" si="20"/>
        <v>1199.6200516310475</v>
      </c>
      <c r="AY118" s="474">
        <f t="shared" si="21"/>
        <v>173.43770816038037</v>
      </c>
      <c r="AZ118" s="474">
        <f t="shared" si="22"/>
        <v>252.09081353151575</v>
      </c>
      <c r="BA118" s="474">
        <f t="shared" si="23"/>
        <v>221.60783675180858</v>
      </c>
      <c r="BB118" s="474">
        <f t="shared" si="24"/>
        <v>47.799635347394677</v>
      </c>
      <c r="BC118" s="475">
        <f t="shared" si="53"/>
        <v>3733.2505464568649</v>
      </c>
      <c r="BD118" s="647">
        <f t="shared" si="54"/>
        <v>0</v>
      </c>
      <c r="BE118" s="383">
        <f t="shared" si="55"/>
        <v>0.18385063477134553</v>
      </c>
      <c r="BF118" s="383">
        <f t="shared" si="56"/>
        <v>0.23317234321830743</v>
      </c>
      <c r="BG118" s="383">
        <f t="shared" si="57"/>
        <v>7.5495399267340335E-2</v>
      </c>
      <c r="BH118" s="383">
        <f t="shared" si="58"/>
        <v>0</v>
      </c>
      <c r="BI118" s="383">
        <f t="shared" si="59"/>
        <v>0</v>
      </c>
      <c r="BJ118" s="383">
        <f t="shared" si="60"/>
        <v>0</v>
      </c>
      <c r="BK118" s="383">
        <f t="shared" si="61"/>
        <v>0.5074816227430069</v>
      </c>
      <c r="BL118" s="383">
        <f t="shared" si="62"/>
        <v>1.0000000000000002</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80.114258371324183</v>
      </c>
      <c r="BW118" s="100">
        <f t="shared" si="65"/>
        <v>0.63229614293896186</v>
      </c>
      <c r="BX118" s="1385">
        <f t="shared" si="25"/>
        <v>4.9501602644871108</v>
      </c>
      <c r="BY118" s="473">
        <f t="shared" si="66"/>
        <v>80.114258371324183</v>
      </c>
      <c r="BZ118" s="100">
        <f t="shared" si="67"/>
        <v>0.63229614293896186</v>
      </c>
      <c r="CA118" s="489">
        <f t="shared" si="26"/>
        <v>4.9501602644871108</v>
      </c>
      <c r="CB118" s="579">
        <f t="shared" si="27"/>
        <v>0.34360140604745293</v>
      </c>
      <c r="CC118" s="471">
        <f t="shared" si="68"/>
        <v>0.26634234487689956</v>
      </c>
      <c r="CD118" s="100">
        <f t="shared" si="28"/>
        <v>0.34360140604745293</v>
      </c>
      <c r="CE118" s="471">
        <f t="shared" si="69"/>
        <v>0.26634234487689956</v>
      </c>
      <c r="CG118" s="473">
        <f t="shared" si="70"/>
        <v>1545.9413813661329</v>
      </c>
      <c r="CH118" s="474">
        <f t="shared" si="71"/>
        <v>598.39838940851917</v>
      </c>
      <c r="CI118" s="474">
        <f t="shared" si="72"/>
        <v>2475.4332569525418</v>
      </c>
      <c r="CJ118" s="474">
        <f t="shared" si="73"/>
        <v>3520.884684162731</v>
      </c>
      <c r="CK118" s="474">
        <f t="shared" si="74"/>
        <v>47.674419091247046</v>
      </c>
      <c r="CL118" s="474">
        <f t="shared" si="75"/>
        <v>8188.3321309811718</v>
      </c>
      <c r="CM118" s="576">
        <f t="shared" si="76"/>
        <v>0</v>
      </c>
    </row>
    <row r="119" spans="1:91">
      <c r="A119" s="89">
        <f>'Input data'!A139</f>
        <v>2039</v>
      </c>
      <c r="B119" s="152">
        <f>'Input data'!B139</f>
        <v>70.877294017675013</v>
      </c>
      <c r="C119" s="204">
        <f>'Input data'!C139</f>
        <v>6615.260000000002</v>
      </c>
      <c r="D119" s="205">
        <f>'Input data'!D139</f>
        <v>3385780.6342660398</v>
      </c>
      <c r="E119" s="579">
        <f t="shared" si="29"/>
        <v>0.90493333333333303</v>
      </c>
      <c r="F119" s="100">
        <f t="shared" si="30"/>
        <v>0.3413666666666666</v>
      </c>
      <c r="G119" s="474">
        <f>B119*F119*'Input data'!$C$9</f>
        <v>740.54300968163386</v>
      </c>
      <c r="H119" s="473">
        <f>'Input data'!I139</f>
        <v>424.26313389388866</v>
      </c>
      <c r="I119" s="474">
        <f>'Input data'!K139</f>
        <v>30070.622881857369</v>
      </c>
      <c r="J119" s="474">
        <f t="shared" si="94"/>
        <v>3566.0900742274539</v>
      </c>
      <c r="K119" s="475">
        <f t="shared" si="78"/>
        <v>10408.283125138498</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10940.887729063881</v>
      </c>
      <c r="AA119" s="475">
        <f t="shared" si="81"/>
        <v>7374.7976548364277</v>
      </c>
      <c r="AB119" s="938">
        <f t="shared" si="42"/>
        <v>0.67405843451310388</v>
      </c>
      <c r="AC119" s="118" t="str">
        <f t="shared" si="43"/>
        <v>Yes</v>
      </c>
      <c r="AD119" s="938">
        <f t="shared" si="44"/>
        <v>0.67405843451310388</v>
      </c>
      <c r="AE119" s="579">
        <f t="shared" si="11"/>
        <v>0.35361867361498778</v>
      </c>
      <c r="AF119" s="475">
        <f t="shared" si="45"/>
        <v>274.23576722259378</v>
      </c>
      <c r="AG119" s="473">
        <f t="shared" si="46"/>
        <v>3566.0900742274539</v>
      </c>
      <c r="AH119" s="474">
        <f t="shared" si="82"/>
        <v>8242.7956450006986</v>
      </c>
      <c r="AI119" s="474">
        <f t="shared" si="83"/>
        <v>6437.6604656145792</v>
      </c>
      <c r="AJ119" s="474">
        <f t="shared" si="12"/>
        <v>1190.5429187557343</v>
      </c>
      <c r="AK119" s="474">
        <f t="shared" si="47"/>
        <v>19437.089103598464</v>
      </c>
      <c r="AL119" s="640">
        <f t="shared" si="13"/>
        <v>0</v>
      </c>
      <c r="AM119" s="579">
        <f t="shared" si="48"/>
        <v>0.18346831952153009</v>
      </c>
      <c r="AN119" s="100">
        <f t="shared" si="49"/>
        <v>0.42407562166675861</v>
      </c>
      <c r="AO119" s="100">
        <f t="shared" si="50"/>
        <v>0.33120496753923662</v>
      </c>
      <c r="AP119" s="100">
        <f t="shared" si="51"/>
        <v>6.1251091272474766E-2</v>
      </c>
      <c r="AQ119" s="471">
        <f t="shared" si="52"/>
        <v>1.0000000000000002</v>
      </c>
      <c r="AR119" s="473">
        <f t="shared" si="14"/>
        <v>657.31816413214187</v>
      </c>
      <c r="AS119" s="474">
        <f t="shared" si="15"/>
        <v>833.65726075010275</v>
      </c>
      <c r="AT119" s="474">
        <f t="shared" si="16"/>
        <v>268.72690185556371</v>
      </c>
      <c r="AU119" s="474">
        <f t="shared" si="17"/>
        <v>0</v>
      </c>
      <c r="AV119" s="474">
        <f t="shared" si="18"/>
        <v>0</v>
      </c>
      <c r="AW119" s="474">
        <f t="shared" si="19"/>
        <v>0</v>
      </c>
      <c r="AX119" s="474">
        <f t="shared" si="20"/>
        <v>1143.7924827535885</v>
      </c>
      <c r="AY119" s="474">
        <f t="shared" si="21"/>
        <v>165.3663145677946</v>
      </c>
      <c r="AZ119" s="474">
        <f t="shared" si="22"/>
        <v>240.35908460895368</v>
      </c>
      <c r="BA119" s="474">
        <f t="shared" si="23"/>
        <v>211.29471573217822</v>
      </c>
      <c r="BB119" s="474">
        <f t="shared" si="24"/>
        <v>45.575149827128605</v>
      </c>
      <c r="BC119" s="475">
        <f t="shared" si="53"/>
        <v>3566.0900742274525</v>
      </c>
      <c r="BD119" s="647">
        <f t="shared" si="54"/>
        <v>0</v>
      </c>
      <c r="BE119" s="383">
        <f t="shared" si="55"/>
        <v>0.18432461055391075</v>
      </c>
      <c r="BF119" s="383">
        <f t="shared" si="56"/>
        <v>0.23377347273840351</v>
      </c>
      <c r="BG119" s="383">
        <f t="shared" si="57"/>
        <v>7.5356173361319237E-2</v>
      </c>
      <c r="BH119" s="383">
        <f t="shared" si="58"/>
        <v>0</v>
      </c>
      <c r="BI119" s="383">
        <f t="shared" si="59"/>
        <v>0</v>
      </c>
      <c r="BJ119" s="383">
        <f t="shared" si="60"/>
        <v>0</v>
      </c>
      <c r="BK119" s="383">
        <f t="shared" si="61"/>
        <v>0.50654574334636637</v>
      </c>
      <c r="BL119" s="383">
        <f t="shared" si="62"/>
        <v>0.99999999999999978</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79.609905041867577</v>
      </c>
      <c r="BW119" s="100">
        <f t="shared" si="65"/>
        <v>0.64338880951351163</v>
      </c>
      <c r="BX119" s="1385">
        <f t="shared" si="25"/>
        <v>3.3857806342660397</v>
      </c>
      <c r="BY119" s="473">
        <f t="shared" si="66"/>
        <v>79.609905041867577</v>
      </c>
      <c r="BZ119" s="100">
        <f t="shared" si="67"/>
        <v>0.64338880951351163</v>
      </c>
      <c r="CA119" s="489">
        <f t="shared" si="26"/>
        <v>3.3857806342660397</v>
      </c>
      <c r="CB119" s="579">
        <f t="shared" si="27"/>
        <v>0.35361867361498778</v>
      </c>
      <c r="CC119" s="471">
        <f t="shared" si="68"/>
        <v>0.27480155077307966</v>
      </c>
      <c r="CD119" s="100">
        <f t="shared" si="28"/>
        <v>0.35361867361498778</v>
      </c>
      <c r="CE119" s="471">
        <f t="shared" si="69"/>
        <v>0.27480155077307966</v>
      </c>
      <c r="CG119" s="473">
        <f t="shared" si="70"/>
        <v>1556.2239882206877</v>
      </c>
      <c r="CH119" s="474">
        <f t="shared" si="71"/>
        <v>602.37855027027786</v>
      </c>
      <c r="CI119" s="474">
        <f t="shared" si="72"/>
        <v>2491.8982453943677</v>
      </c>
      <c r="CJ119" s="474">
        <f t="shared" si="73"/>
        <v>3544.3033424791779</v>
      </c>
      <c r="CK119" s="474">
        <f t="shared" si="74"/>
        <v>47.991518636186704</v>
      </c>
      <c r="CL119" s="474">
        <f t="shared" si="75"/>
        <v>8242.7956450006968</v>
      </c>
      <c r="CM119" s="576">
        <f t="shared" si="76"/>
        <v>0</v>
      </c>
    </row>
    <row r="120" spans="1:91">
      <c r="A120" s="89">
        <f>'Input data'!A140</f>
        <v>2040</v>
      </c>
      <c r="B120" s="152">
        <f>'Input data'!B140</f>
        <v>71.331543257193218</v>
      </c>
      <c r="C120" s="204">
        <f>'Input data'!C140</f>
        <v>6787.6000000000013</v>
      </c>
      <c r="D120" s="205">
        <f>'Input data'!D140</f>
        <v>1821401.0040449696</v>
      </c>
      <c r="E120" s="579">
        <f t="shared" si="29"/>
        <v>0.91357575757575726</v>
      </c>
      <c r="F120" s="100">
        <f t="shared" si="30"/>
        <v>0.3437196969696969</v>
      </c>
      <c r="G120" s="474">
        <f>B120*F120*'Input data'!$C$9</f>
        <v>750.42637070851572</v>
      </c>
      <c r="H120" s="473">
        <f>'Input data'!I140</f>
        <v>424.26313389388866</v>
      </c>
      <c r="I120" s="474">
        <f>'Input data'!K140</f>
        <v>30263.344087784277</v>
      </c>
      <c r="J120" s="474">
        <f t="shared" si="94"/>
        <v>3398.929601998042</v>
      </c>
      <c r="K120" s="475">
        <f t="shared" si="78"/>
        <v>10665.004697104199</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11030.448828800172</v>
      </c>
      <c r="AA120" s="475">
        <f t="shared" si="81"/>
        <v>7631.5192268021301</v>
      </c>
      <c r="AB120" s="938">
        <f t="shared" si="42"/>
        <v>0.69185935633702067</v>
      </c>
      <c r="AC120" s="118" t="str">
        <f t="shared" si="43"/>
        <v>Yes</v>
      </c>
      <c r="AD120" s="938">
        <f t="shared" si="44"/>
        <v>0.69185935633702067</v>
      </c>
      <c r="AE120" s="579">
        <f t="shared" si="11"/>
        <v>0.3634229726270003</v>
      </c>
      <c r="AF120" s="475">
        <f t="shared" si="45"/>
        <v>270.07616459812459</v>
      </c>
      <c r="AG120" s="473">
        <f t="shared" si="46"/>
        <v>3398.929601998042</v>
      </c>
      <c r="AH120" s="474">
        <f t="shared" si="82"/>
        <v>8295.623334109594</v>
      </c>
      <c r="AI120" s="474">
        <f t="shared" si="83"/>
        <v>6437.6604656145792</v>
      </c>
      <c r="AJ120" s="474">
        <f t="shared" si="12"/>
        <v>1132.7362160457451</v>
      </c>
      <c r="AK120" s="474">
        <f t="shared" si="47"/>
        <v>19264.949617767961</v>
      </c>
      <c r="AL120" s="640">
        <f t="shared" si="13"/>
        <v>0</v>
      </c>
      <c r="AM120" s="579">
        <f t="shared" si="48"/>
        <v>0.17643075478708894</v>
      </c>
      <c r="AN120" s="100">
        <f t="shared" si="49"/>
        <v>0.43060706094235429</v>
      </c>
      <c r="AO120" s="100">
        <f t="shared" si="50"/>
        <v>0.33416440703676481</v>
      </c>
      <c r="AP120" s="100">
        <f t="shared" si="51"/>
        <v>5.8797777233791905E-2</v>
      </c>
      <c r="AQ120" s="471">
        <f t="shared" si="52"/>
        <v>0.99999999999999989</v>
      </c>
      <c r="AR120" s="473">
        <f t="shared" si="14"/>
        <v>628.04323028263093</v>
      </c>
      <c r="AS120" s="474">
        <f t="shared" si="15"/>
        <v>796.52872468743988</v>
      </c>
      <c r="AT120" s="474">
        <f t="shared" si="16"/>
        <v>255.67889167380881</v>
      </c>
      <c r="AU120" s="474">
        <f t="shared" si="17"/>
        <v>0</v>
      </c>
      <c r="AV120" s="474">
        <f t="shared" si="18"/>
        <v>0</v>
      </c>
      <c r="AW120" s="474">
        <f t="shared" si="19"/>
        <v>0</v>
      </c>
      <c r="AX120" s="474">
        <f t="shared" si="20"/>
        <v>1088.2557431948335</v>
      </c>
      <c r="AY120" s="474">
        <f t="shared" si="21"/>
        <v>157.33696826379264</v>
      </c>
      <c r="AZ120" s="474">
        <f t="shared" si="22"/>
        <v>228.68847120330153</v>
      </c>
      <c r="BA120" s="474">
        <f t="shared" si="23"/>
        <v>201.03532010342829</v>
      </c>
      <c r="BB120" s="474">
        <f t="shared" si="24"/>
        <v>43.362252588805219</v>
      </c>
      <c r="BC120" s="475">
        <f t="shared" si="53"/>
        <v>3398.9296019980407</v>
      </c>
      <c r="BD120" s="647">
        <f t="shared" si="54"/>
        <v>0</v>
      </c>
      <c r="BE120" s="383">
        <f t="shared" si="55"/>
        <v>0.18477676910796842</v>
      </c>
      <c r="BF120" s="383">
        <f t="shared" si="56"/>
        <v>0.23434693211039298</v>
      </c>
      <c r="BG120" s="383">
        <f t="shared" si="57"/>
        <v>7.5223356059951785E-2</v>
      </c>
      <c r="BH120" s="383">
        <f t="shared" si="58"/>
        <v>0</v>
      </c>
      <c r="BI120" s="383">
        <f t="shared" si="59"/>
        <v>0</v>
      </c>
      <c r="BJ120" s="383">
        <f t="shared" si="60"/>
        <v>0</v>
      </c>
      <c r="BK120" s="383">
        <f t="shared" si="61"/>
        <v>0.50565294272168693</v>
      </c>
      <c r="BL120" s="383">
        <f t="shared" si="62"/>
        <v>1</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79.138775890001838</v>
      </c>
      <c r="BW120" s="100">
        <f t="shared" si="65"/>
        <v>0.65436883226899756</v>
      </c>
      <c r="BX120" s="1385">
        <f t="shared" si="25"/>
        <v>1.8214010040449695</v>
      </c>
      <c r="BY120" s="473">
        <f t="shared" si="66"/>
        <v>79.138775890001838</v>
      </c>
      <c r="BZ120" s="100">
        <f t="shared" si="67"/>
        <v>0.65436883226899756</v>
      </c>
      <c r="CA120" s="489">
        <f t="shared" si="26"/>
        <v>1.8214010040449695</v>
      </c>
      <c r="CB120" s="579">
        <f t="shared" si="27"/>
        <v>0.3634229726270003</v>
      </c>
      <c r="CC120" s="471">
        <f t="shared" si="68"/>
        <v>0.28280497525166504</v>
      </c>
      <c r="CD120" s="100">
        <f t="shared" si="28"/>
        <v>0.3634229726270003</v>
      </c>
      <c r="CE120" s="471">
        <f t="shared" si="69"/>
        <v>0.28280497525166504</v>
      </c>
      <c r="CG120" s="473">
        <f t="shared" si="70"/>
        <v>1566.1977544735719</v>
      </c>
      <c r="CH120" s="474">
        <f t="shared" si="71"/>
        <v>606.23916603100531</v>
      </c>
      <c r="CI120" s="474">
        <f t="shared" si="72"/>
        <v>2507.8687038975499</v>
      </c>
      <c r="CJ120" s="474">
        <f t="shared" si="73"/>
        <v>3567.0186156884165</v>
      </c>
      <c r="CK120" s="474">
        <f t="shared" si="74"/>
        <v>48.299094019050152</v>
      </c>
      <c r="CL120" s="474">
        <f t="shared" si="75"/>
        <v>8295.623334109594</v>
      </c>
      <c r="CM120" s="576">
        <f t="shared" si="76"/>
        <v>0</v>
      </c>
    </row>
    <row r="121" spans="1:91">
      <c r="A121" s="89">
        <f>'Input data'!A141</f>
        <v>2041</v>
      </c>
      <c r="B121" s="152">
        <f>'Input data'!B141</f>
        <v>71.772879261991122</v>
      </c>
      <c r="C121" s="204">
        <f>'Input data'!C141</f>
        <v>6981.3799999999992</v>
      </c>
      <c r="D121" s="205">
        <f>'Input data'!D141</f>
        <v>1694135.0775526946</v>
      </c>
      <c r="E121" s="579">
        <f t="shared" si="29"/>
        <v>0.92221818181818149</v>
      </c>
      <c r="F121" s="100">
        <f t="shared" si="30"/>
        <v>0.3460727272727272</v>
      </c>
      <c r="G121" s="474">
        <f>B121*F121*'Input data'!$C$9</f>
        <v>760.23838067267377</v>
      </c>
      <c r="H121" s="473">
        <f>'Input data'!I141</f>
        <v>424.26313389388866</v>
      </c>
      <c r="I121" s="474">
        <f>'Input data'!K141</f>
        <v>30450.586684280046</v>
      </c>
      <c r="J121" s="474">
        <f t="shared" si="94"/>
        <v>3231.7691297686301</v>
      </c>
      <c r="K121" s="475">
        <f t="shared" si="78"/>
        <v>10919.180258197264</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11117.463917663825</v>
      </c>
      <c r="AA121" s="475">
        <f t="shared" si="81"/>
        <v>7885.6947878951942</v>
      </c>
      <c r="AB121" s="938">
        <f t="shared" si="42"/>
        <v>0.7093069828062244</v>
      </c>
      <c r="AC121" s="118" t="str">
        <f t="shared" si="43"/>
        <v>Yes</v>
      </c>
      <c r="AD121" s="938">
        <f t="shared" si="44"/>
        <v>0.7093069828062244</v>
      </c>
      <c r="AE121" s="579">
        <f t="shared" si="11"/>
        <v>0.37303052026987349</v>
      </c>
      <c r="AF121" s="475">
        <f t="shared" si="45"/>
        <v>266.00003632612436</v>
      </c>
      <c r="AG121" s="473">
        <f t="shared" si="46"/>
        <v>3231.7691297686301</v>
      </c>
      <c r="AH121" s="474">
        <f t="shared" si="82"/>
        <v>8346.9492565894088</v>
      </c>
      <c r="AI121" s="474">
        <f t="shared" si="83"/>
        <v>6437.6604656145792</v>
      </c>
      <c r="AJ121" s="474">
        <f t="shared" si="12"/>
        <v>1075.2096389475591</v>
      </c>
      <c r="AK121" s="474">
        <f t="shared" si="47"/>
        <v>19091.588490920178</v>
      </c>
      <c r="AL121" s="640">
        <f t="shared" si="13"/>
        <v>0</v>
      </c>
      <c r="AM121" s="579">
        <f t="shared" si="48"/>
        <v>0.16927712072285847</v>
      </c>
      <c r="AN121" s="100">
        <f t="shared" si="49"/>
        <v>0.43720559242931295</v>
      </c>
      <c r="AO121" s="100">
        <f t="shared" si="50"/>
        <v>0.33719878619195487</v>
      </c>
      <c r="AP121" s="100">
        <f t="shared" si="51"/>
        <v>5.6318500655873717E-2</v>
      </c>
      <c r="AQ121" s="471">
        <f t="shared" si="52"/>
        <v>1</v>
      </c>
      <c r="AR121" s="473">
        <f t="shared" si="14"/>
        <v>598.55304056157991</v>
      </c>
      <c r="AS121" s="474">
        <f t="shared" si="15"/>
        <v>759.12718594506907</v>
      </c>
      <c r="AT121" s="474">
        <f t="shared" si="16"/>
        <v>242.69411086968017</v>
      </c>
      <c r="AU121" s="474">
        <f t="shared" si="17"/>
        <v>0</v>
      </c>
      <c r="AV121" s="474">
        <f t="shared" si="18"/>
        <v>0</v>
      </c>
      <c r="AW121" s="474">
        <f t="shared" si="19"/>
        <v>0</v>
      </c>
      <c r="AX121" s="474">
        <f t="shared" si="20"/>
        <v>1032.9881292290831</v>
      </c>
      <c r="AY121" s="474">
        <f t="shared" si="21"/>
        <v>149.34653138448269</v>
      </c>
      <c r="AZ121" s="474">
        <f t="shared" si="22"/>
        <v>217.07441244559007</v>
      </c>
      <c r="BA121" s="474">
        <f t="shared" si="23"/>
        <v>190.82564049968084</v>
      </c>
      <c r="BB121" s="474">
        <f t="shared" si="24"/>
        <v>41.160078833463587</v>
      </c>
      <c r="BC121" s="475">
        <f t="shared" si="53"/>
        <v>3231.7691297686292</v>
      </c>
      <c r="BD121" s="647">
        <f t="shared" si="54"/>
        <v>0</v>
      </c>
      <c r="BE121" s="383">
        <f t="shared" si="55"/>
        <v>0.18520909648160166</v>
      </c>
      <c r="BF121" s="383">
        <f t="shared" si="56"/>
        <v>0.23489524018054375</v>
      </c>
      <c r="BG121" s="383">
        <f t="shared" si="57"/>
        <v>7.5096363980385966E-2</v>
      </c>
      <c r="BH121" s="383">
        <f t="shared" si="58"/>
        <v>0</v>
      </c>
      <c r="BI121" s="383">
        <f t="shared" si="59"/>
        <v>0</v>
      </c>
      <c r="BJ121" s="383">
        <f t="shared" si="60"/>
        <v>0</v>
      </c>
      <c r="BK121" s="383">
        <f t="shared" si="61"/>
        <v>0.50479929935746859</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78.629897691840071</v>
      </c>
      <c r="BW121" s="100">
        <f t="shared" si="65"/>
        <v>0.67083783568875455</v>
      </c>
      <c r="BX121" s="1385">
        <f t="shared" si="25"/>
        <v>1.6941350775526947</v>
      </c>
      <c r="BY121" s="473">
        <f t="shared" si="66"/>
        <v>78.629897691840071</v>
      </c>
      <c r="BZ121" s="100">
        <f t="shared" si="67"/>
        <v>0.67083783568875455</v>
      </c>
      <c r="CA121" s="489">
        <f t="shared" si="26"/>
        <v>1.6941350775526947</v>
      </c>
      <c r="CB121" s="579">
        <f t="shared" si="27"/>
        <v>0.37303052026987349</v>
      </c>
      <c r="CC121" s="471">
        <f t="shared" si="68"/>
        <v>0.30516874228803825</v>
      </c>
      <c r="CD121" s="100">
        <f t="shared" si="28"/>
        <v>0.37303052026987349</v>
      </c>
      <c r="CE121" s="471">
        <f t="shared" si="69"/>
        <v>0.30516874228803825</v>
      </c>
      <c r="CG121" s="473">
        <f t="shared" si="70"/>
        <v>1575.8879900708946</v>
      </c>
      <c r="CH121" s="474">
        <f t="shared" si="71"/>
        <v>609.99003358932293</v>
      </c>
      <c r="CI121" s="474">
        <f t="shared" si="72"/>
        <v>2523.3851599252166</v>
      </c>
      <c r="CJ121" s="474">
        <f t="shared" si="73"/>
        <v>3589.0881472449055</v>
      </c>
      <c r="CK121" s="474">
        <f t="shared" si="74"/>
        <v>48.597925759068289</v>
      </c>
      <c r="CL121" s="474">
        <f t="shared" si="75"/>
        <v>8346.949256589407</v>
      </c>
      <c r="CM121" s="576">
        <f t="shared" si="76"/>
        <v>0</v>
      </c>
    </row>
    <row r="122" spans="1:91">
      <c r="A122" s="89">
        <f>'Input data'!A142</f>
        <v>2042</v>
      </c>
      <c r="B122" s="152">
        <f>'Input data'!B142</f>
        <v>72.201023455996193</v>
      </c>
      <c r="C122" s="204">
        <f>'Input data'!C142</f>
        <v>7178.2100000000019</v>
      </c>
      <c r="D122" s="205">
        <f>'Input data'!D142</f>
        <v>1566869.1510604194</v>
      </c>
      <c r="E122" s="579">
        <f t="shared" si="29"/>
        <v>0.93086060606060572</v>
      </c>
      <c r="F122" s="100">
        <f t="shared" si="30"/>
        <v>0.3484257575757575</v>
      </c>
      <c r="G122" s="474">
        <f>B122*F122*'Input data'!$C$9</f>
        <v>769.9732787449791</v>
      </c>
      <c r="H122" s="473">
        <f>'Input data'!I142</f>
        <v>424.26313389388866</v>
      </c>
      <c r="I122" s="474">
        <f>'Input data'!K142</f>
        <v>30632.232481787109</v>
      </c>
      <c r="J122" s="474">
        <f t="shared" si="94"/>
        <v>3064.6086575392183</v>
      </c>
      <c r="K122" s="475">
        <f t="shared" si="78"/>
        <v>11170.754883549911</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11201.878070787059</v>
      </c>
      <c r="AA122" s="475">
        <f t="shared" si="81"/>
        <v>8137.2694132478409</v>
      </c>
      <c r="AB122" s="938">
        <f t="shared" si="42"/>
        <v>0.72642010222095776</v>
      </c>
      <c r="AC122" s="118" t="str">
        <f t="shared" si="43"/>
        <v>Yes</v>
      </c>
      <c r="AD122" s="938">
        <f t="shared" si="44"/>
        <v>0.72642010222095776</v>
      </c>
      <c r="AE122" s="579">
        <f t="shared" si="11"/>
        <v>0.38244924069111452</v>
      </c>
      <c r="AF122" s="475">
        <f t="shared" si="45"/>
        <v>262.0040204829383</v>
      </c>
      <c r="AG122" s="473">
        <f t="shared" si="46"/>
        <v>3064.6086575392183</v>
      </c>
      <c r="AH122" s="474">
        <f t="shared" si="82"/>
        <v>8396.7410149612406</v>
      </c>
      <c r="AI122" s="474">
        <f t="shared" si="83"/>
        <v>6437.6604656145792</v>
      </c>
      <c r="AJ122" s="474">
        <f t="shared" si="12"/>
        <v>1017.9482903388962</v>
      </c>
      <c r="AK122" s="474">
        <f t="shared" si="47"/>
        <v>18916.958428453934</v>
      </c>
      <c r="AL122" s="640">
        <f t="shared" si="13"/>
        <v>0</v>
      </c>
      <c r="AM122" s="579">
        <f t="shared" si="48"/>
        <v>0.16200324534887112</v>
      </c>
      <c r="AN122" s="100">
        <f t="shared" si="49"/>
        <v>0.44387373618854531</v>
      </c>
      <c r="AO122" s="100">
        <f t="shared" si="50"/>
        <v>0.34031160400137977</v>
      </c>
      <c r="AP122" s="100">
        <f t="shared" si="51"/>
        <v>5.3811414461203751E-2</v>
      </c>
      <c r="AQ122" s="471">
        <f t="shared" si="52"/>
        <v>0.99999999999999989</v>
      </c>
      <c r="AR122" s="473">
        <f t="shared" si="14"/>
        <v>568.85904230869892</v>
      </c>
      <c r="AS122" s="474">
        <f t="shared" si="15"/>
        <v>721.46716284666797</v>
      </c>
      <c r="AT122" s="474">
        <f t="shared" si="16"/>
        <v>229.76919689534029</v>
      </c>
      <c r="AU122" s="474">
        <f t="shared" si="17"/>
        <v>0</v>
      </c>
      <c r="AV122" s="474">
        <f t="shared" si="18"/>
        <v>0</v>
      </c>
      <c r="AW122" s="474">
        <f t="shared" si="19"/>
        <v>0</v>
      </c>
      <c r="AX122" s="474">
        <f t="shared" si="20"/>
        <v>977.97532871671524</v>
      </c>
      <c r="AY122" s="474">
        <f t="shared" si="21"/>
        <v>141.39293472079191</v>
      </c>
      <c r="AZ122" s="474">
        <f t="shared" si="22"/>
        <v>205.51390075111314</v>
      </c>
      <c r="BA122" s="474">
        <f t="shared" si="23"/>
        <v>180.66303301522862</v>
      </c>
      <c r="BB122" s="474">
        <f t="shared" si="24"/>
        <v>38.968058284661609</v>
      </c>
      <c r="BC122" s="475">
        <f t="shared" si="53"/>
        <v>3064.6086575392178</v>
      </c>
      <c r="BD122" s="647">
        <f t="shared" si="54"/>
        <v>0</v>
      </c>
      <c r="BE122" s="383">
        <f t="shared" si="55"/>
        <v>0.18562208290747126</v>
      </c>
      <c r="BF122" s="383">
        <f t="shared" si="56"/>
        <v>0.23541901869649579</v>
      </c>
      <c r="BG122" s="383">
        <f t="shared" si="57"/>
        <v>7.497505312141145E-2</v>
      </c>
      <c r="BH122" s="383">
        <f t="shared" si="58"/>
        <v>0</v>
      </c>
      <c r="BI122" s="383">
        <f t="shared" si="59"/>
        <v>0</v>
      </c>
      <c r="BJ122" s="383">
        <f t="shared" si="60"/>
        <v>0</v>
      </c>
      <c r="BK122" s="383">
        <f t="shared" si="61"/>
        <v>0.50398384527462148</v>
      </c>
      <c r="BL122" s="383">
        <f t="shared" si="62"/>
        <v>1</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78.206341736930185</v>
      </c>
      <c r="BW122" s="100">
        <f t="shared" si="65"/>
        <v>0.68695506395208727</v>
      </c>
      <c r="BX122" s="1385">
        <f t="shared" si="25"/>
        <v>1.5668691510604194</v>
      </c>
      <c r="BY122" s="473">
        <f t="shared" si="66"/>
        <v>78.206341736930185</v>
      </c>
      <c r="BZ122" s="100">
        <f t="shared" si="67"/>
        <v>0.68695506395208727</v>
      </c>
      <c r="CA122" s="489">
        <f t="shared" si="26"/>
        <v>1.5668691510604194</v>
      </c>
      <c r="CB122" s="579">
        <f t="shared" si="27"/>
        <v>0.38244924069111452</v>
      </c>
      <c r="CC122" s="471">
        <f t="shared" si="68"/>
        <v>0.32570716173924164</v>
      </c>
      <c r="CD122" s="100">
        <f t="shared" si="28"/>
        <v>0.38244924069111452</v>
      </c>
      <c r="CE122" s="471">
        <f t="shared" si="69"/>
        <v>0.32570716173924164</v>
      </c>
      <c r="CG122" s="473">
        <f t="shared" si="70"/>
        <v>1585.2885784308558</v>
      </c>
      <c r="CH122" s="474">
        <f t="shared" si="71"/>
        <v>613.62878535694961</v>
      </c>
      <c r="CI122" s="474">
        <f t="shared" si="72"/>
        <v>2538.4378193220464</v>
      </c>
      <c r="CJ122" s="474">
        <f t="shared" si="73"/>
        <v>3610.4980066209814</v>
      </c>
      <c r="CK122" s="474">
        <f t="shared" si="74"/>
        <v>48.887825230405966</v>
      </c>
      <c r="CL122" s="474">
        <f t="shared" si="75"/>
        <v>8396.7410149612388</v>
      </c>
      <c r="CM122" s="576">
        <f t="shared" si="76"/>
        <v>0</v>
      </c>
    </row>
    <row r="123" spans="1:91">
      <c r="A123" s="89">
        <f>'Input data'!A143</f>
        <v>2043</v>
      </c>
      <c r="B123" s="152">
        <f>'Input data'!B143</f>
        <v>72.615704257339331</v>
      </c>
      <c r="C123" s="204">
        <f>'Input data'!C143</f>
        <v>7380.12</v>
      </c>
      <c r="D123" s="205">
        <f>'Input data'!D143</f>
        <v>1439603.2245681447</v>
      </c>
      <c r="E123" s="579">
        <f t="shared" si="29"/>
        <v>0.93950303030302995</v>
      </c>
      <c r="F123" s="100">
        <f t="shared" si="30"/>
        <v>0.3507787878787878</v>
      </c>
      <c r="G123" s="474">
        <f>B123*F123*'Input data'!$C$9</f>
        <v>779.62529893675719</v>
      </c>
      <c r="H123" s="473">
        <f>'Input data'!I143</f>
        <v>424.26313389388866</v>
      </c>
      <c r="I123" s="474">
        <f>'Input data'!K143</f>
        <v>30808.166258130579</v>
      </c>
      <c r="J123" s="474">
        <f t="shared" si="94"/>
        <v>2897.4481853098064</v>
      </c>
      <c r="K123" s="475">
        <f t="shared" si="78"/>
        <v>11419.67502729184</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11283.637742299576</v>
      </c>
      <c r="AA123" s="475">
        <f t="shared" si="81"/>
        <v>8386.1895569897697</v>
      </c>
      <c r="AB123" s="938">
        <f t="shared" si="42"/>
        <v>0.7432168373814424</v>
      </c>
      <c r="AC123" s="118" t="str">
        <f t="shared" si="43"/>
        <v>Yes</v>
      </c>
      <c r="AD123" s="938">
        <f t="shared" si="44"/>
        <v>0.7432168373814424</v>
      </c>
      <c r="AE123" s="579">
        <f t="shared" si="11"/>
        <v>0.39168682355784157</v>
      </c>
      <c r="AF123" s="475">
        <f t="shared" si="45"/>
        <v>258.08485462629619</v>
      </c>
      <c r="AG123" s="473">
        <f t="shared" si="46"/>
        <v>2897.4481853098064</v>
      </c>
      <c r="AH123" s="474">
        <f t="shared" si="82"/>
        <v>8444.9670251489915</v>
      </c>
      <c r="AI123" s="474">
        <f t="shared" si="83"/>
        <v>6437.6604656145792</v>
      </c>
      <c r="AJ123" s="474">
        <f t="shared" si="12"/>
        <v>960.93780076815722</v>
      </c>
      <c r="AK123" s="474">
        <f t="shared" si="47"/>
        <v>18741.013476841537</v>
      </c>
      <c r="AL123" s="640">
        <f t="shared" si="13"/>
        <v>0</v>
      </c>
      <c r="AM123" s="579">
        <f t="shared" si="48"/>
        <v>0.15460466899990297</v>
      </c>
      <c r="AN123" s="100">
        <f t="shared" si="49"/>
        <v>0.45061421227750165</v>
      </c>
      <c r="AO123" s="100">
        <f t="shared" si="50"/>
        <v>0.34350652773232687</v>
      </c>
      <c r="AP123" s="100">
        <f t="shared" si="51"/>
        <v>5.1274590990268369E-2</v>
      </c>
      <c r="AQ123" s="471">
        <f t="shared" si="52"/>
        <v>0.99999999999999978</v>
      </c>
      <c r="AR123" s="473">
        <f t="shared" si="14"/>
        <v>538.97227738769902</v>
      </c>
      <c r="AS123" s="474">
        <f t="shared" si="15"/>
        <v>683.56265946265023</v>
      </c>
      <c r="AT123" s="474">
        <f t="shared" si="16"/>
        <v>216.90090630769376</v>
      </c>
      <c r="AU123" s="474">
        <f t="shared" si="17"/>
        <v>0</v>
      </c>
      <c r="AV123" s="474">
        <f t="shared" si="18"/>
        <v>0</v>
      </c>
      <c r="AW123" s="474">
        <f t="shared" si="19"/>
        <v>0</v>
      </c>
      <c r="AX123" s="474">
        <f t="shared" si="20"/>
        <v>923.20353646813021</v>
      </c>
      <c r="AY123" s="474">
        <f t="shared" si="21"/>
        <v>133.47418235706206</v>
      </c>
      <c r="AZ123" s="474">
        <f t="shared" si="22"/>
        <v>194.00403506676429</v>
      </c>
      <c r="BA123" s="474">
        <f t="shared" si="23"/>
        <v>170.5449473940977</v>
      </c>
      <c r="BB123" s="474">
        <f t="shared" si="24"/>
        <v>36.785640865708004</v>
      </c>
      <c r="BC123" s="475">
        <f t="shared" si="53"/>
        <v>2897.448185309805</v>
      </c>
      <c r="BD123" s="647">
        <f t="shared" si="54"/>
        <v>0</v>
      </c>
      <c r="BE123" s="383">
        <f t="shared" si="55"/>
        <v>0.18601619180640164</v>
      </c>
      <c r="BF123" s="383">
        <f t="shared" si="56"/>
        <v>0.23591885540122656</v>
      </c>
      <c r="BG123" s="383">
        <f t="shared" si="57"/>
        <v>7.4859287357541465E-2</v>
      </c>
      <c r="BH123" s="383">
        <f t="shared" si="58"/>
        <v>0</v>
      </c>
      <c r="BI123" s="383">
        <f t="shared" si="59"/>
        <v>0</v>
      </c>
      <c r="BJ123" s="383">
        <f t="shared" si="60"/>
        <v>0</v>
      </c>
      <c r="BK123" s="383">
        <f t="shared" si="61"/>
        <v>0.50320566543483047</v>
      </c>
      <c r="BL123" s="383">
        <f t="shared" si="62"/>
        <v>1</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77.874609451613395</v>
      </c>
      <c r="BW123" s="100">
        <f t="shared" si="65"/>
        <v>0.70273620658294578</v>
      </c>
      <c r="BX123" s="1385">
        <f t="shared" si="25"/>
        <v>1.4396032245681447</v>
      </c>
      <c r="BY123" s="473">
        <f t="shared" si="66"/>
        <v>77.874609451613395</v>
      </c>
      <c r="BZ123" s="100">
        <f t="shared" si="67"/>
        <v>0.70273620658294578</v>
      </c>
      <c r="CA123" s="489">
        <f t="shared" si="26"/>
        <v>1.4396032245681447</v>
      </c>
      <c r="CB123" s="579">
        <f t="shared" si="27"/>
        <v>0.39168682355784157</v>
      </c>
      <c r="CC123" s="471">
        <f t="shared" si="68"/>
        <v>0.34463605555278665</v>
      </c>
      <c r="CD123" s="100">
        <f t="shared" si="28"/>
        <v>0.39168682355784157</v>
      </c>
      <c r="CE123" s="471">
        <f t="shared" si="69"/>
        <v>0.34463605555278665</v>
      </c>
      <c r="CG123" s="473">
        <f t="shared" si="70"/>
        <v>1594.3935565405427</v>
      </c>
      <c r="CH123" s="474">
        <f t="shared" si="71"/>
        <v>617.1531131885921</v>
      </c>
      <c r="CI123" s="474">
        <f t="shared" si="72"/>
        <v>2553.0171338343644</v>
      </c>
      <c r="CJ123" s="474">
        <f t="shared" si="73"/>
        <v>3631.2346130424385</v>
      </c>
      <c r="CK123" s="474">
        <f t="shared" si="74"/>
        <v>49.168608543052834</v>
      </c>
      <c r="CL123" s="474">
        <f t="shared" si="75"/>
        <v>8444.9670251489897</v>
      </c>
      <c r="CM123" s="576">
        <f t="shared" si="76"/>
        <v>0</v>
      </c>
    </row>
    <row r="124" spans="1:91">
      <c r="A124" s="89">
        <f>'Input data'!A144</f>
        <v>2044</v>
      </c>
      <c r="B124" s="152">
        <f>'Input data'!B144</f>
        <v>73.016657364175842</v>
      </c>
      <c r="C124" s="204">
        <f>'Input data'!C144</f>
        <v>7589.87</v>
      </c>
      <c r="D124" s="205">
        <f>'Input data'!D144</f>
        <v>1312337.2980758694</v>
      </c>
      <c r="E124" s="579">
        <f t="shared" si="29"/>
        <v>0.94814545454545418</v>
      </c>
      <c r="F124" s="100">
        <f t="shared" si="30"/>
        <v>0.3531318181818181</v>
      </c>
      <c r="G124" s="474">
        <f>B124*F124*'Input data'!$C$9</f>
        <v>789.18867570762859</v>
      </c>
      <c r="H124" s="473">
        <f>'Input data'!I144</f>
        <v>424.26313389388866</v>
      </c>
      <c r="I124" s="474">
        <f>'Input data'!K144</f>
        <v>30978.275879781526</v>
      </c>
      <c r="J124" s="474">
        <f t="shared" si="94"/>
        <v>2730.2877130803945</v>
      </c>
      <c r="K124" s="475">
        <f t="shared" si="78"/>
        <v>11665.888578903505</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11362.69082168183</v>
      </c>
      <c r="AA124" s="475">
        <f t="shared" si="81"/>
        <v>8632.4031086014365</v>
      </c>
      <c r="AB124" s="938">
        <f t="shared" si="42"/>
        <v>0.75971468766266448</v>
      </c>
      <c r="AC124" s="118" t="str">
        <f t="shared" si="43"/>
        <v>Yes</v>
      </c>
      <c r="AD124" s="938">
        <f t="shared" si="44"/>
        <v>0.75971468766266448</v>
      </c>
      <c r="AE124" s="579">
        <f t="shared" si="11"/>
        <v>0.40075073591736332</v>
      </c>
      <c r="AF124" s="475">
        <f t="shared" si="45"/>
        <v>254.23937076330594</v>
      </c>
      <c r="AG124" s="473">
        <f t="shared" si="46"/>
        <v>2730.2877130803945</v>
      </c>
      <c r="AH124" s="474">
        <f t="shared" si="82"/>
        <v>8491.5965497194029</v>
      </c>
      <c r="AI124" s="474">
        <f t="shared" si="83"/>
        <v>6437.6604656145792</v>
      </c>
      <c r="AJ124" s="474">
        <f t="shared" si="12"/>
        <v>904.16429509359807</v>
      </c>
      <c r="AK124" s="474">
        <f t="shared" si="47"/>
        <v>18563.709023507974</v>
      </c>
      <c r="AL124" s="640">
        <f t="shared" si="13"/>
        <v>0</v>
      </c>
      <c r="AM124" s="579">
        <f t="shared" si="48"/>
        <v>0.14707662728514656</v>
      </c>
      <c r="AN124" s="100">
        <f t="shared" si="49"/>
        <v>0.45742995319341362</v>
      </c>
      <c r="AO124" s="100">
        <f t="shared" si="50"/>
        <v>0.34678740425538396</v>
      </c>
      <c r="AP124" s="100">
        <f t="shared" si="51"/>
        <v>4.8706015266055849E-2</v>
      </c>
      <c r="AQ124" s="471">
        <f t="shared" si="52"/>
        <v>1</v>
      </c>
      <c r="AR124" s="473">
        <f t="shared" si="14"/>
        <v>508.90340782162662</v>
      </c>
      <c r="AS124" s="474">
        <f t="shared" si="15"/>
        <v>645.4271981227065</v>
      </c>
      <c r="AT124" s="474">
        <f t="shared" si="16"/>
        <v>204.08610723825029</v>
      </c>
      <c r="AU124" s="474">
        <f t="shared" si="17"/>
        <v>0</v>
      </c>
      <c r="AV124" s="474">
        <f t="shared" si="18"/>
        <v>0</v>
      </c>
      <c r="AW124" s="474">
        <f t="shared" si="19"/>
        <v>0</v>
      </c>
      <c r="AX124" s="474">
        <f t="shared" si="20"/>
        <v>868.65942219294197</v>
      </c>
      <c r="AY124" s="474">
        <f t="shared" si="21"/>
        <v>125.58834703723363</v>
      </c>
      <c r="AZ124" s="474">
        <f t="shared" si="22"/>
        <v>182.54201413580947</v>
      </c>
      <c r="BA124" s="474">
        <f t="shared" si="23"/>
        <v>160.46892110924742</v>
      </c>
      <c r="BB124" s="474">
        <f t="shared" si="24"/>
        <v>34.612295422577247</v>
      </c>
      <c r="BC124" s="475">
        <f t="shared" si="53"/>
        <v>2730.2877130803927</v>
      </c>
      <c r="BD124" s="647">
        <f t="shared" si="54"/>
        <v>0</v>
      </c>
      <c r="BE124" s="383">
        <f t="shared" si="55"/>
        <v>0.18639186096891835</v>
      </c>
      <c r="BF124" s="383">
        <f t="shared" si="56"/>
        <v>0.23639530553156105</v>
      </c>
      <c r="BG124" s="383">
        <f t="shared" si="57"/>
        <v>7.4748938091947173E-2</v>
      </c>
      <c r="BH124" s="383">
        <f t="shared" si="58"/>
        <v>0</v>
      </c>
      <c r="BI124" s="383">
        <f t="shared" si="59"/>
        <v>0</v>
      </c>
      <c r="BJ124" s="383">
        <f t="shared" si="60"/>
        <v>0</v>
      </c>
      <c r="BK124" s="383">
        <f t="shared" si="61"/>
        <v>0.50246389540757364</v>
      </c>
      <c r="BL124" s="383">
        <f t="shared" si="62"/>
        <v>1.0000000000000002</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77.645156874190249</v>
      </c>
      <c r="BW124" s="100">
        <f t="shared" si="65"/>
        <v>0.71820594464304699</v>
      </c>
      <c r="BX124" s="1385">
        <f t="shared" si="25"/>
        <v>1.3123372980758694</v>
      </c>
      <c r="BY124" s="473">
        <f t="shared" si="66"/>
        <v>77.645156874190249</v>
      </c>
      <c r="BZ124" s="100">
        <f t="shared" si="67"/>
        <v>0.71820594464304699</v>
      </c>
      <c r="CA124" s="489">
        <f t="shared" si="26"/>
        <v>1.3123372980758694</v>
      </c>
      <c r="CB124" s="579">
        <f t="shared" si="27"/>
        <v>0.40075073591736332</v>
      </c>
      <c r="CC124" s="471">
        <f t="shared" si="68"/>
        <v>0.36215331971545373</v>
      </c>
      <c r="CD124" s="100">
        <f t="shared" si="28"/>
        <v>0.40075073591736332</v>
      </c>
      <c r="CE124" s="471">
        <f t="shared" si="69"/>
        <v>0.36215331971545373</v>
      </c>
      <c r="CG124" s="473">
        <f t="shared" si="70"/>
        <v>1603.1971212315846</v>
      </c>
      <c r="CH124" s="474">
        <f t="shared" si="71"/>
        <v>620.56077081110675</v>
      </c>
      <c r="CI124" s="474">
        <f t="shared" si="72"/>
        <v>2567.1138111590112</v>
      </c>
      <c r="CJ124" s="474">
        <f t="shared" si="73"/>
        <v>3651.284749781345</v>
      </c>
      <c r="CK124" s="474">
        <f t="shared" si="74"/>
        <v>49.440096736354654</v>
      </c>
      <c r="CL124" s="474">
        <f t="shared" si="75"/>
        <v>8491.5965497194029</v>
      </c>
      <c r="CM124" s="576">
        <f t="shared" si="76"/>
        <v>0</v>
      </c>
    </row>
    <row r="125" spans="1:91">
      <c r="A125" s="89">
        <f>'Input data'!A145</f>
        <v>2045</v>
      </c>
      <c r="B125" s="152">
        <f>'Input data'!B145</f>
        <v>73.40362603426334</v>
      </c>
      <c r="C125" s="204">
        <f>'Input data'!C145</f>
        <v>7808.4800000000005</v>
      </c>
      <c r="D125" s="205">
        <f>'Input data'!D145</f>
        <v>1185071.3715835942</v>
      </c>
      <c r="E125" s="579">
        <f t="shared" si="29"/>
        <v>0.95678787878787841</v>
      </c>
      <c r="F125" s="100">
        <f t="shared" si="30"/>
        <v>0.3554848484848484</v>
      </c>
      <c r="G125" s="474">
        <f>B125*F125*'Input data'!$C$9</f>
        <v>798.65764962893218</v>
      </c>
      <c r="H125" s="473">
        <f>'Input data'!I145</f>
        <v>424.26313389388866</v>
      </c>
      <c r="I125" s="474">
        <f>'Input data'!K145</f>
        <v>31142.4524204716</v>
      </c>
      <c r="J125" s="474">
        <f t="shared" si="94"/>
        <v>2563.1272408509826</v>
      </c>
      <c r="K125" s="475">
        <f t="shared" si="78"/>
        <v>11909.34491833852</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11438.986688887433</v>
      </c>
      <c r="AA125" s="475">
        <f t="shared" si="81"/>
        <v>8875.85944803645</v>
      </c>
      <c r="AB125" s="938">
        <f t="shared" si="42"/>
        <v>0.77593056880283207</v>
      </c>
      <c r="AC125" s="118" t="str">
        <f t="shared" si="43"/>
        <v>Yes</v>
      </c>
      <c r="AD125" s="938">
        <f t="shared" si="44"/>
        <v>0.77593056880283207</v>
      </c>
      <c r="AE125" s="579">
        <f t="shared" si="11"/>
        <v>0.40964823355685753</v>
      </c>
      <c r="AF125" s="475">
        <f t="shared" si="45"/>
        <v>250.46449053096063</v>
      </c>
      <c r="AG125" s="473">
        <f t="shared" si="46"/>
        <v>2563.1272408509826</v>
      </c>
      <c r="AH125" s="474">
        <f t="shared" si="82"/>
        <v>8536.5997303960448</v>
      </c>
      <c r="AI125" s="474">
        <f t="shared" si="83"/>
        <v>6437.6604656145792</v>
      </c>
      <c r="AJ125" s="474">
        <f t="shared" si="12"/>
        <v>847.61436093531825</v>
      </c>
      <c r="AK125" s="474">
        <f t="shared" si="47"/>
        <v>18385.001797796926</v>
      </c>
      <c r="AL125" s="640">
        <f t="shared" si="13"/>
        <v>0</v>
      </c>
      <c r="AM125" s="579">
        <f t="shared" si="48"/>
        <v>0.13941403264687863</v>
      </c>
      <c r="AN125" s="100">
        <f t="shared" si="49"/>
        <v>0.4643241172496913</v>
      </c>
      <c r="AO125" s="100">
        <f t="shared" si="50"/>
        <v>0.35015827229269042</v>
      </c>
      <c r="AP125" s="100">
        <f t="shared" si="51"/>
        <v>4.6103577810739614E-2</v>
      </c>
      <c r="AQ125" s="471">
        <f t="shared" si="52"/>
        <v>0.99999999999999989</v>
      </c>
      <c r="AR125" s="473">
        <f t="shared" si="14"/>
        <v>478.66274003518316</v>
      </c>
      <c r="AS125" s="474">
        <f t="shared" si="15"/>
        <v>607.07385016162345</v>
      </c>
      <c r="AT125" s="474">
        <f t="shared" si="16"/>
        <v>191.32177227217204</v>
      </c>
      <c r="AU125" s="474">
        <f t="shared" si="17"/>
        <v>0</v>
      </c>
      <c r="AV125" s="474">
        <f t="shared" si="18"/>
        <v>0</v>
      </c>
      <c r="AW125" s="474">
        <f t="shared" si="19"/>
        <v>0</v>
      </c>
      <c r="AX125" s="474">
        <f t="shared" si="20"/>
        <v>814.3301001907995</v>
      </c>
      <c r="AY125" s="474">
        <f t="shared" si="21"/>
        <v>117.73356578282947</v>
      </c>
      <c r="AZ125" s="474">
        <f t="shared" si="22"/>
        <v>171.12513012864881</v>
      </c>
      <c r="BA125" s="474">
        <f t="shared" si="23"/>
        <v>150.43257376350451</v>
      </c>
      <c r="BB125" s="474">
        <f t="shared" si="24"/>
        <v>32.447508516220751</v>
      </c>
      <c r="BC125" s="475">
        <f t="shared" si="53"/>
        <v>2563.1272408509817</v>
      </c>
      <c r="BD125" s="647">
        <f t="shared" si="54"/>
        <v>0</v>
      </c>
      <c r="BE125" s="383">
        <f t="shared" si="55"/>
        <v>0.1867495036556448</v>
      </c>
      <c r="BF125" s="383">
        <f t="shared" si="56"/>
        <v>0.2368488932137717</v>
      </c>
      <c r="BG125" s="383">
        <f t="shared" si="57"/>
        <v>7.4643883933226615E-2</v>
      </c>
      <c r="BH125" s="383">
        <f t="shared" si="58"/>
        <v>0</v>
      </c>
      <c r="BI125" s="383">
        <f t="shared" si="59"/>
        <v>0</v>
      </c>
      <c r="BJ125" s="383">
        <f t="shared" si="60"/>
        <v>0</v>
      </c>
      <c r="BK125" s="383">
        <f t="shared" si="61"/>
        <v>0.5017577191973569</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77.519718179302984</v>
      </c>
      <c r="BW125" s="100">
        <f t="shared" si="65"/>
        <v>0.73335078435143242</v>
      </c>
      <c r="BX125" s="1385">
        <f t="shared" si="25"/>
        <v>1.1850713715835943</v>
      </c>
      <c r="BY125" s="473">
        <f t="shared" si="66"/>
        <v>77.519718179302984</v>
      </c>
      <c r="BZ125" s="100">
        <f t="shared" si="67"/>
        <v>0.73335078435143242</v>
      </c>
      <c r="CA125" s="489">
        <f t="shared" si="26"/>
        <v>1.1850713715835943</v>
      </c>
      <c r="CB125" s="579">
        <f t="shared" si="27"/>
        <v>0.40964823355685753</v>
      </c>
      <c r="CC125" s="471">
        <f t="shared" si="68"/>
        <v>0.37837504181405246</v>
      </c>
      <c r="CD125" s="100">
        <f t="shared" si="28"/>
        <v>0.40964823355685753</v>
      </c>
      <c r="CE125" s="471">
        <f t="shared" si="69"/>
        <v>0.37837504181405246</v>
      </c>
      <c r="CG125" s="473">
        <f t="shared" si="70"/>
        <v>1611.6936353187311</v>
      </c>
      <c r="CH125" s="474">
        <f t="shared" si="71"/>
        <v>623.84957619960244</v>
      </c>
      <c r="CI125" s="474">
        <f t="shared" si="72"/>
        <v>2580.7188247727249</v>
      </c>
      <c r="CJ125" s="474">
        <f t="shared" si="73"/>
        <v>3670.6355781366688</v>
      </c>
      <c r="CK125" s="474">
        <f t="shared" si="74"/>
        <v>49.702115968317628</v>
      </c>
      <c r="CL125" s="474">
        <f t="shared" si="75"/>
        <v>8536.5997303960448</v>
      </c>
      <c r="CM125" s="576">
        <f t="shared" si="76"/>
        <v>0</v>
      </c>
    </row>
    <row r="126" spans="1:91">
      <c r="A126" s="89">
        <f>'Input data'!A146</f>
        <v>2046</v>
      </c>
      <c r="B126" s="152">
        <f>'Input data'!B146</f>
        <v>73.776422042674071</v>
      </c>
      <c r="C126" s="204">
        <f>'Input data'!C146</f>
        <v>8042.25</v>
      </c>
      <c r="D126" s="205">
        <f>'Input data'!D146</f>
        <v>990067.58809674683</v>
      </c>
      <c r="E126" s="579">
        <f t="shared" si="29"/>
        <v>0.96543030303030264</v>
      </c>
      <c r="F126" s="100">
        <f t="shared" si="30"/>
        <v>0.3578378787878787</v>
      </c>
      <c r="G126" s="474">
        <f>B126*F126*'Input data'!$C$9</f>
        <v>808.0271377377203</v>
      </c>
      <c r="H126" s="473">
        <f>'Input data'!I146</f>
        <v>424.26313389388866</v>
      </c>
      <c r="I126" s="474">
        <f>'Input data'!K146</f>
        <v>31300.616023303068</v>
      </c>
      <c r="J126" s="474">
        <f t="shared" si="94"/>
        <v>2395.9667686215707</v>
      </c>
      <c r="K126" s="475">
        <f>I126*$B$10-J126</f>
        <v>12150.006934623301</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11512.488232942802</v>
      </c>
      <c r="AA126" s="475">
        <f t="shared" si="81"/>
        <v>9116.5214643212312</v>
      </c>
      <c r="AB126" s="938">
        <f t="shared" si="42"/>
        <v>0.79188106687783189</v>
      </c>
      <c r="AC126" s="118" t="str">
        <f t="shared" si="43"/>
        <v>Yes</v>
      </c>
      <c r="AD126" s="938">
        <f t="shared" si="44"/>
        <v>0.79188106687783189</v>
      </c>
      <c r="AE126" s="579">
        <f t="shared" si="11"/>
        <v>0.41838663030709577</v>
      </c>
      <c r="AF126" s="475">
        <f t="shared" si="45"/>
        <v>246.75711094049637</v>
      </c>
      <c r="AG126" s="473">
        <f t="shared" si="46"/>
        <v>2395.9667686215707</v>
      </c>
      <c r="AH126" s="474">
        <f t="shared" si="82"/>
        <v>8579.95467724031</v>
      </c>
      <c r="AI126" s="474">
        <f t="shared" si="83"/>
        <v>6437.6604656145792</v>
      </c>
      <c r="AJ126" s="474">
        <f t="shared" si="12"/>
        <v>791.27484730054823</v>
      </c>
      <c r="AK126" s="474">
        <f t="shared" si="47"/>
        <v>18204.856758777009</v>
      </c>
      <c r="AL126" s="640">
        <f t="shared" si="13"/>
        <v>0</v>
      </c>
      <c r="AM126" s="579">
        <f t="shared" si="48"/>
        <v>0.13161140460313792</v>
      </c>
      <c r="AN126" s="100">
        <f t="shared" si="49"/>
        <v>0.47130031237975567</v>
      </c>
      <c r="AO126" s="100">
        <f t="shared" si="50"/>
        <v>0.35362324191377253</v>
      </c>
      <c r="AP126" s="100">
        <f t="shared" si="51"/>
        <v>4.3465041103333879E-2</v>
      </c>
      <c r="AQ126" s="471">
        <f t="shared" si="52"/>
        <v>1</v>
      </c>
      <c r="AR126" s="473">
        <f t="shared" si="14"/>
        <v>448.260379596338</v>
      </c>
      <c r="AS126" s="474">
        <f t="shared" si="15"/>
        <v>568.51543217351252</v>
      </c>
      <c r="AT126" s="474">
        <f t="shared" si="16"/>
        <v>178.60493299438764</v>
      </c>
      <c r="AU126" s="474">
        <f t="shared" si="17"/>
        <v>0</v>
      </c>
      <c r="AV126" s="474">
        <f t="shared" si="18"/>
        <v>0</v>
      </c>
      <c r="AW126" s="474">
        <f t="shared" si="19"/>
        <v>0</v>
      </c>
      <c r="AX126" s="474">
        <f t="shared" si="20"/>
        <v>760.20293588428979</v>
      </c>
      <c r="AY126" s="474">
        <f t="shared" si="21"/>
        <v>109.90801192202366</v>
      </c>
      <c r="AZ126" s="474">
        <f t="shared" si="22"/>
        <v>159.75072798721257</v>
      </c>
      <c r="BA126" s="474">
        <f t="shared" si="23"/>
        <v>140.43357135005999</v>
      </c>
      <c r="BB126" s="474">
        <f t="shared" si="24"/>
        <v>30.290776713745501</v>
      </c>
      <c r="BC126" s="475">
        <f t="shared" si="53"/>
        <v>2395.9667686215698</v>
      </c>
      <c r="BD126" s="647">
        <f t="shared" si="54"/>
        <v>0</v>
      </c>
      <c r="BE126" s="383">
        <f t="shared" si="55"/>
        <v>0.18708956462456611</v>
      </c>
      <c r="BF126" s="383">
        <f t="shared" si="56"/>
        <v>0.23728018252130711</v>
      </c>
      <c r="BG126" s="383">
        <f t="shared" si="57"/>
        <v>7.4543994237925654E-2</v>
      </c>
      <c r="BH126" s="383">
        <f t="shared" si="58"/>
        <v>0</v>
      </c>
      <c r="BI126" s="383">
        <f t="shared" si="59"/>
        <v>0</v>
      </c>
      <c r="BJ126" s="383">
        <f t="shared" si="60"/>
        <v>0</v>
      </c>
      <c r="BK126" s="383">
        <f t="shared" si="61"/>
        <v>0.50108625861620115</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77.513749551694858</v>
      </c>
      <c r="BW126" s="100">
        <f t="shared" si="65"/>
        <v>0.74820051367787443</v>
      </c>
      <c r="BX126" s="1385">
        <f t="shared" si="25"/>
        <v>0.99006758809674678</v>
      </c>
      <c r="BY126" s="473">
        <f t="shared" si="66"/>
        <v>77.513749551694858</v>
      </c>
      <c r="BZ126" s="100">
        <f t="shared" si="67"/>
        <v>0.74820051367787443</v>
      </c>
      <c r="CA126" s="489">
        <f t="shared" si="26"/>
        <v>0.99006758809674678</v>
      </c>
      <c r="CB126" s="579">
        <f t="shared" si="27"/>
        <v>0.41838663030709577</v>
      </c>
      <c r="CC126" s="471">
        <f t="shared" si="68"/>
        <v>0.39323919963184339</v>
      </c>
      <c r="CD126" s="100">
        <f t="shared" si="28"/>
        <v>0.41838663030709577</v>
      </c>
      <c r="CE126" s="471">
        <f t="shared" si="69"/>
        <v>0.39323919963184339</v>
      </c>
      <c r="CG126" s="473">
        <f t="shared" si="70"/>
        <v>1619.8789660236114</v>
      </c>
      <c r="CH126" s="474">
        <f t="shared" si="71"/>
        <v>627.01792965052562</v>
      </c>
      <c r="CI126" s="474">
        <f t="shared" si="72"/>
        <v>2593.8255570785186</v>
      </c>
      <c r="CJ126" s="474">
        <f t="shared" si="73"/>
        <v>3689.2776856971454</v>
      </c>
      <c r="CK126" s="474">
        <f t="shared" si="74"/>
        <v>49.954538790507733</v>
      </c>
      <c r="CL126" s="474">
        <f t="shared" si="75"/>
        <v>8579.9546772403082</v>
      </c>
      <c r="CM126" s="576">
        <f t="shared" si="76"/>
        <v>0</v>
      </c>
    </row>
    <row r="127" spans="1:91" s="1" customFormat="1">
      <c r="A127" s="89">
        <f>'Input data'!A147</f>
        <v>2047</v>
      </c>
      <c r="B127" s="152">
        <f>'Input data'!B147</f>
        <v>74.134805489166112</v>
      </c>
      <c r="C127" s="204">
        <f>'Input data'!C147</f>
        <v>8187.4100000000008</v>
      </c>
      <c r="D127" s="205">
        <f>'Input data'!D147</f>
        <v>795063.80460989953</v>
      </c>
      <c r="E127" s="579">
        <f t="shared" si="29"/>
        <v>0.97407272727272687</v>
      </c>
      <c r="F127" s="100">
        <f t="shared" si="30"/>
        <v>0.36019090909090901</v>
      </c>
      <c r="G127" s="474">
        <f>B127*F127*'Input data'!$C$9</f>
        <v>817.29143315853844</v>
      </c>
      <c r="H127" s="473">
        <f>'Input data'!I147</f>
        <v>424.26313389388866</v>
      </c>
      <c r="I127" s="474">
        <f>'Input data'!K147</f>
        <v>31452.664907447474</v>
      </c>
      <c r="J127" s="474">
        <f>J97*(1-$C$6)</f>
        <v>2228.8062963921584</v>
      </c>
      <c r="K127" s="475">
        <f t="shared" si="78"/>
        <v>12387.8273283292</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11583.148154419288</v>
      </c>
      <c r="AA127" s="475">
        <f t="shared" si="81"/>
        <v>9354.34185802713</v>
      </c>
      <c r="AB127" s="938">
        <f t="shared" si="42"/>
        <v>0.80758199181439216</v>
      </c>
      <c r="AC127" s="118" t="str">
        <f t="shared" si="43"/>
        <v>Yes</v>
      </c>
      <c r="AD127" s="938">
        <f t="shared" si="44"/>
        <v>0.80758199181439216</v>
      </c>
      <c r="AE127" s="579">
        <f t="shared" si="11"/>
        <v>0.42697276926177974</v>
      </c>
      <c r="AF127" s="475">
        <f t="shared" si="45"/>
        <v>243.11432871953377</v>
      </c>
      <c r="AG127" s="473">
        <f t="shared" si="46"/>
        <v>2228.8062963921584</v>
      </c>
      <c r="AH127" s="474">
        <f t="shared" si="82"/>
        <v>8621.6334906448992</v>
      </c>
      <c r="AI127" s="474">
        <f t="shared" si="83"/>
        <v>6437.6604656145792</v>
      </c>
      <c r="AJ127" s="474">
        <f t="shared" si="12"/>
        <v>735.13321860018925</v>
      </c>
      <c r="AK127" s="474">
        <f t="shared" si="47"/>
        <v>18023.233471251828</v>
      </c>
      <c r="AL127" s="640">
        <f t="shared" si="13"/>
        <v>0</v>
      </c>
      <c r="AM127" s="579">
        <f t="shared" si="48"/>
        <v>0.12366295426107875</v>
      </c>
      <c r="AN127" s="100">
        <f t="shared" si="49"/>
        <v>0.4783621931323776</v>
      </c>
      <c r="AO127" s="100">
        <f t="shared" si="50"/>
        <v>0.35718676539828692</v>
      </c>
      <c r="AP127" s="100">
        <f t="shared" si="51"/>
        <v>4.0788087208256621E-2</v>
      </c>
      <c r="AQ127" s="471">
        <f t="shared" si="52"/>
        <v>1</v>
      </c>
      <c r="AR127" s="473">
        <f t="shared" si="14"/>
        <v>417.70595918073116</v>
      </c>
      <c r="AS127" s="474">
        <f t="shared" si="15"/>
        <v>529.76416099707603</v>
      </c>
      <c r="AT127" s="474">
        <f t="shared" si="16"/>
        <v>165.93275989747784</v>
      </c>
      <c r="AU127" s="474">
        <f t="shared" si="17"/>
        <v>0</v>
      </c>
      <c r="AV127" s="474">
        <f t="shared" si="18"/>
        <v>0</v>
      </c>
      <c r="AW127" s="474">
        <f t="shared" si="19"/>
        <v>0</v>
      </c>
      <c r="AX127" s="474">
        <f t="shared" si="20"/>
        <v>706.26588593389772</v>
      </c>
      <c r="AY127" s="474">
        <f t="shared" si="21"/>
        <v>102.10994426251017</v>
      </c>
      <c r="AZ127" s="474">
        <f t="shared" si="22"/>
        <v>148.41627689747182</v>
      </c>
      <c r="BA127" s="474">
        <f t="shared" si="23"/>
        <v>130.46968908247942</v>
      </c>
      <c r="BB127" s="474">
        <f t="shared" si="24"/>
        <v>28.141620140514185</v>
      </c>
      <c r="BC127" s="475">
        <f t="shared" si="53"/>
        <v>2228.8062963921584</v>
      </c>
      <c r="BD127" s="647">
        <f t="shared" si="54"/>
        <v>0</v>
      </c>
      <c r="BE127" s="383">
        <f t="shared" si="55"/>
        <v>0.1874124098881475</v>
      </c>
      <c r="BF127" s="383">
        <f t="shared" si="56"/>
        <v>0.23768963765699272</v>
      </c>
      <c r="BG127" s="383">
        <f t="shared" si="57"/>
        <v>7.4449161493342256E-2</v>
      </c>
      <c r="BH127" s="383">
        <f t="shared" si="58"/>
        <v>0</v>
      </c>
      <c r="BI127" s="383">
        <f t="shared" si="59"/>
        <v>0</v>
      </c>
      <c r="BJ127" s="383">
        <f t="shared" si="60"/>
        <v>0</v>
      </c>
      <c r="BK127" s="383">
        <f t="shared" si="61"/>
        <v>0.5004487909615174</v>
      </c>
      <c r="BL127" s="383">
        <f t="shared" si="62"/>
        <v>0.99999999999999989</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77.105585619816324</v>
      </c>
      <c r="BW127" s="100">
        <f t="shared" si="65"/>
        <v>0.76112097150394975</v>
      </c>
      <c r="BX127" s="1385">
        <f t="shared" si="25"/>
        <v>0.79506380460989956</v>
      </c>
      <c r="BY127" s="473">
        <f t="shared" si="66"/>
        <v>77.105585619816324</v>
      </c>
      <c r="BZ127" s="100">
        <f t="shared" si="67"/>
        <v>0.76112097150394975</v>
      </c>
      <c r="CA127" s="489">
        <f t="shared" si="26"/>
        <v>0.79506380460989956</v>
      </c>
      <c r="CB127" s="579">
        <f t="shared" si="27"/>
        <v>0.42697276926177974</v>
      </c>
      <c r="CC127" s="471">
        <f t="shared" si="68"/>
        <v>0.40500057668795986</v>
      </c>
      <c r="CD127" s="100">
        <f t="shared" si="28"/>
        <v>0.42697276926177974</v>
      </c>
      <c r="CE127" s="471">
        <f t="shared" si="69"/>
        <v>0.40500057668795986</v>
      </c>
      <c r="CG127" s="473">
        <f t="shared" si="70"/>
        <v>1627.7478459539461</v>
      </c>
      <c r="CH127" s="474">
        <f t="shared" si="71"/>
        <v>630.06379227734806</v>
      </c>
      <c r="CI127" s="474">
        <f t="shared" si="72"/>
        <v>2606.4255736828377</v>
      </c>
      <c r="CJ127" s="474">
        <f t="shared" si="73"/>
        <v>3707.1990759659984</v>
      </c>
      <c r="CK127" s="474">
        <f t="shared" si="74"/>
        <v>50.197202764769145</v>
      </c>
      <c r="CL127" s="474">
        <f t="shared" si="75"/>
        <v>8621.6334906448992</v>
      </c>
      <c r="CM127" s="576">
        <f t="shared" si="76"/>
        <v>0</v>
      </c>
    </row>
    <row r="128" spans="1:91">
      <c r="A128" s="89">
        <f>'Input data'!A148</f>
        <v>2048</v>
      </c>
      <c r="B128" s="152">
        <f>'Input data'!B148</f>
        <v>74.478544758379343</v>
      </c>
      <c r="C128" s="204">
        <f>'Input data'!C148</f>
        <v>8322.6399999999976</v>
      </c>
      <c r="D128" s="205">
        <f>'Input data'!D148</f>
        <v>600060.02112305223</v>
      </c>
      <c r="E128" s="579">
        <f t="shared" si="29"/>
        <v>0.9827151515151511</v>
      </c>
      <c r="F128" s="100">
        <f t="shared" si="30"/>
        <v>0.36254393939393931</v>
      </c>
      <c r="G128" s="474">
        <f>B128*F128*'Input data'!$C$9</f>
        <v>826.44485183852362</v>
      </c>
      <c r="H128" s="473">
        <f>'Input data'!I148</f>
        <v>424.26313389388866</v>
      </c>
      <c r="I128" s="474">
        <f>'Input data'!K148</f>
        <v>31598.500807046275</v>
      </c>
      <c r="J128" s="474">
        <f>J127</f>
        <v>2228.8062963921584</v>
      </c>
      <c r="K128" s="475">
        <f t="shared" si="78"/>
        <v>12455.599961269521</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11650.92078735961</v>
      </c>
      <c r="AA128" s="475">
        <f t="shared" si="81"/>
        <v>9422.1144909674513</v>
      </c>
      <c r="AB128" s="938">
        <f t="shared" si="42"/>
        <v>0.80870127459709029</v>
      </c>
      <c r="AC128" s="118" t="str">
        <f t="shared" si="43"/>
        <v>Yes</v>
      </c>
      <c r="AD128" s="938">
        <f t="shared" si="44"/>
        <v>0.80870127459709029</v>
      </c>
      <c r="AE128" s="579">
        <f t="shared" si="11"/>
        <v>0.42838042053643854</v>
      </c>
      <c r="AF128" s="475">
        <f t="shared" si="45"/>
        <v>242.51711417831729</v>
      </c>
      <c r="AG128" s="473">
        <f t="shared" si="46"/>
        <v>2228.8062963921584</v>
      </c>
      <c r="AH128" s="474">
        <f t="shared" si="82"/>
        <v>8661.609234506961</v>
      </c>
      <c r="AI128" s="474">
        <f t="shared" si="83"/>
        <v>6437.6604656145792</v>
      </c>
      <c r="AJ128" s="474">
        <f t="shared" si="12"/>
        <v>734.24574648910277</v>
      </c>
      <c r="AK128" s="474">
        <f t="shared" si="47"/>
        <v>18062.321743002798</v>
      </c>
      <c r="AL128" s="640">
        <f t="shared" si="13"/>
        <v>0</v>
      </c>
      <c r="AM128" s="579">
        <f t="shared" si="48"/>
        <v>0.12339533799167211</v>
      </c>
      <c r="AN128" s="100">
        <f t="shared" si="49"/>
        <v>0.47954019188382579</v>
      </c>
      <c r="AO128" s="100">
        <f t="shared" si="50"/>
        <v>0.35641378540433089</v>
      </c>
      <c r="AP128" s="100">
        <f t="shared" si="51"/>
        <v>4.0650684720171359E-2</v>
      </c>
      <c r="AQ128" s="471">
        <f t="shared" si="52"/>
        <v>1.0000000000000002</v>
      </c>
      <c r="AR128" s="473">
        <f t="shared" si="14"/>
        <v>418.38791604111833</v>
      </c>
      <c r="AS128" s="474">
        <f t="shared" si="15"/>
        <v>530.62906679034711</v>
      </c>
      <c r="AT128" s="474">
        <f t="shared" si="16"/>
        <v>165.73244151572243</v>
      </c>
      <c r="AU128" s="474">
        <f t="shared" si="17"/>
        <v>0</v>
      </c>
      <c r="AV128" s="474">
        <f t="shared" si="18"/>
        <v>0</v>
      </c>
      <c r="AW128" s="474">
        <f t="shared" si="19"/>
        <v>0</v>
      </c>
      <c r="AX128" s="474">
        <f t="shared" si="20"/>
        <v>705.41326322427267</v>
      </c>
      <c r="AY128" s="474">
        <f t="shared" si="21"/>
        <v>101.98667445847364</v>
      </c>
      <c r="AZ128" s="474">
        <f t="shared" si="22"/>
        <v>148.2371048736193</v>
      </c>
      <c r="BA128" s="474">
        <f t="shared" si="23"/>
        <v>130.31218265034823</v>
      </c>
      <c r="BB128" s="474">
        <f t="shared" si="24"/>
        <v>28.107646838256052</v>
      </c>
      <c r="BC128" s="475">
        <f t="shared" si="53"/>
        <v>2228.8062963921579</v>
      </c>
      <c r="BD128" s="647">
        <f t="shared" si="54"/>
        <v>0</v>
      </c>
      <c r="BE128" s="383">
        <f t="shared" si="55"/>
        <v>0.18771838392523235</v>
      </c>
      <c r="BF128" s="383">
        <f t="shared" si="56"/>
        <v>0.23807769551319638</v>
      </c>
      <c r="BG128" s="383">
        <f t="shared" si="57"/>
        <v>7.4359284512072216E-2</v>
      </c>
      <c r="BH128" s="383">
        <f t="shared" si="58"/>
        <v>0</v>
      </c>
      <c r="BI128" s="383">
        <f t="shared" si="59"/>
        <v>0</v>
      </c>
      <c r="BJ128" s="383">
        <f t="shared" si="60"/>
        <v>0</v>
      </c>
      <c r="BK128" s="383">
        <f t="shared" si="61"/>
        <v>0.49984463604949891</v>
      </c>
      <c r="BL128" s="383">
        <f t="shared" si="62"/>
        <v>0.99999999999999989</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76.917932461084646</v>
      </c>
      <c r="BW128" s="100">
        <f t="shared" si="65"/>
        <v>0.77199375873007126</v>
      </c>
      <c r="BX128" s="1385">
        <f t="shared" si="25"/>
        <v>0.60006002112305223</v>
      </c>
      <c r="BY128" s="473">
        <f t="shared" si="66"/>
        <v>76.917932461084646</v>
      </c>
      <c r="BZ128" s="100">
        <f t="shared" si="67"/>
        <v>0.77199375873007126</v>
      </c>
      <c r="CA128" s="489">
        <f t="shared" si="26"/>
        <v>0.60006002112305223</v>
      </c>
      <c r="CB128" s="579">
        <f t="shared" si="27"/>
        <v>0.42838042053643854</v>
      </c>
      <c r="CC128" s="471">
        <f t="shared" si="68"/>
        <v>0.41570992087404424</v>
      </c>
      <c r="CD128" s="100">
        <f t="shared" si="28"/>
        <v>0.42838042053643854</v>
      </c>
      <c r="CE128" s="471">
        <f t="shared" si="69"/>
        <v>0.41570992087404424</v>
      </c>
      <c r="CG128" s="473">
        <f t="shared" si="70"/>
        <v>1635.2951896252448</v>
      </c>
      <c r="CH128" s="474">
        <f t="shared" si="71"/>
        <v>632.98519560586681</v>
      </c>
      <c r="CI128" s="474">
        <f t="shared" si="72"/>
        <v>2618.5107314713391</v>
      </c>
      <c r="CJ128" s="474">
        <f t="shared" si="73"/>
        <v>3724.3881667418109</v>
      </c>
      <c r="CK128" s="474">
        <f t="shared" si="74"/>
        <v>50.429951062698272</v>
      </c>
      <c r="CL128" s="474">
        <f t="shared" si="75"/>
        <v>8661.6092345069592</v>
      </c>
      <c r="CM128" s="576">
        <f t="shared" si="76"/>
        <v>0</v>
      </c>
    </row>
    <row r="129" spans="1:91">
      <c r="A129" s="89">
        <f>'Input data'!A149</f>
        <v>2049</v>
      </c>
      <c r="B129" s="152">
        <f>'Input data'!B149</f>
        <v>74.807416768507309</v>
      </c>
      <c r="C129" s="204">
        <f>'Input data'!C149</f>
        <v>8457.3799999999992</v>
      </c>
      <c r="D129" s="205">
        <f>'Input data'!D149</f>
        <v>405056.23763620481</v>
      </c>
      <c r="E129" s="579">
        <f t="shared" si="29"/>
        <v>0.99135757575757533</v>
      </c>
      <c r="F129" s="100">
        <f t="shared" si="30"/>
        <v>0.36489696969696961</v>
      </c>
      <c r="G129" s="474">
        <f>B129*F129*'Input data'!$C$9</f>
        <v>835.48173830804035</v>
      </c>
      <c r="H129" s="473">
        <f>'Input data'!I149</f>
        <v>424.26313389388866</v>
      </c>
      <c r="I129" s="474">
        <f>'Input data'!K149</f>
        <v>31738.029076713148</v>
      </c>
      <c r="J129" s="474">
        <f t="shared" ref="J129:J130" si="95">J128</f>
        <v>2228.8062963921584</v>
      </c>
      <c r="K129" s="475">
        <f t="shared" si="78"/>
        <v>12520.441322216622</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11715.762148306711</v>
      </c>
      <c r="AA129" s="475">
        <f t="shared" si="81"/>
        <v>9486.9558519145521</v>
      </c>
      <c r="AB129" s="938">
        <f t="shared" si="42"/>
        <v>0.80976002515429268</v>
      </c>
      <c r="AC129" s="118" t="str">
        <f t="shared" si="43"/>
        <v>Yes</v>
      </c>
      <c r="AD129" s="938">
        <f t="shared" si="44"/>
        <v>0.80976002515429268</v>
      </c>
      <c r="AE129" s="579">
        <f t="shared" si="11"/>
        <v>0.42971477676209857</v>
      </c>
      <c r="AF129" s="475">
        <f t="shared" si="45"/>
        <v>241.95099602428795</v>
      </c>
      <c r="AG129" s="473">
        <f t="shared" si="46"/>
        <v>2228.8062963921584</v>
      </c>
      <c r="AH129" s="474">
        <f t="shared" si="82"/>
        <v>8699.8559651477972</v>
      </c>
      <c r="AI129" s="474">
        <f t="shared" si="83"/>
        <v>6437.6604656145792</v>
      </c>
      <c r="AJ129" s="474">
        <f t="shared" si="12"/>
        <v>733.40626998983112</v>
      </c>
      <c r="AK129" s="474">
        <f t="shared" si="47"/>
        <v>18099.728997144364</v>
      </c>
      <c r="AL129" s="640">
        <f t="shared" si="13"/>
        <v>0</v>
      </c>
      <c r="AM129" s="579">
        <f t="shared" si="48"/>
        <v>0.12314031313639018</v>
      </c>
      <c r="AN129" s="100">
        <f t="shared" si="49"/>
        <v>0.48066222242998186</v>
      </c>
      <c r="AO129" s="100">
        <f t="shared" si="50"/>
        <v>0.35567717431737589</v>
      </c>
      <c r="AP129" s="100">
        <f t="shared" si="51"/>
        <v>4.0520290116252147E-2</v>
      </c>
      <c r="AQ129" s="471">
        <f t="shared" si="52"/>
        <v>1.0000000000000002</v>
      </c>
      <c r="AR129" s="473">
        <f t="shared" si="14"/>
        <v>419.03299181382204</v>
      </c>
      <c r="AS129" s="474">
        <f t="shared" si="15"/>
        <v>531.44719738675099</v>
      </c>
      <c r="AT129" s="474">
        <f t="shared" si="16"/>
        <v>165.54295660486716</v>
      </c>
      <c r="AU129" s="474">
        <f t="shared" si="17"/>
        <v>0</v>
      </c>
      <c r="AV129" s="474">
        <f t="shared" si="18"/>
        <v>0</v>
      </c>
      <c r="AW129" s="474">
        <f t="shared" si="19"/>
        <v>0</v>
      </c>
      <c r="AX129" s="474">
        <f t="shared" si="20"/>
        <v>704.60675142684954</v>
      </c>
      <c r="AY129" s="474">
        <f t="shared" si="21"/>
        <v>101.87007124101392</v>
      </c>
      <c r="AZ129" s="474">
        <f t="shared" si="22"/>
        <v>148.06762269894344</v>
      </c>
      <c r="BA129" s="474">
        <f t="shared" si="23"/>
        <v>130.16319436485003</v>
      </c>
      <c r="BB129" s="474">
        <f t="shared" si="24"/>
        <v>28.07551085506055</v>
      </c>
      <c r="BC129" s="475">
        <f t="shared" si="53"/>
        <v>2228.8062963921575</v>
      </c>
      <c r="BD129" s="647">
        <f t="shared" si="54"/>
        <v>0</v>
      </c>
      <c r="BE129" s="383">
        <f t="shared" si="55"/>
        <v>0.1880078105002326</v>
      </c>
      <c r="BF129" s="383">
        <f t="shared" si="56"/>
        <v>0.23844476671078244</v>
      </c>
      <c r="BG129" s="383">
        <f t="shared" si="57"/>
        <v>7.4274268191379847E-2</v>
      </c>
      <c r="BH129" s="383">
        <f t="shared" si="58"/>
        <v>0</v>
      </c>
      <c r="BI129" s="383">
        <f t="shared" si="59"/>
        <v>0</v>
      </c>
      <c r="BJ129" s="383">
        <f t="shared" si="60"/>
        <v>0</v>
      </c>
      <c r="BK129" s="383">
        <f t="shared" si="61"/>
        <v>0.49927315459760518</v>
      </c>
      <c r="BL129" s="383">
        <f t="shared" si="62"/>
        <v>1</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76.774041351892848</v>
      </c>
      <c r="BW129" s="100">
        <f t="shared" si="65"/>
        <v>0.78241883298744452</v>
      </c>
      <c r="BX129" s="1385">
        <f t="shared" si="25"/>
        <v>0.4050562376362048</v>
      </c>
      <c r="BY129" s="473">
        <f t="shared" si="66"/>
        <v>76.774041351892848</v>
      </c>
      <c r="BZ129" s="100">
        <f t="shared" si="67"/>
        <v>0.78241883298744452</v>
      </c>
      <c r="CA129" s="489">
        <f t="shared" si="26"/>
        <v>0.4050562376362048</v>
      </c>
      <c r="CB129" s="579">
        <f t="shared" si="27"/>
        <v>0.42971477676209857</v>
      </c>
      <c r="CC129" s="471">
        <f t="shared" si="68"/>
        <v>0.42564109349733803</v>
      </c>
      <c r="CD129" s="100">
        <f t="shared" si="28"/>
        <v>0.42971477676209857</v>
      </c>
      <c r="CE129" s="471">
        <f t="shared" si="69"/>
        <v>0.42564109349733803</v>
      </c>
      <c r="CG129" s="473">
        <f t="shared" si="70"/>
        <v>1642.5160989207927</v>
      </c>
      <c r="CH129" s="474">
        <f t="shared" si="71"/>
        <v>635.78024368763965</v>
      </c>
      <c r="CI129" s="474">
        <f t="shared" si="72"/>
        <v>2630.0731873516779</v>
      </c>
      <c r="CJ129" s="474">
        <f t="shared" si="73"/>
        <v>3740.833802553665</v>
      </c>
      <c r="CK129" s="474">
        <f t="shared" si="74"/>
        <v>50.652632634021245</v>
      </c>
      <c r="CL129" s="474">
        <f t="shared" si="75"/>
        <v>8699.8559651477954</v>
      </c>
      <c r="CM129" s="576">
        <f t="shared" si="76"/>
        <v>0</v>
      </c>
    </row>
    <row r="130" spans="1:91" ht="15.75" thickBot="1">
      <c r="A130" s="141">
        <f>'Input data'!A150</f>
        <v>2050</v>
      </c>
      <c r="B130" s="593">
        <f>'Input data'!B150</f>
        <v>75.121207211856714</v>
      </c>
      <c r="C130" s="207">
        <f>'Input data'!C150</f>
        <v>8589.119999999999</v>
      </c>
      <c r="D130" s="208">
        <f>'Input data'!D150</f>
        <v>210052.45414935748</v>
      </c>
      <c r="E130" s="580">
        <f>C51</f>
        <v>1</v>
      </c>
      <c r="F130" s="581">
        <f>D51</f>
        <v>0.36725000000000002</v>
      </c>
      <c r="G130" s="595">
        <f>B130*F130*'Input data'!$C$9</f>
        <v>844.3964714575875</v>
      </c>
      <c r="H130" s="598">
        <f>'Input data'!I150</f>
        <v>424.26313389388866</v>
      </c>
      <c r="I130" s="595">
        <f>'Input data'!K150</f>
        <v>31871.158793594521</v>
      </c>
      <c r="J130" s="595">
        <f t="shared" si="95"/>
        <v>2228.8062963921584</v>
      </c>
      <c r="K130" s="589">
        <f t="shared" si="78"/>
        <v>12582.309157643092</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11777.629983733181</v>
      </c>
      <c r="AA130" s="589">
        <f t="shared" si="81"/>
        <v>9548.8236873410224</v>
      </c>
      <c r="AB130" s="941">
        <f t="shared" si="42"/>
        <v>0.81075935485573059</v>
      </c>
      <c r="AC130" s="951" t="str">
        <f t="shared" si="43"/>
        <v>Yes</v>
      </c>
      <c r="AD130" s="941">
        <f t="shared" si="44"/>
        <v>0.81075935485573059</v>
      </c>
      <c r="AE130" s="580">
        <f t="shared" si="11"/>
        <v>0.43097677914223742</v>
      </c>
      <c r="AF130" s="589">
        <f t="shared" si="45"/>
        <v>241.41557493950873</v>
      </c>
      <c r="AG130" s="598">
        <f t="shared" si="46"/>
        <v>2228.8062963921584</v>
      </c>
      <c r="AH130" s="595">
        <f t="shared" si="82"/>
        <v>8736.3487592891524</v>
      </c>
      <c r="AI130" s="595">
        <f t="shared" si="83"/>
        <v>6437.6604656145792</v>
      </c>
      <c r="AJ130" s="595">
        <f t="shared" si="12"/>
        <v>732.61390790447081</v>
      </c>
      <c r="AK130" s="595">
        <f t="shared" si="47"/>
        <v>18135.429429200358</v>
      </c>
      <c r="AL130" s="641">
        <f t="shared" si="13"/>
        <v>0</v>
      </c>
      <c r="AM130" s="580">
        <f t="shared" si="48"/>
        <v>0.1228979057316115</v>
      </c>
      <c r="AN130" s="581">
        <f t="shared" si="49"/>
        <v>0.48172825426579174</v>
      </c>
      <c r="AO130" s="581">
        <f t="shared" si="50"/>
        <v>0.35497700734062154</v>
      </c>
      <c r="AP130" s="581">
        <f t="shared" si="51"/>
        <v>4.0396832661975392E-2</v>
      </c>
      <c r="AQ130" s="582">
        <f t="shared" si="52"/>
        <v>1.0000000000000002</v>
      </c>
      <c r="AR130" s="598">
        <f t="shared" si="14"/>
        <v>419.64186363443719</v>
      </c>
      <c r="AS130" s="595">
        <f t="shared" si="15"/>
        <v>532.21941157741162</v>
      </c>
      <c r="AT130" s="595">
        <f t="shared" si="16"/>
        <v>165.36410626273147</v>
      </c>
      <c r="AU130" s="595">
        <f t="shared" si="17"/>
        <v>0</v>
      </c>
      <c r="AV130" s="595">
        <f t="shared" si="18"/>
        <v>0</v>
      </c>
      <c r="AW130" s="595">
        <f t="shared" si="19"/>
        <v>0</v>
      </c>
      <c r="AX130" s="595">
        <f t="shared" si="20"/>
        <v>703.84550394674932</v>
      </c>
      <c r="AY130" s="595">
        <f t="shared" si="21"/>
        <v>101.76001221181386</v>
      </c>
      <c r="AZ130" s="595">
        <f t="shared" si="22"/>
        <v>147.90765246812217</v>
      </c>
      <c r="BA130" s="595">
        <f t="shared" si="23"/>
        <v>130.02256783308405</v>
      </c>
      <c r="BB130" s="595">
        <f t="shared" si="24"/>
        <v>28.045178457808241</v>
      </c>
      <c r="BC130" s="589">
        <f t="shared" si="53"/>
        <v>2228.8062963921575</v>
      </c>
      <c r="BD130" s="648">
        <f t="shared" si="54"/>
        <v>0</v>
      </c>
      <c r="BE130" s="607">
        <f t="shared" si="55"/>
        <v>0.18828099342402493</v>
      </c>
      <c r="BF130" s="607">
        <f>AS130/BC130</f>
        <v>0.23879123656413426</v>
      </c>
      <c r="BG130" s="607">
        <f t="shared" si="57"/>
        <v>7.419402328969181E-2</v>
      </c>
      <c r="BH130" s="607">
        <f t="shared" si="58"/>
        <v>0</v>
      </c>
      <c r="BI130" s="607">
        <f t="shared" si="59"/>
        <v>0</v>
      </c>
      <c r="BJ130" s="607">
        <f t="shared" si="60"/>
        <v>0</v>
      </c>
      <c r="BK130" s="607">
        <f t="shared" si="61"/>
        <v>0.49873374672214921</v>
      </c>
      <c r="BL130" s="607">
        <f t="shared" si="62"/>
        <v>1.0000000000000002</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76.658406388042053</v>
      </c>
      <c r="BW130" s="581">
        <f t="shared" si="65"/>
        <v>0.79236787306345446</v>
      </c>
      <c r="BX130" s="1386">
        <f t="shared" si="25"/>
        <v>0.21005245414935747</v>
      </c>
      <c r="BY130" s="598">
        <f t="shared" si="66"/>
        <v>76.658406388042053</v>
      </c>
      <c r="BZ130" s="581">
        <f t="shared" si="67"/>
        <v>0.79236787306345446</v>
      </c>
      <c r="CA130" s="602">
        <f t="shared" si="26"/>
        <v>0.21005245414935747</v>
      </c>
      <c r="CB130" s="580">
        <f t="shared" si="27"/>
        <v>0.43097677914223742</v>
      </c>
      <c r="CC130" s="582">
        <f t="shared" si="68"/>
        <v>0.43481260659340415</v>
      </c>
      <c r="CD130" s="581">
        <f t="shared" si="28"/>
        <v>0.43097677914223742</v>
      </c>
      <c r="CE130" s="582">
        <f t="shared" si="69"/>
        <v>0.43481260659340415</v>
      </c>
      <c r="CG130" s="598">
        <f t="shared" si="70"/>
        <v>1649.4058683735173</v>
      </c>
      <c r="CH130" s="595">
        <f t="shared" si="71"/>
        <v>638.44711514447533</v>
      </c>
      <c r="CI130" s="595">
        <f t="shared" si="72"/>
        <v>2641.1054067110813</v>
      </c>
      <c r="CJ130" s="595">
        <f t="shared" si="73"/>
        <v>3756.5252666905999</v>
      </c>
      <c r="CK130" s="595">
        <f t="shared" si="74"/>
        <v>50.865102369478485</v>
      </c>
      <c r="CL130" s="595">
        <f t="shared" si="75"/>
        <v>8736.3487592891524</v>
      </c>
      <c r="CM130" s="583">
        <f t="shared" si="76"/>
        <v>0</v>
      </c>
    </row>
    <row r="131" spans="1:91">
      <c r="AL131" s="301"/>
      <c r="AM131" s="474"/>
      <c r="AN131" s="301"/>
      <c r="AO131" s="301"/>
      <c r="AP131" s="301"/>
      <c r="AS131" s="100"/>
    </row>
    <row r="132" spans="1:91" ht="23.25">
      <c r="A132" s="610" t="s">
        <v>637</v>
      </c>
      <c r="AL132" s="301"/>
      <c r="AM132" s="474"/>
      <c r="AO132" s="301"/>
      <c r="AS132" s="100"/>
    </row>
    <row r="133" spans="1:91" ht="15.75" thickBot="1">
      <c r="AL133" s="30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06"/>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550" t="s">
        <v>728</v>
      </c>
      <c r="AL134" s="1551"/>
      <c r="AM134" s="1551"/>
      <c r="AN134" s="1551"/>
      <c r="AO134" s="1552"/>
    </row>
    <row r="135" spans="1:91" ht="58.9" customHeight="1">
      <c r="A135" s="1559"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23"/>
      <c r="N135" s="454" t="s">
        <v>605</v>
      </c>
      <c r="O135" s="457" t="s">
        <v>606</v>
      </c>
      <c r="P135" s="1593"/>
      <c r="Q135" s="1512"/>
      <c r="R135" s="1512"/>
      <c r="S135" s="1512"/>
      <c r="T135" s="1536"/>
      <c r="U135" s="1534"/>
      <c r="V135" s="1510"/>
      <c r="W135" s="1532"/>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15"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4436.7699999999986</v>
      </c>
      <c r="D139" s="204">
        <f>'Input data'!D119</f>
        <v>52992370.977903679</v>
      </c>
      <c r="E139" s="473">
        <f>'Input data'!J119*C139</f>
        <v>53378.982305676094</v>
      </c>
      <c r="F139" s="474">
        <f>'Input data'!L119</f>
        <v>106371.35328357978</v>
      </c>
      <c r="G139" s="474">
        <f t="shared" ref="G139:G149" si="124">$G$137*(1+((($G$150/$G$137)^(1/($A$150-$A$137)))-1))^(A139-$A$137)</f>
        <v>61517.098453473154</v>
      </c>
      <c r="H139" s="474">
        <f t="shared" ref="H139:H170" si="125">E139*$B$12+I139*$E$80-G139</f>
        <v>18842.952019388948</v>
      </c>
      <c r="I139" s="475">
        <f t="shared" si="99"/>
        <v>52992.37097790368</v>
      </c>
      <c r="J139" s="100">
        <f t="shared" si="100"/>
        <v>7.3782491286642105E-2</v>
      </c>
      <c r="K139" s="474">
        <f t="shared" ref="K139:K170" si="126">(I139)*J139-(I139)*$J$137</f>
        <v>648.34855344959942</v>
      </c>
      <c r="L139" s="474">
        <f t="shared" si="101"/>
        <v>0</v>
      </c>
      <c r="M139" s="474">
        <f t="shared" ref="M139:M170" si="127">L139+K139</f>
        <v>648.34855344959942</v>
      </c>
      <c r="N139" s="579">
        <f>($N$142-$N$137)/($A$102-$A$97)+N138</f>
        <v>0.1</v>
      </c>
      <c r="O139" s="475">
        <f t="shared" si="102"/>
        <v>150.38340000000005</v>
      </c>
      <c r="P139" s="466">
        <f>O139+M139</f>
        <v>798.73195344959947</v>
      </c>
      <c r="Q139" s="467">
        <f t="shared" si="103"/>
        <v>79561.318519412496</v>
      </c>
      <c r="R139" s="467">
        <f t="shared" ref="R139:R170" si="128">Q139-G139</f>
        <v>18044.220065939342</v>
      </c>
      <c r="S139" s="938">
        <f t="shared" si="104"/>
        <v>0.59202417756714631</v>
      </c>
      <c r="T139" s="118" t="str">
        <f t="shared" si="105"/>
        <v>Yes</v>
      </c>
      <c r="U139" s="938">
        <f t="shared" si="106"/>
        <v>0.59202417756714631</v>
      </c>
      <c r="V139" s="1247">
        <f>AC139</f>
        <v>88327.133217640439</v>
      </c>
      <c r="W139" s="1244">
        <f t="shared" si="98"/>
        <v>0.16963420609902846</v>
      </c>
      <c r="X139" s="473">
        <f t="shared" si="107"/>
        <v>61517.098453473161</v>
      </c>
      <c r="Y139" s="474">
        <f t="shared" si="108"/>
        <v>8184.3988324480906</v>
      </c>
      <c r="Z139" s="474">
        <f t="shared" si="109"/>
        <v>2562.5527582487894</v>
      </c>
      <c r="AA139" s="474">
        <f t="shared" si="110"/>
        <v>0</v>
      </c>
      <c r="AB139" s="474">
        <f t="shared" si="111"/>
        <v>16063.083173470395</v>
      </c>
      <c r="AC139" s="474">
        <f t="shared" si="112"/>
        <v>88327.133217640439</v>
      </c>
      <c r="AD139" s="1240">
        <f t="shared" si="113"/>
        <v>0</v>
      </c>
      <c r="AE139" s="100">
        <f t="shared" si="114"/>
        <v>0.6964688676342905</v>
      </c>
      <c r="AF139" s="100">
        <f t="shared" si="115"/>
        <v>9.2660075497769306E-2</v>
      </c>
      <c r="AG139" s="100">
        <f t="shared" si="116"/>
        <v>2.9012067582161759E-2</v>
      </c>
      <c r="AH139" s="100">
        <f t="shared" ref="AH139:AH170" si="129">AA139/AC139</f>
        <v>0</v>
      </c>
      <c r="AI139" s="100">
        <f t="shared" si="117"/>
        <v>0.1818589892857784</v>
      </c>
      <c r="AJ139" s="471">
        <f t="shared" si="118"/>
        <v>1</v>
      </c>
      <c r="AK139" s="1250">
        <f t="shared" si="119"/>
        <v>49082.461827967993</v>
      </c>
      <c r="AL139" s="1251">
        <f t="shared" si="120"/>
        <v>11622.830739569032</v>
      </c>
      <c r="AM139" s="1251">
        <f t="shared" si="121"/>
        <v>811.8058859361247</v>
      </c>
      <c r="AN139" s="1251">
        <f t="shared" si="122"/>
        <v>61517.098453473147</v>
      </c>
      <c r="AO139" s="1277">
        <f t="shared" si="123"/>
        <v>0</v>
      </c>
    </row>
    <row r="140" spans="1:91">
      <c r="A140" s="89">
        <f>'Input data'!A120</f>
        <v>2020</v>
      </c>
      <c r="B140" s="152">
        <f>'Input data'!B120</f>
        <v>59.308690000000006</v>
      </c>
      <c r="C140" s="204">
        <f>'Input data'!C120</f>
        <v>4157.24</v>
      </c>
      <c r="D140" s="204">
        <f>'Input data'!D120</f>
        <v>50781625.743101723</v>
      </c>
      <c r="E140" s="473">
        <f>'Input data'!J120*C140</f>
        <v>50015.944121613007</v>
      </c>
      <c r="F140" s="474">
        <f>'Input data'!L120</f>
        <v>100797.56986471472</v>
      </c>
      <c r="G140" s="474">
        <f t="shared" si="124"/>
        <v>58322.977791126912</v>
      </c>
      <c r="H140" s="474">
        <f t="shared" si="125"/>
        <v>18032.65856277421</v>
      </c>
      <c r="I140" s="475">
        <f t="shared" si="99"/>
        <v>50781.625743101722</v>
      </c>
      <c r="J140" s="100">
        <f t="shared" si="100"/>
        <v>8.0783733850016193E-2</v>
      </c>
      <c r="K140" s="474">
        <f t="shared" si="126"/>
        <v>976.83511182787561</v>
      </c>
      <c r="L140" s="474">
        <f t="shared" si="101"/>
        <v>0</v>
      </c>
      <c r="M140" s="474">
        <f t="shared" si="127"/>
        <v>976.83511182787561</v>
      </c>
      <c r="N140" s="579">
        <f>($N$142-$N$137)/($A$102-$A$97)+N139</f>
        <v>0.15000000000000002</v>
      </c>
      <c r="O140" s="475">
        <f t="shared" si="102"/>
        <v>225.57510000000011</v>
      </c>
      <c r="P140" s="466">
        <f t="shared" ref="P140:P170" si="130">O140+M140</f>
        <v>1202.4102118278756</v>
      </c>
      <c r="Q140" s="467">
        <f t="shared" si="103"/>
        <v>75153.226142073239</v>
      </c>
      <c r="R140" s="467">
        <f t="shared" si="128"/>
        <v>16830.248350946327</v>
      </c>
      <c r="S140" s="938">
        <f t="shared" si="104"/>
        <v>0.59107571403453762</v>
      </c>
      <c r="T140" s="118" t="str">
        <f t="shared" si="105"/>
        <v>Yes</v>
      </c>
      <c r="U140" s="938">
        <f t="shared" si="106"/>
        <v>0.59107571403453762</v>
      </c>
      <c r="V140" s="1247">
        <f t="shared" si="97"/>
        <v>83967.321513768402</v>
      </c>
      <c r="W140" s="1244">
        <f t="shared" si="98"/>
        <v>0.16697077492577461</v>
      </c>
      <c r="X140" s="473">
        <f t="shared" si="107"/>
        <v>58322.977791126919</v>
      </c>
      <c r="Y140" s="474">
        <f t="shared" si="108"/>
        <v>8107.5131744293203</v>
      </c>
      <c r="Z140" s="474">
        <f t="shared" si="109"/>
        <v>2485.7704544777393</v>
      </c>
      <c r="AA140" s="474">
        <f t="shared" si="110"/>
        <v>0</v>
      </c>
      <c r="AB140" s="474">
        <f t="shared" si="111"/>
        <v>15051.060093734426</v>
      </c>
      <c r="AC140" s="474">
        <f t="shared" si="112"/>
        <v>83967.321513768402</v>
      </c>
      <c r="AD140" s="1240">
        <f t="shared" si="113"/>
        <v>0</v>
      </c>
      <c r="AE140" s="100">
        <f t="shared" si="114"/>
        <v>0.69459138078572036</v>
      </c>
      <c r="AF140" s="100">
        <f t="shared" si="115"/>
        <v>9.6555576958589823E-2</v>
      </c>
      <c r="AG140" s="100">
        <f t="shared" si="116"/>
        <v>2.9604022251324753E-2</v>
      </c>
      <c r="AH140" s="100">
        <f t="shared" si="129"/>
        <v>0</v>
      </c>
      <c r="AI140" s="100">
        <f t="shared" si="117"/>
        <v>0.17924902000436507</v>
      </c>
      <c r="AJ140" s="471">
        <f t="shared" si="118"/>
        <v>1</v>
      </c>
      <c r="AK140" s="1250">
        <f t="shared" si="119"/>
        <v>46679.296404599867</v>
      </c>
      <c r="AL140" s="1251">
        <f t="shared" si="120"/>
        <v>10915.875466605601</v>
      </c>
      <c r="AM140" s="1251">
        <f t="shared" si="121"/>
        <v>727.80591992144798</v>
      </c>
      <c r="AN140" s="1251">
        <f t="shared" si="122"/>
        <v>58322.977791126919</v>
      </c>
      <c r="AO140" s="1277">
        <f t="shared" si="123"/>
        <v>0</v>
      </c>
    </row>
    <row r="141" spans="1:91">
      <c r="A141" s="89">
        <f>'Input data'!A121</f>
        <v>2021</v>
      </c>
      <c r="B141" s="152">
        <f>'Input data'!B121</f>
        <v>60.158036186957922</v>
      </c>
      <c r="C141" s="204">
        <f>'Input data'!C121</f>
        <v>4296.6100000000006</v>
      </c>
      <c r="D141" s="204">
        <f>'Input data'!D121</f>
        <v>50787753.059423499</v>
      </c>
      <c r="E141" s="473">
        <f>'Input data'!J121*C141</f>
        <v>51692.710950621971</v>
      </c>
      <c r="F141" s="474">
        <f>'Input data'!L121</f>
        <v>102480.46401004547</v>
      </c>
      <c r="G141" s="474">
        <f t="shared" si="124"/>
        <v>55294.7038130703</v>
      </c>
      <c r="H141" s="474">
        <f t="shared" si="125"/>
        <v>22028.823479317667</v>
      </c>
      <c r="I141" s="475">
        <f t="shared" si="99"/>
        <v>50787.7530594235</v>
      </c>
      <c r="J141" s="100">
        <f t="shared" si="100"/>
        <v>8.8449326404511766E-2</v>
      </c>
      <c r="K141" s="474">
        <f t="shared" si="126"/>
        <v>1366.2711985674432</v>
      </c>
      <c r="L141" s="474">
        <f t="shared" si="101"/>
        <v>0</v>
      </c>
      <c r="M141" s="474">
        <f t="shared" si="127"/>
        <v>1366.2711985674432</v>
      </c>
      <c r="N141" s="579">
        <f>($N$142-$N$137)/($A$102-$A$97)+N140</f>
        <v>0.2</v>
      </c>
      <c r="O141" s="475">
        <f t="shared" si="102"/>
        <v>300.7668000000001</v>
      </c>
      <c r="P141" s="466">
        <f t="shared" si="130"/>
        <v>1667.0379985674433</v>
      </c>
      <c r="Q141" s="467">
        <f t="shared" si="103"/>
        <v>75656.48929382053</v>
      </c>
      <c r="R141" s="467">
        <f t="shared" si="128"/>
        <v>20361.78548075023</v>
      </c>
      <c r="S141" s="938">
        <f t="shared" si="104"/>
        <v>0.69350054648782167</v>
      </c>
      <c r="T141" s="118" t="str">
        <f t="shared" si="105"/>
        <v>Yes</v>
      </c>
      <c r="U141" s="938">
        <f t="shared" si="106"/>
        <v>0.69350054648782167</v>
      </c>
      <c r="V141" s="1247">
        <f t="shared" si="97"/>
        <v>82118.678529295241</v>
      </c>
      <c r="W141" s="1244">
        <f t="shared" si="98"/>
        <v>0.19868943488345547</v>
      </c>
      <c r="X141" s="473">
        <f t="shared" si="107"/>
        <v>55294.7038130703</v>
      </c>
      <c r="Y141" s="474">
        <f t="shared" si="108"/>
        <v>8631.5987545352527</v>
      </c>
      <c r="Z141" s="474">
        <f t="shared" si="109"/>
        <v>2636.7344039878863</v>
      </c>
      <c r="AA141" s="474">
        <f t="shared" si="110"/>
        <v>0</v>
      </c>
      <c r="AB141" s="474">
        <f t="shared" si="111"/>
        <v>15555.641557701811</v>
      </c>
      <c r="AC141" s="474">
        <f t="shared" si="112"/>
        <v>82118.678529295241</v>
      </c>
      <c r="AD141" s="1240">
        <f t="shared" si="113"/>
        <v>0</v>
      </c>
      <c r="AE141" s="100">
        <f t="shared" si="114"/>
        <v>0.67335111576770346</v>
      </c>
      <c r="AF141" s="100">
        <f t="shared" si="115"/>
        <v>0.10511127199223004</v>
      </c>
      <c r="AG141" s="100">
        <f t="shared" si="116"/>
        <v>3.2108826532653595E-2</v>
      </c>
      <c r="AH141" s="100">
        <f t="shared" si="129"/>
        <v>0</v>
      </c>
      <c r="AI141" s="100">
        <f t="shared" si="117"/>
        <v>0.18942878570741306</v>
      </c>
      <c r="AJ141" s="471">
        <f t="shared" si="118"/>
        <v>1</v>
      </c>
      <c r="AK141" s="1250">
        <f t="shared" si="119"/>
        <v>46295.610511718813</v>
      </c>
      <c r="AL141" s="1251">
        <f t="shared" si="120"/>
        <v>8456.0240689498114</v>
      </c>
      <c r="AM141" s="1251">
        <f t="shared" si="121"/>
        <v>543.06923240167498</v>
      </c>
      <c r="AN141" s="1251">
        <f t="shared" si="122"/>
        <v>55294.7038130703</v>
      </c>
      <c r="AO141" s="1277">
        <f t="shared" si="123"/>
        <v>0</v>
      </c>
    </row>
    <row r="142" spans="1:91">
      <c r="A142" s="89">
        <f>'Input data'!A122</f>
        <v>2022</v>
      </c>
      <c r="B142" s="152">
        <f>'Input data'!B122</f>
        <v>60.963559588769527</v>
      </c>
      <c r="C142" s="204">
        <f>'Input data'!C122</f>
        <v>4408.5100000000011</v>
      </c>
      <c r="D142" s="204">
        <f>'Input data'!D122</f>
        <v>50359792.847133145</v>
      </c>
      <c r="E142" s="473">
        <f>'Input data'!J122*C142</f>
        <v>53038.984956262379</v>
      </c>
      <c r="F142" s="474">
        <f>'Input data'!L122</f>
        <v>103398.77780339553</v>
      </c>
      <c r="G142" s="474">
        <f t="shared" si="124"/>
        <v>52423.665347216396</v>
      </c>
      <c r="H142" s="474">
        <f t="shared" si="125"/>
        <v>25270.743325713054</v>
      </c>
      <c r="I142" s="475">
        <f t="shared" si="99"/>
        <v>50359.792847133147</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75541.022902670622</v>
      </c>
      <c r="R142" s="467">
        <f t="shared" si="128"/>
        <v>23117.357555454226</v>
      </c>
      <c r="S142" s="938">
        <f t="shared" si="104"/>
        <v>0.76908684660262516</v>
      </c>
      <c r="T142" s="118" t="str">
        <f t="shared" si="105"/>
        <v>Yes</v>
      </c>
      <c r="U142" s="938">
        <f t="shared" si="106"/>
        <v>0.76908684660262516</v>
      </c>
      <c r="V142" s="1247">
        <f t="shared" si="97"/>
        <v>80281.420247941307</v>
      </c>
      <c r="W142" s="1244">
        <f t="shared" si="98"/>
        <v>0.2235747660326316</v>
      </c>
      <c r="X142" s="473">
        <f t="shared" si="107"/>
        <v>52423.665347216396</v>
      </c>
      <c r="Y142" s="474">
        <f t="shared" si="108"/>
        <v>9124.2219628772546</v>
      </c>
      <c r="Z142" s="474">
        <f t="shared" si="109"/>
        <v>2772.7635490634798</v>
      </c>
      <c r="AA142" s="474">
        <f t="shared" si="110"/>
        <v>0</v>
      </c>
      <c r="AB142" s="474">
        <f t="shared" si="111"/>
        <v>15960.769388784185</v>
      </c>
      <c r="AC142" s="474">
        <f t="shared" si="112"/>
        <v>80281.420247941307</v>
      </c>
      <c r="AD142" s="1240">
        <f t="shared" si="113"/>
        <v>0</v>
      </c>
      <c r="AE142" s="100">
        <f t="shared" si="114"/>
        <v>0.65299872853906971</v>
      </c>
      <c r="AF142" s="100">
        <f t="shared" si="115"/>
        <v>0.11365297144342973</v>
      </c>
      <c r="AG142" s="100">
        <f t="shared" si="116"/>
        <v>3.4538048037766035E-2</v>
      </c>
      <c r="AH142" s="100">
        <f t="shared" si="129"/>
        <v>0</v>
      </c>
      <c r="AI142" s="100">
        <f t="shared" si="117"/>
        <v>0.19881025197973468</v>
      </c>
      <c r="AJ142" s="471">
        <f t="shared" si="118"/>
        <v>1.0000000000000002</v>
      </c>
      <c r="AK142" s="1250">
        <f t="shared" si="119"/>
        <v>45482.834211012239</v>
      </c>
      <c r="AL142" s="1251">
        <f t="shared" si="120"/>
        <v>6536.5874149100264</v>
      </c>
      <c r="AM142" s="1251">
        <f t="shared" si="121"/>
        <v>404.24372129411904</v>
      </c>
      <c r="AN142" s="1251">
        <f t="shared" si="122"/>
        <v>52423.665347216389</v>
      </c>
      <c r="AO142" s="1277">
        <f t="shared" si="123"/>
        <v>0</v>
      </c>
    </row>
    <row r="143" spans="1:91">
      <c r="A143" s="89">
        <f>'Input data'!A123</f>
        <v>2023</v>
      </c>
      <c r="B143" s="152">
        <f>'Input data'!B123</f>
        <v>61.723133308607778</v>
      </c>
      <c r="C143" s="204">
        <f>'Input data'!C123</f>
        <v>4511.7199999999984</v>
      </c>
      <c r="D143" s="204">
        <f>'Input data'!D123</f>
        <v>49422822.449545562</v>
      </c>
      <c r="E143" s="473">
        <f>'Input data'!J123*C143</f>
        <v>54280.70917540574</v>
      </c>
      <c r="F143" s="474">
        <f>'Input data'!L123</f>
        <v>103703.53162495131</v>
      </c>
      <c r="G143" s="474">
        <f t="shared" si="124"/>
        <v>49701.698334937471</v>
      </c>
      <c r="H143" s="474">
        <f t="shared" si="125"/>
        <v>27825.918547203917</v>
      </c>
      <c r="I143" s="475">
        <f t="shared" si="99"/>
        <v>49422.822449545565</v>
      </c>
      <c r="J143" s="100">
        <f t="shared" si="100"/>
        <v>0.10603170487993842</v>
      </c>
      <c r="K143" s="474">
        <f t="shared" si="126"/>
        <v>2198.5231675438713</v>
      </c>
      <c r="L143" s="474">
        <f t="shared" si="101"/>
        <v>0</v>
      </c>
      <c r="M143" s="474">
        <f t="shared" si="127"/>
        <v>2198.5231675438713</v>
      </c>
      <c r="N143" s="579">
        <f>($N$147-$N$142)/($A$107-$A$102)+N142</f>
        <v>0.3</v>
      </c>
      <c r="O143" s="475">
        <f t="shared" si="102"/>
        <v>451.15020000000015</v>
      </c>
      <c r="P143" s="466">
        <f t="shared" si="130"/>
        <v>2649.6733675438713</v>
      </c>
      <c r="Q143" s="467">
        <f t="shared" si="103"/>
        <v>74877.943514597515</v>
      </c>
      <c r="R143" s="467">
        <f t="shared" si="128"/>
        <v>25176.245179660044</v>
      </c>
      <c r="S143" s="938">
        <f t="shared" si="104"/>
        <v>0.820193164568083</v>
      </c>
      <c r="T143" s="118" t="str">
        <f t="shared" si="105"/>
        <v>Yes</v>
      </c>
      <c r="U143" s="938">
        <f t="shared" si="106"/>
        <v>0.820193164568083</v>
      </c>
      <c r="V143" s="1247">
        <f t="shared" si="97"/>
        <v>78527.286445291262</v>
      </c>
      <c r="W143" s="1244">
        <f t="shared" si="98"/>
        <v>0.24277133849897348</v>
      </c>
      <c r="X143" s="473">
        <f t="shared" si="107"/>
        <v>49701.698334937471</v>
      </c>
      <c r="Y143" s="474">
        <f t="shared" si="108"/>
        <v>9587.0844184197704</v>
      </c>
      <c r="Z143" s="474">
        <f t="shared" si="109"/>
        <v>2904.0681418807435</v>
      </c>
      <c r="AA143" s="474">
        <f t="shared" si="110"/>
        <v>0</v>
      </c>
      <c r="AB143" s="474">
        <f t="shared" si="111"/>
        <v>16334.435550053271</v>
      </c>
      <c r="AC143" s="474">
        <f t="shared" si="112"/>
        <v>78527.286445291262</v>
      </c>
      <c r="AD143" s="1240">
        <f t="shared" si="113"/>
        <v>0</v>
      </c>
      <c r="AE143" s="100">
        <f t="shared" si="114"/>
        <v>0.63292265128203395</v>
      </c>
      <c r="AF143" s="100">
        <f t="shared" si="115"/>
        <v>0.12208602706651456</v>
      </c>
      <c r="AG143" s="100">
        <f t="shared" si="116"/>
        <v>3.6981643876157141E-2</v>
      </c>
      <c r="AH143" s="100">
        <f t="shared" si="129"/>
        <v>0</v>
      </c>
      <c r="AI143" s="100">
        <f t="shared" si="117"/>
        <v>0.2080096777752943</v>
      </c>
      <c r="AJ143" s="471">
        <f t="shared" si="118"/>
        <v>1</v>
      </c>
      <c r="AK143" s="1250">
        <f t="shared" si="119"/>
        <v>44182.436325241753</v>
      </c>
      <c r="AL143" s="1251">
        <f t="shared" si="120"/>
        <v>5209.0545792941348</v>
      </c>
      <c r="AM143" s="1251">
        <f t="shared" si="121"/>
        <v>310.20743040158311</v>
      </c>
      <c r="AN143" s="1251">
        <f t="shared" si="122"/>
        <v>49701.698334937471</v>
      </c>
      <c r="AO143" s="1277">
        <f t="shared" si="123"/>
        <v>0</v>
      </c>
    </row>
    <row r="144" spans="1:91">
      <c r="A144" s="89">
        <f>'Input data'!A124</f>
        <v>2024</v>
      </c>
      <c r="B144" s="152">
        <f>'Input data'!B124</f>
        <v>62.434728280060035</v>
      </c>
      <c r="C144" s="204">
        <f>'Input data'!C124</f>
        <v>4622.4800000000005</v>
      </c>
      <c r="D144" s="204">
        <f>'Input data'!D124</f>
        <v>49894033.579494402</v>
      </c>
      <c r="E144" s="473">
        <f>'Input data'!J124*C144</f>
        <v>55613.267789031597</v>
      </c>
      <c r="F144" s="474">
        <f>'Input data'!L124</f>
        <v>105507.30136852601</v>
      </c>
      <c r="G144" s="474">
        <f t="shared" si="124"/>
        <v>47121.062615822855</v>
      </c>
      <c r="H144" s="474">
        <f t="shared" si="125"/>
        <v>31613.395036786838</v>
      </c>
      <c r="I144" s="475">
        <f t="shared" si="99"/>
        <v>49894.033579494404</v>
      </c>
      <c r="J144" s="100">
        <f t="shared" si="100"/>
        <v>0.11609308492183117</v>
      </c>
      <c r="K144" s="474">
        <f t="shared" si="126"/>
        <v>2721.4873412277757</v>
      </c>
      <c r="L144" s="474">
        <f t="shared" si="101"/>
        <v>0</v>
      </c>
      <c r="M144" s="474">
        <f t="shared" si="127"/>
        <v>2721.4873412277757</v>
      </c>
      <c r="N144" s="579">
        <f>($N$147-$N$142)/($A$107-$A$102)+N143</f>
        <v>0.35</v>
      </c>
      <c r="O144" s="475">
        <f t="shared" si="102"/>
        <v>526.34190000000012</v>
      </c>
      <c r="P144" s="466">
        <f t="shared" si="130"/>
        <v>3247.829241227776</v>
      </c>
      <c r="Q144" s="467">
        <f t="shared" si="103"/>
        <v>75486.628411381913</v>
      </c>
      <c r="R144" s="467">
        <f t="shared" si="128"/>
        <v>28365.565795559058</v>
      </c>
      <c r="S144" s="938">
        <f t="shared" si="104"/>
        <v>0.90379523969730269</v>
      </c>
      <c r="T144" s="118" t="str">
        <f t="shared" si="105"/>
        <v>Yes</v>
      </c>
      <c r="U144" s="938">
        <f t="shared" si="106"/>
        <v>0.90379523969730269</v>
      </c>
      <c r="V144" s="1247">
        <f t="shared" si="97"/>
        <v>77141.735572966936</v>
      </c>
      <c r="W144" s="1244">
        <f t="shared" si="98"/>
        <v>0.2688493159016655</v>
      </c>
      <c r="X144" s="473">
        <f t="shared" si="107"/>
        <v>47121.062615822855</v>
      </c>
      <c r="Y144" s="474">
        <f t="shared" si="108"/>
        <v>10245.759388380251</v>
      </c>
      <c r="Z144" s="474">
        <f t="shared" si="109"/>
        <v>3039.4774952906882</v>
      </c>
      <c r="AA144" s="474">
        <f t="shared" si="110"/>
        <v>0</v>
      </c>
      <c r="AB144" s="474">
        <f t="shared" si="111"/>
        <v>16735.436073473149</v>
      </c>
      <c r="AC144" s="474">
        <f t="shared" si="112"/>
        <v>77141.735572966936</v>
      </c>
      <c r="AD144" s="1240">
        <f t="shared" si="113"/>
        <v>0</v>
      </c>
      <c r="AE144" s="100">
        <f t="shared" si="114"/>
        <v>0.61083747035029978</v>
      </c>
      <c r="AF144" s="100">
        <f t="shared" si="115"/>
        <v>0.1328173304927652</v>
      </c>
      <c r="AG144" s="100">
        <f t="shared" si="116"/>
        <v>3.9401207047198246E-2</v>
      </c>
      <c r="AH144" s="100">
        <f t="shared" si="129"/>
        <v>0</v>
      </c>
      <c r="AI144" s="100">
        <f t="shared" si="117"/>
        <v>0.21694399210973689</v>
      </c>
      <c r="AJ144" s="471">
        <f t="shared" si="118"/>
        <v>1.0000000000000002</v>
      </c>
      <c r="AK144" s="1250">
        <f t="shared" si="119"/>
        <v>44101.681302057463</v>
      </c>
      <c r="AL144" s="1251">
        <f t="shared" si="120"/>
        <v>2855.5000605612749</v>
      </c>
      <c r="AM144" s="1251">
        <f t="shared" si="121"/>
        <v>163.88125320411658</v>
      </c>
      <c r="AN144" s="1251">
        <f t="shared" si="122"/>
        <v>47121.062615822855</v>
      </c>
      <c r="AO144" s="1277">
        <f t="shared" si="123"/>
        <v>0</v>
      </c>
    </row>
    <row r="145" spans="1:41">
      <c r="A145" s="89">
        <f>'Input data'!A125</f>
        <v>2025</v>
      </c>
      <c r="B145" s="152">
        <f>'Input data'!B125</f>
        <v>63.096422221537942</v>
      </c>
      <c r="C145" s="204">
        <f>'Input data'!C125</f>
        <v>4727.3100000000004</v>
      </c>
      <c r="D145" s="204">
        <f>'Input data'!D125</f>
        <v>49409698.226927206</v>
      </c>
      <c r="E145" s="473">
        <f>'Input data'!J125*C145</f>
        <v>56874.48230209043</v>
      </c>
      <c r="F145" s="474">
        <f>'Input data'!L125</f>
        <v>106284.18052901764</v>
      </c>
      <c r="G145" s="474">
        <f t="shared" si="124"/>
        <v>44674.419917829786</v>
      </c>
      <c r="H145" s="474">
        <f t="shared" si="125"/>
        <v>34329.205994996839</v>
      </c>
      <c r="I145" s="475">
        <f t="shared" si="99"/>
        <v>49409.698226927205</v>
      </c>
      <c r="J145" s="100">
        <f t="shared" si="100"/>
        <v>0.12710919231119061</v>
      </c>
      <c r="K145" s="474">
        <f t="shared" si="126"/>
        <v>3239.3716434274243</v>
      </c>
      <c r="L145" s="474">
        <f t="shared" si="101"/>
        <v>0</v>
      </c>
      <c r="M145" s="474">
        <f t="shared" si="127"/>
        <v>3239.3716434274243</v>
      </c>
      <c r="N145" s="579">
        <f>($N$147-$N$142)/($A$107-$A$102)+N144</f>
        <v>0.39999999999999997</v>
      </c>
      <c r="O145" s="475">
        <f t="shared" si="102"/>
        <v>601.53360000000009</v>
      </c>
      <c r="P145" s="466">
        <f t="shared" si="130"/>
        <v>3840.9052434274245</v>
      </c>
      <c r="Q145" s="467">
        <f t="shared" si="103"/>
        <v>75162.720669399205</v>
      </c>
      <c r="R145" s="467">
        <f t="shared" si="128"/>
        <v>30488.300751569419</v>
      </c>
      <c r="S145" s="938">
        <f t="shared" si="104"/>
        <v>0.95176452864838468</v>
      </c>
      <c r="T145" s="118" t="str">
        <f t="shared" si="105"/>
        <v>Yes</v>
      </c>
      <c r="U145" s="938">
        <f t="shared" si="106"/>
        <v>0.95176452864838468</v>
      </c>
      <c r="V145" s="1247">
        <f t="shared" si="97"/>
        <v>75795.879777448237</v>
      </c>
      <c r="W145" s="1244">
        <f t="shared" si="98"/>
        <v>0.28685643150106899</v>
      </c>
      <c r="X145" s="473">
        <f t="shared" si="107"/>
        <v>44674.419917829786</v>
      </c>
      <c r="Y145" s="474">
        <f t="shared" si="108"/>
        <v>10834.829658775616</v>
      </c>
      <c r="Z145" s="474">
        <f t="shared" si="109"/>
        <v>3171.6628446854556</v>
      </c>
      <c r="AA145" s="474">
        <f t="shared" si="110"/>
        <v>0</v>
      </c>
      <c r="AB145" s="474">
        <f t="shared" si="111"/>
        <v>17114.967356157376</v>
      </c>
      <c r="AC145" s="474">
        <f t="shared" si="112"/>
        <v>75795.879777448237</v>
      </c>
      <c r="AD145" s="1240">
        <f t="shared" si="113"/>
        <v>0</v>
      </c>
      <c r="AE145" s="100">
        <f t="shared" si="114"/>
        <v>0.58940433238591283</v>
      </c>
      <c r="AF145" s="100">
        <f t="shared" si="115"/>
        <v>0.14294747538505825</v>
      </c>
      <c r="AG145" s="100">
        <f t="shared" si="116"/>
        <v>4.1844792276283196E-2</v>
      </c>
      <c r="AH145" s="100">
        <f t="shared" si="129"/>
        <v>0</v>
      </c>
      <c r="AI145" s="100">
        <f t="shared" si="117"/>
        <v>0.22580339995274573</v>
      </c>
      <c r="AJ145" s="471">
        <f t="shared" si="118"/>
        <v>1</v>
      </c>
      <c r="AK145" s="1250">
        <f t="shared" si="119"/>
        <v>43129.271392962823</v>
      </c>
      <c r="AL145" s="1251">
        <f t="shared" si="120"/>
        <v>1464.1689088869523</v>
      </c>
      <c r="AM145" s="1251">
        <f t="shared" si="121"/>
        <v>80.979615980016604</v>
      </c>
      <c r="AN145" s="1251">
        <f t="shared" si="122"/>
        <v>44674.419917829793</v>
      </c>
      <c r="AO145" s="1277">
        <f t="shared" si="123"/>
        <v>0</v>
      </c>
    </row>
    <row r="146" spans="1:41">
      <c r="A146" s="89">
        <f>'Input data'!A126</f>
        <v>2026</v>
      </c>
      <c r="B146" s="152">
        <f>'Input data'!B126</f>
        <v>63.744102485123491</v>
      </c>
      <c r="C146" s="204">
        <f>'Input data'!C126</f>
        <v>4818.42</v>
      </c>
      <c r="D146" s="204">
        <f>'Input data'!D126</f>
        <v>47599010.514277697</v>
      </c>
      <c r="E146" s="473">
        <f>'Input data'!J126*C146</f>
        <v>57970.630869149376</v>
      </c>
      <c r="F146" s="474">
        <f>'Input data'!L126</f>
        <v>105569.64138342708</v>
      </c>
      <c r="G146" s="474">
        <f t="shared" si="124"/>
        <v>42354.812990240433</v>
      </c>
      <c r="H146" s="474">
        <f t="shared" si="125"/>
        <v>35578.546796022958</v>
      </c>
      <c r="I146" s="475">
        <f t="shared" si="99"/>
        <v>47599.010514277696</v>
      </c>
      <c r="J146" s="100">
        <f t="shared" si="100"/>
        <v>0.13917062141024203</v>
      </c>
      <c r="K146" s="474">
        <f t="shared" si="126"/>
        <v>3694.7724152633423</v>
      </c>
      <c r="L146" s="474">
        <f t="shared" si="101"/>
        <v>0</v>
      </c>
      <c r="M146" s="474">
        <f t="shared" si="127"/>
        <v>3694.7724152633423</v>
      </c>
      <c r="N146" s="579">
        <f>($N$147-$N$142)/($A$107-$A$102)+N145</f>
        <v>0.44999999999999996</v>
      </c>
      <c r="O146" s="475">
        <f t="shared" si="102"/>
        <v>676.72530000000006</v>
      </c>
      <c r="P146" s="466">
        <f t="shared" si="130"/>
        <v>4371.4977152633419</v>
      </c>
      <c r="Q146" s="467">
        <f t="shared" si="103"/>
        <v>73561.862071000054</v>
      </c>
      <c r="R146" s="467">
        <f t="shared" si="128"/>
        <v>31207.049080759622</v>
      </c>
      <c r="S146" s="938">
        <f t="shared" si="104"/>
        <v>0.95764641186652988</v>
      </c>
      <c r="T146" s="118" t="str">
        <f t="shared" si="105"/>
        <v>Yes</v>
      </c>
      <c r="U146" s="938">
        <f t="shared" si="106"/>
        <v>0.95764641186652988</v>
      </c>
      <c r="V146" s="1247">
        <f t="shared" si="97"/>
        <v>74362.592302667472</v>
      </c>
      <c r="W146" s="1244">
        <f t="shared" si="98"/>
        <v>0.29560628104642461</v>
      </c>
      <c r="X146" s="473">
        <f t="shared" si="107"/>
        <v>42354.812990240433</v>
      </c>
      <c r="Y146" s="474">
        <f t="shared" si="108"/>
        <v>11266.564236331724</v>
      </c>
      <c r="Z146" s="474">
        <f t="shared" si="109"/>
        <v>3296.3889470164409</v>
      </c>
      <c r="AA146" s="474">
        <f t="shared" si="110"/>
        <v>0</v>
      </c>
      <c r="AB146" s="474">
        <f t="shared" si="111"/>
        <v>17444.826129078869</v>
      </c>
      <c r="AC146" s="474">
        <f t="shared" si="112"/>
        <v>74362.592302667472</v>
      </c>
      <c r="AD146" s="1240">
        <f t="shared" si="113"/>
        <v>0</v>
      </c>
      <c r="AE146" s="100">
        <f t="shared" si="114"/>
        <v>0.56957149661821449</v>
      </c>
      <c r="AF146" s="100">
        <f t="shared" si="115"/>
        <v>0.15150849220633719</v>
      </c>
      <c r="AG146" s="100">
        <f t="shared" si="116"/>
        <v>4.4328591095905027E-2</v>
      </c>
      <c r="AH146" s="100">
        <f t="shared" si="129"/>
        <v>0</v>
      </c>
      <c r="AI146" s="100">
        <f t="shared" si="117"/>
        <v>0.23459142007954317</v>
      </c>
      <c r="AJ146" s="471">
        <f t="shared" si="118"/>
        <v>0.99999999999999989</v>
      </c>
      <c r="AK146" s="1250">
        <f t="shared" si="119"/>
        <v>40974.626642493022</v>
      </c>
      <c r="AL146" s="1251">
        <f t="shared" si="120"/>
        <v>1310.4046721997286</v>
      </c>
      <c r="AM146" s="1251">
        <f t="shared" si="121"/>
        <v>69.781675547683321</v>
      </c>
      <c r="AN146" s="1251">
        <f t="shared" si="122"/>
        <v>42354.812990240433</v>
      </c>
      <c r="AO146" s="1277">
        <f t="shared" si="123"/>
        <v>0</v>
      </c>
    </row>
    <row r="147" spans="1:41">
      <c r="A147" s="89">
        <f>'Input data'!A127</f>
        <v>2027</v>
      </c>
      <c r="B147" s="152">
        <f>'Input data'!B127</f>
        <v>64.377188881988602</v>
      </c>
      <c r="C147" s="204">
        <f>'Input data'!C127</f>
        <v>4908.8799999999992</v>
      </c>
      <c r="D147" s="204">
        <f>'Input data'!D127</f>
        <v>46599596.269564167</v>
      </c>
      <c r="E147" s="473">
        <f>'Input data'!J127*C147</f>
        <v>59058.959256550894</v>
      </c>
      <c r="F147" s="474">
        <f>'Input data'!L127</f>
        <v>105658.55552611506</v>
      </c>
      <c r="G147" s="474">
        <f t="shared" si="124"/>
        <v>40155.6458200876</v>
      </c>
      <c r="H147" s="474">
        <f t="shared" si="125"/>
        <v>37464.301985449747</v>
      </c>
      <c r="I147" s="475">
        <f t="shared" si="99"/>
        <v>46599.596269564165</v>
      </c>
      <c r="J147" s="100">
        <f t="shared" si="100"/>
        <v>0.15237656310721223</v>
      </c>
      <c r="K147" s="474">
        <f t="shared" si="126"/>
        <v>4232.586551900441</v>
      </c>
      <c r="L147" s="474">
        <f t="shared" si="101"/>
        <v>0</v>
      </c>
      <c r="M147" s="474">
        <f t="shared" si="127"/>
        <v>4232.586551900441</v>
      </c>
      <c r="N147" s="579">
        <f>$C$27</f>
        <v>0.5</v>
      </c>
      <c r="O147" s="475">
        <f t="shared" si="102"/>
        <v>751.91700000000026</v>
      </c>
      <c r="P147" s="466">
        <f t="shared" si="130"/>
        <v>4984.5035519004414</v>
      </c>
      <c r="Q147" s="467">
        <f t="shared" si="103"/>
        <v>72635.444253636902</v>
      </c>
      <c r="R147" s="467">
        <f t="shared" si="128"/>
        <v>32479.798433549302</v>
      </c>
      <c r="S147" s="938">
        <f t="shared" si="104"/>
        <v>0.98018091251781592</v>
      </c>
      <c r="T147" s="118" t="str">
        <f t="shared" si="105"/>
        <v>Yes</v>
      </c>
      <c r="U147" s="938">
        <f t="shared" si="106"/>
        <v>0.98018091251781592</v>
      </c>
      <c r="V147" s="1247">
        <f t="shared" si="97"/>
        <v>73178.757092565764</v>
      </c>
      <c r="W147" s="1244">
        <f t="shared" si="98"/>
        <v>0.30740339267198702</v>
      </c>
      <c r="X147" s="473">
        <f t="shared" si="107"/>
        <v>40155.6458200876</v>
      </c>
      <c r="Y147" s="474">
        <f t="shared" si="108"/>
        <v>11830.018000571867</v>
      </c>
      <c r="Z147" s="474">
        <f t="shared" si="109"/>
        <v>3420.7616593626267</v>
      </c>
      <c r="AA147" s="474">
        <f t="shared" si="110"/>
        <v>0</v>
      </c>
      <c r="AB147" s="474">
        <f t="shared" si="111"/>
        <v>17772.331612543669</v>
      </c>
      <c r="AC147" s="474">
        <f t="shared" si="112"/>
        <v>73178.757092565764</v>
      </c>
      <c r="AD147" s="1240">
        <f t="shared" si="113"/>
        <v>0</v>
      </c>
      <c r="AE147" s="100">
        <f t="shared" si="114"/>
        <v>0.54873364095667343</v>
      </c>
      <c r="AF147" s="100">
        <f t="shared" si="115"/>
        <v>0.16165918185256634</v>
      </c>
      <c r="AG147" s="100">
        <f t="shared" si="116"/>
        <v>4.6745282309668283E-2</v>
      </c>
      <c r="AH147" s="100">
        <f t="shared" si="129"/>
        <v>0</v>
      </c>
      <c r="AI147" s="100">
        <f t="shared" si="117"/>
        <v>0.24286189488109194</v>
      </c>
      <c r="AJ147" s="471">
        <f t="shared" si="118"/>
        <v>1</v>
      </c>
      <c r="AK147" s="1250">
        <f t="shared" si="119"/>
        <v>39498.909947824308</v>
      </c>
      <c r="AL147" s="1251">
        <f t="shared" si="120"/>
        <v>624.70738701671428</v>
      </c>
      <c r="AM147" s="1251">
        <f t="shared" si="121"/>
        <v>32.028485246579535</v>
      </c>
      <c r="AN147" s="1251">
        <f t="shared" si="122"/>
        <v>40155.6458200876</v>
      </c>
      <c r="AO147" s="1277">
        <f t="shared" si="123"/>
        <v>0</v>
      </c>
    </row>
    <row r="148" spans="1:41">
      <c r="A148" s="89">
        <f>'Input data'!A128</f>
        <v>2028</v>
      </c>
      <c r="B148" s="152">
        <f>'Input data'!B128</f>
        <v>64.995109664264291</v>
      </c>
      <c r="C148" s="204">
        <f>'Input data'!C128</f>
        <v>5001.3400000000011</v>
      </c>
      <c r="D148" s="204">
        <f>'Input data'!D128</f>
        <v>45314646.034956604</v>
      </c>
      <c r="E148" s="473">
        <f>'Input data'!J128*C148</f>
        <v>60171.349735206066</v>
      </c>
      <c r="F148" s="474">
        <f>'Input data'!L128</f>
        <v>105485.99577016267</v>
      </c>
      <c r="G148" s="474">
        <f t="shared" si="124"/>
        <v>38070.664875792791</v>
      </c>
      <c r="H148" s="474">
        <f t="shared" si="125"/>
        <v>38981.716052867167</v>
      </c>
      <c r="I148" s="475">
        <f t="shared" si="99"/>
        <v>45314.646034956604</v>
      </c>
      <c r="J148" s="100">
        <f t="shared" si="100"/>
        <v>0.16683562054324133</v>
      </c>
      <c r="K148" s="474">
        <f t="shared" si="126"/>
        <v>4771.0831022473239</v>
      </c>
      <c r="L148" s="474">
        <f t="shared" si="101"/>
        <v>0</v>
      </c>
      <c r="M148" s="474">
        <f t="shared" si="127"/>
        <v>4771.0831022473239</v>
      </c>
      <c r="N148" s="579">
        <f>N147</f>
        <v>0.5</v>
      </c>
      <c r="O148" s="475">
        <f t="shared" si="102"/>
        <v>751.91700000000026</v>
      </c>
      <c r="P148" s="466">
        <f t="shared" si="130"/>
        <v>5523.0001022473243</v>
      </c>
      <c r="Q148" s="467">
        <f t="shared" si="103"/>
        <v>71529.380826412627</v>
      </c>
      <c r="R148" s="467">
        <f t="shared" si="128"/>
        <v>33458.715950619837</v>
      </c>
      <c r="S148" s="938">
        <f t="shared" si="104"/>
        <v>0.99064048837086083</v>
      </c>
      <c r="T148" s="118" t="str">
        <f t="shared" si="105"/>
        <v>Yes</v>
      </c>
      <c r="U148" s="938">
        <f t="shared" si="106"/>
        <v>0.99064048837086083</v>
      </c>
      <c r="V148" s="1247">
        <f t="shared" si="97"/>
        <v>72027.279819542848</v>
      </c>
      <c r="W148" s="1244">
        <f t="shared" si="98"/>
        <v>0.31718633081419723</v>
      </c>
      <c r="X148" s="473">
        <f t="shared" si="107"/>
        <v>38070.664875792791</v>
      </c>
      <c r="Y148" s="474">
        <f t="shared" si="108"/>
        <v>12378.506931597407</v>
      </c>
      <c r="Z148" s="474">
        <f t="shared" si="109"/>
        <v>3471.0300255081979</v>
      </c>
      <c r="AA148" s="474">
        <f t="shared" si="110"/>
        <v>0</v>
      </c>
      <c r="AB148" s="474">
        <f t="shared" si="111"/>
        <v>18107.077986644446</v>
      </c>
      <c r="AC148" s="474">
        <f t="shared" si="112"/>
        <v>72027.279819542848</v>
      </c>
      <c r="AD148" s="1240">
        <f t="shared" si="113"/>
        <v>0</v>
      </c>
      <c r="AE148" s="100">
        <f t="shared" si="114"/>
        <v>0.52855897058968537</v>
      </c>
      <c r="AF148" s="100">
        <f t="shared" si="115"/>
        <v>0.17185859250287558</v>
      </c>
      <c r="AG148" s="100">
        <f t="shared" si="116"/>
        <v>4.8190491633232808E-2</v>
      </c>
      <c r="AH148" s="100">
        <f t="shared" si="129"/>
        <v>0</v>
      </c>
      <c r="AI148" s="100">
        <f t="shared" si="117"/>
        <v>0.25139194527420611</v>
      </c>
      <c r="AJ148" s="471">
        <f t="shared" si="118"/>
        <v>1</v>
      </c>
      <c r="AK148" s="1250">
        <f t="shared" si="119"/>
        <v>37754.54894401729</v>
      </c>
      <c r="AL148" s="1251">
        <f t="shared" si="120"/>
        <v>300.57311969440713</v>
      </c>
      <c r="AM148" s="1251">
        <f t="shared" si="121"/>
        <v>15.542812081092457</v>
      </c>
      <c r="AN148" s="1251">
        <f t="shared" si="122"/>
        <v>38070.664875792791</v>
      </c>
      <c r="AO148" s="1277">
        <f t="shared" si="123"/>
        <v>0</v>
      </c>
    </row>
    <row r="149" spans="1:41">
      <c r="A149" s="89">
        <f>'Input data'!A129</f>
        <v>2029</v>
      </c>
      <c r="B149" s="152">
        <f>'Input data'!B129</f>
        <v>65.59730237662275</v>
      </c>
      <c r="C149" s="204">
        <f>'Input data'!C129</f>
        <v>5124.16</v>
      </c>
      <c r="D149" s="204">
        <f>'Input data'!D129</f>
        <v>44520340.557958424</v>
      </c>
      <c r="E149" s="473">
        <f>'Input data'!J129*C149</f>
        <v>61649.00275909125</v>
      </c>
      <c r="F149" s="474">
        <f>'Input data'!L129</f>
        <v>106169.34331704967</v>
      </c>
      <c r="G149" s="474">
        <f t="shared" si="124"/>
        <v>36093.941324681233</v>
      </c>
      <c r="H149" s="474">
        <f t="shared" si="125"/>
        <v>41060.909658453413</v>
      </c>
      <c r="I149" s="475">
        <f t="shared" si="99"/>
        <v>44520.340557958421</v>
      </c>
      <c r="J149" s="100">
        <f>$J$137*(1+((($J$150/$J$137)^(1/($A$150-$A$137)))-1))^(A149-$A$137)</f>
        <v>0.18266670224386344</v>
      </c>
      <c r="K149" s="474">
        <f t="shared" si="126"/>
        <v>5392.2575096669898</v>
      </c>
      <c r="L149" s="474">
        <f t="shared" si="101"/>
        <v>0</v>
      </c>
      <c r="M149" s="474">
        <f t="shared" si="127"/>
        <v>5392.2575096669898</v>
      </c>
      <c r="N149" s="579">
        <f t="shared" ref="N149:N170" si="131">N148</f>
        <v>0.5</v>
      </c>
      <c r="O149" s="475">
        <f t="shared" si="102"/>
        <v>751.91700000000026</v>
      </c>
      <c r="P149" s="466">
        <f t="shared" si="130"/>
        <v>6144.1745096669902</v>
      </c>
      <c r="Q149" s="467">
        <f t="shared" si="103"/>
        <v>71010.676473467654</v>
      </c>
      <c r="R149" s="467">
        <f t="shared" si="128"/>
        <v>34916.735148786422</v>
      </c>
      <c r="S149" s="938">
        <f t="shared" si="104"/>
        <v>1.0084919799270773</v>
      </c>
      <c r="T149" s="118" t="str">
        <f t="shared" si="105"/>
        <v>No</v>
      </c>
      <c r="U149" s="938">
        <f t="shared" si="106"/>
        <v>1</v>
      </c>
      <c r="V149" s="1247">
        <f t="shared" si="97"/>
        <v>71546.623609044444</v>
      </c>
      <c r="W149" s="1244">
        <f t="shared" si="98"/>
        <v>0.32610844737555411</v>
      </c>
      <c r="X149" s="473">
        <f t="shared" si="107"/>
        <v>36387.956765462433</v>
      </c>
      <c r="Y149" s="474">
        <f t="shared" si="108"/>
        <v>13069.121340654394</v>
      </c>
      <c r="Z149" s="474">
        <f t="shared" si="109"/>
        <v>3537.8044223284328</v>
      </c>
      <c r="AA149" s="474">
        <f t="shared" si="110"/>
        <v>0</v>
      </c>
      <c r="AB149" s="474">
        <f t="shared" si="111"/>
        <v>18551.741080599193</v>
      </c>
      <c r="AC149" s="474">
        <f t="shared" si="112"/>
        <v>71546.623609044444</v>
      </c>
      <c r="AD149" s="1240">
        <f t="shared" si="113"/>
        <v>294.0154407812006</v>
      </c>
      <c r="AE149" s="100">
        <f t="shared" si="114"/>
        <v>0.5085908311243148</v>
      </c>
      <c r="AF149" s="100">
        <f t="shared" si="115"/>
        <v>0.18266580142297983</v>
      </c>
      <c r="AG149" s="100">
        <f t="shared" si="116"/>
        <v>4.9447538456324963E-2</v>
      </c>
      <c r="AH149" s="100">
        <f t="shared" si="129"/>
        <v>0</v>
      </c>
      <c r="AI149" s="100">
        <f t="shared" si="117"/>
        <v>0.2592958289963806</v>
      </c>
      <c r="AJ149" s="471">
        <f t="shared" si="118"/>
        <v>1.0000000000000002</v>
      </c>
      <c r="AK149" s="1250">
        <f t="shared" si="119"/>
        <v>36387.956765462433</v>
      </c>
      <c r="AL149" s="1251">
        <f t="shared" si="120"/>
        <v>0</v>
      </c>
      <c r="AM149" s="1251">
        <f t="shared" si="121"/>
        <v>0</v>
      </c>
      <c r="AN149" s="1251">
        <f t="shared" si="122"/>
        <v>36387.956765462433</v>
      </c>
      <c r="AO149" s="1277">
        <f t="shared" si="123"/>
        <v>0</v>
      </c>
    </row>
    <row r="150" spans="1:41" s="369" customFormat="1">
      <c r="A150" s="683">
        <f>'Input data'!A130</f>
        <v>2030</v>
      </c>
      <c r="B150" s="152">
        <f>'Input data'!B130</f>
        <v>66.183214701401099</v>
      </c>
      <c r="C150" s="204">
        <f>'Input data'!C130</f>
        <v>5234.6499999999996</v>
      </c>
      <c r="D150" s="204">
        <f>'Input data'!D130</f>
        <v>41257794.114847519</v>
      </c>
      <c r="E150" s="473">
        <f>'Input data'!J130*C150</f>
        <v>62978.312990397841</v>
      </c>
      <c r="F150" s="474">
        <f>'Input data'!L130</f>
        <v>104236.10710524536</v>
      </c>
      <c r="G150" s="474">
        <f>G137*(1-$C$4)</f>
        <v>34219.854173807704</v>
      </c>
      <c r="H150" s="474">
        <f t="shared" si="125"/>
        <v>40636.020396917476</v>
      </c>
      <c r="I150" s="475">
        <f t="shared" si="99"/>
        <v>41257.794114847522</v>
      </c>
      <c r="J150" s="100">
        <v>0.2</v>
      </c>
      <c r="K150" s="474">
        <f t="shared" si="126"/>
        <v>5712.234895775684</v>
      </c>
      <c r="L150" s="474">
        <f t="shared" si="101"/>
        <v>0</v>
      </c>
      <c r="M150" s="474">
        <f t="shared" si="127"/>
        <v>5712.234895775684</v>
      </c>
      <c r="N150" s="579">
        <f t="shared" si="131"/>
        <v>0.5</v>
      </c>
      <c r="O150" s="475">
        <f t="shared" si="102"/>
        <v>751.91700000000026</v>
      </c>
      <c r="P150" s="466">
        <f t="shared" si="130"/>
        <v>6464.1518957756844</v>
      </c>
      <c r="Q150" s="467">
        <f t="shared" si="103"/>
        <v>68391.722674949502</v>
      </c>
      <c r="R150" s="467">
        <f t="shared" si="128"/>
        <v>34171.868501141798</v>
      </c>
      <c r="S150" s="938">
        <f t="shared" si="104"/>
        <v>0.96570292027374238</v>
      </c>
      <c r="T150" s="118" t="str">
        <f t="shared" si="105"/>
        <v>Yes</v>
      </c>
      <c r="U150" s="938">
        <f t="shared" si="106"/>
        <v>0.96570292027374238</v>
      </c>
      <c r="V150" s="1247">
        <f t="shared" si="97"/>
        <v>70064.238604103579</v>
      </c>
      <c r="W150" s="1244">
        <f t="shared" si="98"/>
        <v>0.32783139595417787</v>
      </c>
      <c r="X150" s="473">
        <f t="shared" si="107"/>
        <v>34219.854173807704</v>
      </c>
      <c r="Y150" s="474">
        <f t="shared" si="108"/>
        <v>13294.745063537208</v>
      </c>
      <c r="Z150" s="474">
        <f t="shared" si="109"/>
        <v>3597.8752829754594</v>
      </c>
      <c r="AA150" s="474">
        <f t="shared" si="110"/>
        <v>0</v>
      </c>
      <c r="AB150" s="474">
        <f t="shared" si="111"/>
        <v>18951.764083783208</v>
      </c>
      <c r="AC150" s="474">
        <f t="shared" si="112"/>
        <v>70064.238604103579</v>
      </c>
      <c r="AD150" s="1240">
        <f t="shared" si="113"/>
        <v>0</v>
      </c>
      <c r="AE150" s="100">
        <f t="shared" si="114"/>
        <v>0.48840685142054036</v>
      </c>
      <c r="AF150" s="100">
        <f t="shared" si="115"/>
        <v>0.18975079624655408</v>
      </c>
      <c r="AG150" s="100">
        <f t="shared" si="116"/>
        <v>5.1351093719938547E-2</v>
      </c>
      <c r="AH150" s="100">
        <f t="shared" si="129"/>
        <v>0</v>
      </c>
      <c r="AI150" s="100">
        <f t="shared" si="117"/>
        <v>0.27049125861296702</v>
      </c>
      <c r="AJ150" s="471">
        <f t="shared" si="118"/>
        <v>1</v>
      </c>
      <c r="AK150" s="1250">
        <f t="shared" si="119"/>
        <v>33006.235291878016</v>
      </c>
      <c r="AL150" s="1251">
        <f t="shared" si="120"/>
        <v>1152.803703892499</v>
      </c>
      <c r="AM150" s="1251">
        <f t="shared" si="121"/>
        <v>60.815178037186428</v>
      </c>
      <c r="AN150" s="1251">
        <f t="shared" si="122"/>
        <v>34219.854173807696</v>
      </c>
      <c r="AO150" s="1277">
        <f t="shared" si="123"/>
        <v>0</v>
      </c>
    </row>
    <row r="151" spans="1:41">
      <c r="A151" s="89">
        <f>'Input data'!A131</f>
        <v>2031</v>
      </c>
      <c r="B151" s="152">
        <f>'Input data'!B131</f>
        <v>66.757007289602299</v>
      </c>
      <c r="C151" s="204">
        <f>'Input data'!C131</f>
        <v>5365.4400000000005</v>
      </c>
      <c r="D151" s="204">
        <f>'Input data'!D131</f>
        <v>39014257.111139439</v>
      </c>
      <c r="E151" s="473">
        <f>'Input data'!J131*C151</f>
        <v>64551.853447928748</v>
      </c>
      <c r="F151" s="474">
        <f>'Input data'!L131</f>
        <v>103566.11055906818</v>
      </c>
      <c r="G151" s="474">
        <f>$G$150*(1+((($G$160/$G$150)^(1/($A$160-$A$150)))-1))^(A151-$A$150)</f>
        <v>33020.827958397946</v>
      </c>
      <c r="H151" s="474">
        <f t="shared" si="125"/>
        <v>40632.502955381307</v>
      </c>
      <c r="I151" s="475">
        <f t="shared" si="99"/>
        <v>39014.257111139435</v>
      </c>
      <c r="J151" s="100">
        <f t="shared" ref="J151:J170" si="132">J150</f>
        <v>0.2</v>
      </c>
      <c r="K151" s="474">
        <f t="shared" si="126"/>
        <v>5401.6121240668754</v>
      </c>
      <c r="L151" s="474">
        <f t="shared" si="101"/>
        <v>0</v>
      </c>
      <c r="M151" s="474">
        <f t="shared" si="127"/>
        <v>5401.6121240668754</v>
      </c>
      <c r="N151" s="579">
        <f t="shared" si="131"/>
        <v>0.5</v>
      </c>
      <c r="O151" s="475">
        <f t="shared" si="102"/>
        <v>751.91700000000026</v>
      </c>
      <c r="P151" s="466">
        <f t="shared" si="130"/>
        <v>6153.5291240668757</v>
      </c>
      <c r="Q151" s="467">
        <f t="shared" si="103"/>
        <v>67499.801789712379</v>
      </c>
      <c r="R151" s="467">
        <f t="shared" si="128"/>
        <v>34478.973831314433</v>
      </c>
      <c r="S151" s="938">
        <f t="shared" si="104"/>
        <v>0.95013771717933637</v>
      </c>
      <c r="T151" s="118" t="str">
        <f t="shared" si="105"/>
        <v>Yes</v>
      </c>
      <c r="U151" s="938">
        <f t="shared" si="106"/>
        <v>0.95013771717933637</v>
      </c>
      <c r="V151" s="1247">
        <f t="shared" si="97"/>
        <v>69087.136727753765</v>
      </c>
      <c r="W151" s="1244">
        <f t="shared" si="98"/>
        <v>0.33291753108416278</v>
      </c>
      <c r="X151" s="473">
        <f t="shared" si="107"/>
        <v>33020.827958397946</v>
      </c>
      <c r="Y151" s="474">
        <f t="shared" si="108"/>
        <v>12972.043857747278</v>
      </c>
      <c r="Z151" s="474">
        <f t="shared" si="109"/>
        <v>3668.9827846862445</v>
      </c>
      <c r="AA151" s="474">
        <f t="shared" si="110"/>
        <v>0</v>
      </c>
      <c r="AB151" s="474">
        <f t="shared" si="111"/>
        <v>19425.282126922295</v>
      </c>
      <c r="AC151" s="474">
        <f t="shared" si="112"/>
        <v>69087.136727753765</v>
      </c>
      <c r="AD151" s="1240">
        <f t="shared" si="113"/>
        <v>0</v>
      </c>
      <c r="AE151" s="100">
        <f t="shared" si="114"/>
        <v>0.47795913280529367</v>
      </c>
      <c r="AF151" s="100">
        <f t="shared" si="115"/>
        <v>0.18776351824892076</v>
      </c>
      <c r="AG151" s="100">
        <f t="shared" si="116"/>
        <v>5.3106597819277353E-2</v>
      </c>
      <c r="AH151" s="100">
        <f t="shared" si="129"/>
        <v>0</v>
      </c>
      <c r="AI151" s="100">
        <f t="shared" si="117"/>
        <v>0.28117075112650813</v>
      </c>
      <c r="AJ151" s="471">
        <f t="shared" si="118"/>
        <v>1</v>
      </c>
      <c r="AK151" s="1250">
        <f t="shared" si="119"/>
        <v>31211.405688911549</v>
      </c>
      <c r="AL151" s="1251">
        <f t="shared" si="120"/>
        <v>1717.8612027932613</v>
      </c>
      <c r="AM151" s="1251">
        <f t="shared" si="121"/>
        <v>91.561066693136311</v>
      </c>
      <c r="AN151" s="1251">
        <f t="shared" si="122"/>
        <v>33020.827958397953</v>
      </c>
      <c r="AO151" s="1277">
        <f t="shared" si="123"/>
        <v>0</v>
      </c>
    </row>
    <row r="152" spans="1:41">
      <c r="A152" s="89">
        <f>'Input data'!A132</f>
        <v>2032</v>
      </c>
      <c r="B152" s="152">
        <f>'Input data'!B132</f>
        <v>67.318270994163854</v>
      </c>
      <c r="C152" s="204">
        <f>'Input data'!C132</f>
        <v>5502.3</v>
      </c>
      <c r="D152" s="204">
        <f>'Input data'!D132</f>
        <v>36334930.67697753</v>
      </c>
      <c r="E152" s="473">
        <f>'Input data'!J132*C152</f>
        <v>66198.422352414404</v>
      </c>
      <c r="F152" s="474">
        <f>'Input data'!L132</f>
        <v>102533.35302939193</v>
      </c>
      <c r="G152" s="474">
        <f t="shared" ref="G152:G159" si="133">$G$150*(1+((($G$160/$G$150)^(1/($A$160-$A$150)))-1))^(A152-$A$150)</f>
        <v>31863.814308498775</v>
      </c>
      <c r="H152" s="474">
        <f t="shared" si="125"/>
        <v>40219.909614634984</v>
      </c>
      <c r="I152" s="475">
        <f t="shared" si="99"/>
        <v>36334.930676977528</v>
      </c>
      <c r="J152" s="100">
        <f t="shared" si="132"/>
        <v>0.2</v>
      </c>
      <c r="K152" s="474">
        <f t="shared" si="126"/>
        <v>5030.6533202154096</v>
      </c>
      <c r="L152" s="474">
        <f t="shared" si="101"/>
        <v>0</v>
      </c>
      <c r="M152" s="474">
        <f t="shared" si="127"/>
        <v>5030.6533202154096</v>
      </c>
      <c r="N152" s="579">
        <f t="shared" si="131"/>
        <v>0.5</v>
      </c>
      <c r="O152" s="475">
        <f t="shared" si="102"/>
        <v>751.91700000000026</v>
      </c>
      <c r="P152" s="466">
        <f t="shared" si="130"/>
        <v>5782.57032021541</v>
      </c>
      <c r="Q152" s="467">
        <f t="shared" si="103"/>
        <v>66301.153602918348</v>
      </c>
      <c r="R152" s="467">
        <f t="shared" si="128"/>
        <v>34437.339294419573</v>
      </c>
      <c r="S152" s="938">
        <f t="shared" si="104"/>
        <v>0.92490924533765106</v>
      </c>
      <c r="T152" s="118" t="str">
        <f t="shared" si="105"/>
        <v>Yes</v>
      </c>
      <c r="U152" s="938">
        <f t="shared" si="106"/>
        <v>0.92490924533765106</v>
      </c>
      <c r="V152" s="1247">
        <f t="shared" si="97"/>
        <v>68096.013734972366</v>
      </c>
      <c r="W152" s="1244">
        <f t="shared" si="98"/>
        <v>0.33586475304818963</v>
      </c>
      <c r="X152" s="473">
        <f t="shared" si="107"/>
        <v>31863.814308498775</v>
      </c>
      <c r="Y152" s="474">
        <f t="shared" si="108"/>
        <v>12568.03274815389</v>
      </c>
      <c r="Z152" s="474">
        <f t="shared" si="109"/>
        <v>3743.3904051781628</v>
      </c>
      <c r="AA152" s="474">
        <f t="shared" si="110"/>
        <v>0</v>
      </c>
      <c r="AB152" s="474">
        <f t="shared" si="111"/>
        <v>19920.776273141539</v>
      </c>
      <c r="AC152" s="474">
        <f t="shared" si="112"/>
        <v>68096.013734972366</v>
      </c>
      <c r="AD152" s="1240">
        <f t="shared" si="113"/>
        <v>0</v>
      </c>
      <c r="AE152" s="100">
        <f t="shared" si="114"/>
        <v>0.46792481029083111</v>
      </c>
      <c r="AF152" s="100">
        <f t="shared" si="115"/>
        <v>0.18456341360991108</v>
      </c>
      <c r="AG152" s="100">
        <f t="shared" si="116"/>
        <v>5.4972239927983529E-2</v>
      </c>
      <c r="AH152" s="100">
        <f t="shared" si="129"/>
        <v>0</v>
      </c>
      <c r="AI152" s="100">
        <f t="shared" si="117"/>
        <v>0.29253953617127426</v>
      </c>
      <c r="AJ152" s="471">
        <f t="shared" si="118"/>
        <v>0.99999999999999989</v>
      </c>
      <c r="AK152" s="1250">
        <f t="shared" si="119"/>
        <v>29067.944541582023</v>
      </c>
      <c r="AL152" s="1251">
        <f t="shared" si="120"/>
        <v>2653.0247752475893</v>
      </c>
      <c r="AM152" s="1251">
        <f t="shared" si="121"/>
        <v>142.84499166916319</v>
      </c>
      <c r="AN152" s="1251">
        <f t="shared" si="122"/>
        <v>31863.814308498775</v>
      </c>
      <c r="AO152" s="1277">
        <f t="shared" si="123"/>
        <v>0</v>
      </c>
    </row>
    <row r="153" spans="1:41">
      <c r="A153" s="89">
        <f>'Input data'!A133</f>
        <v>2033</v>
      </c>
      <c r="B153" s="152">
        <f>'Input data'!B133</f>
        <v>67.86660286866902</v>
      </c>
      <c r="C153" s="204">
        <f>'Input data'!C133</f>
        <v>5663.260000000002</v>
      </c>
      <c r="D153" s="204">
        <f>'Input data'!D133</f>
        <v>35521966.003645025</v>
      </c>
      <c r="E153" s="473">
        <f>'Input data'!J133*C153</f>
        <v>68134.939456506283</v>
      </c>
      <c r="F153" s="474">
        <f>'Input data'!L133</f>
        <v>103656.90546015131</v>
      </c>
      <c r="G153" s="474">
        <f t="shared" si="133"/>
        <v>30747.341149823493</v>
      </c>
      <c r="H153" s="474">
        <f t="shared" si="125"/>
        <v>41684.641539004326</v>
      </c>
      <c r="I153" s="475">
        <f t="shared" si="99"/>
        <v>35521.966003645022</v>
      </c>
      <c r="J153" s="100">
        <f t="shared" si="132"/>
        <v>0.2</v>
      </c>
      <c r="K153" s="474">
        <f t="shared" si="126"/>
        <v>4918.096522750282</v>
      </c>
      <c r="L153" s="474">
        <f t="shared" si="101"/>
        <v>0</v>
      </c>
      <c r="M153" s="474">
        <f t="shared" si="127"/>
        <v>4918.096522750282</v>
      </c>
      <c r="N153" s="579">
        <f t="shared" si="131"/>
        <v>0.5</v>
      </c>
      <c r="O153" s="475">
        <f t="shared" si="102"/>
        <v>751.91700000000026</v>
      </c>
      <c r="P153" s="466">
        <f t="shared" si="130"/>
        <v>5670.0135227502824</v>
      </c>
      <c r="Q153" s="467">
        <f t="shared" si="103"/>
        <v>66761.969166077542</v>
      </c>
      <c r="R153" s="467">
        <f t="shared" si="128"/>
        <v>36014.62801625405</v>
      </c>
      <c r="S153" s="938">
        <f t="shared" si="104"/>
        <v>0.93924096953197211</v>
      </c>
      <c r="T153" s="118" t="str">
        <f t="shared" si="105"/>
        <v>Yes</v>
      </c>
      <c r="U153" s="938">
        <f t="shared" si="106"/>
        <v>0.93924096953197211</v>
      </c>
      <c r="V153" s="1247">
        <f t="shared" si="97"/>
        <v>67642.27744389727</v>
      </c>
      <c r="W153" s="1244">
        <f t="shared" si="98"/>
        <v>0.34744070215465861</v>
      </c>
      <c r="X153" s="473">
        <f t="shared" si="107"/>
        <v>30747.341149823489</v>
      </c>
      <c r="Y153" s="474">
        <f t="shared" si="108"/>
        <v>12560.512503596907</v>
      </c>
      <c r="Z153" s="474">
        <f t="shared" si="109"/>
        <v>3830.9006389526726</v>
      </c>
      <c r="AA153" s="474">
        <f t="shared" si="110"/>
        <v>0</v>
      </c>
      <c r="AB153" s="474">
        <f t="shared" si="111"/>
        <v>20503.523151524198</v>
      </c>
      <c r="AC153" s="474">
        <f t="shared" si="112"/>
        <v>67642.27744389727</v>
      </c>
      <c r="AD153" s="1240">
        <f t="shared" si="113"/>
        <v>0</v>
      </c>
      <c r="AE153" s="100">
        <f t="shared" si="114"/>
        <v>0.45455804138654904</v>
      </c>
      <c r="AF153" s="100">
        <f t="shared" si="115"/>
        <v>0.18569026618026924</v>
      </c>
      <c r="AG153" s="100">
        <f t="shared" si="116"/>
        <v>5.6634708110323964E-2</v>
      </c>
      <c r="AH153" s="100">
        <f t="shared" si="129"/>
        <v>0</v>
      </c>
      <c r="AI153" s="100">
        <f t="shared" si="117"/>
        <v>0.30311698432285766</v>
      </c>
      <c r="AJ153" s="471">
        <f t="shared" si="118"/>
        <v>1</v>
      </c>
      <c r="AK153" s="1250">
        <f t="shared" si="119"/>
        <v>28417.572802916016</v>
      </c>
      <c r="AL153" s="1251">
        <f t="shared" si="120"/>
        <v>2209.4689706273152</v>
      </c>
      <c r="AM153" s="1251">
        <f t="shared" si="121"/>
        <v>120.29937628015264</v>
      </c>
      <c r="AN153" s="1251">
        <f t="shared" si="122"/>
        <v>30747.341149823485</v>
      </c>
      <c r="AO153" s="1277">
        <f t="shared" si="123"/>
        <v>0</v>
      </c>
    </row>
    <row r="154" spans="1:41">
      <c r="A154" s="89">
        <f>'Input data'!A134</f>
        <v>2034</v>
      </c>
      <c r="B154" s="152">
        <f>'Input data'!B134</f>
        <v>68.401606645337111</v>
      </c>
      <c r="C154" s="204">
        <f>'Input data'!C134</f>
        <v>5838.79</v>
      </c>
      <c r="D154" s="204">
        <f>'Input data'!D134</f>
        <v>32152713.47625063</v>
      </c>
      <c r="E154" s="473">
        <f>'Input data'!J134*C154</f>
        <v>70246.748895380792</v>
      </c>
      <c r="F154" s="474">
        <f>'Input data'!L134</f>
        <v>102399.46237163142</v>
      </c>
      <c r="G154" s="474">
        <f t="shared" si="133"/>
        <v>29669.987987956312</v>
      </c>
      <c r="H154" s="474">
        <f t="shared" si="125"/>
        <v>40811.883338853513</v>
      </c>
      <c r="I154" s="475">
        <f t="shared" si="99"/>
        <v>32152.713476250628</v>
      </c>
      <c r="J154" s="100">
        <f t="shared" si="132"/>
        <v>0.2</v>
      </c>
      <c r="K154" s="474">
        <f t="shared" si="126"/>
        <v>4451.6158910885761</v>
      </c>
      <c r="L154" s="474">
        <f t="shared" si="101"/>
        <v>0</v>
      </c>
      <c r="M154" s="474">
        <f t="shared" si="127"/>
        <v>4451.6158910885761</v>
      </c>
      <c r="N154" s="579">
        <f t="shared" si="131"/>
        <v>0.5</v>
      </c>
      <c r="O154" s="475">
        <f t="shared" si="102"/>
        <v>751.91700000000026</v>
      </c>
      <c r="P154" s="466">
        <f t="shared" si="130"/>
        <v>5203.5328910885764</v>
      </c>
      <c r="Q154" s="467">
        <f t="shared" si="103"/>
        <v>65278.338435721249</v>
      </c>
      <c r="R154" s="467">
        <f t="shared" si="128"/>
        <v>35608.35044776494</v>
      </c>
      <c r="S154" s="938">
        <f t="shared" si="104"/>
        <v>0.90019717679893441</v>
      </c>
      <c r="T154" s="118" t="str">
        <f t="shared" si="105"/>
        <v>Yes</v>
      </c>
      <c r="U154" s="938">
        <f t="shared" si="106"/>
        <v>0.90019717679893441</v>
      </c>
      <c r="V154" s="1247">
        <f t="shared" si="97"/>
        <v>66791.111923866498</v>
      </c>
      <c r="W154" s="1244">
        <f t="shared" si="98"/>
        <v>0.34773962307081219</v>
      </c>
      <c r="X154" s="473">
        <f t="shared" si="107"/>
        <v>29669.987987956309</v>
      </c>
      <c r="Y154" s="474">
        <f t="shared" si="108"/>
        <v>12055.771772564618</v>
      </c>
      <c r="Z154" s="474">
        <f t="shared" si="109"/>
        <v>3926.3322451557001</v>
      </c>
      <c r="AA154" s="474">
        <f t="shared" si="110"/>
        <v>0</v>
      </c>
      <c r="AB154" s="474">
        <f t="shared" si="111"/>
        <v>21139.019918189864</v>
      </c>
      <c r="AC154" s="474">
        <f t="shared" si="112"/>
        <v>66791.111923866498</v>
      </c>
      <c r="AD154" s="1240">
        <f t="shared" si="113"/>
        <v>0</v>
      </c>
      <c r="AE154" s="100">
        <f t="shared" si="114"/>
        <v>0.44422060261216162</v>
      </c>
      <c r="AF154" s="100">
        <f t="shared" si="115"/>
        <v>0.18049964172338812</v>
      </c>
      <c r="AG154" s="100">
        <f t="shared" si="116"/>
        <v>5.8785250493077985E-2</v>
      </c>
      <c r="AH154" s="100">
        <f t="shared" si="129"/>
        <v>0</v>
      </c>
      <c r="AI154" s="100">
        <f t="shared" si="117"/>
        <v>0.31649450517137218</v>
      </c>
      <c r="AJ154" s="471">
        <f t="shared" si="118"/>
        <v>1</v>
      </c>
      <c r="AK154" s="1250">
        <f t="shared" si="119"/>
        <v>25722.170781000503</v>
      </c>
      <c r="AL154" s="1251">
        <f t="shared" si="120"/>
        <v>3741.762802611956</v>
      </c>
      <c r="AM154" s="1251">
        <f t="shared" si="121"/>
        <v>206.05440434384724</v>
      </c>
      <c r="AN154" s="1251">
        <f t="shared" si="122"/>
        <v>29669.987987956305</v>
      </c>
      <c r="AO154" s="1277">
        <f t="shared" si="123"/>
        <v>0</v>
      </c>
    </row>
    <row r="155" spans="1:41">
      <c r="A155" s="89">
        <f>'Input data'!A135</f>
        <v>2035</v>
      </c>
      <c r="B155" s="152">
        <f>'Input data'!B135</f>
        <v>68.922893208527455</v>
      </c>
      <c r="C155" s="204">
        <f>'Input data'!C135</f>
        <v>5978.8699999999981</v>
      </c>
      <c r="D155" s="204">
        <f>'Input data'!D135</f>
        <v>24779864.252695084</v>
      </c>
      <c r="E155" s="473">
        <f>'Input data'!J135*C155</f>
        <v>71932.057766784754</v>
      </c>
      <c r="F155" s="474">
        <f>'Input data'!L135</f>
        <v>96711.92201947984</v>
      </c>
      <c r="G155" s="474">
        <f t="shared" si="133"/>
        <v>28630.384101050156</v>
      </c>
      <c r="H155" s="474">
        <f t="shared" si="125"/>
        <v>35899.462428288789</v>
      </c>
      <c r="I155" s="475">
        <f t="shared" si="99"/>
        <v>24779.864252695083</v>
      </c>
      <c r="J155" s="100">
        <f t="shared" si="132"/>
        <v>0.2</v>
      </c>
      <c r="K155" s="474">
        <f t="shared" si="126"/>
        <v>3430.8282430904374</v>
      </c>
      <c r="L155" s="474">
        <f t="shared" si="101"/>
        <v>0</v>
      </c>
      <c r="M155" s="474">
        <f t="shared" si="127"/>
        <v>3430.8282430904374</v>
      </c>
      <c r="N155" s="579">
        <f t="shared" si="131"/>
        <v>0.5</v>
      </c>
      <c r="O155" s="475">
        <f t="shared" si="102"/>
        <v>751.91700000000026</v>
      </c>
      <c r="P155" s="466">
        <f t="shared" si="130"/>
        <v>4182.7452430904377</v>
      </c>
      <c r="Q155" s="467">
        <f t="shared" si="103"/>
        <v>60347.101286248508</v>
      </c>
      <c r="R155" s="467">
        <f t="shared" si="128"/>
        <v>31716.717185198351</v>
      </c>
      <c r="S155" s="938">
        <f t="shared" si="104"/>
        <v>0.78268027818913921</v>
      </c>
      <c r="T155" s="118" t="str">
        <f t="shared" si="105"/>
        <v>Yes</v>
      </c>
      <c r="U155" s="938">
        <f t="shared" si="106"/>
        <v>0.78268027818913921</v>
      </c>
      <c r="V155" s="1247">
        <f t="shared" si="97"/>
        <v>64995.204834281503</v>
      </c>
      <c r="W155" s="1244">
        <f t="shared" si="98"/>
        <v>0.32795043799057078</v>
      </c>
      <c r="X155" s="473">
        <f t="shared" si="107"/>
        <v>28630.38410105016</v>
      </c>
      <c r="Y155" s="474">
        <f t="shared" si="108"/>
        <v>10716.158329633705</v>
      </c>
      <c r="Z155" s="474">
        <f t="shared" si="109"/>
        <v>4002.4905052646268</v>
      </c>
      <c r="AA155" s="474">
        <f t="shared" si="110"/>
        <v>0</v>
      </c>
      <c r="AB155" s="474">
        <f t="shared" si="111"/>
        <v>21646.171898333007</v>
      </c>
      <c r="AC155" s="474">
        <f t="shared" si="112"/>
        <v>64995.204834281503</v>
      </c>
      <c r="AD155" s="1240">
        <f t="shared" si="113"/>
        <v>0</v>
      </c>
      <c r="AE155" s="100">
        <f t="shared" si="114"/>
        <v>0.44049994417356092</v>
      </c>
      <c r="AF155" s="100">
        <f t="shared" si="115"/>
        <v>0.16487613750824742</v>
      </c>
      <c r="AG155" s="100">
        <f t="shared" si="116"/>
        <v>6.1581319967677468E-2</v>
      </c>
      <c r="AH155" s="100">
        <f t="shared" si="129"/>
        <v>0</v>
      </c>
      <c r="AI155" s="100">
        <f t="shared" si="117"/>
        <v>0.33304259835051409</v>
      </c>
      <c r="AJ155" s="471">
        <f t="shared" si="118"/>
        <v>0.99999999999999989</v>
      </c>
      <c r="AK155" s="1250">
        <f t="shared" si="119"/>
        <v>19823.891402156067</v>
      </c>
      <c r="AL155" s="1251">
        <f t="shared" si="120"/>
        <v>8343.1263761322862</v>
      </c>
      <c r="AM155" s="1251">
        <f t="shared" si="121"/>
        <v>463.36632276180433</v>
      </c>
      <c r="AN155" s="1251">
        <f t="shared" si="122"/>
        <v>28630.38410105016</v>
      </c>
      <c r="AO155" s="1277">
        <f t="shared" si="123"/>
        <v>0</v>
      </c>
    </row>
    <row r="156" spans="1:41">
      <c r="A156" s="89">
        <f>'Input data'!A136</f>
        <v>2036</v>
      </c>
      <c r="B156" s="152">
        <f>'Input data'!B136</f>
        <v>69.431445341664755</v>
      </c>
      <c r="C156" s="204">
        <f>'Input data'!C136</f>
        <v>6119.1299999999983</v>
      </c>
      <c r="D156" s="204">
        <f>'Input data'!D136</f>
        <v>11557949.273739366</v>
      </c>
      <c r="E156" s="473">
        <f>'Input data'!J136*C156</f>
        <v>73619.532226401585</v>
      </c>
      <c r="F156" s="474">
        <f>'Input data'!L136</f>
        <v>85177.481500140944</v>
      </c>
      <c r="G156" s="474">
        <f t="shared" si="133"/>
        <v>27627.206795850379</v>
      </c>
      <c r="H156" s="474">
        <f t="shared" si="125"/>
        <v>25462.788580691788</v>
      </c>
      <c r="I156" s="475">
        <f t="shared" si="99"/>
        <v>11557.949273739367</v>
      </c>
      <c r="J156" s="100">
        <f t="shared" si="132"/>
        <v>0.2</v>
      </c>
      <c r="K156" s="474">
        <f t="shared" si="126"/>
        <v>1600.2242141515721</v>
      </c>
      <c r="L156" s="474">
        <f t="shared" si="101"/>
        <v>0</v>
      </c>
      <c r="M156" s="474">
        <f t="shared" si="127"/>
        <v>1600.2242141515721</v>
      </c>
      <c r="N156" s="579">
        <f t="shared" si="131"/>
        <v>0.5</v>
      </c>
      <c r="O156" s="475">
        <f t="shared" si="102"/>
        <v>751.91700000000026</v>
      </c>
      <c r="P156" s="466">
        <f t="shared" si="130"/>
        <v>2352.1412141515725</v>
      </c>
      <c r="Q156" s="467">
        <f t="shared" si="103"/>
        <v>50737.854162390591</v>
      </c>
      <c r="R156" s="467">
        <f t="shared" si="128"/>
        <v>23110.647366540212</v>
      </c>
      <c r="S156" s="938">
        <f t="shared" si="104"/>
        <v>0.55699722339400404</v>
      </c>
      <c r="T156" s="118" t="str">
        <f t="shared" si="105"/>
        <v>Yes</v>
      </c>
      <c r="U156" s="938">
        <f t="shared" si="106"/>
        <v>0.55699722339400404</v>
      </c>
      <c r="V156" s="1247">
        <f t="shared" si="97"/>
        <v>62066.834133600743</v>
      </c>
      <c r="W156" s="1244">
        <f t="shared" si="98"/>
        <v>0.27132344088504146</v>
      </c>
      <c r="X156" s="473">
        <f t="shared" si="107"/>
        <v>27627.206795850383</v>
      </c>
      <c r="Y156" s="474">
        <f t="shared" si="108"/>
        <v>8206.9051519014629</v>
      </c>
      <c r="Z156" s="474">
        <f t="shared" si="109"/>
        <v>4078.7466272155002</v>
      </c>
      <c r="AA156" s="474">
        <f t="shared" si="110"/>
        <v>0</v>
      </c>
      <c r="AB156" s="474">
        <f t="shared" si="111"/>
        <v>22153.975558633399</v>
      </c>
      <c r="AC156" s="474">
        <f t="shared" si="112"/>
        <v>62066.834133600743</v>
      </c>
      <c r="AD156" s="1240">
        <f t="shared" si="113"/>
        <v>0</v>
      </c>
      <c r="AE156" s="100">
        <f t="shared" si="114"/>
        <v>0.44512028334459564</v>
      </c>
      <c r="AF156" s="100">
        <f t="shared" si="115"/>
        <v>0.13222690131473197</v>
      </c>
      <c r="AG156" s="100">
        <f t="shared" si="116"/>
        <v>6.5715396703428991E-2</v>
      </c>
      <c r="AH156" s="100">
        <f t="shared" si="129"/>
        <v>0</v>
      </c>
      <c r="AI156" s="100">
        <f t="shared" si="117"/>
        <v>0.35693741863724343</v>
      </c>
      <c r="AJ156" s="471">
        <f t="shared" si="118"/>
        <v>1</v>
      </c>
      <c r="AK156" s="1250">
        <f t="shared" si="119"/>
        <v>9246.3594189914929</v>
      </c>
      <c r="AL156" s="1251">
        <f t="shared" si="120"/>
        <v>17406.309408835157</v>
      </c>
      <c r="AM156" s="1251">
        <f t="shared" si="121"/>
        <v>974.53796802372619</v>
      </c>
      <c r="AN156" s="1251">
        <f t="shared" si="122"/>
        <v>27627.206795850379</v>
      </c>
      <c r="AO156" s="1277">
        <f t="shared" si="123"/>
        <v>0</v>
      </c>
    </row>
    <row r="157" spans="1:41">
      <c r="A157" s="89">
        <f>'Input data'!A137</f>
        <v>2037</v>
      </c>
      <c r="B157" s="152">
        <f>'Input data'!B137</f>
        <v>69.92691944658003</v>
      </c>
      <c r="C157" s="204">
        <f>'Input data'!C137</f>
        <v>6283.2400000000007</v>
      </c>
      <c r="D157" s="204">
        <f>'Input data'!D137</f>
        <v>6514539.8947081817</v>
      </c>
      <c r="E157" s="473">
        <f>'Input data'!J137*C157</f>
        <v>75593.947124217928</v>
      </c>
      <c r="F157" s="474">
        <f>'Input data'!L137</f>
        <v>82108.487018926113</v>
      </c>
      <c r="G157" s="474">
        <f t="shared" si="133"/>
        <v>26659.179724825448</v>
      </c>
      <c r="H157" s="474">
        <f t="shared" si="125"/>
        <v>22830.750040461269</v>
      </c>
      <c r="I157" s="475">
        <f t="shared" si="99"/>
        <v>6514.5398947081821</v>
      </c>
      <c r="J157" s="100">
        <f t="shared" si="132"/>
        <v>0.2</v>
      </c>
      <c r="K157" s="474">
        <f t="shared" si="126"/>
        <v>901.9527804343561</v>
      </c>
      <c r="L157" s="474">
        <f t="shared" si="101"/>
        <v>0</v>
      </c>
      <c r="M157" s="474">
        <f t="shared" si="127"/>
        <v>901.9527804343561</v>
      </c>
      <c r="N157" s="579">
        <f t="shared" si="131"/>
        <v>0.5</v>
      </c>
      <c r="O157" s="475">
        <f t="shared" si="102"/>
        <v>751.91700000000026</v>
      </c>
      <c r="P157" s="466">
        <f t="shared" si="130"/>
        <v>1653.8697804343565</v>
      </c>
      <c r="Q157" s="467">
        <f t="shared" si="103"/>
        <v>47836.059984852363</v>
      </c>
      <c r="R157" s="467">
        <f t="shared" si="128"/>
        <v>21176.880260026915</v>
      </c>
      <c r="S157" s="938">
        <f t="shared" si="104"/>
        <v>0.49682497148591315</v>
      </c>
      <c r="T157" s="118" t="str">
        <f t="shared" si="105"/>
        <v>Yes</v>
      </c>
      <c r="U157" s="938">
        <f t="shared" si="106"/>
        <v>0.49682497148591315</v>
      </c>
      <c r="V157" s="1247">
        <f t="shared" si="97"/>
        <v>60931.606758899201</v>
      </c>
      <c r="W157" s="1244">
        <f t="shared" si="98"/>
        <v>0.25791341466498596</v>
      </c>
      <c r="X157" s="473">
        <f t="shared" si="107"/>
        <v>26659.179724825441</v>
      </c>
      <c r="Y157" s="474">
        <f t="shared" si="108"/>
        <v>7356.3307510820132</v>
      </c>
      <c r="Z157" s="474">
        <f t="shared" si="109"/>
        <v>4167.9694432240412</v>
      </c>
      <c r="AA157" s="474">
        <f t="shared" si="110"/>
        <v>0</v>
      </c>
      <c r="AB157" s="474">
        <f t="shared" si="111"/>
        <v>22748.126839767705</v>
      </c>
      <c r="AC157" s="474">
        <f t="shared" si="112"/>
        <v>60931.606758899201</v>
      </c>
      <c r="AD157" s="1240">
        <f t="shared" si="113"/>
        <v>0</v>
      </c>
      <c r="AE157" s="100">
        <f t="shared" si="114"/>
        <v>0.43752628796272153</v>
      </c>
      <c r="AF157" s="100">
        <f t="shared" si="115"/>
        <v>0.12073094970546799</v>
      </c>
      <c r="AG157" s="100">
        <f t="shared" si="116"/>
        <v>6.8404062602785379E-2</v>
      </c>
      <c r="AH157" s="100">
        <f t="shared" si="129"/>
        <v>0</v>
      </c>
      <c r="AI157" s="100">
        <f t="shared" si="117"/>
        <v>0.37333869972902511</v>
      </c>
      <c r="AJ157" s="471">
        <f t="shared" si="118"/>
        <v>1</v>
      </c>
      <c r="AK157" s="1250">
        <f t="shared" si="119"/>
        <v>5211.6319157665457</v>
      </c>
      <c r="AL157" s="1251">
        <f t="shared" si="120"/>
        <v>20300.806872484227</v>
      </c>
      <c r="AM157" s="1251">
        <f t="shared" si="121"/>
        <v>1146.7409365746641</v>
      </c>
      <c r="AN157" s="1251">
        <f t="shared" si="122"/>
        <v>26659.179724825437</v>
      </c>
      <c r="AO157" s="1277">
        <f t="shared" si="123"/>
        <v>0</v>
      </c>
    </row>
    <row r="158" spans="1:41">
      <c r="A158" s="89">
        <f>'Input data'!A138</f>
        <v>2038</v>
      </c>
      <c r="B158" s="152">
        <f>'Input data'!B138</f>
        <v>70.408978817025954</v>
      </c>
      <c r="C158" s="204">
        <f>'Input data'!C138</f>
        <v>6443.4999999999982</v>
      </c>
      <c r="D158" s="204">
        <f>'Input data'!D138</f>
        <v>4950160.264487111</v>
      </c>
      <c r="E158" s="473">
        <f>'Input data'!J138*C158</f>
        <v>77522.042496370981</v>
      </c>
      <c r="F158" s="474">
        <f>'Input data'!L138</f>
        <v>82472.202760858097</v>
      </c>
      <c r="G158" s="474">
        <f t="shared" si="133"/>
        <v>25725.071262263602</v>
      </c>
      <c r="H158" s="474">
        <f t="shared" si="125"/>
        <v>23403.117753424649</v>
      </c>
      <c r="I158" s="475">
        <f t="shared" si="99"/>
        <v>4950.1602644871109</v>
      </c>
      <c r="J158" s="100">
        <f t="shared" si="132"/>
        <v>0.2</v>
      </c>
      <c r="K158" s="474">
        <f t="shared" si="126"/>
        <v>685.36088293459102</v>
      </c>
      <c r="L158" s="474">
        <f t="shared" si="101"/>
        <v>0</v>
      </c>
      <c r="M158" s="474">
        <f t="shared" si="127"/>
        <v>685.36088293459102</v>
      </c>
      <c r="N158" s="579">
        <f t="shared" si="131"/>
        <v>0.5</v>
      </c>
      <c r="O158" s="475">
        <f t="shared" si="102"/>
        <v>751.91700000000026</v>
      </c>
      <c r="P158" s="466">
        <f t="shared" si="130"/>
        <v>1437.2778829345912</v>
      </c>
      <c r="Q158" s="467">
        <f t="shared" si="103"/>
        <v>47690.911132753659</v>
      </c>
      <c r="R158" s="467">
        <f t="shared" si="128"/>
        <v>21965.839870490057</v>
      </c>
      <c r="S158" s="938">
        <f t="shared" si="104"/>
        <v>0.50229697259454875</v>
      </c>
      <c r="T158" s="118" t="str">
        <f t="shared" si="105"/>
        <v>Yes</v>
      </c>
      <c r="U158" s="938">
        <f t="shared" si="106"/>
        <v>0.50229697259454875</v>
      </c>
      <c r="V158" s="1247">
        <f t="shared" si="97"/>
        <v>60506.362890368044</v>
      </c>
      <c r="W158" s="1244">
        <f t="shared" si="98"/>
        <v>0.26634234487689956</v>
      </c>
      <c r="X158" s="473">
        <f t="shared" si="107"/>
        <v>25725.071262263602</v>
      </c>
      <c r="Y158" s="474">
        <f t="shared" si="108"/>
        <v>7197.8531185079191</v>
      </c>
      <c r="Z158" s="474">
        <f t="shared" si="109"/>
        <v>4255.0991031687627</v>
      </c>
      <c r="AA158" s="474">
        <f t="shared" si="110"/>
        <v>0</v>
      </c>
      <c r="AB158" s="474">
        <f t="shared" si="111"/>
        <v>23328.33940642776</v>
      </c>
      <c r="AC158" s="474">
        <f t="shared" si="112"/>
        <v>60506.362890368044</v>
      </c>
      <c r="AD158" s="1240">
        <f t="shared" si="113"/>
        <v>0</v>
      </c>
      <c r="AE158" s="100">
        <f t="shared" si="114"/>
        <v>0.42516307431790373</v>
      </c>
      <c r="AF158" s="100">
        <f t="shared" si="115"/>
        <v>0.11896026755978981</v>
      </c>
      <c r="AG158" s="100">
        <f t="shared" si="116"/>
        <v>7.0324820397461504E-2</v>
      </c>
      <c r="AH158" s="100">
        <f t="shared" si="129"/>
        <v>0</v>
      </c>
      <c r="AI158" s="100">
        <f t="shared" si="117"/>
        <v>0.38555183772484491</v>
      </c>
      <c r="AJ158" s="471">
        <f t="shared" si="118"/>
        <v>0.99999999999999989</v>
      </c>
      <c r="AK158" s="1250">
        <f t="shared" si="119"/>
        <v>3960.1282115896884</v>
      </c>
      <c r="AL158" s="1251">
        <f t="shared" si="120"/>
        <v>20592.197095450298</v>
      </c>
      <c r="AM158" s="1251">
        <f t="shared" si="121"/>
        <v>1172.7459552236119</v>
      </c>
      <c r="AN158" s="1251">
        <f t="shared" si="122"/>
        <v>25725.071262263598</v>
      </c>
      <c r="AO158" s="1277">
        <f t="shared" si="123"/>
        <v>0</v>
      </c>
    </row>
    <row r="159" spans="1:41">
      <c r="A159" s="89">
        <f>'Input data'!A139</f>
        <v>2039</v>
      </c>
      <c r="B159" s="152">
        <f>'Input data'!B139</f>
        <v>70.877294017675013</v>
      </c>
      <c r="C159" s="204">
        <f>'Input data'!C139</f>
        <v>6615.260000000002</v>
      </c>
      <c r="D159" s="204">
        <f>'Input data'!D139</f>
        <v>3385780.6342660398</v>
      </c>
      <c r="E159" s="473">
        <f>'Input data'!J139*C159</f>
        <v>79588.494893232477</v>
      </c>
      <c r="F159" s="474">
        <f>'Input data'!L139</f>
        <v>82974.27552749851</v>
      </c>
      <c r="G159" s="474">
        <f t="shared" si="133"/>
        <v>24823.692937269236</v>
      </c>
      <c r="H159" s="474">
        <f t="shared" si="125"/>
        <v>24022.145574664228</v>
      </c>
      <c r="I159" s="475">
        <f t="shared" si="99"/>
        <v>3385.7806342660397</v>
      </c>
      <c r="J159" s="100">
        <f t="shared" si="132"/>
        <v>0.2</v>
      </c>
      <c r="K159" s="474">
        <f t="shared" si="126"/>
        <v>468.76898543482594</v>
      </c>
      <c r="L159" s="474">
        <f t="shared" si="101"/>
        <v>0</v>
      </c>
      <c r="M159" s="474">
        <f t="shared" si="127"/>
        <v>468.76898543482594</v>
      </c>
      <c r="N159" s="579">
        <f t="shared" si="131"/>
        <v>0.5</v>
      </c>
      <c r="O159" s="475">
        <f t="shared" si="102"/>
        <v>751.91700000000026</v>
      </c>
      <c r="P159" s="466">
        <f t="shared" si="130"/>
        <v>1220.6859854348263</v>
      </c>
      <c r="Q159" s="467">
        <f t="shared" si="103"/>
        <v>47625.152526498634</v>
      </c>
      <c r="R159" s="467">
        <f t="shared" si="128"/>
        <v>22801.459589229398</v>
      </c>
      <c r="S159" s="938">
        <f t="shared" si="104"/>
        <v>0.50764074150033744</v>
      </c>
      <c r="T159" s="118" t="str">
        <f t="shared" si="105"/>
        <v>Yes</v>
      </c>
      <c r="U159" s="938">
        <f t="shared" si="106"/>
        <v>0.50764074150033744</v>
      </c>
      <c r="V159" s="1247">
        <f t="shared" si="97"/>
        <v>60172.815938269123</v>
      </c>
      <c r="W159" s="1244">
        <f t="shared" si="98"/>
        <v>0.27480155077307966</v>
      </c>
      <c r="X159" s="473">
        <f t="shared" si="107"/>
        <v>24823.692937269236</v>
      </c>
      <c r="Y159" s="474">
        <f t="shared" si="108"/>
        <v>7050.4548592952842</v>
      </c>
      <c r="Z159" s="474">
        <f t="shared" si="109"/>
        <v>4348.4810474599535</v>
      </c>
      <c r="AA159" s="474">
        <f t="shared" si="110"/>
        <v>0</v>
      </c>
      <c r="AB159" s="474">
        <f t="shared" si="111"/>
        <v>23950.187094244651</v>
      </c>
      <c r="AC159" s="474">
        <f t="shared" si="112"/>
        <v>60172.815938269123</v>
      </c>
      <c r="AD159" s="1240">
        <f t="shared" si="113"/>
        <v>0</v>
      </c>
      <c r="AE159" s="100">
        <f t="shared" si="114"/>
        <v>0.41253999086125021</v>
      </c>
      <c r="AF159" s="100">
        <f t="shared" si="115"/>
        <v>0.11717009997551547</v>
      </c>
      <c r="AG159" s="100">
        <f t="shared" si="116"/>
        <v>7.2266537300182704E-2</v>
      </c>
      <c r="AH159" s="100">
        <f t="shared" si="129"/>
        <v>0</v>
      </c>
      <c r="AI159" s="100">
        <f t="shared" si="117"/>
        <v>0.39802337186305164</v>
      </c>
      <c r="AJ159" s="471">
        <f t="shared" si="118"/>
        <v>1</v>
      </c>
      <c r="AK159" s="1250">
        <f t="shared" si="119"/>
        <v>2708.6245074128315</v>
      </c>
      <c r="AL159" s="1251">
        <f t="shared" si="120"/>
        <v>20914.12011652724</v>
      </c>
      <c r="AM159" s="1251">
        <f t="shared" si="121"/>
        <v>1200.9483133291608</v>
      </c>
      <c r="AN159" s="1251">
        <f t="shared" si="122"/>
        <v>24823.692937269232</v>
      </c>
      <c r="AO159" s="1277">
        <f t="shared" si="123"/>
        <v>0</v>
      </c>
    </row>
    <row r="160" spans="1:41" s="1" customFormat="1">
      <c r="A160" s="89">
        <f>'Input data'!A140</f>
        <v>2040</v>
      </c>
      <c r="B160" s="152">
        <f>'Input data'!B140</f>
        <v>71.331543257193218</v>
      </c>
      <c r="C160" s="204">
        <f>'Input data'!C140</f>
        <v>6787.6000000000013</v>
      </c>
      <c r="D160" s="204">
        <f>'Input data'!D140</f>
        <v>1821401.0040449696</v>
      </c>
      <c r="E160" s="473">
        <f>'Input data'!J140*C160</f>
        <v>81661.925296557456</v>
      </c>
      <c r="F160" s="474">
        <f>'Input data'!L140</f>
        <v>83483.326300602421</v>
      </c>
      <c r="G160" s="474">
        <f>G137*(1-$C$5)</f>
        <v>23953.89792166539</v>
      </c>
      <c r="H160" s="474">
        <f t="shared" si="125"/>
        <v>24613.594116303626</v>
      </c>
      <c r="I160" s="475">
        <f t="shared" si="99"/>
        <v>1821.4010040449696</v>
      </c>
      <c r="J160" s="100">
        <f t="shared" si="132"/>
        <v>0.2</v>
      </c>
      <c r="K160" s="474">
        <f t="shared" si="126"/>
        <v>252.17708793506097</v>
      </c>
      <c r="L160" s="474">
        <f t="shared" si="101"/>
        <v>0</v>
      </c>
      <c r="M160" s="474">
        <f t="shared" si="127"/>
        <v>252.17708793506097</v>
      </c>
      <c r="N160" s="579">
        <f t="shared" si="131"/>
        <v>0.5</v>
      </c>
      <c r="O160" s="475">
        <f t="shared" si="102"/>
        <v>751.91700000000026</v>
      </c>
      <c r="P160" s="466">
        <f t="shared" si="130"/>
        <v>1004.0940879350612</v>
      </c>
      <c r="Q160" s="467">
        <f t="shared" si="103"/>
        <v>47563.397950033956</v>
      </c>
      <c r="R160" s="467">
        <f t="shared" si="128"/>
        <v>23609.500028368566</v>
      </c>
      <c r="S160" s="938">
        <f t="shared" si="104"/>
        <v>0.51206693512031287</v>
      </c>
      <c r="T160" s="118" t="str">
        <f t="shared" si="105"/>
        <v>Yes</v>
      </c>
      <c r="U160" s="938">
        <f t="shared" si="106"/>
        <v>0.51206693512031287</v>
      </c>
      <c r="V160" s="1247">
        <f t="shared" si="97"/>
        <v>59873.826272233877</v>
      </c>
      <c r="W160" s="1244">
        <f t="shared" si="98"/>
        <v>0.28280497525166504</v>
      </c>
      <c r="X160" s="473">
        <f t="shared" si="107"/>
        <v>23953.89792166539</v>
      </c>
      <c r="Y160" s="474">
        <f t="shared" si="108"/>
        <v>6903.6153858695707</v>
      </c>
      <c r="Z160" s="474">
        <f t="shared" si="109"/>
        <v>4442.1783243529617</v>
      </c>
      <c r="AA160" s="474">
        <f t="shared" si="110"/>
        <v>0</v>
      </c>
      <c r="AB160" s="474">
        <f t="shared" si="111"/>
        <v>24574.134640345954</v>
      </c>
      <c r="AC160" s="474">
        <f t="shared" si="112"/>
        <v>59873.826272233877</v>
      </c>
      <c r="AD160" s="1240">
        <f t="shared" si="113"/>
        <v>0</v>
      </c>
      <c r="AE160" s="100">
        <f t="shared" si="114"/>
        <v>0.40007294360564133</v>
      </c>
      <c r="AF160" s="100">
        <f t="shared" si="115"/>
        <v>0.11530272601053192</v>
      </c>
      <c r="AG160" s="100">
        <f t="shared" si="116"/>
        <v>7.4192324107620874E-2</v>
      </c>
      <c r="AH160" s="100">
        <f t="shared" si="129"/>
        <v>0</v>
      </c>
      <c r="AI160" s="100">
        <f t="shared" si="117"/>
        <v>0.41043200627620585</v>
      </c>
      <c r="AJ160" s="471">
        <f t="shared" si="118"/>
        <v>1</v>
      </c>
      <c r="AK160" s="1250">
        <f t="shared" si="119"/>
        <v>1457.1208032359755</v>
      </c>
      <c r="AL160" s="1251">
        <f t="shared" si="120"/>
        <v>21266.061290458867</v>
      </c>
      <c r="AM160" s="1251">
        <f t="shared" si="121"/>
        <v>1230.7158279705438</v>
      </c>
      <c r="AN160" s="1251">
        <f t="shared" si="122"/>
        <v>23953.897921665386</v>
      </c>
      <c r="AO160" s="1277">
        <f t="shared" si="123"/>
        <v>0</v>
      </c>
    </row>
    <row r="161" spans="1:41">
      <c r="A161" s="89">
        <f>'Input data'!A141</f>
        <v>2041</v>
      </c>
      <c r="B161" s="152">
        <f>'Input data'!B141</f>
        <v>71.772879261991122</v>
      </c>
      <c r="C161" s="204">
        <f>'Input data'!C141</f>
        <v>6981.3799999999992</v>
      </c>
      <c r="D161" s="204">
        <f>'Input data'!D141</f>
        <v>1694135.0775526946</v>
      </c>
      <c r="E161" s="473">
        <f>'Input data'!J141*C161</f>
        <v>83993.301318121303</v>
      </c>
      <c r="F161" s="474">
        <f>'Input data'!L141</f>
        <v>85687.436395673998</v>
      </c>
      <c r="G161" s="474">
        <f>$G$160*(1+((($G$170/$G$160)^(1/($A$170-$A$160)))-1))^(A161-$A$160)</f>
        <v>22650.218174049241</v>
      </c>
      <c r="H161" s="474">
        <f t="shared" si="125"/>
        <v>27135.601027366549</v>
      </c>
      <c r="I161" s="475">
        <f t="shared" si="99"/>
        <v>1694.1350775526946</v>
      </c>
      <c r="J161" s="100">
        <f t="shared" si="132"/>
        <v>0.2</v>
      </c>
      <c r="K161" s="474">
        <f t="shared" si="126"/>
        <v>234.55683261242416</v>
      </c>
      <c r="L161" s="474">
        <f t="shared" si="101"/>
        <v>0</v>
      </c>
      <c r="M161" s="474">
        <f t="shared" si="127"/>
        <v>234.55683261242416</v>
      </c>
      <c r="N161" s="579">
        <f t="shared" si="131"/>
        <v>0.5</v>
      </c>
      <c r="O161" s="475">
        <f t="shared" si="102"/>
        <v>751.91700000000026</v>
      </c>
      <c r="P161" s="466">
        <f t="shared" si="130"/>
        <v>986.47383261242442</v>
      </c>
      <c r="Q161" s="467">
        <f t="shared" si="103"/>
        <v>48799.345368803362</v>
      </c>
      <c r="R161" s="467">
        <f t="shared" si="128"/>
        <v>26149.127194754121</v>
      </c>
      <c r="S161" s="938">
        <f t="shared" si="104"/>
        <v>0.55115729350098186</v>
      </c>
      <c r="T161" s="118" t="str">
        <f t="shared" si="105"/>
        <v>Yes</v>
      </c>
      <c r="U161" s="938">
        <f t="shared" si="106"/>
        <v>0.55115729350098186</v>
      </c>
      <c r="V161" s="1247">
        <f t="shared" si="97"/>
        <v>59538.309200919888</v>
      </c>
      <c r="W161" s="1244">
        <f t="shared" si="98"/>
        <v>0.30516874228803825</v>
      </c>
      <c r="X161" s="473">
        <f t="shared" si="107"/>
        <v>22650.218174049245</v>
      </c>
      <c r="Y161" s="474">
        <f t="shared" si="108"/>
        <v>7064.8544588304467</v>
      </c>
      <c r="Z161" s="474">
        <f t="shared" si="109"/>
        <v>4547.532033975378</v>
      </c>
      <c r="AA161" s="474">
        <f t="shared" si="110"/>
        <v>0</v>
      </c>
      <c r="AB161" s="474">
        <f t="shared" si="111"/>
        <v>25275.704534064822</v>
      </c>
      <c r="AC161" s="474">
        <f t="shared" si="112"/>
        <v>59538.309200919888</v>
      </c>
      <c r="AD161" s="1240">
        <f t="shared" si="113"/>
        <v>0</v>
      </c>
      <c r="AE161" s="100">
        <f t="shared" si="114"/>
        <v>0.38043099439745748</v>
      </c>
      <c r="AF161" s="100">
        <f t="shared" si="115"/>
        <v>0.11866064981773604</v>
      </c>
      <c r="AG161" s="100">
        <f t="shared" si="116"/>
        <v>7.6379932433571981E-2</v>
      </c>
      <c r="AH161" s="100">
        <f t="shared" si="129"/>
        <v>0</v>
      </c>
      <c r="AI161" s="100">
        <f t="shared" si="117"/>
        <v>0.42452842335123459</v>
      </c>
      <c r="AJ161" s="471">
        <f t="shared" si="118"/>
        <v>1</v>
      </c>
      <c r="AK161" s="1250">
        <f t="shared" si="119"/>
        <v>1355.3080620421556</v>
      </c>
      <c r="AL161" s="1251">
        <f t="shared" si="120"/>
        <v>20120.835990963868</v>
      </c>
      <c r="AM161" s="1251">
        <f t="shared" si="121"/>
        <v>1174.0741210432154</v>
      </c>
      <c r="AN161" s="1251">
        <f t="shared" si="122"/>
        <v>22650.218174049241</v>
      </c>
      <c r="AO161" s="1277">
        <f t="shared" si="123"/>
        <v>0</v>
      </c>
    </row>
    <row r="162" spans="1:41">
      <c r="A162" s="89">
        <f>'Input data'!A142</f>
        <v>2042</v>
      </c>
      <c r="B162" s="152">
        <f>'Input data'!B142</f>
        <v>72.201023455996193</v>
      </c>
      <c r="C162" s="204">
        <f>'Input data'!C142</f>
        <v>7178.2100000000019</v>
      </c>
      <c r="D162" s="204">
        <f>'Input data'!D142</f>
        <v>1566869.1510604194</v>
      </c>
      <c r="E162" s="473">
        <f>'Input data'!J142*C162</f>
        <v>86361.372028846978</v>
      </c>
      <c r="F162" s="474">
        <f>'Input data'!L142</f>
        <v>87928.241179907403</v>
      </c>
      <c r="G162" s="474">
        <f t="shared" ref="G162:G169" si="134">$G$160*(1+((($G$170/$G$160)^(1/($A$170-$A$160)))-1))^(A162-$A$160)</f>
        <v>21417.490590039302</v>
      </c>
      <c r="H162" s="474">
        <f t="shared" si="125"/>
        <v>29607.711448720944</v>
      </c>
      <c r="I162" s="475">
        <f t="shared" si="99"/>
        <v>1566.8691510604194</v>
      </c>
      <c r="J162" s="100">
        <f t="shared" si="132"/>
        <v>0.2</v>
      </c>
      <c r="K162" s="474">
        <f t="shared" si="126"/>
        <v>216.93657728978735</v>
      </c>
      <c r="L162" s="474">
        <f t="shared" si="101"/>
        <v>0</v>
      </c>
      <c r="M162" s="474">
        <f t="shared" si="127"/>
        <v>216.93657728978735</v>
      </c>
      <c r="N162" s="579">
        <f t="shared" si="131"/>
        <v>0.5</v>
      </c>
      <c r="O162" s="475">
        <f t="shared" si="102"/>
        <v>751.91700000000026</v>
      </c>
      <c r="P162" s="466">
        <f t="shared" si="130"/>
        <v>968.85357728978761</v>
      </c>
      <c r="Q162" s="467">
        <f t="shared" si="103"/>
        <v>50056.348461470458</v>
      </c>
      <c r="R162" s="467">
        <f t="shared" si="128"/>
        <v>28638.857871431155</v>
      </c>
      <c r="S162" s="938">
        <f t="shared" si="104"/>
        <v>0.58682753217133066</v>
      </c>
      <c r="T162" s="118" t="str">
        <f t="shared" si="105"/>
        <v>Yes</v>
      </c>
      <c r="U162" s="938">
        <f t="shared" si="106"/>
        <v>0.58682753217133066</v>
      </c>
      <c r="V162" s="1247">
        <f t="shared" si="97"/>
        <v>59289.383308476252</v>
      </c>
      <c r="W162" s="1244">
        <f t="shared" si="98"/>
        <v>0.32570716173924164</v>
      </c>
      <c r="X162" s="473">
        <f t="shared" si="107"/>
        <v>21417.490590039302</v>
      </c>
      <c r="Y162" s="474">
        <f t="shared" si="108"/>
        <v>7229.0319742915362</v>
      </c>
      <c r="Z162" s="474">
        <f t="shared" si="109"/>
        <v>4654.5439581418577</v>
      </c>
      <c r="AA162" s="474">
        <f t="shared" si="110"/>
        <v>0</v>
      </c>
      <c r="AB162" s="474">
        <f t="shared" si="111"/>
        <v>25988.316786003554</v>
      </c>
      <c r="AC162" s="474">
        <f t="shared" si="112"/>
        <v>59289.383308476252</v>
      </c>
      <c r="AD162" s="1240">
        <f t="shared" si="113"/>
        <v>0</v>
      </c>
      <c r="AE162" s="100">
        <f t="shared" si="114"/>
        <v>0.36123652153044694</v>
      </c>
      <c r="AF162" s="100">
        <f t="shared" si="115"/>
        <v>0.12192793331446314</v>
      </c>
      <c r="AG162" s="100">
        <f t="shared" si="116"/>
        <v>7.8505521535361042E-2</v>
      </c>
      <c r="AH162" s="100">
        <f t="shared" si="129"/>
        <v>0</v>
      </c>
      <c r="AI162" s="100">
        <f t="shared" si="117"/>
        <v>0.43833002361972884</v>
      </c>
      <c r="AJ162" s="471">
        <f t="shared" si="118"/>
        <v>1</v>
      </c>
      <c r="AK162" s="1250">
        <f t="shared" si="119"/>
        <v>1253.4953208483353</v>
      </c>
      <c r="AL162" s="1251">
        <f t="shared" si="120"/>
        <v>19043.997016684672</v>
      </c>
      <c r="AM162" s="1251">
        <f t="shared" si="121"/>
        <v>1119.9982525062928</v>
      </c>
      <c r="AN162" s="1251">
        <f t="shared" si="122"/>
        <v>21417.490590039299</v>
      </c>
      <c r="AO162" s="1277">
        <f t="shared" si="123"/>
        <v>0</v>
      </c>
    </row>
    <row r="163" spans="1:41">
      <c r="A163" s="89">
        <f>'Input data'!A143</f>
        <v>2043</v>
      </c>
      <c r="B163" s="152">
        <f>'Input data'!B143</f>
        <v>72.615704257339331</v>
      </c>
      <c r="C163" s="204">
        <f>'Input data'!C143</f>
        <v>7380.12</v>
      </c>
      <c r="D163" s="204">
        <f>'Input data'!D143</f>
        <v>1439603.2245681447</v>
      </c>
      <c r="E163" s="473">
        <f>'Input data'!J143*C163</f>
        <v>88790.560451356811</v>
      </c>
      <c r="F163" s="474">
        <f>'Input data'!L143</f>
        <v>90230.163675924952</v>
      </c>
      <c r="G163" s="474">
        <f t="shared" si="134"/>
        <v>20251.853631148377</v>
      </c>
      <c r="H163" s="474">
        <f t="shared" si="125"/>
        <v>32047.801023120264</v>
      </c>
      <c r="I163" s="475">
        <f t="shared" si="99"/>
        <v>1439.6032245681447</v>
      </c>
      <c r="J163" s="100">
        <f t="shared" si="132"/>
        <v>0.2</v>
      </c>
      <c r="K163" s="474">
        <f t="shared" si="126"/>
        <v>199.31632196715051</v>
      </c>
      <c r="L163" s="474">
        <f t="shared" si="101"/>
        <v>0</v>
      </c>
      <c r="M163" s="474">
        <f t="shared" si="127"/>
        <v>199.31632196715051</v>
      </c>
      <c r="N163" s="579">
        <f t="shared" si="131"/>
        <v>0.5</v>
      </c>
      <c r="O163" s="475">
        <f t="shared" si="102"/>
        <v>751.91700000000026</v>
      </c>
      <c r="P163" s="466">
        <f t="shared" si="130"/>
        <v>951.2333219671508</v>
      </c>
      <c r="Q163" s="467">
        <f t="shared" si="103"/>
        <v>51348.421332301492</v>
      </c>
      <c r="R163" s="467">
        <f t="shared" si="128"/>
        <v>31096.567701153115</v>
      </c>
      <c r="S163" s="938">
        <f t="shared" si="104"/>
        <v>0.61949378533109045</v>
      </c>
      <c r="T163" s="118" t="str">
        <f t="shared" si="105"/>
        <v>Yes</v>
      </c>
      <c r="U163" s="938">
        <f t="shared" si="106"/>
        <v>0.61949378533109045</v>
      </c>
      <c r="V163" s="1247">
        <f t="shared" si="97"/>
        <v>59133.595974771852</v>
      </c>
      <c r="W163" s="1244">
        <f t="shared" si="98"/>
        <v>0.34463605555278665</v>
      </c>
      <c r="X163" s="473">
        <f t="shared" si="107"/>
        <v>20251.853631148377</v>
      </c>
      <c r="Y163" s="474">
        <f t="shared" si="108"/>
        <v>7398.1036825070732</v>
      </c>
      <c r="Z163" s="474">
        <f t="shared" si="109"/>
        <v>4764.3177609587738</v>
      </c>
      <c r="AA163" s="474">
        <f t="shared" si="110"/>
        <v>0</v>
      </c>
      <c r="AB163" s="474">
        <f t="shared" si="111"/>
        <v>26719.320900157629</v>
      </c>
      <c r="AC163" s="474">
        <f t="shared" si="112"/>
        <v>59133.595974771852</v>
      </c>
      <c r="AD163" s="1240">
        <f t="shared" si="113"/>
        <v>0</v>
      </c>
      <c r="AE163" s="100">
        <f t="shared" si="114"/>
        <v>0.34247627422807875</v>
      </c>
      <c r="AF163" s="100">
        <f t="shared" si="115"/>
        <v>0.12510830029114625</v>
      </c>
      <c r="AG163" s="100">
        <f t="shared" si="116"/>
        <v>8.0568713646154269E-2</v>
      </c>
      <c r="AH163" s="100">
        <f t="shared" si="129"/>
        <v>0</v>
      </c>
      <c r="AI163" s="100">
        <f t="shared" si="117"/>
        <v>0.45184671183462077</v>
      </c>
      <c r="AJ163" s="471">
        <f t="shared" si="118"/>
        <v>1</v>
      </c>
      <c r="AK163" s="1250">
        <f t="shared" si="119"/>
        <v>1151.6825796545156</v>
      </c>
      <c r="AL163" s="1251">
        <f t="shared" si="120"/>
        <v>18031.661620004328</v>
      </c>
      <c r="AM163" s="1251">
        <f t="shared" si="121"/>
        <v>1068.5094314895287</v>
      </c>
      <c r="AN163" s="1251">
        <f t="shared" si="122"/>
        <v>20251.853631148373</v>
      </c>
      <c r="AO163" s="1277">
        <f t="shared" si="123"/>
        <v>0</v>
      </c>
    </row>
    <row r="164" spans="1:41">
      <c r="A164" s="89">
        <f>'Input data'!A144</f>
        <v>2044</v>
      </c>
      <c r="B164" s="152">
        <f>'Input data'!B144</f>
        <v>73.016657364175842</v>
      </c>
      <c r="C164" s="204">
        <f>'Input data'!C144</f>
        <v>7589.87</v>
      </c>
      <c r="D164" s="204">
        <f>'Input data'!D144</f>
        <v>1312337.2980758694</v>
      </c>
      <c r="E164" s="473">
        <f>'Input data'!J144*C164</f>
        <v>91314.072271580881</v>
      </c>
      <c r="F164" s="474">
        <f>'Input data'!L144</f>
        <v>92626.409569656753</v>
      </c>
      <c r="G164" s="474">
        <f t="shared" si="134"/>
        <v>19149.655921324487</v>
      </c>
      <c r="H164" s="474">
        <f t="shared" si="125"/>
        <v>34478.574785618999</v>
      </c>
      <c r="I164" s="475">
        <f t="shared" si="99"/>
        <v>1312.3372980758695</v>
      </c>
      <c r="J164" s="100">
        <f t="shared" si="132"/>
        <v>0.2</v>
      </c>
      <c r="K164" s="474">
        <f t="shared" si="126"/>
        <v>181.69606664451368</v>
      </c>
      <c r="L164" s="474">
        <f t="shared" si="101"/>
        <v>0</v>
      </c>
      <c r="M164" s="474">
        <f t="shared" si="127"/>
        <v>181.69606664451368</v>
      </c>
      <c r="N164" s="579">
        <f t="shared" si="131"/>
        <v>0.5</v>
      </c>
      <c r="O164" s="475">
        <f t="shared" si="102"/>
        <v>751.91700000000026</v>
      </c>
      <c r="P164" s="466">
        <f t="shared" si="130"/>
        <v>933.61306664451399</v>
      </c>
      <c r="Q164" s="467">
        <f t="shared" si="103"/>
        <v>52694.617640298966</v>
      </c>
      <c r="R164" s="467">
        <f t="shared" si="128"/>
        <v>33544.961718974475</v>
      </c>
      <c r="S164" s="938">
        <f t="shared" si="104"/>
        <v>0.64953287888416134</v>
      </c>
      <c r="T164" s="118" t="str">
        <f t="shared" si="105"/>
        <v>Yes</v>
      </c>
      <c r="U164" s="938">
        <f t="shared" si="106"/>
        <v>0.64953287888416134</v>
      </c>
      <c r="V164" s="1247">
        <f>AC164</f>
        <v>59081.447850682292</v>
      </c>
      <c r="W164" s="1244">
        <f t="shared" si="98"/>
        <v>0.36215331971545373</v>
      </c>
      <c r="X164" s="473">
        <f t="shared" si="107"/>
        <v>19149.655921324491</v>
      </c>
      <c r="Y164" s="474">
        <f t="shared" si="108"/>
        <v>7574.7286330838097</v>
      </c>
      <c r="Z164" s="474">
        <f t="shared" si="109"/>
        <v>4878.3539906692804</v>
      </c>
      <c r="AA164" s="474">
        <f t="shared" si="110"/>
        <v>0</v>
      </c>
      <c r="AB164" s="474">
        <f t="shared" si="111"/>
        <v>27478.709305604705</v>
      </c>
      <c r="AC164" s="474">
        <f t="shared" si="112"/>
        <v>59081.447850682292</v>
      </c>
      <c r="AD164" s="1240">
        <f t="shared" si="113"/>
        <v>0</v>
      </c>
      <c r="AE164" s="100">
        <f t="shared" si="114"/>
        <v>0.32412299660837346</v>
      </c>
      <c r="AF164" s="100">
        <f t="shared" si="115"/>
        <v>0.1282082431735182</v>
      </c>
      <c r="AG164" s="100">
        <f t="shared" si="116"/>
        <v>8.2569980393819062E-2</v>
      </c>
      <c r="AH164" s="100">
        <f t="shared" si="129"/>
        <v>0</v>
      </c>
      <c r="AI164" s="100">
        <f t="shared" si="117"/>
        <v>0.46509877982428915</v>
      </c>
      <c r="AJ164" s="471">
        <f t="shared" si="118"/>
        <v>0.99999999999999989</v>
      </c>
      <c r="AK164" s="1250">
        <f t="shared" si="119"/>
        <v>1049.8698384606955</v>
      </c>
      <c r="AL164" s="1251">
        <f t="shared" si="120"/>
        <v>17080.170021923914</v>
      </c>
      <c r="AM164" s="1251">
        <f t="shared" si="121"/>
        <v>1019.6160609398783</v>
      </c>
      <c r="AN164" s="1251">
        <f t="shared" si="122"/>
        <v>19149.655921324487</v>
      </c>
      <c r="AO164" s="1277">
        <f t="shared" si="123"/>
        <v>0</v>
      </c>
    </row>
    <row r="165" spans="1:41">
      <c r="A165" s="89">
        <f>'Input data'!A145</f>
        <v>2045</v>
      </c>
      <c r="B165" s="152">
        <f>'Input data'!B145</f>
        <v>73.40362603426334</v>
      </c>
      <c r="C165" s="204">
        <f>'Input data'!C145</f>
        <v>7808.4800000000005</v>
      </c>
      <c r="D165" s="204">
        <f>'Input data'!D145</f>
        <v>1185071.3715835942</v>
      </c>
      <c r="E165" s="473">
        <f>'Input data'!J145*C165</f>
        <v>93944.179156058526</v>
      </c>
      <c r="F165" s="474">
        <f>'Input data'!L145</f>
        <v>95129.250527642114</v>
      </c>
      <c r="G165" s="474">
        <f t="shared" si="134"/>
        <v>18107.444808958157</v>
      </c>
      <c r="H165" s="474">
        <f t="shared" si="125"/>
        <v>36910.526957457958</v>
      </c>
      <c r="I165" s="475">
        <f t="shared" si="99"/>
        <v>1185.0713715835943</v>
      </c>
      <c r="J165" s="100">
        <f t="shared" si="132"/>
        <v>0.2</v>
      </c>
      <c r="K165" s="474">
        <f t="shared" si="126"/>
        <v>164.07581132187681</v>
      </c>
      <c r="L165" s="474">
        <f t="shared" si="101"/>
        <v>0</v>
      </c>
      <c r="M165" s="474">
        <f t="shared" si="127"/>
        <v>164.07581132187681</v>
      </c>
      <c r="N165" s="579">
        <f t="shared" si="131"/>
        <v>0.5</v>
      </c>
      <c r="O165" s="475">
        <f t="shared" si="102"/>
        <v>751.91700000000026</v>
      </c>
      <c r="P165" s="466">
        <f t="shared" si="130"/>
        <v>915.99281132187707</v>
      </c>
      <c r="Q165" s="467">
        <f t="shared" si="103"/>
        <v>54101.978955094237</v>
      </c>
      <c r="R165" s="467">
        <f t="shared" si="128"/>
        <v>35994.53414613608</v>
      </c>
      <c r="S165" s="938">
        <f t="shared" si="104"/>
        <v>0.67717551006700705</v>
      </c>
      <c r="T165" s="118" t="str">
        <f t="shared" si="105"/>
        <v>Yes</v>
      </c>
      <c r="U165" s="938">
        <f t="shared" si="106"/>
        <v>0.67717551006700705</v>
      </c>
      <c r="V165" s="1247">
        <f t="shared" si="97"/>
        <v>59134.716381506056</v>
      </c>
      <c r="W165" s="1244">
        <f t="shared" si="98"/>
        <v>0.37837504181405246</v>
      </c>
      <c r="X165" s="473">
        <f t="shared" si="107"/>
        <v>18107.444808958157</v>
      </c>
      <c r="Y165" s="474">
        <f t="shared" si="108"/>
        <v>7759.8895182677188</v>
      </c>
      <c r="Z165" s="474">
        <f t="shared" si="109"/>
        <v>4997.2071977110627</v>
      </c>
      <c r="AA165" s="474">
        <f t="shared" si="110"/>
        <v>0</v>
      </c>
      <c r="AB165" s="474">
        <f t="shared" si="111"/>
        <v>28270.174856569116</v>
      </c>
      <c r="AC165" s="474">
        <f t="shared" si="112"/>
        <v>59134.716381506056</v>
      </c>
      <c r="AD165" s="1240">
        <f t="shared" si="113"/>
        <v>0</v>
      </c>
      <c r="AE165" s="100">
        <f t="shared" si="114"/>
        <v>0.30620667379443328</v>
      </c>
      <c r="AF165" s="100">
        <f t="shared" si="115"/>
        <v>0.13122392383189932</v>
      </c>
      <c r="AG165" s="100">
        <f t="shared" si="116"/>
        <v>8.4505473324192726E-2</v>
      </c>
      <c r="AH165" s="100">
        <f t="shared" si="129"/>
        <v>0</v>
      </c>
      <c r="AI165" s="100">
        <f t="shared" si="117"/>
        <v>0.47806392904947465</v>
      </c>
      <c r="AJ165" s="471">
        <f t="shared" si="118"/>
        <v>1</v>
      </c>
      <c r="AK165" s="1250">
        <f t="shared" si="119"/>
        <v>948.05709726687553</v>
      </c>
      <c r="AL165" s="1251">
        <f t="shared" si="120"/>
        <v>16186.149480981339</v>
      </c>
      <c r="AM165" s="1251">
        <f t="shared" si="121"/>
        <v>973.23823070993865</v>
      </c>
      <c r="AN165" s="1251">
        <f t="shared" si="122"/>
        <v>18107.444808958153</v>
      </c>
      <c r="AO165" s="1277">
        <f t="shared" si="123"/>
        <v>0</v>
      </c>
    </row>
    <row r="166" spans="1:41">
      <c r="A166" s="89">
        <f>'Input data'!A146</f>
        <v>2046</v>
      </c>
      <c r="B166" s="152">
        <f>'Input data'!B146</f>
        <v>73.776422042674071</v>
      </c>
      <c r="C166" s="204">
        <f>'Input data'!C146</f>
        <v>8042.25</v>
      </c>
      <c r="D166" s="204">
        <f>'Input data'!D146</f>
        <v>990067.58809674683</v>
      </c>
      <c r="E166" s="473">
        <f>'Input data'!J146*C166</f>
        <v>96756.67669223866</v>
      </c>
      <c r="F166" s="474">
        <f>'Input data'!L146</f>
        <v>97746.744280335406</v>
      </c>
      <c r="G166" s="474">
        <f t="shared" si="134"/>
        <v>17121.955551397077</v>
      </c>
      <c r="H166" s="474">
        <f t="shared" si="125"/>
        <v>39326.845583933202</v>
      </c>
      <c r="I166" s="475">
        <f t="shared" si="99"/>
        <v>990.06758809674682</v>
      </c>
      <c r="J166" s="100">
        <f t="shared" si="132"/>
        <v>0.2</v>
      </c>
      <c r="K166" s="474">
        <f t="shared" si="126"/>
        <v>137.07709651562419</v>
      </c>
      <c r="L166" s="474">
        <f t="shared" si="101"/>
        <v>0</v>
      </c>
      <c r="M166" s="474">
        <f t="shared" si="127"/>
        <v>137.07709651562419</v>
      </c>
      <c r="N166" s="579">
        <f t="shared" si="131"/>
        <v>0.5</v>
      </c>
      <c r="O166" s="475">
        <f t="shared" si="102"/>
        <v>751.91700000000026</v>
      </c>
      <c r="P166" s="466">
        <f t="shared" si="130"/>
        <v>888.99409651562451</v>
      </c>
      <c r="Q166" s="467">
        <f t="shared" si="103"/>
        <v>55559.807038814652</v>
      </c>
      <c r="R166" s="467">
        <f t="shared" si="128"/>
        <v>38437.851487417574</v>
      </c>
      <c r="S166" s="938">
        <f t="shared" si="104"/>
        <v>0.70183364122387037</v>
      </c>
      <c r="T166" s="118" t="str">
        <f t="shared" si="105"/>
        <v>Yes</v>
      </c>
      <c r="U166" s="938">
        <f t="shared" si="106"/>
        <v>0.70183364122387037</v>
      </c>
      <c r="V166" s="1247">
        <f t="shared" si="97"/>
        <v>59308.892792917846</v>
      </c>
      <c r="W166" s="1244">
        <f t="shared" si="98"/>
        <v>0.39323919963184339</v>
      </c>
      <c r="X166" s="473">
        <f t="shared" si="107"/>
        <v>17121.955551397084</v>
      </c>
      <c r="Y166" s="474">
        <f t="shared" si="108"/>
        <v>7946.1083364144197</v>
      </c>
      <c r="Z166" s="474">
        <f t="shared" si="109"/>
        <v>5124.3025465521841</v>
      </c>
      <c r="AA166" s="474">
        <f t="shared" si="110"/>
        <v>0</v>
      </c>
      <c r="AB166" s="474">
        <f t="shared" si="111"/>
        <v>29116.526358554158</v>
      </c>
      <c r="AC166" s="474">
        <f t="shared" si="112"/>
        <v>59308.892792917846</v>
      </c>
      <c r="AD166" s="1240">
        <f t="shared" si="113"/>
        <v>0</v>
      </c>
      <c r="AE166" s="100">
        <f t="shared" si="114"/>
        <v>0.28869120202900905</v>
      </c>
      <c r="AF166" s="100">
        <f t="shared" si="115"/>
        <v>0.13397836247186315</v>
      </c>
      <c r="AG166" s="100">
        <f t="shared" si="116"/>
        <v>8.640023958032958E-2</v>
      </c>
      <c r="AH166" s="100">
        <f t="shared" si="129"/>
        <v>0</v>
      </c>
      <c r="AI166" s="100">
        <f t="shared" si="117"/>
        <v>0.49093019591879822</v>
      </c>
      <c r="AJ166" s="471">
        <f t="shared" si="118"/>
        <v>1</v>
      </c>
      <c r="AK166" s="1250">
        <f t="shared" si="119"/>
        <v>792.05407047739732</v>
      </c>
      <c r="AL166" s="1251">
        <f t="shared" si="120"/>
        <v>15397.378371876735</v>
      </c>
      <c r="AM166" s="1251">
        <f t="shared" si="121"/>
        <v>932.52310904294541</v>
      </c>
      <c r="AN166" s="1251">
        <f t="shared" si="122"/>
        <v>17121.955551397077</v>
      </c>
      <c r="AO166" s="1277">
        <f t="shared" si="123"/>
        <v>0</v>
      </c>
    </row>
    <row r="167" spans="1:41">
      <c r="A167" s="89">
        <f>'Input data'!A147</f>
        <v>2047</v>
      </c>
      <c r="B167" s="152">
        <f>'Input data'!B147</f>
        <v>74.134805489166112</v>
      </c>
      <c r="C167" s="204">
        <f>'Input data'!C147</f>
        <v>8187.4100000000008</v>
      </c>
      <c r="D167" s="204">
        <f>'Input data'!D147</f>
        <v>795063.80460989953</v>
      </c>
      <c r="E167" s="473">
        <f>'Input data'!J147*C167</f>
        <v>98503.103275426867</v>
      </c>
      <c r="F167" s="474">
        <f>'Input data'!L147</f>
        <v>99298.167080036772</v>
      </c>
      <c r="G167" s="474">
        <f t="shared" si="134"/>
        <v>16190.101088088571</v>
      </c>
      <c r="H167" s="474">
        <f t="shared" si="125"/>
        <v>41077.810313181653</v>
      </c>
      <c r="I167" s="475">
        <f t="shared" si="99"/>
        <v>795.06380460989953</v>
      </c>
      <c r="J167" s="100">
        <f t="shared" si="132"/>
        <v>0.2</v>
      </c>
      <c r="K167" s="474">
        <f t="shared" si="126"/>
        <v>110.07838170937157</v>
      </c>
      <c r="L167" s="474">
        <f t="shared" si="101"/>
        <v>0</v>
      </c>
      <c r="M167" s="474">
        <f t="shared" si="127"/>
        <v>110.07838170937157</v>
      </c>
      <c r="N167" s="579">
        <f t="shared" si="131"/>
        <v>0.5</v>
      </c>
      <c r="O167" s="475">
        <f t="shared" si="102"/>
        <v>751.91700000000026</v>
      </c>
      <c r="P167" s="466">
        <f t="shared" si="130"/>
        <v>861.99538170937183</v>
      </c>
      <c r="Q167" s="467">
        <f t="shared" si="103"/>
        <v>56405.916019560857</v>
      </c>
      <c r="R167" s="467">
        <f t="shared" si="128"/>
        <v>40215.814931472283</v>
      </c>
      <c r="S167" s="938">
        <f t="shared" si="104"/>
        <v>0.7211029639191413</v>
      </c>
      <c r="T167" s="118" t="str">
        <f t="shared" si="105"/>
        <v>Yes</v>
      </c>
      <c r="U167" s="938">
        <f t="shared" si="106"/>
        <v>0.7211029639191413</v>
      </c>
      <c r="V167" s="1247">
        <f t="shared" si="97"/>
        <v>59082.352148564489</v>
      </c>
      <c r="W167" s="1244">
        <f t="shared" si="98"/>
        <v>0.40500057668795986</v>
      </c>
      <c r="X167" s="473">
        <f t="shared" si="107"/>
        <v>16190.101088088571</v>
      </c>
      <c r="Y167" s="474">
        <f t="shared" si="108"/>
        <v>8046.9581742517012</v>
      </c>
      <c r="Z167" s="474">
        <f t="shared" si="109"/>
        <v>5203.2226853115508</v>
      </c>
      <c r="AA167" s="474">
        <f t="shared" si="110"/>
        <v>0</v>
      </c>
      <c r="AB167" s="474">
        <f t="shared" si="111"/>
        <v>29642.070200912669</v>
      </c>
      <c r="AC167" s="474">
        <f t="shared" si="112"/>
        <v>59082.352148564489</v>
      </c>
      <c r="AD167" s="1240">
        <f t="shared" si="113"/>
        <v>0</v>
      </c>
      <c r="AE167" s="100">
        <f t="shared" si="114"/>
        <v>0.27402600775571762</v>
      </c>
      <c r="AF167" s="100">
        <f t="shared" si="115"/>
        <v>0.13619901513090346</v>
      </c>
      <c r="AG167" s="100">
        <f t="shared" si="116"/>
        <v>8.8067290757617073E-2</v>
      </c>
      <c r="AH167" s="100">
        <f t="shared" si="129"/>
        <v>0</v>
      </c>
      <c r="AI167" s="100">
        <f t="shared" si="117"/>
        <v>0.50170768635576191</v>
      </c>
      <c r="AJ167" s="471">
        <f t="shared" si="118"/>
        <v>1</v>
      </c>
      <c r="AK167" s="1250">
        <f t="shared" si="119"/>
        <v>636.05104368791956</v>
      </c>
      <c r="AL167" s="1251">
        <f t="shared" si="120"/>
        <v>14662.263126851729</v>
      </c>
      <c r="AM167" s="1251">
        <f t="shared" si="121"/>
        <v>891.78691754892134</v>
      </c>
      <c r="AN167" s="1251">
        <f t="shared" si="122"/>
        <v>16190.10108808857</v>
      </c>
      <c r="AO167" s="1277">
        <f t="shared" si="123"/>
        <v>0</v>
      </c>
    </row>
    <row r="168" spans="1:41">
      <c r="A168" s="89">
        <f>'Input data'!A148</f>
        <v>2048</v>
      </c>
      <c r="B168" s="152">
        <f>'Input data'!B148</f>
        <v>74.478544758379343</v>
      </c>
      <c r="C168" s="204">
        <f>'Input data'!C148</f>
        <v>8322.6399999999976</v>
      </c>
      <c r="D168" s="204">
        <f>'Input data'!D148</f>
        <v>600060.02112305223</v>
      </c>
      <c r="E168" s="473">
        <f>'Input data'!J148*C168</f>
        <v>100130.06157554078</v>
      </c>
      <c r="F168" s="474">
        <f>'Input data'!L148</f>
        <v>100730.12159666383</v>
      </c>
      <c r="G168" s="474">
        <f t="shared" si="134"/>
        <v>15308.962370313993</v>
      </c>
      <c r="H168" s="474">
        <f t="shared" si="125"/>
        <v>42709.507545485103</v>
      </c>
      <c r="I168" s="475">
        <f t="shared" si="99"/>
        <v>600.06002112305225</v>
      </c>
      <c r="J168" s="100">
        <f t="shared" si="132"/>
        <v>0.2</v>
      </c>
      <c r="K168" s="474">
        <f t="shared" si="126"/>
        <v>83.079666903118948</v>
      </c>
      <c r="L168" s="474">
        <f t="shared" si="101"/>
        <v>0</v>
      </c>
      <c r="M168" s="474">
        <f t="shared" si="127"/>
        <v>83.079666903118948</v>
      </c>
      <c r="N168" s="579">
        <f t="shared" si="131"/>
        <v>0.5</v>
      </c>
      <c r="O168" s="475">
        <f t="shared" si="102"/>
        <v>751.91700000000026</v>
      </c>
      <c r="P168" s="466">
        <f t="shared" si="130"/>
        <v>834.99666690311915</v>
      </c>
      <c r="Q168" s="467">
        <f t="shared" si="103"/>
        <v>57183.473248895978</v>
      </c>
      <c r="R168" s="467">
        <f t="shared" si="128"/>
        <v>41874.510878581983</v>
      </c>
      <c r="S168" s="938">
        <f t="shared" si="104"/>
        <v>0.73848291716515835</v>
      </c>
      <c r="T168" s="118" t="str">
        <f t="shared" si="105"/>
        <v>Yes</v>
      </c>
      <c r="U168" s="938">
        <f t="shared" si="106"/>
        <v>0.73848291716515835</v>
      </c>
      <c r="V168" s="1247">
        <f t="shared" si="97"/>
        <v>58855.610718081851</v>
      </c>
      <c r="W168" s="1244">
        <f t="shared" si="98"/>
        <v>0.41570992087404424</v>
      </c>
      <c r="X168" s="473">
        <f t="shared" si="107"/>
        <v>15308.962370313991</v>
      </c>
      <c r="Y168" s="474">
        <f t="shared" si="108"/>
        <v>8138.241214047307</v>
      </c>
      <c r="Z168" s="474">
        <f t="shared" si="109"/>
        <v>5276.7441124569687</v>
      </c>
      <c r="AA168" s="474">
        <f t="shared" si="110"/>
        <v>0</v>
      </c>
      <c r="AB168" s="474">
        <f t="shared" si="111"/>
        <v>30131.663021263586</v>
      </c>
      <c r="AC168" s="474">
        <f t="shared" si="112"/>
        <v>58855.610718081851</v>
      </c>
      <c r="AD168" s="1240">
        <f t="shared" si="113"/>
        <v>0</v>
      </c>
      <c r="AE168" s="100">
        <f t="shared" si="114"/>
        <v>0.26011050065632418</v>
      </c>
      <c r="AF168" s="100">
        <f t="shared" si="115"/>
        <v>0.13827468808419049</v>
      </c>
      <c r="AG168" s="100">
        <f t="shared" si="116"/>
        <v>8.965575325915065E-2</v>
      </c>
      <c r="AH168" s="100">
        <f t="shared" si="129"/>
        <v>0</v>
      </c>
      <c r="AI168" s="100">
        <f t="shared" si="117"/>
        <v>0.5119590580003347</v>
      </c>
      <c r="AJ168" s="471">
        <f t="shared" si="118"/>
        <v>1</v>
      </c>
      <c r="AK168" s="1250">
        <f t="shared" si="119"/>
        <v>480.04801689844174</v>
      </c>
      <c r="AL168" s="1251">
        <f t="shared" si="120"/>
        <v>13975.641239889233</v>
      </c>
      <c r="AM168" s="1251">
        <f t="shared" si="121"/>
        <v>853.27311352631443</v>
      </c>
      <c r="AN168" s="1251">
        <f t="shared" si="122"/>
        <v>15308.96237031399</v>
      </c>
      <c r="AO168" s="1277">
        <f t="shared" si="123"/>
        <v>0</v>
      </c>
    </row>
    <row r="169" spans="1:41">
      <c r="A169" s="89">
        <f>'Input data'!A149</f>
        <v>2049</v>
      </c>
      <c r="B169" s="152">
        <f>'Input data'!B149</f>
        <v>74.807416768507309</v>
      </c>
      <c r="C169" s="204">
        <f>'Input data'!C149</f>
        <v>8457.3799999999992</v>
      </c>
      <c r="D169" s="204">
        <f>'Input data'!D149</f>
        <v>405056.23763620481</v>
      </c>
      <c r="E169" s="473">
        <f>'Input data'!J149*C169</f>
        <v>101751.12466329761</v>
      </c>
      <c r="F169" s="474">
        <f>'Input data'!L149</f>
        <v>102156.18090093382</v>
      </c>
      <c r="G169" s="474">
        <f t="shared" si="134"/>
        <v>14475.779217222871</v>
      </c>
      <c r="H169" s="474">
        <f t="shared" si="125"/>
        <v>44289.866498282223</v>
      </c>
      <c r="I169" s="475">
        <f t="shared" si="99"/>
        <v>405.0562376362048</v>
      </c>
      <c r="J169" s="100">
        <f t="shared" si="132"/>
        <v>0.2</v>
      </c>
      <c r="K169" s="474">
        <f t="shared" si="126"/>
        <v>56.080952096866334</v>
      </c>
      <c r="L169" s="474">
        <f t="shared" si="101"/>
        <v>0</v>
      </c>
      <c r="M169" s="474">
        <f t="shared" si="127"/>
        <v>56.080952096866334</v>
      </c>
      <c r="N169" s="579">
        <f t="shared" si="131"/>
        <v>0.5</v>
      </c>
      <c r="O169" s="475">
        <f t="shared" si="102"/>
        <v>751.91700000000026</v>
      </c>
      <c r="P169" s="466">
        <f t="shared" si="130"/>
        <v>807.99795209686658</v>
      </c>
      <c r="Q169" s="467">
        <f t="shared" si="103"/>
        <v>57957.647763408226</v>
      </c>
      <c r="R169" s="467">
        <f t="shared" si="128"/>
        <v>43481.868546185353</v>
      </c>
      <c r="S169" s="938">
        <f t="shared" si="104"/>
        <v>0.75445341699738089</v>
      </c>
      <c r="T169" s="118" t="str">
        <f t="shared" si="105"/>
        <v>Yes</v>
      </c>
      <c r="U169" s="938">
        <f t="shared" si="106"/>
        <v>0.75445341699738089</v>
      </c>
      <c r="V169" s="1247">
        <f t="shared" si="97"/>
        <v>58674.312354748472</v>
      </c>
      <c r="W169" s="1244">
        <f t="shared" si="98"/>
        <v>0.42564109349733803</v>
      </c>
      <c r="X169" s="473">
        <f t="shared" si="107"/>
        <v>14475.779217222871</v>
      </c>
      <c r="Y169" s="474">
        <f t="shared" si="108"/>
        <v>8229.0521761953423</v>
      </c>
      <c r="Z169" s="474">
        <f t="shared" si="109"/>
        <v>5349.9991379215398</v>
      </c>
      <c r="AA169" s="474">
        <f t="shared" si="110"/>
        <v>0</v>
      </c>
      <c r="AB169" s="474">
        <f t="shared" si="111"/>
        <v>30619.481823408714</v>
      </c>
      <c r="AC169" s="474">
        <f t="shared" si="112"/>
        <v>58674.312354748472</v>
      </c>
      <c r="AD169" s="1240">
        <f t="shared" si="113"/>
        <v>0</v>
      </c>
      <c r="AE169" s="100">
        <f t="shared" si="114"/>
        <v>0.24671408383453097</v>
      </c>
      <c r="AF169" s="100">
        <f t="shared" si="115"/>
        <v>0.14024965689315608</v>
      </c>
      <c r="AG169" s="100">
        <f t="shared" si="116"/>
        <v>9.1181283993157322E-2</v>
      </c>
      <c r="AH169" s="100">
        <f t="shared" si="129"/>
        <v>0</v>
      </c>
      <c r="AI169" s="100">
        <f t="shared" si="117"/>
        <v>0.52185497527915559</v>
      </c>
      <c r="AJ169" s="471">
        <f t="shared" si="118"/>
        <v>1</v>
      </c>
      <c r="AK169" s="1250">
        <f t="shared" si="119"/>
        <v>324.04499010896382</v>
      </c>
      <c r="AL169" s="1251">
        <f t="shared" si="120"/>
        <v>13334.609755988587</v>
      </c>
      <c r="AM169" s="1251">
        <f t="shared" si="121"/>
        <v>817.12447112531868</v>
      </c>
      <c r="AN169" s="1251">
        <f t="shared" si="122"/>
        <v>14475.779217222869</v>
      </c>
      <c r="AO169" s="1277">
        <f t="shared" si="123"/>
        <v>0</v>
      </c>
    </row>
    <row r="170" spans="1:41" ht="15.75" thickBot="1">
      <c r="A170" s="141">
        <f>'Input data'!A150</f>
        <v>2050</v>
      </c>
      <c r="B170" s="593">
        <f>'Input data'!B150</f>
        <v>75.121207211856714</v>
      </c>
      <c r="C170" s="207">
        <f>'Input data'!C150</f>
        <v>8589.119999999999</v>
      </c>
      <c r="D170" s="207">
        <f>'Input data'!D150</f>
        <v>210052.45414935748</v>
      </c>
      <c r="E170" s="598">
        <f>'Input data'!J150*C170</f>
        <v>103336.09461417398</v>
      </c>
      <c r="F170" s="595">
        <f>'Input data'!L150</f>
        <v>103546.14706832333</v>
      </c>
      <c r="G170" s="595">
        <f>G137*(1-$C$6)</f>
        <v>13687.941669523079</v>
      </c>
      <c r="H170" s="595">
        <f t="shared" si="125"/>
        <v>45804.16934677228</v>
      </c>
      <c r="I170" s="589">
        <f t="shared" si="99"/>
        <v>210.05245414935749</v>
      </c>
      <c r="J170" s="581">
        <f t="shared" si="132"/>
        <v>0.2</v>
      </c>
      <c r="K170" s="595">
        <f t="shared" si="126"/>
        <v>29.082237290613723</v>
      </c>
      <c r="L170" s="595">
        <f t="shared" si="101"/>
        <v>0</v>
      </c>
      <c r="M170" s="595">
        <f t="shared" si="127"/>
        <v>29.082237290613723</v>
      </c>
      <c r="N170" s="580">
        <f t="shared" si="131"/>
        <v>0.5</v>
      </c>
      <c r="O170" s="589">
        <f t="shared" si="102"/>
        <v>751.91700000000026</v>
      </c>
      <c r="P170" s="1388">
        <f t="shared" si="130"/>
        <v>780.99923729061402</v>
      </c>
      <c r="Q170" s="1238">
        <f t="shared" si="103"/>
        <v>58711.11177900475</v>
      </c>
      <c r="R170" s="1238">
        <f t="shared" si="128"/>
        <v>45023.170109481667</v>
      </c>
      <c r="S170" s="941">
        <f t="shared" si="104"/>
        <v>0.76906062922957186</v>
      </c>
      <c r="T170" s="951" t="str">
        <f t="shared" si="105"/>
        <v>Yes</v>
      </c>
      <c r="U170" s="941">
        <f t="shared" si="106"/>
        <v>0.76906062922957186</v>
      </c>
      <c r="V170" s="1248">
        <f t="shared" si="97"/>
        <v>58522.976958841689</v>
      </c>
      <c r="W170" s="1245">
        <f t="shared" si="98"/>
        <v>0.43481260659340415</v>
      </c>
      <c r="X170" s="598">
        <f t="shared" si="107"/>
        <v>13687.941669523083</v>
      </c>
      <c r="Y170" s="595">
        <f t="shared" si="108"/>
        <v>8316.9728670316927</v>
      </c>
      <c r="Z170" s="595">
        <f t="shared" si="109"/>
        <v>5421.623132687032</v>
      </c>
      <c r="AA170" s="595">
        <f t="shared" si="110"/>
        <v>0</v>
      </c>
      <c r="AB170" s="595">
        <f t="shared" si="111"/>
        <v>31096.439289599883</v>
      </c>
      <c r="AC170" s="595">
        <f t="shared" si="112"/>
        <v>58522.976958841689</v>
      </c>
      <c r="AD170" s="1241">
        <f t="shared" si="113"/>
        <v>0</v>
      </c>
      <c r="AE170" s="581">
        <f t="shared" si="114"/>
        <v>0.23389004423253454</v>
      </c>
      <c r="AF170" s="581">
        <f t="shared" si="115"/>
        <v>0.14211465819452232</v>
      </c>
      <c r="AG170" s="581">
        <f t="shared" si="116"/>
        <v>9.2640932065024245E-2</v>
      </c>
      <c r="AH170" s="581">
        <f t="shared" si="129"/>
        <v>0</v>
      </c>
      <c r="AI170" s="581">
        <f>AB170/AC170</f>
        <v>0.53135436550791892</v>
      </c>
      <c r="AJ170" s="582">
        <f t="shared" si="118"/>
        <v>1</v>
      </c>
      <c r="AK170" s="1252">
        <f t="shared" si="119"/>
        <v>168.04196331948597</v>
      </c>
      <c r="AL170" s="1253">
        <f t="shared" si="120"/>
        <v>12736.708799763959</v>
      </c>
      <c r="AM170" s="1253">
        <f t="shared" si="121"/>
        <v>783.19090643963887</v>
      </c>
      <c r="AN170" s="1253">
        <f t="shared" si="122"/>
        <v>13687.941669523083</v>
      </c>
      <c r="AO170" s="1278">
        <f t="shared" si="123"/>
        <v>0</v>
      </c>
    </row>
    <row r="172" spans="1:41" ht="23.25">
      <c r="A172" s="610" t="s">
        <v>640</v>
      </c>
    </row>
    <row r="173" spans="1:41" ht="24" thickBot="1">
      <c r="A173" s="610"/>
    </row>
    <row r="174" spans="1:41"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950" t="s">
        <v>592</v>
      </c>
      <c r="Y174" s="944"/>
      <c r="Z174" s="944"/>
      <c r="AA174" s="944"/>
      <c r="AB174" s="944"/>
      <c r="AC174" s="944"/>
      <c r="AD174" s="944"/>
      <c r="AE174" s="944"/>
      <c r="AF174" s="944"/>
      <c r="AG174" s="944"/>
      <c r="AH174" s="944"/>
      <c r="AI174" s="944"/>
      <c r="AJ174" s="944"/>
      <c r="AK174" s="1547" t="s">
        <v>723</v>
      </c>
      <c r="AL174" s="1548"/>
      <c r="AM174" s="1548"/>
      <c r="AN174" s="1548"/>
      <c r="AO174" s="1549"/>
    </row>
    <row r="175" spans="1:41" ht="58.9"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15"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4436.7699999999986</v>
      </c>
      <c r="D179" s="474">
        <f>'Input data'!E119</f>
        <v>52992370.977903679</v>
      </c>
      <c r="E179" s="473">
        <f>'Input data'!J119*C179</f>
        <v>53378.982305676094</v>
      </c>
      <c r="F179" s="474">
        <f>'Input data'!L119</f>
        <v>106371.35328357978</v>
      </c>
      <c r="G179" s="474">
        <f t="shared" ref="G179:G189" si="163">$G$137*(1+((($G$150/$G$137)^(1/($A$150-$A$137)))-1))^(A179-$A$137)</f>
        <v>61517.098453473154</v>
      </c>
      <c r="H179" s="474">
        <f t="shared" si="135"/>
        <v>18842.952019388948</v>
      </c>
      <c r="I179" s="475">
        <f t="shared" si="138"/>
        <v>52992.37097790368</v>
      </c>
      <c r="J179" s="100">
        <f t="shared" si="139"/>
        <v>7.3782491286642105E-2</v>
      </c>
      <c r="K179" s="474">
        <f t="shared" ref="K179:K210" si="164">(I179)*J179-(I179)*$J$137</f>
        <v>648.34855344959942</v>
      </c>
      <c r="L179" s="474">
        <f t="shared" si="140"/>
        <v>0</v>
      </c>
      <c r="M179" s="475">
        <f t="shared" ref="M179:M210" si="165">L179+K179</f>
        <v>648.34855344959942</v>
      </c>
      <c r="N179" s="579">
        <f>($N$142-$N$137)/($A$102-$A$97)+N178</f>
        <v>0.1</v>
      </c>
      <c r="O179" s="475">
        <f t="shared" si="141"/>
        <v>150.38340000000005</v>
      </c>
      <c r="P179" s="1234">
        <f>O179+M179</f>
        <v>798.73195344959947</v>
      </c>
      <c r="Q179" s="467">
        <f t="shared" si="142"/>
        <v>79561.318519412496</v>
      </c>
      <c r="R179" s="467">
        <f t="shared" ref="R179:R210" si="166">Q179-G179</f>
        <v>18044.220065939342</v>
      </c>
      <c r="S179" s="518">
        <f t="shared" si="143"/>
        <v>0.59202417756714631</v>
      </c>
      <c r="T179" s="118" t="str">
        <f t="shared" si="144"/>
        <v>Yes</v>
      </c>
      <c r="U179" s="938">
        <f t="shared" si="145"/>
        <v>0.59202417756714631</v>
      </c>
      <c r="V179" s="1247">
        <f t="shared" si="136"/>
        <v>88327.133217640439</v>
      </c>
      <c r="W179" s="1244">
        <f t="shared" si="137"/>
        <v>0.16963420609902846</v>
      </c>
      <c r="X179" s="473">
        <f t="shared" si="146"/>
        <v>61517.098453473161</v>
      </c>
      <c r="Y179" s="474">
        <f t="shared" si="147"/>
        <v>8184.3988324480906</v>
      </c>
      <c r="Z179" s="116">
        <f t="shared" si="148"/>
        <v>2562.5527582487894</v>
      </c>
      <c r="AA179" s="116">
        <f t="shared" si="149"/>
        <v>0</v>
      </c>
      <c r="AB179" s="116">
        <f t="shared" si="150"/>
        <v>16063.083173470395</v>
      </c>
      <c r="AC179" s="116">
        <f t="shared" si="151"/>
        <v>88327.133217640439</v>
      </c>
      <c r="AD179" s="1240">
        <f t="shared" si="152"/>
        <v>0</v>
      </c>
      <c r="AE179" s="579">
        <f t="shared" si="153"/>
        <v>0.6964688676342905</v>
      </c>
      <c r="AF179" s="100">
        <f t="shared" si="154"/>
        <v>9.2660075497769306E-2</v>
      </c>
      <c r="AG179" s="100">
        <f t="shared" si="155"/>
        <v>2.9012067582161759E-2</v>
      </c>
      <c r="AH179" s="100">
        <f t="shared" ref="AH179:AH210" si="167">AA179/AC179</f>
        <v>0</v>
      </c>
      <c r="AI179" s="100">
        <f t="shared" si="156"/>
        <v>0.1818589892857784</v>
      </c>
      <c r="AJ179" s="471">
        <f t="shared" si="157"/>
        <v>1</v>
      </c>
      <c r="AK179" s="1250">
        <f t="shared" si="158"/>
        <v>49082.461827967993</v>
      </c>
      <c r="AL179" s="1251">
        <f t="shared" si="159"/>
        <v>11622.830739569032</v>
      </c>
      <c r="AM179" s="1251">
        <f t="shared" si="160"/>
        <v>811.8058859361247</v>
      </c>
      <c r="AN179" s="1251">
        <f t="shared" si="161"/>
        <v>61517.098453473147</v>
      </c>
      <c r="AO179" s="1022">
        <f t="shared" si="162"/>
        <v>0</v>
      </c>
    </row>
    <row r="180" spans="1:41">
      <c r="A180" s="89">
        <f>'Input data'!A120</f>
        <v>2020</v>
      </c>
      <c r="B180" s="152">
        <f>'Input data'!B120</f>
        <v>59.308690000000006</v>
      </c>
      <c r="C180" s="204">
        <f>'Input data'!C120</f>
        <v>4157.24</v>
      </c>
      <c r="D180" s="474">
        <f>'Input data'!E120</f>
        <v>50781625.743101723</v>
      </c>
      <c r="E180" s="473">
        <f>'Input data'!J120*C180</f>
        <v>50015.944121613007</v>
      </c>
      <c r="F180" s="474">
        <f>'Input data'!L120</f>
        <v>100797.56986471472</v>
      </c>
      <c r="G180" s="474">
        <f t="shared" si="163"/>
        <v>58322.977791126912</v>
      </c>
      <c r="H180" s="474">
        <f t="shared" si="135"/>
        <v>18032.65856277421</v>
      </c>
      <c r="I180" s="475">
        <f t="shared" si="138"/>
        <v>50781.625743101722</v>
      </c>
      <c r="J180" s="100">
        <f t="shared" si="139"/>
        <v>8.0783733850016193E-2</v>
      </c>
      <c r="K180" s="474">
        <f t="shared" si="164"/>
        <v>976.83511182787561</v>
      </c>
      <c r="L180" s="474">
        <f t="shared" si="140"/>
        <v>0</v>
      </c>
      <c r="M180" s="475">
        <f t="shared" si="165"/>
        <v>976.83511182787561</v>
      </c>
      <c r="N180" s="579">
        <f>($N$142-$N$137)/($A$102-$A$97)+N179</f>
        <v>0.15000000000000002</v>
      </c>
      <c r="O180" s="475">
        <f t="shared" si="141"/>
        <v>225.57510000000011</v>
      </c>
      <c r="P180" s="1234">
        <f t="shared" ref="P180:P210" si="168">O180+M180</f>
        <v>1202.4102118278756</v>
      </c>
      <c r="Q180" s="467">
        <f t="shared" si="142"/>
        <v>75153.226142073239</v>
      </c>
      <c r="R180" s="467">
        <f t="shared" si="166"/>
        <v>16830.248350946327</v>
      </c>
      <c r="S180" s="518">
        <f t="shared" si="143"/>
        <v>0.59107571403453762</v>
      </c>
      <c r="T180" s="118" t="str">
        <f t="shared" si="144"/>
        <v>Yes</v>
      </c>
      <c r="U180" s="938">
        <f t="shared" si="145"/>
        <v>0.59107571403453762</v>
      </c>
      <c r="V180" s="1247">
        <f t="shared" si="136"/>
        <v>83967.321513768402</v>
      </c>
      <c r="W180" s="1244">
        <f t="shared" si="137"/>
        <v>0.16697077492577461</v>
      </c>
      <c r="X180" s="473">
        <f t="shared" si="146"/>
        <v>58322.977791126919</v>
      </c>
      <c r="Y180" s="474">
        <f t="shared" si="147"/>
        <v>8107.5131744293203</v>
      </c>
      <c r="Z180" s="116">
        <f t="shared" si="148"/>
        <v>2485.7704544777393</v>
      </c>
      <c r="AA180" s="116">
        <f t="shared" si="149"/>
        <v>0</v>
      </c>
      <c r="AB180" s="116">
        <f t="shared" si="150"/>
        <v>15051.060093734426</v>
      </c>
      <c r="AC180" s="116">
        <f t="shared" si="151"/>
        <v>83967.321513768402</v>
      </c>
      <c r="AD180" s="1240">
        <f t="shared" si="152"/>
        <v>0</v>
      </c>
      <c r="AE180" s="579">
        <f t="shared" si="153"/>
        <v>0.69459138078572036</v>
      </c>
      <c r="AF180" s="100">
        <f t="shared" si="154"/>
        <v>9.6555576958589823E-2</v>
      </c>
      <c r="AG180" s="100">
        <f t="shared" si="155"/>
        <v>2.9604022251324753E-2</v>
      </c>
      <c r="AH180" s="100">
        <f t="shared" si="167"/>
        <v>0</v>
      </c>
      <c r="AI180" s="100">
        <f t="shared" si="156"/>
        <v>0.17924902000436507</v>
      </c>
      <c r="AJ180" s="471">
        <f t="shared" si="157"/>
        <v>1</v>
      </c>
      <c r="AK180" s="1250">
        <f t="shared" si="158"/>
        <v>46679.296404599867</v>
      </c>
      <c r="AL180" s="1251">
        <f t="shared" si="159"/>
        <v>10915.875466605601</v>
      </c>
      <c r="AM180" s="1251">
        <f t="shared" si="160"/>
        <v>727.80591992144798</v>
      </c>
      <c r="AN180" s="1251">
        <f t="shared" si="161"/>
        <v>58322.977791126919</v>
      </c>
      <c r="AO180" s="1022">
        <f t="shared" si="162"/>
        <v>0</v>
      </c>
    </row>
    <row r="181" spans="1:41">
      <c r="A181" s="89">
        <f>'Input data'!A121</f>
        <v>2021</v>
      </c>
      <c r="B181" s="152">
        <f>'Input data'!B121</f>
        <v>60.158036186957922</v>
      </c>
      <c r="C181" s="204">
        <f>'Input data'!C121</f>
        <v>4296.6100000000006</v>
      </c>
      <c r="D181" s="474">
        <f>'Input data'!E121</f>
        <v>50787753.059423499</v>
      </c>
      <c r="E181" s="473">
        <f>'Input data'!J121*C181</f>
        <v>51692.710950621971</v>
      </c>
      <c r="F181" s="474">
        <f>'Input data'!L121</f>
        <v>102480.46401004547</v>
      </c>
      <c r="G181" s="474">
        <f t="shared" si="163"/>
        <v>55294.7038130703</v>
      </c>
      <c r="H181" s="474">
        <f t="shared" si="135"/>
        <v>22028.823479317667</v>
      </c>
      <c r="I181" s="475">
        <f t="shared" si="138"/>
        <v>50787.7530594235</v>
      </c>
      <c r="J181" s="100">
        <f t="shared" si="139"/>
        <v>8.8449326404511766E-2</v>
      </c>
      <c r="K181" s="474">
        <f t="shared" si="164"/>
        <v>1366.2711985674432</v>
      </c>
      <c r="L181" s="474">
        <f t="shared" si="140"/>
        <v>0</v>
      </c>
      <c r="M181" s="475">
        <f t="shared" si="165"/>
        <v>1366.2711985674432</v>
      </c>
      <c r="N181" s="579">
        <f>($N$142-$N$137)/($A$102-$A$97)+N180</f>
        <v>0.2</v>
      </c>
      <c r="O181" s="475">
        <f t="shared" si="141"/>
        <v>300.7668000000001</v>
      </c>
      <c r="P181" s="1234">
        <f t="shared" si="168"/>
        <v>1667.0379985674433</v>
      </c>
      <c r="Q181" s="467">
        <f t="shared" si="142"/>
        <v>75656.48929382053</v>
      </c>
      <c r="R181" s="467">
        <f t="shared" si="166"/>
        <v>20361.78548075023</v>
      </c>
      <c r="S181" s="518">
        <f t="shared" si="143"/>
        <v>0.69350054648782167</v>
      </c>
      <c r="T181" s="118" t="str">
        <f t="shared" si="144"/>
        <v>Yes</v>
      </c>
      <c r="U181" s="938">
        <f t="shared" si="145"/>
        <v>0.69350054648782167</v>
      </c>
      <c r="V181" s="1247">
        <f t="shared" si="136"/>
        <v>82118.678529295241</v>
      </c>
      <c r="W181" s="1244">
        <f t="shared" si="137"/>
        <v>0.19868943488345547</v>
      </c>
      <c r="X181" s="473">
        <f t="shared" si="146"/>
        <v>55294.7038130703</v>
      </c>
      <c r="Y181" s="474">
        <f t="shared" si="147"/>
        <v>8631.5987545352527</v>
      </c>
      <c r="Z181" s="116">
        <f t="shared" si="148"/>
        <v>2636.7344039878863</v>
      </c>
      <c r="AA181" s="116">
        <f t="shared" si="149"/>
        <v>0</v>
      </c>
      <c r="AB181" s="116">
        <f t="shared" si="150"/>
        <v>15555.641557701811</v>
      </c>
      <c r="AC181" s="116">
        <f t="shared" si="151"/>
        <v>82118.678529295241</v>
      </c>
      <c r="AD181" s="1240">
        <f t="shared" si="152"/>
        <v>0</v>
      </c>
      <c r="AE181" s="579">
        <f t="shared" si="153"/>
        <v>0.67335111576770346</v>
      </c>
      <c r="AF181" s="100">
        <f t="shared" si="154"/>
        <v>0.10511127199223004</v>
      </c>
      <c r="AG181" s="100">
        <f t="shared" si="155"/>
        <v>3.2108826532653595E-2</v>
      </c>
      <c r="AH181" s="100">
        <f t="shared" si="167"/>
        <v>0</v>
      </c>
      <c r="AI181" s="100">
        <f t="shared" si="156"/>
        <v>0.18942878570741306</v>
      </c>
      <c r="AJ181" s="471">
        <f t="shared" si="157"/>
        <v>1</v>
      </c>
      <c r="AK181" s="1250">
        <f t="shared" si="158"/>
        <v>46295.610511718813</v>
      </c>
      <c r="AL181" s="1251">
        <f t="shared" si="159"/>
        <v>8456.0240689498114</v>
      </c>
      <c r="AM181" s="1251">
        <f t="shared" si="160"/>
        <v>543.06923240167498</v>
      </c>
      <c r="AN181" s="1251">
        <f t="shared" si="161"/>
        <v>55294.7038130703</v>
      </c>
      <c r="AO181" s="1022">
        <f t="shared" si="162"/>
        <v>0</v>
      </c>
    </row>
    <row r="182" spans="1:41">
      <c r="A182" s="89">
        <f>'Input data'!A122</f>
        <v>2022</v>
      </c>
      <c r="B182" s="152">
        <f>'Input data'!B122</f>
        <v>60.963559588769527</v>
      </c>
      <c r="C182" s="204">
        <f>'Input data'!C122</f>
        <v>4408.5100000000011</v>
      </c>
      <c r="D182" s="474">
        <f>'Input data'!E122</f>
        <v>50359792.847133145</v>
      </c>
      <c r="E182" s="473">
        <f>'Input data'!J122*C182</f>
        <v>53038.984956262379</v>
      </c>
      <c r="F182" s="474">
        <f>'Input data'!L122</f>
        <v>103398.77780339553</v>
      </c>
      <c r="G182" s="474">
        <f t="shared" si="163"/>
        <v>52423.665347216396</v>
      </c>
      <c r="H182" s="474">
        <f t="shared" si="135"/>
        <v>25270.743325713054</v>
      </c>
      <c r="I182" s="475">
        <f t="shared" si="138"/>
        <v>50359.792847133147</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75541.022902670622</v>
      </c>
      <c r="R182" s="467">
        <f t="shared" si="166"/>
        <v>23117.357555454226</v>
      </c>
      <c r="S182" s="518">
        <f t="shared" si="143"/>
        <v>0.76908684660262516</v>
      </c>
      <c r="T182" s="118" t="str">
        <f t="shared" si="144"/>
        <v>Yes</v>
      </c>
      <c r="U182" s="938">
        <f t="shared" si="145"/>
        <v>0.76908684660262516</v>
      </c>
      <c r="V182" s="1247">
        <f t="shared" si="136"/>
        <v>80281.420247941307</v>
      </c>
      <c r="W182" s="1244">
        <f>(1-V182/F182)</f>
        <v>0.2235747660326316</v>
      </c>
      <c r="X182" s="473">
        <f t="shared" si="146"/>
        <v>52423.665347216396</v>
      </c>
      <c r="Y182" s="474">
        <f t="shared" si="147"/>
        <v>9124.2219628772546</v>
      </c>
      <c r="Z182" s="116">
        <f t="shared" si="148"/>
        <v>2772.7635490634798</v>
      </c>
      <c r="AA182" s="116">
        <f t="shared" si="149"/>
        <v>0</v>
      </c>
      <c r="AB182" s="116">
        <f t="shared" si="150"/>
        <v>15960.769388784185</v>
      </c>
      <c r="AC182" s="116">
        <f t="shared" si="151"/>
        <v>80281.420247941307</v>
      </c>
      <c r="AD182" s="1240">
        <f t="shared" si="152"/>
        <v>0</v>
      </c>
      <c r="AE182" s="579">
        <f t="shared" si="153"/>
        <v>0.65299872853906971</v>
      </c>
      <c r="AF182" s="100">
        <f t="shared" si="154"/>
        <v>0.11365297144342973</v>
      </c>
      <c r="AG182" s="100">
        <f t="shared" si="155"/>
        <v>3.4538048037766035E-2</v>
      </c>
      <c r="AH182" s="100">
        <f t="shared" si="167"/>
        <v>0</v>
      </c>
      <c r="AI182" s="100">
        <f t="shared" si="156"/>
        <v>0.19881025197973468</v>
      </c>
      <c r="AJ182" s="471">
        <f t="shared" si="157"/>
        <v>1.0000000000000002</v>
      </c>
      <c r="AK182" s="1250">
        <f t="shared" si="158"/>
        <v>45482.834211012239</v>
      </c>
      <c r="AL182" s="1251">
        <f t="shared" si="159"/>
        <v>6536.5874149100264</v>
      </c>
      <c r="AM182" s="1251">
        <f t="shared" si="160"/>
        <v>404.24372129411904</v>
      </c>
      <c r="AN182" s="1251">
        <f t="shared" si="161"/>
        <v>52423.665347216389</v>
      </c>
      <c r="AO182" s="1022">
        <f t="shared" si="162"/>
        <v>0</v>
      </c>
    </row>
    <row r="183" spans="1:41">
      <c r="A183" s="89">
        <f>'Input data'!A123</f>
        <v>2023</v>
      </c>
      <c r="B183" s="152">
        <f>'Input data'!B123</f>
        <v>61.723133308607778</v>
      </c>
      <c r="C183" s="204">
        <f>'Input data'!C123</f>
        <v>4511.7199999999984</v>
      </c>
      <c r="D183" s="474">
        <f>'Input data'!E123</f>
        <v>49422822.449545562</v>
      </c>
      <c r="E183" s="473">
        <f>'Input data'!J123*C183</f>
        <v>54280.70917540574</v>
      </c>
      <c r="F183" s="474">
        <f>'Input data'!L123</f>
        <v>103703.53162495131</v>
      </c>
      <c r="G183" s="474">
        <f t="shared" si="163"/>
        <v>49701.698334937471</v>
      </c>
      <c r="H183" s="474">
        <f t="shared" si="135"/>
        <v>27825.918547203917</v>
      </c>
      <c r="I183" s="475">
        <f t="shared" si="138"/>
        <v>49422.822449545565</v>
      </c>
      <c r="J183" s="100">
        <f t="shared" si="139"/>
        <v>0.10603170487993842</v>
      </c>
      <c r="K183" s="474">
        <f t="shared" si="164"/>
        <v>2198.5231675438713</v>
      </c>
      <c r="L183" s="474">
        <f t="shared" si="140"/>
        <v>0</v>
      </c>
      <c r="M183" s="475">
        <f t="shared" si="165"/>
        <v>2198.5231675438713</v>
      </c>
      <c r="N183" s="579">
        <f>($N$147-$N$142)/($A$107-$A$102)+N182</f>
        <v>0.3</v>
      </c>
      <c r="O183" s="475">
        <f t="shared" si="141"/>
        <v>451.15020000000015</v>
      </c>
      <c r="P183" s="1234">
        <f t="shared" si="168"/>
        <v>2649.6733675438713</v>
      </c>
      <c r="Q183" s="467">
        <f t="shared" si="142"/>
        <v>74877.943514597515</v>
      </c>
      <c r="R183" s="467">
        <f t="shared" si="166"/>
        <v>25176.245179660044</v>
      </c>
      <c r="S183" s="518">
        <f t="shared" si="143"/>
        <v>0.820193164568083</v>
      </c>
      <c r="T183" s="118" t="str">
        <f t="shared" si="144"/>
        <v>Yes</v>
      </c>
      <c r="U183" s="938">
        <f t="shared" si="145"/>
        <v>0.820193164568083</v>
      </c>
      <c r="V183" s="1247">
        <f t="shared" si="136"/>
        <v>78527.286445291262</v>
      </c>
      <c r="W183" s="1244">
        <f t="shared" si="137"/>
        <v>0.24277133849897348</v>
      </c>
      <c r="X183" s="473">
        <f t="shared" si="146"/>
        <v>49701.698334937471</v>
      </c>
      <c r="Y183" s="474">
        <f t="shared" si="147"/>
        <v>9587.0844184197704</v>
      </c>
      <c r="Z183" s="116">
        <f t="shared" si="148"/>
        <v>2904.0681418807435</v>
      </c>
      <c r="AA183" s="116">
        <f t="shared" si="149"/>
        <v>0</v>
      </c>
      <c r="AB183" s="116">
        <f t="shared" si="150"/>
        <v>16334.435550053271</v>
      </c>
      <c r="AC183" s="116">
        <f t="shared" si="151"/>
        <v>78527.286445291262</v>
      </c>
      <c r="AD183" s="1240">
        <f t="shared" si="152"/>
        <v>0</v>
      </c>
      <c r="AE183" s="579">
        <f t="shared" si="153"/>
        <v>0.63292265128203395</v>
      </c>
      <c r="AF183" s="100">
        <f t="shared" si="154"/>
        <v>0.12208602706651456</v>
      </c>
      <c r="AG183" s="100">
        <f t="shared" si="155"/>
        <v>3.6981643876157141E-2</v>
      </c>
      <c r="AH183" s="100">
        <f t="shared" si="167"/>
        <v>0</v>
      </c>
      <c r="AI183" s="100">
        <f t="shared" si="156"/>
        <v>0.2080096777752943</v>
      </c>
      <c r="AJ183" s="471">
        <f t="shared" si="157"/>
        <v>1</v>
      </c>
      <c r="AK183" s="1250">
        <f t="shared" si="158"/>
        <v>44182.436325241753</v>
      </c>
      <c r="AL183" s="1251">
        <f t="shared" si="159"/>
        <v>5209.0545792941348</v>
      </c>
      <c r="AM183" s="1251">
        <f t="shared" si="160"/>
        <v>310.20743040158311</v>
      </c>
      <c r="AN183" s="1251">
        <f t="shared" si="161"/>
        <v>49701.698334937471</v>
      </c>
      <c r="AO183" s="1022">
        <f t="shared" si="162"/>
        <v>0</v>
      </c>
    </row>
    <row r="184" spans="1:41">
      <c r="A184" s="89">
        <f>'Input data'!A124</f>
        <v>2024</v>
      </c>
      <c r="B184" s="152">
        <f>'Input data'!B124</f>
        <v>62.434728280060035</v>
      </c>
      <c r="C184" s="204">
        <f>'Input data'!C124</f>
        <v>4622.4800000000005</v>
      </c>
      <c r="D184" s="474">
        <f>'Input data'!E124</f>
        <v>49894033.579494402</v>
      </c>
      <c r="E184" s="473">
        <f>'Input data'!J124*C184</f>
        <v>55613.267789031597</v>
      </c>
      <c r="F184" s="474">
        <f>'Input data'!L124</f>
        <v>105507.30136852601</v>
      </c>
      <c r="G184" s="474">
        <f t="shared" si="163"/>
        <v>47121.062615822855</v>
      </c>
      <c r="H184" s="474">
        <f t="shared" si="135"/>
        <v>31613.395036786838</v>
      </c>
      <c r="I184" s="475">
        <f t="shared" si="138"/>
        <v>49894.033579494404</v>
      </c>
      <c r="J184" s="100">
        <f t="shared" si="139"/>
        <v>0.11609308492183117</v>
      </c>
      <c r="K184" s="474">
        <f t="shared" si="164"/>
        <v>2721.4873412277757</v>
      </c>
      <c r="L184" s="474">
        <f t="shared" si="140"/>
        <v>0</v>
      </c>
      <c r="M184" s="475">
        <f t="shared" si="165"/>
        <v>2721.4873412277757</v>
      </c>
      <c r="N184" s="579">
        <f>($N$147-$N$142)/($A$107-$A$102)+N183</f>
        <v>0.35</v>
      </c>
      <c r="O184" s="475">
        <f t="shared" si="141"/>
        <v>526.34190000000012</v>
      </c>
      <c r="P184" s="1234">
        <f t="shared" si="168"/>
        <v>3247.829241227776</v>
      </c>
      <c r="Q184" s="467">
        <f t="shared" si="142"/>
        <v>75486.628411381913</v>
      </c>
      <c r="R184" s="467">
        <f t="shared" si="166"/>
        <v>28365.565795559058</v>
      </c>
      <c r="S184" s="518">
        <f t="shared" si="143"/>
        <v>0.90379523969730269</v>
      </c>
      <c r="T184" s="118" t="str">
        <f t="shared" si="144"/>
        <v>Yes</v>
      </c>
      <c r="U184" s="938">
        <f t="shared" si="145"/>
        <v>0.90379523969730269</v>
      </c>
      <c r="V184" s="1247">
        <f t="shared" si="136"/>
        <v>77141.735572966936</v>
      </c>
      <c r="W184" s="1244">
        <f t="shared" si="137"/>
        <v>0.2688493159016655</v>
      </c>
      <c r="X184" s="473">
        <f t="shared" si="146"/>
        <v>47121.062615822855</v>
      </c>
      <c r="Y184" s="474">
        <f t="shared" si="147"/>
        <v>10245.759388380251</v>
      </c>
      <c r="Z184" s="116">
        <f t="shared" si="148"/>
        <v>3039.4774952906882</v>
      </c>
      <c r="AA184" s="116">
        <f t="shared" si="149"/>
        <v>0</v>
      </c>
      <c r="AB184" s="116">
        <f t="shared" si="150"/>
        <v>16735.436073473149</v>
      </c>
      <c r="AC184" s="116">
        <f t="shared" si="151"/>
        <v>77141.735572966936</v>
      </c>
      <c r="AD184" s="1240">
        <f t="shared" si="152"/>
        <v>0</v>
      </c>
      <c r="AE184" s="579">
        <f t="shared" si="153"/>
        <v>0.61083747035029978</v>
      </c>
      <c r="AF184" s="100">
        <f t="shared" si="154"/>
        <v>0.1328173304927652</v>
      </c>
      <c r="AG184" s="100">
        <f t="shared" si="155"/>
        <v>3.9401207047198246E-2</v>
      </c>
      <c r="AH184" s="100">
        <f t="shared" si="167"/>
        <v>0</v>
      </c>
      <c r="AI184" s="100">
        <f t="shared" si="156"/>
        <v>0.21694399210973689</v>
      </c>
      <c r="AJ184" s="471">
        <f t="shared" si="157"/>
        <v>1.0000000000000002</v>
      </c>
      <c r="AK184" s="1250">
        <f t="shared" si="158"/>
        <v>44101.681302057463</v>
      </c>
      <c r="AL184" s="1251">
        <f t="shared" si="159"/>
        <v>2855.5000605612749</v>
      </c>
      <c r="AM184" s="1251">
        <f t="shared" si="160"/>
        <v>163.88125320411658</v>
      </c>
      <c r="AN184" s="1251">
        <f t="shared" si="161"/>
        <v>47121.062615822855</v>
      </c>
      <c r="AO184" s="1022">
        <f t="shared" si="162"/>
        <v>0</v>
      </c>
    </row>
    <row r="185" spans="1:41">
      <c r="A185" s="89">
        <f>'Input data'!A125</f>
        <v>2025</v>
      </c>
      <c r="B185" s="152">
        <f>'Input data'!B125</f>
        <v>63.096422221537942</v>
      </c>
      <c r="C185" s="204">
        <f>'Input data'!C125</f>
        <v>4727.3100000000004</v>
      </c>
      <c r="D185" s="474">
        <f>'Input data'!E125</f>
        <v>49409698.226927206</v>
      </c>
      <c r="E185" s="473">
        <f>'Input data'!J125*C185</f>
        <v>56874.48230209043</v>
      </c>
      <c r="F185" s="474">
        <f>'Input data'!L125</f>
        <v>106284.18052901764</v>
      </c>
      <c r="G185" s="474">
        <f t="shared" si="163"/>
        <v>44674.419917829786</v>
      </c>
      <c r="H185" s="474">
        <f t="shared" si="135"/>
        <v>34329.205994996839</v>
      </c>
      <c r="I185" s="475">
        <f t="shared" si="138"/>
        <v>49409.698226927205</v>
      </c>
      <c r="J185" s="100">
        <f t="shared" si="139"/>
        <v>0.12710919231119061</v>
      </c>
      <c r="K185" s="474">
        <f t="shared" si="164"/>
        <v>3239.3716434274243</v>
      </c>
      <c r="L185" s="474">
        <f t="shared" si="140"/>
        <v>0</v>
      </c>
      <c r="M185" s="475">
        <f t="shared" si="165"/>
        <v>3239.3716434274243</v>
      </c>
      <c r="N185" s="579">
        <f>($N$147-$N$142)/($A$107-$A$102)+N184</f>
        <v>0.39999999999999997</v>
      </c>
      <c r="O185" s="475">
        <f t="shared" si="141"/>
        <v>601.53360000000009</v>
      </c>
      <c r="P185" s="1234">
        <f t="shared" si="168"/>
        <v>3840.9052434274245</v>
      </c>
      <c r="Q185" s="467">
        <f t="shared" si="142"/>
        <v>75162.720669399205</v>
      </c>
      <c r="R185" s="467">
        <f t="shared" si="166"/>
        <v>30488.300751569419</v>
      </c>
      <c r="S185" s="518">
        <f t="shared" si="143"/>
        <v>0.95176452864838468</v>
      </c>
      <c r="T185" s="118" t="str">
        <f t="shared" si="144"/>
        <v>Yes</v>
      </c>
      <c r="U185" s="938">
        <f t="shared" si="145"/>
        <v>0.95176452864838468</v>
      </c>
      <c r="V185" s="1247">
        <f t="shared" si="136"/>
        <v>75795.879777448237</v>
      </c>
      <c r="W185" s="1244">
        <f t="shared" si="137"/>
        <v>0.28685643150106899</v>
      </c>
      <c r="X185" s="473">
        <f t="shared" si="146"/>
        <v>44674.419917829786</v>
      </c>
      <c r="Y185" s="474">
        <f t="shared" si="147"/>
        <v>10834.829658775616</v>
      </c>
      <c r="Z185" s="116">
        <f t="shared" si="148"/>
        <v>3171.6628446854556</v>
      </c>
      <c r="AA185" s="116">
        <f t="shared" si="149"/>
        <v>0</v>
      </c>
      <c r="AB185" s="116">
        <f t="shared" si="150"/>
        <v>17114.967356157376</v>
      </c>
      <c r="AC185" s="116">
        <f t="shared" si="151"/>
        <v>75795.879777448237</v>
      </c>
      <c r="AD185" s="1240">
        <f t="shared" si="152"/>
        <v>0</v>
      </c>
      <c r="AE185" s="579">
        <f t="shared" si="153"/>
        <v>0.58940433238591283</v>
      </c>
      <c r="AF185" s="100">
        <f t="shared" si="154"/>
        <v>0.14294747538505825</v>
      </c>
      <c r="AG185" s="100">
        <f t="shared" si="155"/>
        <v>4.1844792276283196E-2</v>
      </c>
      <c r="AH185" s="100">
        <f t="shared" si="167"/>
        <v>0</v>
      </c>
      <c r="AI185" s="100">
        <f t="shared" si="156"/>
        <v>0.22580339995274573</v>
      </c>
      <c r="AJ185" s="471">
        <f t="shared" si="157"/>
        <v>1</v>
      </c>
      <c r="AK185" s="1250">
        <f t="shared" si="158"/>
        <v>43129.271392962823</v>
      </c>
      <c r="AL185" s="1251">
        <f t="shared" si="159"/>
        <v>1464.1689088869523</v>
      </c>
      <c r="AM185" s="1251">
        <f t="shared" si="160"/>
        <v>80.979615980016604</v>
      </c>
      <c r="AN185" s="1251">
        <f t="shared" si="161"/>
        <v>44674.419917829793</v>
      </c>
      <c r="AO185" s="1022">
        <f t="shared" si="162"/>
        <v>0</v>
      </c>
    </row>
    <row r="186" spans="1:41">
      <c r="A186" s="89">
        <f>'Input data'!A126</f>
        <v>2026</v>
      </c>
      <c r="B186" s="152">
        <f>'Input data'!B126</f>
        <v>63.744102485123491</v>
      </c>
      <c r="C186" s="204">
        <f>'Input data'!C126</f>
        <v>4818.42</v>
      </c>
      <c r="D186" s="474">
        <f>'Input data'!E126</f>
        <v>47599010.514277697</v>
      </c>
      <c r="E186" s="473">
        <f>'Input data'!J126*C186</f>
        <v>57970.630869149376</v>
      </c>
      <c r="F186" s="474">
        <f>'Input data'!L126</f>
        <v>105569.64138342708</v>
      </c>
      <c r="G186" s="474">
        <f t="shared" si="163"/>
        <v>42354.812990240433</v>
      </c>
      <c r="H186" s="474">
        <f t="shared" si="135"/>
        <v>35578.546796022958</v>
      </c>
      <c r="I186" s="475">
        <f t="shared" si="138"/>
        <v>47599.010514277696</v>
      </c>
      <c r="J186" s="100">
        <f t="shared" si="139"/>
        <v>0.13917062141024203</v>
      </c>
      <c r="K186" s="474">
        <f t="shared" si="164"/>
        <v>3694.7724152633423</v>
      </c>
      <c r="L186" s="474">
        <f t="shared" si="140"/>
        <v>0</v>
      </c>
      <c r="M186" s="475">
        <f t="shared" si="165"/>
        <v>3694.7724152633423</v>
      </c>
      <c r="N186" s="579">
        <f>($N$147-$N$142)/($A$107-$A$102)+N185</f>
        <v>0.44999999999999996</v>
      </c>
      <c r="O186" s="475">
        <f t="shared" si="141"/>
        <v>676.72530000000006</v>
      </c>
      <c r="P186" s="1234">
        <f t="shared" si="168"/>
        <v>4371.4977152633419</v>
      </c>
      <c r="Q186" s="467">
        <f t="shared" si="142"/>
        <v>73561.862071000054</v>
      </c>
      <c r="R186" s="467">
        <f t="shared" si="166"/>
        <v>31207.049080759622</v>
      </c>
      <c r="S186" s="518">
        <f t="shared" si="143"/>
        <v>0.95764641186652988</v>
      </c>
      <c r="T186" s="118" t="str">
        <f t="shared" si="144"/>
        <v>Yes</v>
      </c>
      <c r="U186" s="938">
        <f t="shared" si="145"/>
        <v>0.95764641186652988</v>
      </c>
      <c r="V186" s="1247">
        <f t="shared" si="136"/>
        <v>74362.592302667472</v>
      </c>
      <c r="W186" s="1244">
        <f t="shared" si="137"/>
        <v>0.29560628104642461</v>
      </c>
      <c r="X186" s="473">
        <f t="shared" si="146"/>
        <v>42354.812990240433</v>
      </c>
      <c r="Y186" s="474">
        <f t="shared" si="147"/>
        <v>11266.564236331724</v>
      </c>
      <c r="Z186" s="116">
        <f t="shared" si="148"/>
        <v>3296.3889470164409</v>
      </c>
      <c r="AA186" s="116">
        <f t="shared" si="149"/>
        <v>0</v>
      </c>
      <c r="AB186" s="116">
        <f t="shared" si="150"/>
        <v>17444.826129078869</v>
      </c>
      <c r="AC186" s="116">
        <f t="shared" si="151"/>
        <v>74362.592302667472</v>
      </c>
      <c r="AD186" s="1240">
        <f t="shared" si="152"/>
        <v>0</v>
      </c>
      <c r="AE186" s="579">
        <f t="shared" si="153"/>
        <v>0.56957149661821449</v>
      </c>
      <c r="AF186" s="100">
        <f t="shared" si="154"/>
        <v>0.15150849220633719</v>
      </c>
      <c r="AG186" s="100">
        <f t="shared" si="155"/>
        <v>4.4328591095905027E-2</v>
      </c>
      <c r="AH186" s="100">
        <f t="shared" si="167"/>
        <v>0</v>
      </c>
      <c r="AI186" s="100">
        <f t="shared" si="156"/>
        <v>0.23459142007954317</v>
      </c>
      <c r="AJ186" s="471">
        <f t="shared" si="157"/>
        <v>0.99999999999999989</v>
      </c>
      <c r="AK186" s="1250">
        <f t="shared" si="158"/>
        <v>40974.626642493022</v>
      </c>
      <c r="AL186" s="1251">
        <f t="shared" si="159"/>
        <v>1310.4046721997286</v>
      </c>
      <c r="AM186" s="1251">
        <f t="shared" si="160"/>
        <v>69.781675547683321</v>
      </c>
      <c r="AN186" s="1251">
        <f t="shared" si="161"/>
        <v>42354.812990240433</v>
      </c>
      <c r="AO186" s="1022">
        <f t="shared" si="162"/>
        <v>0</v>
      </c>
    </row>
    <row r="187" spans="1:41">
      <c r="A187" s="89">
        <f>'Input data'!A127</f>
        <v>2027</v>
      </c>
      <c r="B187" s="152">
        <f>'Input data'!B127</f>
        <v>64.377188881988602</v>
      </c>
      <c r="C187" s="204">
        <f>'Input data'!C127</f>
        <v>4908.8799999999992</v>
      </c>
      <c r="D187" s="474">
        <f>'Input data'!E127</f>
        <v>46599596.269564167</v>
      </c>
      <c r="E187" s="473">
        <f>'Input data'!J127*C187</f>
        <v>59058.959256550894</v>
      </c>
      <c r="F187" s="474">
        <f>'Input data'!L127</f>
        <v>105658.55552611506</v>
      </c>
      <c r="G187" s="474">
        <f t="shared" si="163"/>
        <v>40155.6458200876</v>
      </c>
      <c r="H187" s="474">
        <f t="shared" si="135"/>
        <v>37464.301985449747</v>
      </c>
      <c r="I187" s="475">
        <f t="shared" si="138"/>
        <v>46599.596269564165</v>
      </c>
      <c r="J187" s="100">
        <f t="shared" si="139"/>
        <v>0.15237656310721223</v>
      </c>
      <c r="K187" s="474">
        <f t="shared" si="164"/>
        <v>4232.586551900441</v>
      </c>
      <c r="L187" s="474">
        <f t="shared" si="140"/>
        <v>0</v>
      </c>
      <c r="M187" s="475">
        <f t="shared" si="165"/>
        <v>4232.586551900441</v>
      </c>
      <c r="N187" s="579">
        <f>$C$27</f>
        <v>0.5</v>
      </c>
      <c r="O187" s="475">
        <f t="shared" si="141"/>
        <v>751.91700000000026</v>
      </c>
      <c r="P187" s="1234">
        <f t="shared" si="168"/>
        <v>4984.5035519004414</v>
      </c>
      <c r="Q187" s="467">
        <f t="shared" si="142"/>
        <v>72635.444253636902</v>
      </c>
      <c r="R187" s="467">
        <f t="shared" si="166"/>
        <v>32479.798433549302</v>
      </c>
      <c r="S187" s="518">
        <f t="shared" si="143"/>
        <v>0.98018091251781592</v>
      </c>
      <c r="T187" s="118" t="str">
        <f t="shared" si="144"/>
        <v>Yes</v>
      </c>
      <c r="U187" s="938">
        <f t="shared" si="145"/>
        <v>0.98018091251781592</v>
      </c>
      <c r="V187" s="1247">
        <f t="shared" si="136"/>
        <v>73178.757092565764</v>
      </c>
      <c r="W187" s="1244">
        <f t="shared" si="137"/>
        <v>0.30740339267198702</v>
      </c>
      <c r="X187" s="473">
        <f t="shared" si="146"/>
        <v>40155.6458200876</v>
      </c>
      <c r="Y187" s="474">
        <f t="shared" si="147"/>
        <v>11830.018000571867</v>
      </c>
      <c r="Z187" s="116">
        <f t="shared" si="148"/>
        <v>3420.7616593626267</v>
      </c>
      <c r="AA187" s="116">
        <f t="shared" si="149"/>
        <v>0</v>
      </c>
      <c r="AB187" s="116">
        <f>E187*$E$12</f>
        <v>17772.331612543669</v>
      </c>
      <c r="AC187" s="116">
        <f t="shared" si="151"/>
        <v>73178.757092565764</v>
      </c>
      <c r="AD187" s="1240">
        <f t="shared" si="152"/>
        <v>0</v>
      </c>
      <c r="AE187" s="579">
        <f t="shared" si="153"/>
        <v>0.54873364095667343</v>
      </c>
      <c r="AF187" s="100">
        <f t="shared" si="154"/>
        <v>0.16165918185256634</v>
      </c>
      <c r="AG187" s="100">
        <f t="shared" si="155"/>
        <v>4.6745282309668283E-2</v>
      </c>
      <c r="AH187" s="100">
        <f t="shared" si="167"/>
        <v>0</v>
      </c>
      <c r="AI187" s="100">
        <f t="shared" si="156"/>
        <v>0.24286189488109194</v>
      </c>
      <c r="AJ187" s="471">
        <f t="shared" si="157"/>
        <v>1</v>
      </c>
      <c r="AK187" s="1250">
        <f t="shared" si="158"/>
        <v>39498.909947824308</v>
      </c>
      <c r="AL187" s="1251">
        <f t="shared" si="159"/>
        <v>624.70738701671428</v>
      </c>
      <c r="AM187" s="1251">
        <f t="shared" si="160"/>
        <v>32.028485246579535</v>
      </c>
      <c r="AN187" s="1251">
        <f t="shared" si="161"/>
        <v>40155.6458200876</v>
      </c>
      <c r="AO187" s="1022">
        <f t="shared" si="162"/>
        <v>0</v>
      </c>
    </row>
    <row r="188" spans="1:41">
      <c r="A188" s="89">
        <f>'Input data'!A128</f>
        <v>2028</v>
      </c>
      <c r="B188" s="152">
        <f>'Input data'!B128</f>
        <v>64.995109664264291</v>
      </c>
      <c r="C188" s="204">
        <f>'Input data'!C128</f>
        <v>5001.3400000000011</v>
      </c>
      <c r="D188" s="474">
        <f>'Input data'!E128</f>
        <v>45314646.034956604</v>
      </c>
      <c r="E188" s="473">
        <f>'Input data'!J128*C188</f>
        <v>60171.349735206066</v>
      </c>
      <c r="F188" s="474">
        <f>'Input data'!L128</f>
        <v>105485.99577016267</v>
      </c>
      <c r="G188" s="474">
        <f t="shared" si="163"/>
        <v>38070.664875792791</v>
      </c>
      <c r="H188" s="474">
        <f t="shared" si="135"/>
        <v>38981.716052867167</v>
      </c>
      <c r="I188" s="475">
        <f t="shared" si="138"/>
        <v>45314.646034956604</v>
      </c>
      <c r="J188" s="100">
        <f t="shared" si="139"/>
        <v>0.16683562054324133</v>
      </c>
      <c r="K188" s="474">
        <f t="shared" si="164"/>
        <v>4771.0831022473239</v>
      </c>
      <c r="L188" s="474">
        <f t="shared" si="140"/>
        <v>0</v>
      </c>
      <c r="M188" s="475">
        <f t="shared" si="165"/>
        <v>4771.0831022473239</v>
      </c>
      <c r="N188" s="579">
        <f>N187</f>
        <v>0.5</v>
      </c>
      <c r="O188" s="475">
        <f t="shared" si="141"/>
        <v>751.91700000000026</v>
      </c>
      <c r="P188" s="1234">
        <f t="shared" si="168"/>
        <v>5523.0001022473243</v>
      </c>
      <c r="Q188" s="467">
        <f t="shared" si="142"/>
        <v>71529.380826412627</v>
      </c>
      <c r="R188" s="467">
        <f t="shared" si="166"/>
        <v>33458.715950619837</v>
      </c>
      <c r="S188" s="518">
        <f t="shared" si="143"/>
        <v>0.99064048837086083</v>
      </c>
      <c r="T188" s="118" t="str">
        <f t="shared" si="144"/>
        <v>Yes</v>
      </c>
      <c r="U188" s="938">
        <f t="shared" si="145"/>
        <v>0.99064048837086083</v>
      </c>
      <c r="V188" s="1247">
        <f t="shared" si="136"/>
        <v>72027.279819542848</v>
      </c>
      <c r="W188" s="1244">
        <f t="shared" si="137"/>
        <v>0.31718633081419723</v>
      </c>
      <c r="X188" s="473">
        <f t="shared" si="146"/>
        <v>38070.664875792791</v>
      </c>
      <c r="Y188" s="474">
        <f t="shared" si="147"/>
        <v>12378.506931597407</v>
      </c>
      <c r="Z188" s="116">
        <f t="shared" si="148"/>
        <v>3471.0300255081979</v>
      </c>
      <c r="AA188" s="116">
        <f t="shared" si="149"/>
        <v>0</v>
      </c>
      <c r="AB188" s="116">
        <f t="shared" si="150"/>
        <v>18107.077986644446</v>
      </c>
      <c r="AC188" s="116">
        <f t="shared" si="151"/>
        <v>72027.279819542848</v>
      </c>
      <c r="AD188" s="1240">
        <f t="shared" si="152"/>
        <v>0</v>
      </c>
      <c r="AE188" s="579">
        <f t="shared" si="153"/>
        <v>0.52855897058968537</v>
      </c>
      <c r="AF188" s="100">
        <f t="shared" si="154"/>
        <v>0.17185859250287558</v>
      </c>
      <c r="AG188" s="100">
        <f t="shared" si="155"/>
        <v>4.8190491633232808E-2</v>
      </c>
      <c r="AH188" s="100">
        <f t="shared" si="167"/>
        <v>0</v>
      </c>
      <c r="AI188" s="100">
        <f t="shared" si="156"/>
        <v>0.25139194527420611</v>
      </c>
      <c r="AJ188" s="471">
        <f t="shared" si="157"/>
        <v>1</v>
      </c>
      <c r="AK188" s="1250">
        <f t="shared" si="158"/>
        <v>37754.54894401729</v>
      </c>
      <c r="AL188" s="1251">
        <f t="shared" si="159"/>
        <v>300.57311969440713</v>
      </c>
      <c r="AM188" s="1251">
        <f t="shared" si="160"/>
        <v>15.542812081092457</v>
      </c>
      <c r="AN188" s="1251">
        <f t="shared" si="161"/>
        <v>38070.664875792791</v>
      </c>
      <c r="AO188" s="1022">
        <f t="shared" si="162"/>
        <v>0</v>
      </c>
    </row>
    <row r="189" spans="1:41">
      <c r="A189" s="89">
        <f>'Input data'!A129</f>
        <v>2029</v>
      </c>
      <c r="B189" s="152">
        <f>'Input data'!B129</f>
        <v>65.59730237662275</v>
      </c>
      <c r="C189" s="204">
        <f>'Input data'!C129</f>
        <v>5124.16</v>
      </c>
      <c r="D189" s="474">
        <f>'Input data'!E129</f>
        <v>44520340.557958424</v>
      </c>
      <c r="E189" s="473">
        <f>'Input data'!J129*C189</f>
        <v>61649.00275909125</v>
      </c>
      <c r="F189" s="474">
        <f>'Input data'!L129</f>
        <v>106169.34331704967</v>
      </c>
      <c r="G189" s="474">
        <f t="shared" si="163"/>
        <v>36093.941324681233</v>
      </c>
      <c r="H189" s="474">
        <f t="shared" si="135"/>
        <v>41060.909658453413</v>
      </c>
      <c r="I189" s="475">
        <f t="shared" si="138"/>
        <v>44520.340557958421</v>
      </c>
      <c r="J189" s="100">
        <f>$J$137*(1+((($J$150/$J$137)^(1/($A$150-$A$137)))-1))^(A189-$A$137)</f>
        <v>0.18266670224386344</v>
      </c>
      <c r="K189" s="474">
        <f t="shared" si="164"/>
        <v>5392.2575096669898</v>
      </c>
      <c r="L189" s="474">
        <f t="shared" si="140"/>
        <v>0</v>
      </c>
      <c r="M189" s="475">
        <f t="shared" si="165"/>
        <v>5392.2575096669898</v>
      </c>
      <c r="N189" s="579">
        <f t="shared" ref="N189:N210" si="169">N188</f>
        <v>0.5</v>
      </c>
      <c r="O189" s="475">
        <f t="shared" si="141"/>
        <v>751.91700000000026</v>
      </c>
      <c r="P189" s="1234">
        <f t="shared" si="168"/>
        <v>6144.1745096669902</v>
      </c>
      <c r="Q189" s="467">
        <f t="shared" si="142"/>
        <v>71010.676473467654</v>
      </c>
      <c r="R189" s="467">
        <f t="shared" si="166"/>
        <v>34916.735148786422</v>
      </c>
      <c r="S189" s="518">
        <f t="shared" si="143"/>
        <v>1.0084919799270773</v>
      </c>
      <c r="T189" s="118" t="str">
        <f t="shared" si="144"/>
        <v>No</v>
      </c>
      <c r="U189" s="938">
        <f t="shared" si="145"/>
        <v>1</v>
      </c>
      <c r="V189" s="1247">
        <f t="shared" si="136"/>
        <v>71546.623609044444</v>
      </c>
      <c r="W189" s="1244">
        <f t="shared" si="137"/>
        <v>0.32610844737555411</v>
      </c>
      <c r="X189" s="473">
        <f t="shared" si="146"/>
        <v>36387.956765462433</v>
      </c>
      <c r="Y189" s="474">
        <f t="shared" si="147"/>
        <v>13069.121340654394</v>
      </c>
      <c r="Z189" s="116">
        <f t="shared" si="148"/>
        <v>3537.8044223284328</v>
      </c>
      <c r="AA189" s="116">
        <f t="shared" si="149"/>
        <v>0</v>
      </c>
      <c r="AB189" s="116">
        <f t="shared" si="150"/>
        <v>18551.741080599193</v>
      </c>
      <c r="AC189" s="116">
        <f t="shared" si="151"/>
        <v>71546.623609044444</v>
      </c>
      <c r="AD189" s="1240">
        <f t="shared" si="152"/>
        <v>294.0154407812006</v>
      </c>
      <c r="AE189" s="579">
        <f t="shared" si="153"/>
        <v>0.5085908311243148</v>
      </c>
      <c r="AF189" s="100">
        <f t="shared" si="154"/>
        <v>0.18266580142297983</v>
      </c>
      <c r="AG189" s="100">
        <f t="shared" si="155"/>
        <v>4.9447538456324963E-2</v>
      </c>
      <c r="AH189" s="100">
        <f t="shared" si="167"/>
        <v>0</v>
      </c>
      <c r="AI189" s="100">
        <f t="shared" si="156"/>
        <v>0.2592958289963806</v>
      </c>
      <c r="AJ189" s="471">
        <f t="shared" si="157"/>
        <v>1.0000000000000002</v>
      </c>
      <c r="AK189" s="1250">
        <f t="shared" si="158"/>
        <v>36387.956765462433</v>
      </c>
      <c r="AL189" s="1251">
        <f t="shared" si="159"/>
        <v>0</v>
      </c>
      <c r="AM189" s="1251">
        <f t="shared" si="160"/>
        <v>0</v>
      </c>
      <c r="AN189" s="1251">
        <f t="shared" si="161"/>
        <v>36387.956765462433</v>
      </c>
      <c r="AO189" s="1022">
        <f t="shared" si="162"/>
        <v>0</v>
      </c>
    </row>
    <row r="190" spans="1:41">
      <c r="A190" s="89">
        <f>'Input data'!A130</f>
        <v>2030</v>
      </c>
      <c r="B190" s="152">
        <f>'Input data'!B130</f>
        <v>66.183214701401099</v>
      </c>
      <c r="C190" s="204">
        <f>'Input data'!C130</f>
        <v>5234.6499999999996</v>
      </c>
      <c r="D190" s="474">
        <f>'Input data'!E130</f>
        <v>41257794.114847519</v>
      </c>
      <c r="E190" s="473">
        <f>'Input data'!J130*C190</f>
        <v>62978.312990397841</v>
      </c>
      <c r="F190" s="474">
        <f>'Input data'!L130</f>
        <v>104236.10710524536</v>
      </c>
      <c r="G190" s="474">
        <f>G177*(1-$C$4)</f>
        <v>34219.854173807704</v>
      </c>
      <c r="H190" s="474">
        <f t="shared" si="135"/>
        <v>40636.020396917476</v>
      </c>
      <c r="I190" s="475">
        <f t="shared" si="138"/>
        <v>41257.794114847522</v>
      </c>
      <c r="J190" s="100">
        <v>0.2</v>
      </c>
      <c r="K190" s="474">
        <f t="shared" si="164"/>
        <v>5712.234895775684</v>
      </c>
      <c r="L190" s="474">
        <f t="shared" si="140"/>
        <v>0</v>
      </c>
      <c r="M190" s="475">
        <f t="shared" si="165"/>
        <v>5712.234895775684</v>
      </c>
      <c r="N190" s="579">
        <f t="shared" si="169"/>
        <v>0.5</v>
      </c>
      <c r="O190" s="475">
        <f t="shared" si="141"/>
        <v>751.91700000000026</v>
      </c>
      <c r="P190" s="1234">
        <f t="shared" si="168"/>
        <v>6464.1518957756844</v>
      </c>
      <c r="Q190" s="467">
        <f t="shared" si="142"/>
        <v>68391.722674949502</v>
      </c>
      <c r="R190" s="467">
        <f t="shared" si="166"/>
        <v>34171.868501141798</v>
      </c>
      <c r="S190" s="518">
        <f t="shared" si="143"/>
        <v>0.96570292027374238</v>
      </c>
      <c r="T190" s="118" t="str">
        <f t="shared" si="144"/>
        <v>Yes</v>
      </c>
      <c r="U190" s="938">
        <f t="shared" si="145"/>
        <v>0.96570292027374238</v>
      </c>
      <c r="V190" s="1247">
        <f t="shared" si="136"/>
        <v>70064.238604103579</v>
      </c>
      <c r="W190" s="1244">
        <f t="shared" si="137"/>
        <v>0.32783139595417787</v>
      </c>
      <c r="X190" s="473">
        <f t="shared" si="146"/>
        <v>34219.854173807704</v>
      </c>
      <c r="Y190" s="474">
        <f t="shared" si="147"/>
        <v>13294.745063537208</v>
      </c>
      <c r="Z190" s="116">
        <f t="shared" si="148"/>
        <v>3597.8752829754594</v>
      </c>
      <c r="AA190" s="116">
        <f t="shared" si="149"/>
        <v>0</v>
      </c>
      <c r="AB190" s="116">
        <f t="shared" si="150"/>
        <v>18951.764083783208</v>
      </c>
      <c r="AC190" s="116">
        <f t="shared" si="151"/>
        <v>70064.238604103579</v>
      </c>
      <c r="AD190" s="1240">
        <f t="shared" si="152"/>
        <v>0</v>
      </c>
      <c r="AE190" s="579">
        <f t="shared" si="153"/>
        <v>0.48840685142054036</v>
      </c>
      <c r="AF190" s="100">
        <f t="shared" si="154"/>
        <v>0.18975079624655408</v>
      </c>
      <c r="AG190" s="100">
        <f t="shared" si="155"/>
        <v>5.1351093719938547E-2</v>
      </c>
      <c r="AH190" s="100">
        <f t="shared" si="167"/>
        <v>0</v>
      </c>
      <c r="AI190" s="100">
        <f t="shared" si="156"/>
        <v>0.27049125861296702</v>
      </c>
      <c r="AJ190" s="471">
        <f t="shared" si="157"/>
        <v>1</v>
      </c>
      <c r="AK190" s="1250">
        <f t="shared" si="158"/>
        <v>33006.235291878016</v>
      </c>
      <c r="AL190" s="1251">
        <f t="shared" si="159"/>
        <v>1152.803703892499</v>
      </c>
      <c r="AM190" s="1251">
        <f t="shared" si="160"/>
        <v>60.815178037186428</v>
      </c>
      <c r="AN190" s="1251">
        <f t="shared" si="161"/>
        <v>34219.854173807696</v>
      </c>
      <c r="AO190" s="1022">
        <f t="shared" si="162"/>
        <v>0</v>
      </c>
    </row>
    <row r="191" spans="1:41">
      <c r="A191" s="89">
        <f>'Input data'!A131</f>
        <v>2031</v>
      </c>
      <c r="B191" s="152">
        <f>'Input data'!B131</f>
        <v>66.757007289602299</v>
      </c>
      <c r="C191" s="204">
        <f>'Input data'!C131</f>
        <v>5365.4400000000005</v>
      </c>
      <c r="D191" s="474">
        <f>'Input data'!E131</f>
        <v>39014257.111139439</v>
      </c>
      <c r="E191" s="473">
        <f>'Input data'!J131*C191</f>
        <v>64551.853447928748</v>
      </c>
      <c r="F191" s="474">
        <f>'Input data'!L131</f>
        <v>103566.11055906818</v>
      </c>
      <c r="G191" s="474">
        <f>$G$150*(1+((($G$160/$G$150)^(1/($A$160-$A$150)))-1))^(A191-$A$150)</f>
        <v>33020.827958397946</v>
      </c>
      <c r="H191" s="474">
        <f t="shared" si="135"/>
        <v>40632.502955381307</v>
      </c>
      <c r="I191" s="475">
        <f t="shared" si="138"/>
        <v>39014.257111139435</v>
      </c>
      <c r="J191" s="100">
        <f t="shared" ref="J191:J210" si="170">J190</f>
        <v>0.2</v>
      </c>
      <c r="K191" s="474">
        <f t="shared" si="164"/>
        <v>5401.6121240668754</v>
      </c>
      <c r="L191" s="474">
        <f t="shared" si="140"/>
        <v>0</v>
      </c>
      <c r="M191" s="475">
        <f t="shared" si="165"/>
        <v>5401.6121240668754</v>
      </c>
      <c r="N191" s="579">
        <f t="shared" si="169"/>
        <v>0.5</v>
      </c>
      <c r="O191" s="475">
        <f t="shared" si="141"/>
        <v>751.91700000000026</v>
      </c>
      <c r="P191" s="1234">
        <f t="shared" si="168"/>
        <v>6153.5291240668757</v>
      </c>
      <c r="Q191" s="467">
        <f t="shared" si="142"/>
        <v>67499.801789712379</v>
      </c>
      <c r="R191" s="467">
        <f t="shared" si="166"/>
        <v>34478.973831314433</v>
      </c>
      <c r="S191" s="518">
        <f t="shared" si="143"/>
        <v>0.95013771717933637</v>
      </c>
      <c r="T191" s="118" t="str">
        <f t="shared" si="144"/>
        <v>Yes</v>
      </c>
      <c r="U191" s="938">
        <f t="shared" si="145"/>
        <v>0.95013771717933637</v>
      </c>
      <c r="V191" s="1247">
        <f t="shared" si="136"/>
        <v>69087.136727753765</v>
      </c>
      <c r="W191" s="1244">
        <f t="shared" si="137"/>
        <v>0.33291753108416278</v>
      </c>
      <c r="X191" s="473">
        <f t="shared" si="146"/>
        <v>33020.827958397946</v>
      </c>
      <c r="Y191" s="474">
        <f t="shared" si="147"/>
        <v>12972.043857747278</v>
      </c>
      <c r="Z191" s="116">
        <f t="shared" si="148"/>
        <v>3668.9827846862445</v>
      </c>
      <c r="AA191" s="116">
        <f t="shared" si="149"/>
        <v>0</v>
      </c>
      <c r="AB191" s="116">
        <f t="shared" si="150"/>
        <v>19425.282126922295</v>
      </c>
      <c r="AC191" s="116">
        <f t="shared" si="151"/>
        <v>69087.136727753765</v>
      </c>
      <c r="AD191" s="1240">
        <f t="shared" si="152"/>
        <v>0</v>
      </c>
      <c r="AE191" s="579">
        <f t="shared" si="153"/>
        <v>0.47795913280529367</v>
      </c>
      <c r="AF191" s="100">
        <f t="shared" si="154"/>
        <v>0.18776351824892076</v>
      </c>
      <c r="AG191" s="100">
        <f t="shared" si="155"/>
        <v>5.3106597819277353E-2</v>
      </c>
      <c r="AH191" s="100">
        <f t="shared" si="167"/>
        <v>0</v>
      </c>
      <c r="AI191" s="100">
        <f t="shared" si="156"/>
        <v>0.28117075112650813</v>
      </c>
      <c r="AJ191" s="471">
        <f t="shared" si="157"/>
        <v>1</v>
      </c>
      <c r="AK191" s="1250">
        <f t="shared" si="158"/>
        <v>31211.405688911549</v>
      </c>
      <c r="AL191" s="1251">
        <f t="shared" si="159"/>
        <v>1717.8612027932613</v>
      </c>
      <c r="AM191" s="1251">
        <f t="shared" si="160"/>
        <v>91.561066693136311</v>
      </c>
      <c r="AN191" s="1251">
        <f t="shared" si="161"/>
        <v>33020.827958397953</v>
      </c>
      <c r="AO191" s="1022">
        <f t="shared" si="162"/>
        <v>0</v>
      </c>
    </row>
    <row r="192" spans="1:41">
      <c r="A192" s="89">
        <f>'Input data'!A132</f>
        <v>2032</v>
      </c>
      <c r="B192" s="152">
        <f>'Input data'!B132</f>
        <v>67.318270994163854</v>
      </c>
      <c r="C192" s="204">
        <f>'Input data'!C132</f>
        <v>5502.3</v>
      </c>
      <c r="D192" s="474">
        <f>'Input data'!E132</f>
        <v>36334930.67697753</v>
      </c>
      <c r="E192" s="473">
        <f>'Input data'!J132*C192</f>
        <v>66198.422352414404</v>
      </c>
      <c r="F192" s="474">
        <f>'Input data'!L132</f>
        <v>102533.35302939193</v>
      </c>
      <c r="G192" s="474">
        <f t="shared" ref="G192:G199" si="171">$G$150*(1+((($G$160/$G$150)^(1/($A$160-$A$150)))-1))^(A192-$A$150)</f>
        <v>31863.814308498775</v>
      </c>
      <c r="H192" s="474">
        <f t="shared" si="135"/>
        <v>40219.909614634984</v>
      </c>
      <c r="I192" s="475">
        <f t="shared" si="138"/>
        <v>36334.930676977528</v>
      </c>
      <c r="J192" s="100">
        <f t="shared" si="170"/>
        <v>0.2</v>
      </c>
      <c r="K192" s="474">
        <f t="shared" si="164"/>
        <v>5030.6533202154096</v>
      </c>
      <c r="L192" s="474">
        <f t="shared" si="140"/>
        <v>0</v>
      </c>
      <c r="M192" s="475">
        <f t="shared" si="165"/>
        <v>5030.6533202154096</v>
      </c>
      <c r="N192" s="579">
        <f t="shared" si="169"/>
        <v>0.5</v>
      </c>
      <c r="O192" s="475">
        <f t="shared" si="141"/>
        <v>751.91700000000026</v>
      </c>
      <c r="P192" s="1234">
        <f t="shared" si="168"/>
        <v>5782.57032021541</v>
      </c>
      <c r="Q192" s="467">
        <f t="shared" si="142"/>
        <v>66301.153602918348</v>
      </c>
      <c r="R192" s="467">
        <f t="shared" si="166"/>
        <v>34437.339294419573</v>
      </c>
      <c r="S192" s="518">
        <f t="shared" si="143"/>
        <v>0.92490924533765106</v>
      </c>
      <c r="T192" s="118" t="str">
        <f t="shared" si="144"/>
        <v>Yes</v>
      </c>
      <c r="U192" s="938">
        <f t="shared" si="145"/>
        <v>0.92490924533765106</v>
      </c>
      <c r="V192" s="1247">
        <f t="shared" si="136"/>
        <v>68096.013734972366</v>
      </c>
      <c r="W192" s="1244">
        <f t="shared" si="137"/>
        <v>0.33586475304818963</v>
      </c>
      <c r="X192" s="473">
        <f t="shared" si="146"/>
        <v>31863.814308498775</v>
      </c>
      <c r="Y192" s="474">
        <f t="shared" si="147"/>
        <v>12568.03274815389</v>
      </c>
      <c r="Z192" s="116">
        <f t="shared" si="148"/>
        <v>3743.3904051781628</v>
      </c>
      <c r="AA192" s="116">
        <f t="shared" si="149"/>
        <v>0</v>
      </c>
      <c r="AB192" s="116">
        <f t="shared" si="150"/>
        <v>19920.776273141539</v>
      </c>
      <c r="AC192" s="116">
        <f t="shared" si="151"/>
        <v>68096.013734972366</v>
      </c>
      <c r="AD192" s="1240">
        <f t="shared" si="152"/>
        <v>0</v>
      </c>
      <c r="AE192" s="579">
        <f t="shared" si="153"/>
        <v>0.46792481029083111</v>
      </c>
      <c r="AF192" s="100">
        <f t="shared" si="154"/>
        <v>0.18456341360991108</v>
      </c>
      <c r="AG192" s="100">
        <f t="shared" si="155"/>
        <v>5.4972239927983529E-2</v>
      </c>
      <c r="AH192" s="100">
        <f t="shared" si="167"/>
        <v>0</v>
      </c>
      <c r="AI192" s="100">
        <f t="shared" si="156"/>
        <v>0.29253953617127426</v>
      </c>
      <c r="AJ192" s="471">
        <f t="shared" si="157"/>
        <v>0.99999999999999989</v>
      </c>
      <c r="AK192" s="1250">
        <f t="shared" si="158"/>
        <v>29067.944541582023</v>
      </c>
      <c r="AL192" s="1251">
        <f t="shared" si="159"/>
        <v>2653.0247752475893</v>
      </c>
      <c r="AM192" s="1251">
        <f t="shared" si="160"/>
        <v>142.84499166916319</v>
      </c>
      <c r="AN192" s="1251">
        <f t="shared" si="161"/>
        <v>31863.814308498775</v>
      </c>
      <c r="AO192" s="1022">
        <f t="shared" si="162"/>
        <v>0</v>
      </c>
    </row>
    <row r="193" spans="1:41">
      <c r="A193" s="89">
        <f>'Input data'!A133</f>
        <v>2033</v>
      </c>
      <c r="B193" s="152">
        <f>'Input data'!B133</f>
        <v>67.86660286866902</v>
      </c>
      <c r="C193" s="204">
        <f>'Input data'!C133</f>
        <v>5663.260000000002</v>
      </c>
      <c r="D193" s="474">
        <f>'Input data'!E133</f>
        <v>35521966.003645025</v>
      </c>
      <c r="E193" s="473">
        <f>'Input data'!J133*C193</f>
        <v>68134.939456506283</v>
      </c>
      <c r="F193" s="474">
        <f>'Input data'!L133</f>
        <v>103656.90546015131</v>
      </c>
      <c r="G193" s="474">
        <f t="shared" si="171"/>
        <v>30747.341149823493</v>
      </c>
      <c r="H193" s="474">
        <f t="shared" si="135"/>
        <v>41684.641539004326</v>
      </c>
      <c r="I193" s="475">
        <f t="shared" si="138"/>
        <v>35521.966003645022</v>
      </c>
      <c r="J193" s="100">
        <f t="shared" si="170"/>
        <v>0.2</v>
      </c>
      <c r="K193" s="474">
        <f t="shared" si="164"/>
        <v>4918.096522750282</v>
      </c>
      <c r="L193" s="474">
        <f t="shared" si="140"/>
        <v>0</v>
      </c>
      <c r="M193" s="475">
        <f t="shared" si="165"/>
        <v>4918.096522750282</v>
      </c>
      <c r="N193" s="579">
        <f t="shared" si="169"/>
        <v>0.5</v>
      </c>
      <c r="O193" s="475">
        <f t="shared" si="141"/>
        <v>751.91700000000026</v>
      </c>
      <c r="P193" s="1234">
        <f t="shared" si="168"/>
        <v>5670.0135227502824</v>
      </c>
      <c r="Q193" s="467">
        <f t="shared" si="142"/>
        <v>66761.969166077542</v>
      </c>
      <c r="R193" s="467">
        <f t="shared" si="166"/>
        <v>36014.62801625405</v>
      </c>
      <c r="S193" s="518">
        <f t="shared" si="143"/>
        <v>0.93924096953197211</v>
      </c>
      <c r="T193" s="118" t="str">
        <f t="shared" si="144"/>
        <v>Yes</v>
      </c>
      <c r="U193" s="938">
        <f t="shared" si="145"/>
        <v>0.93924096953197211</v>
      </c>
      <c r="V193" s="1247">
        <f t="shared" si="136"/>
        <v>67642.27744389727</v>
      </c>
      <c r="W193" s="1244">
        <f t="shared" si="137"/>
        <v>0.34744070215465861</v>
      </c>
      <c r="X193" s="473">
        <f t="shared" si="146"/>
        <v>30747.341149823489</v>
      </c>
      <c r="Y193" s="474">
        <f t="shared" si="147"/>
        <v>12560.512503596907</v>
      </c>
      <c r="Z193" s="116">
        <f t="shared" si="148"/>
        <v>3830.9006389526726</v>
      </c>
      <c r="AA193" s="116">
        <f t="shared" si="149"/>
        <v>0</v>
      </c>
      <c r="AB193" s="116">
        <f t="shared" si="150"/>
        <v>20503.523151524198</v>
      </c>
      <c r="AC193" s="116">
        <f t="shared" si="151"/>
        <v>67642.27744389727</v>
      </c>
      <c r="AD193" s="1240">
        <f t="shared" si="152"/>
        <v>0</v>
      </c>
      <c r="AE193" s="579">
        <f t="shared" si="153"/>
        <v>0.45455804138654904</v>
      </c>
      <c r="AF193" s="100">
        <f t="shared" si="154"/>
        <v>0.18569026618026924</v>
      </c>
      <c r="AG193" s="100">
        <f t="shared" si="155"/>
        <v>5.6634708110323964E-2</v>
      </c>
      <c r="AH193" s="100">
        <f t="shared" si="167"/>
        <v>0</v>
      </c>
      <c r="AI193" s="100">
        <f t="shared" si="156"/>
        <v>0.30311698432285766</v>
      </c>
      <c r="AJ193" s="471">
        <f t="shared" si="157"/>
        <v>1</v>
      </c>
      <c r="AK193" s="1250">
        <f t="shared" si="158"/>
        <v>28417.572802916016</v>
      </c>
      <c r="AL193" s="1251">
        <f t="shared" si="159"/>
        <v>2209.4689706273152</v>
      </c>
      <c r="AM193" s="1251">
        <f t="shared" si="160"/>
        <v>120.29937628015264</v>
      </c>
      <c r="AN193" s="1251">
        <f t="shared" si="161"/>
        <v>30747.341149823485</v>
      </c>
      <c r="AO193" s="1022">
        <f t="shared" si="162"/>
        <v>0</v>
      </c>
    </row>
    <row r="194" spans="1:41">
      <c r="A194" s="89">
        <f>'Input data'!A134</f>
        <v>2034</v>
      </c>
      <c r="B194" s="152">
        <f>'Input data'!B134</f>
        <v>68.401606645337111</v>
      </c>
      <c r="C194" s="204">
        <f>'Input data'!C134</f>
        <v>5838.79</v>
      </c>
      <c r="D194" s="474">
        <f>'Input data'!E134</f>
        <v>32152713.47625063</v>
      </c>
      <c r="E194" s="473">
        <f>'Input data'!J134*C194</f>
        <v>70246.748895380792</v>
      </c>
      <c r="F194" s="474">
        <f>'Input data'!L134</f>
        <v>102399.46237163142</v>
      </c>
      <c r="G194" s="474">
        <f t="shared" si="171"/>
        <v>29669.987987956312</v>
      </c>
      <c r="H194" s="474">
        <f t="shared" si="135"/>
        <v>40811.883338853513</v>
      </c>
      <c r="I194" s="475">
        <f t="shared" si="138"/>
        <v>32152.713476250628</v>
      </c>
      <c r="J194" s="100">
        <f t="shared" si="170"/>
        <v>0.2</v>
      </c>
      <c r="K194" s="474">
        <f t="shared" si="164"/>
        <v>4451.6158910885761</v>
      </c>
      <c r="L194" s="474">
        <f t="shared" si="140"/>
        <v>0</v>
      </c>
      <c r="M194" s="475">
        <f t="shared" si="165"/>
        <v>4451.6158910885761</v>
      </c>
      <c r="N194" s="579">
        <f t="shared" si="169"/>
        <v>0.5</v>
      </c>
      <c r="O194" s="475">
        <f t="shared" si="141"/>
        <v>751.91700000000026</v>
      </c>
      <c r="P194" s="1234">
        <f t="shared" si="168"/>
        <v>5203.5328910885764</v>
      </c>
      <c r="Q194" s="467">
        <f t="shared" si="142"/>
        <v>65278.338435721249</v>
      </c>
      <c r="R194" s="467">
        <f t="shared" si="166"/>
        <v>35608.35044776494</v>
      </c>
      <c r="S194" s="518">
        <f t="shared" si="143"/>
        <v>0.90019717679893441</v>
      </c>
      <c r="T194" s="118" t="str">
        <f t="shared" si="144"/>
        <v>Yes</v>
      </c>
      <c r="U194" s="938">
        <f t="shared" si="145"/>
        <v>0.90019717679893441</v>
      </c>
      <c r="V194" s="1247">
        <f t="shared" si="136"/>
        <v>66791.111923866498</v>
      </c>
      <c r="W194" s="1244">
        <f t="shared" si="137"/>
        <v>0.34773962307081219</v>
      </c>
      <c r="X194" s="473">
        <f t="shared" si="146"/>
        <v>29669.987987956309</v>
      </c>
      <c r="Y194" s="474">
        <f t="shared" si="147"/>
        <v>12055.771772564618</v>
      </c>
      <c r="Z194" s="116">
        <f t="shared" si="148"/>
        <v>3926.3322451557001</v>
      </c>
      <c r="AA194" s="116">
        <f t="shared" si="149"/>
        <v>0</v>
      </c>
      <c r="AB194" s="116">
        <f t="shared" si="150"/>
        <v>21139.019918189864</v>
      </c>
      <c r="AC194" s="116">
        <f t="shared" si="151"/>
        <v>66791.111923866498</v>
      </c>
      <c r="AD194" s="1240">
        <f t="shared" si="152"/>
        <v>0</v>
      </c>
      <c r="AE194" s="579">
        <f t="shared" si="153"/>
        <v>0.44422060261216162</v>
      </c>
      <c r="AF194" s="100">
        <f t="shared" si="154"/>
        <v>0.18049964172338812</v>
      </c>
      <c r="AG194" s="100">
        <f t="shared" si="155"/>
        <v>5.8785250493077985E-2</v>
      </c>
      <c r="AH194" s="100">
        <f t="shared" si="167"/>
        <v>0</v>
      </c>
      <c r="AI194" s="100">
        <f t="shared" si="156"/>
        <v>0.31649450517137218</v>
      </c>
      <c r="AJ194" s="471">
        <f t="shared" si="157"/>
        <v>1</v>
      </c>
      <c r="AK194" s="1250">
        <f t="shared" si="158"/>
        <v>25722.170781000503</v>
      </c>
      <c r="AL194" s="1251">
        <f t="shared" si="159"/>
        <v>3741.762802611956</v>
      </c>
      <c r="AM194" s="1251">
        <f t="shared" si="160"/>
        <v>206.05440434384724</v>
      </c>
      <c r="AN194" s="1251">
        <f t="shared" si="161"/>
        <v>29669.987987956305</v>
      </c>
      <c r="AO194" s="1022">
        <f t="shared" si="162"/>
        <v>0</v>
      </c>
    </row>
    <row r="195" spans="1:41">
      <c r="A195" s="89">
        <f>'Input data'!A135</f>
        <v>2035</v>
      </c>
      <c r="B195" s="152">
        <f>'Input data'!B135</f>
        <v>68.922893208527455</v>
      </c>
      <c r="C195" s="204">
        <f>'Input data'!C135</f>
        <v>5978.8699999999981</v>
      </c>
      <c r="D195" s="474">
        <f>'Input data'!E135</f>
        <v>24779864.252695084</v>
      </c>
      <c r="E195" s="473">
        <f>'Input data'!J135*C195</f>
        <v>71932.057766784754</v>
      </c>
      <c r="F195" s="474">
        <f>'Input data'!L135</f>
        <v>96711.92201947984</v>
      </c>
      <c r="G195" s="474">
        <f t="shared" si="171"/>
        <v>28630.384101050156</v>
      </c>
      <c r="H195" s="474">
        <f t="shared" si="135"/>
        <v>35899.462428288789</v>
      </c>
      <c r="I195" s="475">
        <f t="shared" si="138"/>
        <v>24779.864252695083</v>
      </c>
      <c r="J195" s="100">
        <f t="shared" si="170"/>
        <v>0.2</v>
      </c>
      <c r="K195" s="474">
        <f t="shared" si="164"/>
        <v>3430.8282430904374</v>
      </c>
      <c r="L195" s="474">
        <f t="shared" si="140"/>
        <v>0</v>
      </c>
      <c r="M195" s="475">
        <f t="shared" si="165"/>
        <v>3430.8282430904374</v>
      </c>
      <c r="N195" s="579">
        <f t="shared" si="169"/>
        <v>0.5</v>
      </c>
      <c r="O195" s="475">
        <f t="shared" si="141"/>
        <v>751.91700000000026</v>
      </c>
      <c r="P195" s="1234">
        <f t="shared" si="168"/>
        <v>4182.7452430904377</v>
      </c>
      <c r="Q195" s="467">
        <f t="shared" si="142"/>
        <v>60347.101286248508</v>
      </c>
      <c r="R195" s="467">
        <f t="shared" si="166"/>
        <v>31716.717185198351</v>
      </c>
      <c r="S195" s="518">
        <f t="shared" si="143"/>
        <v>0.78268027818913921</v>
      </c>
      <c r="T195" s="118" t="str">
        <f t="shared" si="144"/>
        <v>Yes</v>
      </c>
      <c r="U195" s="938">
        <f t="shared" si="145"/>
        <v>0.78268027818913921</v>
      </c>
      <c r="V195" s="1247">
        <f t="shared" si="136"/>
        <v>64995.204834281503</v>
      </c>
      <c r="W195" s="1244">
        <f t="shared" si="137"/>
        <v>0.32795043799057078</v>
      </c>
      <c r="X195" s="473">
        <f t="shared" si="146"/>
        <v>28630.38410105016</v>
      </c>
      <c r="Y195" s="474">
        <f t="shared" si="147"/>
        <v>10716.158329633705</v>
      </c>
      <c r="Z195" s="116">
        <f t="shared" si="148"/>
        <v>4002.4905052646268</v>
      </c>
      <c r="AA195" s="116">
        <f t="shared" si="149"/>
        <v>0</v>
      </c>
      <c r="AB195" s="116">
        <f t="shared" si="150"/>
        <v>21646.171898333007</v>
      </c>
      <c r="AC195" s="116">
        <f t="shared" si="151"/>
        <v>64995.204834281503</v>
      </c>
      <c r="AD195" s="1240">
        <f t="shared" si="152"/>
        <v>0</v>
      </c>
      <c r="AE195" s="579">
        <f t="shared" si="153"/>
        <v>0.44049994417356092</v>
      </c>
      <c r="AF195" s="100">
        <f t="shared" si="154"/>
        <v>0.16487613750824742</v>
      </c>
      <c r="AG195" s="100">
        <f t="shared" si="155"/>
        <v>6.1581319967677468E-2</v>
      </c>
      <c r="AH195" s="100">
        <f t="shared" si="167"/>
        <v>0</v>
      </c>
      <c r="AI195" s="100">
        <f t="shared" si="156"/>
        <v>0.33304259835051409</v>
      </c>
      <c r="AJ195" s="471">
        <f t="shared" si="157"/>
        <v>0.99999999999999989</v>
      </c>
      <c r="AK195" s="1250">
        <f t="shared" si="158"/>
        <v>19823.891402156067</v>
      </c>
      <c r="AL195" s="1251">
        <f t="shared" si="159"/>
        <v>8343.1263761322862</v>
      </c>
      <c r="AM195" s="1251">
        <f t="shared" si="160"/>
        <v>463.36632276180433</v>
      </c>
      <c r="AN195" s="1251">
        <f t="shared" si="161"/>
        <v>28630.38410105016</v>
      </c>
      <c r="AO195" s="1022">
        <f t="shared" si="162"/>
        <v>0</v>
      </c>
    </row>
    <row r="196" spans="1:41">
      <c r="A196" s="89">
        <f>'Input data'!A136</f>
        <v>2036</v>
      </c>
      <c r="B196" s="152">
        <f>'Input data'!B136</f>
        <v>69.431445341664755</v>
      </c>
      <c r="C196" s="204">
        <f>'Input data'!C136</f>
        <v>6119.1299999999983</v>
      </c>
      <c r="D196" s="474">
        <f>'Input data'!E136</f>
        <v>11557949.273739366</v>
      </c>
      <c r="E196" s="473">
        <f>'Input data'!J136*C196</f>
        <v>73619.532226401585</v>
      </c>
      <c r="F196" s="474">
        <f>'Input data'!L136</f>
        <v>85177.481500140944</v>
      </c>
      <c r="G196" s="474">
        <f t="shared" si="171"/>
        <v>27627.206795850379</v>
      </c>
      <c r="H196" s="474">
        <f t="shared" si="135"/>
        <v>25462.788580691788</v>
      </c>
      <c r="I196" s="475">
        <f t="shared" si="138"/>
        <v>11557.949273739367</v>
      </c>
      <c r="J196" s="100">
        <f t="shared" si="170"/>
        <v>0.2</v>
      </c>
      <c r="K196" s="474">
        <f t="shared" si="164"/>
        <v>1600.2242141515721</v>
      </c>
      <c r="L196" s="474">
        <f t="shared" si="140"/>
        <v>0</v>
      </c>
      <c r="M196" s="475">
        <f t="shared" si="165"/>
        <v>1600.2242141515721</v>
      </c>
      <c r="N196" s="579">
        <f t="shared" si="169"/>
        <v>0.5</v>
      </c>
      <c r="O196" s="475">
        <f t="shared" si="141"/>
        <v>751.91700000000026</v>
      </c>
      <c r="P196" s="1234">
        <f t="shared" si="168"/>
        <v>2352.1412141515725</v>
      </c>
      <c r="Q196" s="467">
        <f t="shared" si="142"/>
        <v>50737.854162390591</v>
      </c>
      <c r="R196" s="467">
        <f t="shared" si="166"/>
        <v>23110.647366540212</v>
      </c>
      <c r="S196" s="518">
        <f t="shared" si="143"/>
        <v>0.55699722339400404</v>
      </c>
      <c r="T196" s="118" t="str">
        <f t="shared" si="144"/>
        <v>Yes</v>
      </c>
      <c r="U196" s="938">
        <f t="shared" si="145"/>
        <v>0.55699722339400404</v>
      </c>
      <c r="V196" s="1247">
        <f t="shared" si="136"/>
        <v>62066.834133600743</v>
      </c>
      <c r="W196" s="1244">
        <f t="shared" si="137"/>
        <v>0.27132344088504146</v>
      </c>
      <c r="X196" s="473">
        <f t="shared" si="146"/>
        <v>27627.206795850383</v>
      </c>
      <c r="Y196" s="474">
        <f t="shared" si="147"/>
        <v>8206.9051519014629</v>
      </c>
      <c r="Z196" s="116">
        <f t="shared" si="148"/>
        <v>4078.7466272155002</v>
      </c>
      <c r="AA196" s="116">
        <f t="shared" si="149"/>
        <v>0</v>
      </c>
      <c r="AB196" s="116">
        <f t="shared" si="150"/>
        <v>22153.975558633399</v>
      </c>
      <c r="AC196" s="116">
        <f t="shared" si="151"/>
        <v>62066.834133600743</v>
      </c>
      <c r="AD196" s="1240">
        <f t="shared" si="152"/>
        <v>0</v>
      </c>
      <c r="AE196" s="579">
        <f t="shared" si="153"/>
        <v>0.44512028334459564</v>
      </c>
      <c r="AF196" s="100">
        <f t="shared" si="154"/>
        <v>0.13222690131473197</v>
      </c>
      <c r="AG196" s="100">
        <f t="shared" si="155"/>
        <v>6.5715396703428991E-2</v>
      </c>
      <c r="AH196" s="100">
        <f t="shared" si="167"/>
        <v>0</v>
      </c>
      <c r="AI196" s="100">
        <f t="shared" si="156"/>
        <v>0.35693741863724343</v>
      </c>
      <c r="AJ196" s="471">
        <f t="shared" si="157"/>
        <v>1</v>
      </c>
      <c r="AK196" s="1250">
        <f t="shared" si="158"/>
        <v>9246.3594189914929</v>
      </c>
      <c r="AL196" s="1251">
        <f t="shared" si="159"/>
        <v>17406.309408835157</v>
      </c>
      <c r="AM196" s="1251">
        <f t="shared" si="160"/>
        <v>974.53796802372619</v>
      </c>
      <c r="AN196" s="1251">
        <f t="shared" si="161"/>
        <v>27627.206795850379</v>
      </c>
      <c r="AO196" s="1022">
        <f t="shared" si="162"/>
        <v>0</v>
      </c>
    </row>
    <row r="197" spans="1:41">
      <c r="A197" s="89">
        <f>'Input data'!A137</f>
        <v>2037</v>
      </c>
      <c r="B197" s="152">
        <f>'Input data'!B137</f>
        <v>69.92691944658003</v>
      </c>
      <c r="C197" s="204">
        <f>'Input data'!C137</f>
        <v>6283.2400000000007</v>
      </c>
      <c r="D197" s="474">
        <f>'Input data'!E137</f>
        <v>6514539.8947081817</v>
      </c>
      <c r="E197" s="473">
        <f>'Input data'!J137*C197</f>
        <v>75593.947124217928</v>
      </c>
      <c r="F197" s="474">
        <f>'Input data'!L137</f>
        <v>82108.487018926113</v>
      </c>
      <c r="G197" s="474">
        <f t="shared" si="171"/>
        <v>26659.179724825448</v>
      </c>
      <c r="H197" s="474">
        <f t="shared" si="135"/>
        <v>22830.750040461269</v>
      </c>
      <c r="I197" s="475">
        <f t="shared" si="138"/>
        <v>6514.5398947081821</v>
      </c>
      <c r="J197" s="100">
        <f t="shared" si="170"/>
        <v>0.2</v>
      </c>
      <c r="K197" s="474">
        <f t="shared" si="164"/>
        <v>901.9527804343561</v>
      </c>
      <c r="L197" s="474">
        <f t="shared" si="140"/>
        <v>0</v>
      </c>
      <c r="M197" s="475">
        <f t="shared" si="165"/>
        <v>901.9527804343561</v>
      </c>
      <c r="N197" s="579">
        <f t="shared" si="169"/>
        <v>0.5</v>
      </c>
      <c r="O197" s="475">
        <f t="shared" si="141"/>
        <v>751.91700000000026</v>
      </c>
      <c r="P197" s="1234">
        <f t="shared" si="168"/>
        <v>1653.8697804343565</v>
      </c>
      <c r="Q197" s="467">
        <f t="shared" si="142"/>
        <v>47836.059984852363</v>
      </c>
      <c r="R197" s="467">
        <f t="shared" si="166"/>
        <v>21176.880260026915</v>
      </c>
      <c r="S197" s="518">
        <f t="shared" si="143"/>
        <v>0.49682497148591315</v>
      </c>
      <c r="T197" s="118" t="str">
        <f t="shared" si="144"/>
        <v>Yes</v>
      </c>
      <c r="U197" s="938">
        <f t="shared" si="145"/>
        <v>0.49682497148591315</v>
      </c>
      <c r="V197" s="1247">
        <f t="shared" si="136"/>
        <v>60931.606758899201</v>
      </c>
      <c r="W197" s="1244">
        <f t="shared" si="137"/>
        <v>0.25791341466498596</v>
      </c>
      <c r="X197" s="473">
        <f t="shared" si="146"/>
        <v>26659.179724825441</v>
      </c>
      <c r="Y197" s="474">
        <f t="shared" si="147"/>
        <v>7356.3307510820132</v>
      </c>
      <c r="Z197" s="116">
        <f t="shared" si="148"/>
        <v>4167.9694432240412</v>
      </c>
      <c r="AA197" s="116">
        <f t="shared" si="149"/>
        <v>0</v>
      </c>
      <c r="AB197" s="116">
        <f t="shared" si="150"/>
        <v>22748.126839767705</v>
      </c>
      <c r="AC197" s="116">
        <f t="shared" si="151"/>
        <v>60931.606758899201</v>
      </c>
      <c r="AD197" s="1240">
        <f t="shared" si="152"/>
        <v>0</v>
      </c>
      <c r="AE197" s="579">
        <f t="shared" si="153"/>
        <v>0.43752628796272153</v>
      </c>
      <c r="AF197" s="100">
        <f t="shared" si="154"/>
        <v>0.12073094970546799</v>
      </c>
      <c r="AG197" s="100">
        <f t="shared" si="155"/>
        <v>6.8404062602785379E-2</v>
      </c>
      <c r="AH197" s="100">
        <f t="shared" si="167"/>
        <v>0</v>
      </c>
      <c r="AI197" s="100">
        <f t="shared" si="156"/>
        <v>0.37333869972902511</v>
      </c>
      <c r="AJ197" s="471">
        <f t="shared" si="157"/>
        <v>1</v>
      </c>
      <c r="AK197" s="1250">
        <f t="shared" si="158"/>
        <v>5211.6319157665457</v>
      </c>
      <c r="AL197" s="1251">
        <f t="shared" si="159"/>
        <v>20300.806872484227</v>
      </c>
      <c r="AM197" s="1251">
        <f t="shared" si="160"/>
        <v>1146.7409365746641</v>
      </c>
      <c r="AN197" s="1251">
        <f t="shared" si="161"/>
        <v>26659.179724825437</v>
      </c>
      <c r="AO197" s="1022">
        <f t="shared" si="162"/>
        <v>0</v>
      </c>
    </row>
    <row r="198" spans="1:41">
      <c r="A198" s="89">
        <f>'Input data'!A138</f>
        <v>2038</v>
      </c>
      <c r="B198" s="152">
        <f>'Input data'!B138</f>
        <v>70.408978817025954</v>
      </c>
      <c r="C198" s="204">
        <f>'Input data'!C138</f>
        <v>6443.4999999999982</v>
      </c>
      <c r="D198" s="474">
        <f>'Input data'!E138</f>
        <v>4950160.264487111</v>
      </c>
      <c r="E198" s="473">
        <f>'Input data'!J138*C198</f>
        <v>77522.042496370981</v>
      </c>
      <c r="F198" s="474">
        <f>'Input data'!L138</f>
        <v>82472.202760858097</v>
      </c>
      <c r="G198" s="474">
        <f t="shared" si="171"/>
        <v>25725.071262263602</v>
      </c>
      <c r="H198" s="474">
        <f t="shared" si="135"/>
        <v>23403.117753424649</v>
      </c>
      <c r="I198" s="475">
        <f t="shared" si="138"/>
        <v>4950.1602644871109</v>
      </c>
      <c r="J198" s="100">
        <f t="shared" si="170"/>
        <v>0.2</v>
      </c>
      <c r="K198" s="474">
        <f t="shared" si="164"/>
        <v>685.36088293459102</v>
      </c>
      <c r="L198" s="474">
        <f t="shared" si="140"/>
        <v>0</v>
      </c>
      <c r="M198" s="475">
        <f t="shared" si="165"/>
        <v>685.36088293459102</v>
      </c>
      <c r="N198" s="579">
        <f t="shared" si="169"/>
        <v>0.5</v>
      </c>
      <c r="O198" s="475">
        <f t="shared" si="141"/>
        <v>751.91700000000026</v>
      </c>
      <c r="P198" s="1234">
        <f t="shared" si="168"/>
        <v>1437.2778829345912</v>
      </c>
      <c r="Q198" s="467">
        <f t="shared" si="142"/>
        <v>47690.911132753659</v>
      </c>
      <c r="R198" s="467">
        <f t="shared" si="166"/>
        <v>21965.839870490057</v>
      </c>
      <c r="S198" s="518">
        <f t="shared" si="143"/>
        <v>0.50229697259454875</v>
      </c>
      <c r="T198" s="118" t="str">
        <f t="shared" si="144"/>
        <v>Yes</v>
      </c>
      <c r="U198" s="938">
        <f t="shared" si="145"/>
        <v>0.50229697259454875</v>
      </c>
      <c r="V198" s="1247">
        <f t="shared" si="136"/>
        <v>60506.362890368044</v>
      </c>
      <c r="W198" s="1244">
        <f t="shared" si="137"/>
        <v>0.26634234487689956</v>
      </c>
      <c r="X198" s="473">
        <f t="shared" si="146"/>
        <v>25725.071262263602</v>
      </c>
      <c r="Y198" s="474">
        <f t="shared" si="147"/>
        <v>7197.8531185079191</v>
      </c>
      <c r="Z198" s="116">
        <f t="shared" si="148"/>
        <v>4255.0991031687627</v>
      </c>
      <c r="AA198" s="116">
        <f t="shared" si="149"/>
        <v>0</v>
      </c>
      <c r="AB198" s="116">
        <f t="shared" si="150"/>
        <v>23328.33940642776</v>
      </c>
      <c r="AC198" s="116">
        <f t="shared" si="151"/>
        <v>60506.362890368044</v>
      </c>
      <c r="AD198" s="1240">
        <f t="shared" si="152"/>
        <v>0</v>
      </c>
      <c r="AE198" s="579">
        <f t="shared" si="153"/>
        <v>0.42516307431790373</v>
      </c>
      <c r="AF198" s="100">
        <f t="shared" si="154"/>
        <v>0.11896026755978981</v>
      </c>
      <c r="AG198" s="100">
        <f t="shared" si="155"/>
        <v>7.0324820397461504E-2</v>
      </c>
      <c r="AH198" s="100">
        <f t="shared" si="167"/>
        <v>0</v>
      </c>
      <c r="AI198" s="100">
        <f t="shared" si="156"/>
        <v>0.38555183772484491</v>
      </c>
      <c r="AJ198" s="471">
        <f t="shared" si="157"/>
        <v>0.99999999999999989</v>
      </c>
      <c r="AK198" s="1250">
        <f t="shared" si="158"/>
        <v>3960.1282115896884</v>
      </c>
      <c r="AL198" s="1251">
        <f t="shared" si="159"/>
        <v>20592.197095450298</v>
      </c>
      <c r="AM198" s="1251">
        <f t="shared" si="160"/>
        <v>1172.7459552236119</v>
      </c>
      <c r="AN198" s="1251">
        <f t="shared" si="161"/>
        <v>25725.071262263598</v>
      </c>
      <c r="AO198" s="1022">
        <f t="shared" si="162"/>
        <v>0</v>
      </c>
    </row>
    <row r="199" spans="1:41">
      <c r="A199" s="89">
        <f>'Input data'!A139</f>
        <v>2039</v>
      </c>
      <c r="B199" s="152">
        <f>'Input data'!B139</f>
        <v>70.877294017675013</v>
      </c>
      <c r="C199" s="204">
        <f>'Input data'!C139</f>
        <v>6615.260000000002</v>
      </c>
      <c r="D199" s="474">
        <f>'Input data'!E139</f>
        <v>3385780.6342660398</v>
      </c>
      <c r="E199" s="473">
        <f>'Input data'!J139*C199</f>
        <v>79588.494893232477</v>
      </c>
      <c r="F199" s="474">
        <f>'Input data'!L139</f>
        <v>82974.27552749851</v>
      </c>
      <c r="G199" s="474">
        <f t="shared" si="171"/>
        <v>24823.692937269236</v>
      </c>
      <c r="H199" s="474">
        <f t="shared" si="135"/>
        <v>24022.145574664228</v>
      </c>
      <c r="I199" s="475">
        <f t="shared" si="138"/>
        <v>3385.7806342660397</v>
      </c>
      <c r="J199" s="100">
        <f t="shared" si="170"/>
        <v>0.2</v>
      </c>
      <c r="K199" s="474">
        <f t="shared" si="164"/>
        <v>468.76898543482594</v>
      </c>
      <c r="L199" s="474">
        <f t="shared" si="140"/>
        <v>0</v>
      </c>
      <c r="M199" s="475">
        <f t="shared" si="165"/>
        <v>468.76898543482594</v>
      </c>
      <c r="N199" s="579">
        <f t="shared" si="169"/>
        <v>0.5</v>
      </c>
      <c r="O199" s="475">
        <f t="shared" si="141"/>
        <v>751.91700000000026</v>
      </c>
      <c r="P199" s="1234">
        <f t="shared" si="168"/>
        <v>1220.6859854348263</v>
      </c>
      <c r="Q199" s="467">
        <f t="shared" si="142"/>
        <v>47625.152526498634</v>
      </c>
      <c r="R199" s="467">
        <f t="shared" si="166"/>
        <v>22801.459589229398</v>
      </c>
      <c r="S199" s="518">
        <f t="shared" si="143"/>
        <v>0.50764074150033744</v>
      </c>
      <c r="T199" s="118" t="str">
        <f t="shared" si="144"/>
        <v>Yes</v>
      </c>
      <c r="U199" s="938">
        <f t="shared" si="145"/>
        <v>0.50764074150033744</v>
      </c>
      <c r="V199" s="1247">
        <f t="shared" si="136"/>
        <v>60172.815938269123</v>
      </c>
      <c r="W199" s="1244">
        <f t="shared" si="137"/>
        <v>0.27480155077307966</v>
      </c>
      <c r="X199" s="473">
        <f t="shared" si="146"/>
        <v>24823.692937269236</v>
      </c>
      <c r="Y199" s="474">
        <f t="shared" si="147"/>
        <v>7050.4548592952842</v>
      </c>
      <c r="Z199" s="116">
        <f t="shared" si="148"/>
        <v>4348.4810474599535</v>
      </c>
      <c r="AA199" s="116">
        <f t="shared" si="149"/>
        <v>0</v>
      </c>
      <c r="AB199" s="116">
        <f t="shared" si="150"/>
        <v>23950.187094244651</v>
      </c>
      <c r="AC199" s="116">
        <f t="shared" si="151"/>
        <v>60172.815938269123</v>
      </c>
      <c r="AD199" s="1240">
        <f t="shared" si="152"/>
        <v>0</v>
      </c>
      <c r="AE199" s="579">
        <f t="shared" si="153"/>
        <v>0.41253999086125021</v>
      </c>
      <c r="AF199" s="100">
        <f t="shared" si="154"/>
        <v>0.11717009997551547</v>
      </c>
      <c r="AG199" s="100">
        <f t="shared" si="155"/>
        <v>7.2266537300182704E-2</v>
      </c>
      <c r="AH199" s="100">
        <f t="shared" si="167"/>
        <v>0</v>
      </c>
      <c r="AI199" s="100">
        <f t="shared" si="156"/>
        <v>0.39802337186305164</v>
      </c>
      <c r="AJ199" s="471">
        <f t="shared" si="157"/>
        <v>1</v>
      </c>
      <c r="AK199" s="1250">
        <f t="shared" si="158"/>
        <v>2708.6245074128315</v>
      </c>
      <c r="AL199" s="1251">
        <f t="shared" si="159"/>
        <v>20914.12011652724</v>
      </c>
      <c r="AM199" s="1251">
        <f t="shared" si="160"/>
        <v>1200.9483133291608</v>
      </c>
      <c r="AN199" s="1251">
        <f t="shared" si="161"/>
        <v>24823.692937269232</v>
      </c>
      <c r="AO199" s="1022">
        <f t="shared" si="162"/>
        <v>0</v>
      </c>
    </row>
    <row r="200" spans="1:41">
      <c r="A200" s="89">
        <f>'Input data'!A140</f>
        <v>2040</v>
      </c>
      <c r="B200" s="152">
        <f>'Input data'!B140</f>
        <v>71.331543257193218</v>
      </c>
      <c r="C200" s="204">
        <f>'Input data'!C140</f>
        <v>6787.6000000000013</v>
      </c>
      <c r="D200" s="474">
        <f>'Input data'!E140</f>
        <v>1821401.0040449696</v>
      </c>
      <c r="E200" s="473">
        <f>'Input data'!J140*C200</f>
        <v>81661.925296557456</v>
      </c>
      <c r="F200" s="474">
        <f>'Input data'!L140</f>
        <v>83483.326300602421</v>
      </c>
      <c r="G200" s="474">
        <f>G177*(1-$C$5)</f>
        <v>23953.89792166539</v>
      </c>
      <c r="H200" s="474">
        <f t="shared" si="135"/>
        <v>24613.594116303626</v>
      </c>
      <c r="I200" s="475">
        <f t="shared" si="138"/>
        <v>1821.4010040449696</v>
      </c>
      <c r="J200" s="100">
        <f t="shared" si="170"/>
        <v>0.2</v>
      </c>
      <c r="K200" s="474">
        <f t="shared" si="164"/>
        <v>252.17708793506097</v>
      </c>
      <c r="L200" s="474">
        <f t="shared" si="140"/>
        <v>0</v>
      </c>
      <c r="M200" s="475">
        <f t="shared" si="165"/>
        <v>252.17708793506097</v>
      </c>
      <c r="N200" s="579">
        <f t="shared" si="169"/>
        <v>0.5</v>
      </c>
      <c r="O200" s="475">
        <f t="shared" si="141"/>
        <v>751.91700000000026</v>
      </c>
      <c r="P200" s="1234">
        <f t="shared" si="168"/>
        <v>1004.0940879350612</v>
      </c>
      <c r="Q200" s="467">
        <f t="shared" si="142"/>
        <v>47563.397950033956</v>
      </c>
      <c r="R200" s="467">
        <f t="shared" si="166"/>
        <v>23609.500028368566</v>
      </c>
      <c r="S200" s="518">
        <f t="shared" si="143"/>
        <v>0.51206693512031287</v>
      </c>
      <c r="T200" s="118" t="str">
        <f t="shared" si="144"/>
        <v>Yes</v>
      </c>
      <c r="U200" s="938">
        <f t="shared" si="145"/>
        <v>0.51206693512031287</v>
      </c>
      <c r="V200" s="1247">
        <f t="shared" si="136"/>
        <v>59873.826272233877</v>
      </c>
      <c r="W200" s="1244">
        <f t="shared" si="137"/>
        <v>0.28280497525166504</v>
      </c>
      <c r="X200" s="473">
        <f t="shared" si="146"/>
        <v>23953.89792166539</v>
      </c>
      <c r="Y200" s="474">
        <f t="shared" si="147"/>
        <v>6903.6153858695707</v>
      </c>
      <c r="Z200" s="116">
        <f t="shared" si="148"/>
        <v>4442.1783243529617</v>
      </c>
      <c r="AA200" s="116">
        <f t="shared" si="149"/>
        <v>0</v>
      </c>
      <c r="AB200" s="116">
        <f t="shared" si="150"/>
        <v>24574.134640345954</v>
      </c>
      <c r="AC200" s="116">
        <f t="shared" si="151"/>
        <v>59873.826272233877</v>
      </c>
      <c r="AD200" s="1240">
        <f t="shared" si="152"/>
        <v>0</v>
      </c>
      <c r="AE200" s="579">
        <f t="shared" si="153"/>
        <v>0.40007294360564133</v>
      </c>
      <c r="AF200" s="100">
        <f t="shared" si="154"/>
        <v>0.11530272601053192</v>
      </c>
      <c r="AG200" s="100">
        <f t="shared" si="155"/>
        <v>7.4192324107620874E-2</v>
      </c>
      <c r="AH200" s="100">
        <f t="shared" si="167"/>
        <v>0</v>
      </c>
      <c r="AI200" s="100">
        <f t="shared" si="156"/>
        <v>0.41043200627620585</v>
      </c>
      <c r="AJ200" s="471">
        <f t="shared" si="157"/>
        <v>1</v>
      </c>
      <c r="AK200" s="1250">
        <f t="shared" si="158"/>
        <v>1457.1208032359755</v>
      </c>
      <c r="AL200" s="1251">
        <f t="shared" si="159"/>
        <v>21266.061290458867</v>
      </c>
      <c r="AM200" s="1251">
        <f t="shared" si="160"/>
        <v>1230.7158279705438</v>
      </c>
      <c r="AN200" s="1251">
        <f t="shared" si="161"/>
        <v>23953.897921665386</v>
      </c>
      <c r="AO200" s="1022">
        <f t="shared" si="162"/>
        <v>0</v>
      </c>
    </row>
    <row r="201" spans="1:41">
      <c r="A201" s="89">
        <f>'Input data'!A141</f>
        <v>2041</v>
      </c>
      <c r="B201" s="152">
        <f>'Input data'!B141</f>
        <v>71.772879261991122</v>
      </c>
      <c r="C201" s="204">
        <f>'Input data'!C141</f>
        <v>6981.3799999999992</v>
      </c>
      <c r="D201" s="474">
        <f>'Input data'!E141</f>
        <v>1694135.0775526946</v>
      </c>
      <c r="E201" s="473">
        <f>'Input data'!J141*C201</f>
        <v>83993.301318121303</v>
      </c>
      <c r="F201" s="474">
        <f>'Input data'!L141</f>
        <v>85687.436395673998</v>
      </c>
      <c r="G201" s="474">
        <f>$G$160*(1+((($G$170/$G$160)^(1/($A$170-$A$160)))-1))^(A201-$A$160)</f>
        <v>22650.218174049241</v>
      </c>
      <c r="H201" s="474">
        <f t="shared" si="135"/>
        <v>27135.601027366549</v>
      </c>
      <c r="I201" s="475">
        <f t="shared" si="138"/>
        <v>1694.1350775526946</v>
      </c>
      <c r="J201" s="100">
        <f t="shared" si="170"/>
        <v>0.2</v>
      </c>
      <c r="K201" s="474">
        <f t="shared" si="164"/>
        <v>234.55683261242416</v>
      </c>
      <c r="L201" s="474">
        <f t="shared" si="140"/>
        <v>0</v>
      </c>
      <c r="M201" s="475">
        <f t="shared" si="165"/>
        <v>234.55683261242416</v>
      </c>
      <c r="N201" s="579">
        <f t="shared" si="169"/>
        <v>0.5</v>
      </c>
      <c r="O201" s="475">
        <f t="shared" si="141"/>
        <v>751.91700000000026</v>
      </c>
      <c r="P201" s="1234">
        <f t="shared" si="168"/>
        <v>986.47383261242442</v>
      </c>
      <c r="Q201" s="467">
        <f t="shared" si="142"/>
        <v>48799.345368803362</v>
      </c>
      <c r="R201" s="467">
        <f t="shared" si="166"/>
        <v>26149.127194754121</v>
      </c>
      <c r="S201" s="518">
        <f t="shared" si="143"/>
        <v>0.55115729350098186</v>
      </c>
      <c r="T201" s="118" t="str">
        <f t="shared" si="144"/>
        <v>Yes</v>
      </c>
      <c r="U201" s="938">
        <f t="shared" si="145"/>
        <v>0.55115729350098186</v>
      </c>
      <c r="V201" s="1247">
        <f t="shared" si="136"/>
        <v>59538.309200919888</v>
      </c>
      <c r="W201" s="1244">
        <f t="shared" si="137"/>
        <v>0.30516874228803825</v>
      </c>
      <c r="X201" s="473">
        <f t="shared" si="146"/>
        <v>22650.218174049245</v>
      </c>
      <c r="Y201" s="474">
        <f t="shared" si="147"/>
        <v>7064.8544588304467</v>
      </c>
      <c r="Z201" s="116">
        <f t="shared" si="148"/>
        <v>4547.532033975378</v>
      </c>
      <c r="AA201" s="116">
        <f t="shared" si="149"/>
        <v>0</v>
      </c>
      <c r="AB201" s="116">
        <f t="shared" si="150"/>
        <v>25275.704534064822</v>
      </c>
      <c r="AC201" s="116">
        <f t="shared" si="151"/>
        <v>59538.309200919888</v>
      </c>
      <c r="AD201" s="1240">
        <f t="shared" si="152"/>
        <v>0</v>
      </c>
      <c r="AE201" s="579">
        <f t="shared" si="153"/>
        <v>0.38043099439745748</v>
      </c>
      <c r="AF201" s="100">
        <f t="shared" si="154"/>
        <v>0.11866064981773604</v>
      </c>
      <c r="AG201" s="100">
        <f t="shared" si="155"/>
        <v>7.6379932433571981E-2</v>
      </c>
      <c r="AH201" s="100">
        <f t="shared" si="167"/>
        <v>0</v>
      </c>
      <c r="AI201" s="100">
        <f t="shared" si="156"/>
        <v>0.42452842335123459</v>
      </c>
      <c r="AJ201" s="471">
        <f t="shared" si="157"/>
        <v>1</v>
      </c>
      <c r="AK201" s="1250">
        <f t="shared" si="158"/>
        <v>1355.3080620421556</v>
      </c>
      <c r="AL201" s="1251">
        <f t="shared" si="159"/>
        <v>20120.835990963868</v>
      </c>
      <c r="AM201" s="1251">
        <f t="shared" si="160"/>
        <v>1174.0741210432154</v>
      </c>
      <c r="AN201" s="1251">
        <f t="shared" si="161"/>
        <v>22650.218174049241</v>
      </c>
      <c r="AO201" s="1022">
        <f t="shared" si="162"/>
        <v>0</v>
      </c>
    </row>
    <row r="202" spans="1:41">
      <c r="A202" s="89">
        <f>'Input data'!A142</f>
        <v>2042</v>
      </c>
      <c r="B202" s="152">
        <f>'Input data'!B142</f>
        <v>72.201023455996193</v>
      </c>
      <c r="C202" s="204">
        <f>'Input data'!C142</f>
        <v>7178.2100000000019</v>
      </c>
      <c r="D202" s="474">
        <f>'Input data'!E142</f>
        <v>1566869.1510604194</v>
      </c>
      <c r="E202" s="473">
        <f>'Input data'!J142*C202</f>
        <v>86361.372028846978</v>
      </c>
      <c r="F202" s="474">
        <f>'Input data'!L142</f>
        <v>87928.241179907403</v>
      </c>
      <c r="G202" s="474">
        <f t="shared" ref="G202:G209" si="172">$G$160*(1+((($G$170/$G$160)^(1/($A$170-$A$160)))-1))^(A202-$A$160)</f>
        <v>21417.490590039302</v>
      </c>
      <c r="H202" s="474">
        <f t="shared" si="135"/>
        <v>29607.711448720944</v>
      </c>
      <c r="I202" s="475">
        <f t="shared" si="138"/>
        <v>1566.8691510604194</v>
      </c>
      <c r="J202" s="100">
        <f t="shared" si="170"/>
        <v>0.2</v>
      </c>
      <c r="K202" s="474">
        <f t="shared" si="164"/>
        <v>216.93657728978735</v>
      </c>
      <c r="L202" s="474">
        <f t="shared" si="140"/>
        <v>0</v>
      </c>
      <c r="M202" s="475">
        <f t="shared" si="165"/>
        <v>216.93657728978735</v>
      </c>
      <c r="N202" s="579">
        <f t="shared" si="169"/>
        <v>0.5</v>
      </c>
      <c r="O202" s="475">
        <f t="shared" si="141"/>
        <v>751.91700000000026</v>
      </c>
      <c r="P202" s="1234">
        <f t="shared" si="168"/>
        <v>968.85357728978761</v>
      </c>
      <c r="Q202" s="467">
        <f t="shared" si="142"/>
        <v>50056.348461470458</v>
      </c>
      <c r="R202" s="467">
        <f t="shared" si="166"/>
        <v>28638.857871431155</v>
      </c>
      <c r="S202" s="518">
        <f t="shared" si="143"/>
        <v>0.58682753217133066</v>
      </c>
      <c r="T202" s="118" t="str">
        <f t="shared" si="144"/>
        <v>Yes</v>
      </c>
      <c r="U202" s="938">
        <f t="shared" si="145"/>
        <v>0.58682753217133066</v>
      </c>
      <c r="V202" s="1247">
        <f t="shared" si="136"/>
        <v>59289.383308476252</v>
      </c>
      <c r="W202" s="1244">
        <f t="shared" si="137"/>
        <v>0.32570716173924164</v>
      </c>
      <c r="X202" s="473">
        <f t="shared" si="146"/>
        <v>21417.490590039302</v>
      </c>
      <c r="Y202" s="474">
        <f t="shared" si="147"/>
        <v>7229.0319742915362</v>
      </c>
      <c r="Z202" s="116">
        <f t="shared" si="148"/>
        <v>4654.5439581418577</v>
      </c>
      <c r="AA202" s="116">
        <f t="shared" si="149"/>
        <v>0</v>
      </c>
      <c r="AB202" s="116">
        <f t="shared" si="150"/>
        <v>25988.316786003554</v>
      </c>
      <c r="AC202" s="116">
        <f t="shared" si="151"/>
        <v>59289.383308476252</v>
      </c>
      <c r="AD202" s="1240">
        <f t="shared" si="152"/>
        <v>0</v>
      </c>
      <c r="AE202" s="579">
        <f t="shared" si="153"/>
        <v>0.36123652153044694</v>
      </c>
      <c r="AF202" s="100">
        <f t="shared" si="154"/>
        <v>0.12192793331446314</v>
      </c>
      <c r="AG202" s="100">
        <f t="shared" si="155"/>
        <v>7.8505521535361042E-2</v>
      </c>
      <c r="AH202" s="100">
        <f t="shared" si="167"/>
        <v>0</v>
      </c>
      <c r="AI202" s="100">
        <f t="shared" si="156"/>
        <v>0.43833002361972884</v>
      </c>
      <c r="AJ202" s="471">
        <f t="shared" si="157"/>
        <v>1</v>
      </c>
      <c r="AK202" s="1250">
        <f t="shared" si="158"/>
        <v>1253.4953208483353</v>
      </c>
      <c r="AL202" s="1251">
        <f t="shared" si="159"/>
        <v>19043.997016684672</v>
      </c>
      <c r="AM202" s="1251">
        <f t="shared" si="160"/>
        <v>1119.9982525062928</v>
      </c>
      <c r="AN202" s="1251">
        <f t="shared" si="161"/>
        <v>21417.490590039299</v>
      </c>
      <c r="AO202" s="1022">
        <f t="shared" si="162"/>
        <v>0</v>
      </c>
    </row>
    <row r="203" spans="1:41">
      <c r="A203" s="89">
        <f>'Input data'!A143</f>
        <v>2043</v>
      </c>
      <c r="B203" s="152">
        <f>'Input data'!B143</f>
        <v>72.615704257339331</v>
      </c>
      <c r="C203" s="204">
        <f>'Input data'!C143</f>
        <v>7380.12</v>
      </c>
      <c r="D203" s="474">
        <f>'Input data'!E143</f>
        <v>1439603.2245681447</v>
      </c>
      <c r="E203" s="473">
        <f>'Input data'!J143*C203</f>
        <v>88790.560451356811</v>
      </c>
      <c r="F203" s="474">
        <f>'Input data'!L143</f>
        <v>90230.163675924952</v>
      </c>
      <c r="G203" s="474">
        <f t="shared" si="172"/>
        <v>20251.853631148377</v>
      </c>
      <c r="H203" s="474">
        <f t="shared" si="135"/>
        <v>32047.801023120264</v>
      </c>
      <c r="I203" s="475">
        <f t="shared" si="138"/>
        <v>1439.6032245681447</v>
      </c>
      <c r="J203" s="100">
        <f t="shared" si="170"/>
        <v>0.2</v>
      </c>
      <c r="K203" s="474">
        <f t="shared" si="164"/>
        <v>199.31632196715051</v>
      </c>
      <c r="L203" s="474">
        <f t="shared" si="140"/>
        <v>0</v>
      </c>
      <c r="M203" s="475">
        <f t="shared" si="165"/>
        <v>199.31632196715051</v>
      </c>
      <c r="N203" s="579">
        <f t="shared" si="169"/>
        <v>0.5</v>
      </c>
      <c r="O203" s="475">
        <f t="shared" si="141"/>
        <v>751.91700000000026</v>
      </c>
      <c r="P203" s="1234">
        <f t="shared" si="168"/>
        <v>951.2333219671508</v>
      </c>
      <c r="Q203" s="467">
        <f t="shared" si="142"/>
        <v>51348.421332301492</v>
      </c>
      <c r="R203" s="467">
        <f t="shared" si="166"/>
        <v>31096.567701153115</v>
      </c>
      <c r="S203" s="518">
        <f t="shared" si="143"/>
        <v>0.61949378533109045</v>
      </c>
      <c r="T203" s="118" t="str">
        <f t="shared" si="144"/>
        <v>Yes</v>
      </c>
      <c r="U203" s="938">
        <f t="shared" si="145"/>
        <v>0.61949378533109045</v>
      </c>
      <c r="V203" s="1247">
        <f t="shared" si="136"/>
        <v>59133.595974771852</v>
      </c>
      <c r="W203" s="1244">
        <f t="shared" si="137"/>
        <v>0.34463605555278665</v>
      </c>
      <c r="X203" s="473">
        <f t="shared" si="146"/>
        <v>20251.853631148377</v>
      </c>
      <c r="Y203" s="474">
        <f t="shared" si="147"/>
        <v>7398.1036825070732</v>
      </c>
      <c r="Z203" s="116">
        <f t="shared" si="148"/>
        <v>4764.3177609587738</v>
      </c>
      <c r="AA203" s="116">
        <f t="shared" si="149"/>
        <v>0</v>
      </c>
      <c r="AB203" s="116">
        <f t="shared" si="150"/>
        <v>26719.320900157629</v>
      </c>
      <c r="AC203" s="116">
        <f t="shared" si="151"/>
        <v>59133.595974771852</v>
      </c>
      <c r="AD203" s="1240">
        <f t="shared" si="152"/>
        <v>0</v>
      </c>
      <c r="AE203" s="579">
        <f t="shared" si="153"/>
        <v>0.34247627422807875</v>
      </c>
      <c r="AF203" s="100">
        <f t="shared" si="154"/>
        <v>0.12510830029114625</v>
      </c>
      <c r="AG203" s="100">
        <f t="shared" si="155"/>
        <v>8.0568713646154269E-2</v>
      </c>
      <c r="AH203" s="100">
        <f t="shared" si="167"/>
        <v>0</v>
      </c>
      <c r="AI203" s="100">
        <f t="shared" si="156"/>
        <v>0.45184671183462077</v>
      </c>
      <c r="AJ203" s="471">
        <f t="shared" si="157"/>
        <v>1</v>
      </c>
      <c r="AK203" s="1250">
        <f t="shared" si="158"/>
        <v>1151.6825796545156</v>
      </c>
      <c r="AL203" s="1251">
        <f t="shared" si="159"/>
        <v>18031.661620004328</v>
      </c>
      <c r="AM203" s="1251">
        <f t="shared" si="160"/>
        <v>1068.5094314895287</v>
      </c>
      <c r="AN203" s="1251">
        <f t="shared" si="161"/>
        <v>20251.853631148373</v>
      </c>
      <c r="AO203" s="1022">
        <f t="shared" si="162"/>
        <v>0</v>
      </c>
    </row>
    <row r="204" spans="1:41">
      <c r="A204" s="89">
        <f>'Input data'!A144</f>
        <v>2044</v>
      </c>
      <c r="B204" s="152">
        <f>'Input data'!B144</f>
        <v>73.016657364175842</v>
      </c>
      <c r="C204" s="204">
        <f>'Input data'!C144</f>
        <v>7589.87</v>
      </c>
      <c r="D204" s="474">
        <f>'Input data'!E144</f>
        <v>1312337.2980758694</v>
      </c>
      <c r="E204" s="473">
        <f>'Input data'!J144*C204</f>
        <v>91314.072271580881</v>
      </c>
      <c r="F204" s="474">
        <f>'Input data'!L144</f>
        <v>92626.409569656753</v>
      </c>
      <c r="G204" s="474">
        <f t="shared" si="172"/>
        <v>19149.655921324487</v>
      </c>
      <c r="H204" s="474">
        <f t="shared" si="135"/>
        <v>34478.574785618999</v>
      </c>
      <c r="I204" s="475">
        <f t="shared" si="138"/>
        <v>1312.3372980758695</v>
      </c>
      <c r="J204" s="100">
        <f t="shared" si="170"/>
        <v>0.2</v>
      </c>
      <c r="K204" s="474">
        <f t="shared" si="164"/>
        <v>181.69606664451368</v>
      </c>
      <c r="L204" s="474">
        <f t="shared" si="140"/>
        <v>0</v>
      </c>
      <c r="M204" s="475">
        <f t="shared" si="165"/>
        <v>181.69606664451368</v>
      </c>
      <c r="N204" s="579">
        <f t="shared" si="169"/>
        <v>0.5</v>
      </c>
      <c r="O204" s="475">
        <f t="shared" si="141"/>
        <v>751.91700000000026</v>
      </c>
      <c r="P204" s="1234">
        <f t="shared" si="168"/>
        <v>933.61306664451399</v>
      </c>
      <c r="Q204" s="467">
        <f t="shared" si="142"/>
        <v>52694.617640298966</v>
      </c>
      <c r="R204" s="467">
        <f t="shared" si="166"/>
        <v>33544.961718974475</v>
      </c>
      <c r="S204" s="518">
        <f t="shared" si="143"/>
        <v>0.64953287888416134</v>
      </c>
      <c r="T204" s="118" t="str">
        <f t="shared" si="144"/>
        <v>Yes</v>
      </c>
      <c r="U204" s="938">
        <f t="shared" si="145"/>
        <v>0.64953287888416134</v>
      </c>
      <c r="V204" s="1247">
        <f t="shared" si="136"/>
        <v>59081.447850682292</v>
      </c>
      <c r="W204" s="1244">
        <f t="shared" si="137"/>
        <v>0.36215331971545373</v>
      </c>
      <c r="X204" s="473">
        <f t="shared" si="146"/>
        <v>19149.655921324491</v>
      </c>
      <c r="Y204" s="474">
        <f t="shared" si="147"/>
        <v>7574.7286330838097</v>
      </c>
      <c r="Z204" s="116">
        <f t="shared" si="148"/>
        <v>4878.3539906692804</v>
      </c>
      <c r="AA204" s="116">
        <f t="shared" si="149"/>
        <v>0</v>
      </c>
      <c r="AB204" s="116">
        <f t="shared" si="150"/>
        <v>27478.709305604705</v>
      </c>
      <c r="AC204" s="116">
        <f t="shared" si="151"/>
        <v>59081.447850682292</v>
      </c>
      <c r="AD204" s="1240">
        <f t="shared" si="152"/>
        <v>0</v>
      </c>
      <c r="AE204" s="579">
        <f t="shared" si="153"/>
        <v>0.32412299660837346</v>
      </c>
      <c r="AF204" s="100">
        <f t="shared" si="154"/>
        <v>0.1282082431735182</v>
      </c>
      <c r="AG204" s="100">
        <f t="shared" si="155"/>
        <v>8.2569980393819062E-2</v>
      </c>
      <c r="AH204" s="100">
        <f t="shared" si="167"/>
        <v>0</v>
      </c>
      <c r="AI204" s="100">
        <f t="shared" si="156"/>
        <v>0.46509877982428915</v>
      </c>
      <c r="AJ204" s="471">
        <f t="shared" si="157"/>
        <v>0.99999999999999989</v>
      </c>
      <c r="AK204" s="1250">
        <f t="shared" si="158"/>
        <v>1049.8698384606955</v>
      </c>
      <c r="AL204" s="1251">
        <f t="shared" si="159"/>
        <v>17080.170021923914</v>
      </c>
      <c r="AM204" s="1251">
        <f t="shared" si="160"/>
        <v>1019.6160609398783</v>
      </c>
      <c r="AN204" s="1251">
        <f t="shared" si="161"/>
        <v>19149.655921324487</v>
      </c>
      <c r="AO204" s="1022">
        <f t="shared" si="162"/>
        <v>0</v>
      </c>
    </row>
    <row r="205" spans="1:41">
      <c r="A205" s="89">
        <f>'Input data'!A145</f>
        <v>2045</v>
      </c>
      <c r="B205" s="152">
        <f>'Input data'!B145</f>
        <v>73.40362603426334</v>
      </c>
      <c r="C205" s="204">
        <f>'Input data'!C145</f>
        <v>7808.4800000000005</v>
      </c>
      <c r="D205" s="474">
        <f>'Input data'!E145</f>
        <v>1185071.3715835942</v>
      </c>
      <c r="E205" s="473">
        <f>'Input data'!J145*C205</f>
        <v>93944.179156058526</v>
      </c>
      <c r="F205" s="474">
        <f>'Input data'!L145</f>
        <v>95129.250527642114</v>
      </c>
      <c r="G205" s="474">
        <f t="shared" si="172"/>
        <v>18107.444808958157</v>
      </c>
      <c r="H205" s="474">
        <f t="shared" si="135"/>
        <v>36910.526957457958</v>
      </c>
      <c r="I205" s="475">
        <f t="shared" si="138"/>
        <v>1185.0713715835943</v>
      </c>
      <c r="J205" s="100">
        <f t="shared" si="170"/>
        <v>0.2</v>
      </c>
      <c r="K205" s="474">
        <f t="shared" si="164"/>
        <v>164.07581132187681</v>
      </c>
      <c r="L205" s="474">
        <f t="shared" si="140"/>
        <v>0</v>
      </c>
      <c r="M205" s="475">
        <f t="shared" si="165"/>
        <v>164.07581132187681</v>
      </c>
      <c r="N205" s="579">
        <f t="shared" si="169"/>
        <v>0.5</v>
      </c>
      <c r="O205" s="475">
        <f t="shared" si="141"/>
        <v>751.91700000000026</v>
      </c>
      <c r="P205" s="1234">
        <f t="shared" si="168"/>
        <v>915.99281132187707</v>
      </c>
      <c r="Q205" s="467">
        <f t="shared" si="142"/>
        <v>54101.978955094237</v>
      </c>
      <c r="R205" s="467">
        <f t="shared" si="166"/>
        <v>35994.53414613608</v>
      </c>
      <c r="S205" s="518">
        <f t="shared" si="143"/>
        <v>0.67717551006700705</v>
      </c>
      <c r="T205" s="118" t="str">
        <f t="shared" si="144"/>
        <v>Yes</v>
      </c>
      <c r="U205" s="938">
        <f t="shared" si="145"/>
        <v>0.67717551006700705</v>
      </c>
      <c r="V205" s="1247">
        <f t="shared" si="136"/>
        <v>59134.716381506056</v>
      </c>
      <c r="W205" s="1244">
        <f t="shared" si="137"/>
        <v>0.37837504181405246</v>
      </c>
      <c r="X205" s="473">
        <f t="shared" si="146"/>
        <v>18107.444808958157</v>
      </c>
      <c r="Y205" s="474">
        <f t="shared" si="147"/>
        <v>7759.8895182677188</v>
      </c>
      <c r="Z205" s="116">
        <f t="shared" si="148"/>
        <v>4997.2071977110627</v>
      </c>
      <c r="AA205" s="116">
        <f t="shared" si="149"/>
        <v>0</v>
      </c>
      <c r="AB205" s="116">
        <f t="shared" si="150"/>
        <v>28270.174856569116</v>
      </c>
      <c r="AC205" s="116">
        <f t="shared" si="151"/>
        <v>59134.716381506056</v>
      </c>
      <c r="AD205" s="1240">
        <f t="shared" si="152"/>
        <v>0</v>
      </c>
      <c r="AE205" s="579">
        <f t="shared" si="153"/>
        <v>0.30620667379443328</v>
      </c>
      <c r="AF205" s="100">
        <f t="shared" si="154"/>
        <v>0.13122392383189932</v>
      </c>
      <c r="AG205" s="100">
        <f t="shared" si="155"/>
        <v>8.4505473324192726E-2</v>
      </c>
      <c r="AH205" s="100">
        <f t="shared" si="167"/>
        <v>0</v>
      </c>
      <c r="AI205" s="100">
        <f t="shared" si="156"/>
        <v>0.47806392904947465</v>
      </c>
      <c r="AJ205" s="471">
        <f t="shared" si="157"/>
        <v>1</v>
      </c>
      <c r="AK205" s="1250">
        <f t="shared" si="158"/>
        <v>948.05709726687553</v>
      </c>
      <c r="AL205" s="1251">
        <f t="shared" si="159"/>
        <v>16186.149480981339</v>
      </c>
      <c r="AM205" s="1251">
        <f t="shared" si="160"/>
        <v>973.23823070993865</v>
      </c>
      <c r="AN205" s="1251">
        <f t="shared" si="161"/>
        <v>18107.444808958153</v>
      </c>
      <c r="AO205" s="1022">
        <f t="shared" si="162"/>
        <v>0</v>
      </c>
    </row>
    <row r="206" spans="1:41">
      <c r="A206" s="89">
        <f>'Input data'!A146</f>
        <v>2046</v>
      </c>
      <c r="B206" s="152">
        <f>'Input data'!B146</f>
        <v>73.776422042674071</v>
      </c>
      <c r="C206" s="204">
        <f>'Input data'!C146</f>
        <v>8042.25</v>
      </c>
      <c r="D206" s="474">
        <f>'Input data'!E146</f>
        <v>990067.58809674683</v>
      </c>
      <c r="E206" s="473">
        <f>'Input data'!J146*C206</f>
        <v>96756.67669223866</v>
      </c>
      <c r="F206" s="474">
        <f>'Input data'!L146</f>
        <v>97746.744280335406</v>
      </c>
      <c r="G206" s="474">
        <f t="shared" si="172"/>
        <v>17121.955551397077</v>
      </c>
      <c r="H206" s="474">
        <f t="shared" si="135"/>
        <v>39326.845583933202</v>
      </c>
      <c r="I206" s="475">
        <f t="shared" si="138"/>
        <v>990.06758809674682</v>
      </c>
      <c r="J206" s="100">
        <f t="shared" si="170"/>
        <v>0.2</v>
      </c>
      <c r="K206" s="474">
        <f t="shared" si="164"/>
        <v>137.07709651562419</v>
      </c>
      <c r="L206" s="474">
        <f t="shared" si="140"/>
        <v>0</v>
      </c>
      <c r="M206" s="475">
        <f t="shared" si="165"/>
        <v>137.07709651562419</v>
      </c>
      <c r="N206" s="579">
        <f t="shared" si="169"/>
        <v>0.5</v>
      </c>
      <c r="O206" s="475">
        <f t="shared" si="141"/>
        <v>751.91700000000026</v>
      </c>
      <c r="P206" s="1234">
        <f t="shared" si="168"/>
        <v>888.99409651562451</v>
      </c>
      <c r="Q206" s="467">
        <f t="shared" si="142"/>
        <v>55559.807038814652</v>
      </c>
      <c r="R206" s="467">
        <f t="shared" si="166"/>
        <v>38437.851487417574</v>
      </c>
      <c r="S206" s="518">
        <f t="shared" si="143"/>
        <v>0.70183364122387037</v>
      </c>
      <c r="T206" s="118" t="str">
        <f t="shared" si="144"/>
        <v>Yes</v>
      </c>
      <c r="U206" s="938">
        <f t="shared" si="145"/>
        <v>0.70183364122387037</v>
      </c>
      <c r="V206" s="1247">
        <f t="shared" si="136"/>
        <v>59308.892792917846</v>
      </c>
      <c r="W206" s="1244">
        <f t="shared" si="137"/>
        <v>0.39323919963184339</v>
      </c>
      <c r="X206" s="473">
        <f t="shared" si="146"/>
        <v>17121.955551397084</v>
      </c>
      <c r="Y206" s="474">
        <f t="shared" si="147"/>
        <v>7946.1083364144197</v>
      </c>
      <c r="Z206" s="116">
        <f t="shared" si="148"/>
        <v>5124.3025465521841</v>
      </c>
      <c r="AA206" s="116">
        <f t="shared" si="149"/>
        <v>0</v>
      </c>
      <c r="AB206" s="116">
        <f t="shared" si="150"/>
        <v>29116.526358554158</v>
      </c>
      <c r="AC206" s="116">
        <f t="shared" si="151"/>
        <v>59308.892792917846</v>
      </c>
      <c r="AD206" s="1240">
        <f t="shared" si="152"/>
        <v>0</v>
      </c>
      <c r="AE206" s="579">
        <f t="shared" si="153"/>
        <v>0.28869120202900905</v>
      </c>
      <c r="AF206" s="100">
        <f t="shared" si="154"/>
        <v>0.13397836247186315</v>
      </c>
      <c r="AG206" s="100">
        <f t="shared" si="155"/>
        <v>8.640023958032958E-2</v>
      </c>
      <c r="AH206" s="100">
        <f t="shared" si="167"/>
        <v>0</v>
      </c>
      <c r="AI206" s="100">
        <f t="shared" si="156"/>
        <v>0.49093019591879822</v>
      </c>
      <c r="AJ206" s="471">
        <f t="shared" si="157"/>
        <v>1</v>
      </c>
      <c r="AK206" s="1250">
        <f t="shared" si="158"/>
        <v>792.05407047739732</v>
      </c>
      <c r="AL206" s="1251">
        <f t="shared" si="159"/>
        <v>15397.378371876735</v>
      </c>
      <c r="AM206" s="1251">
        <f t="shared" si="160"/>
        <v>932.52310904294541</v>
      </c>
      <c r="AN206" s="1251">
        <f t="shared" si="161"/>
        <v>17121.955551397077</v>
      </c>
      <c r="AO206" s="1022">
        <f t="shared" si="162"/>
        <v>0</v>
      </c>
    </row>
    <row r="207" spans="1:41">
      <c r="A207" s="89">
        <f>'Input data'!A147</f>
        <v>2047</v>
      </c>
      <c r="B207" s="152">
        <f>'Input data'!B147</f>
        <v>74.134805489166112</v>
      </c>
      <c r="C207" s="204">
        <f>'Input data'!C147</f>
        <v>8187.4100000000008</v>
      </c>
      <c r="D207" s="474">
        <f>'Input data'!E147</f>
        <v>795063.80460989953</v>
      </c>
      <c r="E207" s="473">
        <f>'Input data'!J147*C207</f>
        <v>98503.103275426867</v>
      </c>
      <c r="F207" s="474">
        <f>'Input data'!L147</f>
        <v>99298.167080036772</v>
      </c>
      <c r="G207" s="474">
        <f t="shared" si="172"/>
        <v>16190.101088088571</v>
      </c>
      <c r="H207" s="474">
        <f t="shared" si="135"/>
        <v>41077.810313181653</v>
      </c>
      <c r="I207" s="475">
        <f t="shared" si="138"/>
        <v>795.06380460989953</v>
      </c>
      <c r="J207" s="100">
        <f t="shared" si="170"/>
        <v>0.2</v>
      </c>
      <c r="K207" s="474">
        <f t="shared" si="164"/>
        <v>110.07838170937157</v>
      </c>
      <c r="L207" s="474">
        <f t="shared" si="140"/>
        <v>0</v>
      </c>
      <c r="M207" s="475">
        <f t="shared" si="165"/>
        <v>110.07838170937157</v>
      </c>
      <c r="N207" s="579">
        <f t="shared" si="169"/>
        <v>0.5</v>
      </c>
      <c r="O207" s="475">
        <f t="shared" si="141"/>
        <v>751.91700000000026</v>
      </c>
      <c r="P207" s="1234">
        <f t="shared" si="168"/>
        <v>861.99538170937183</v>
      </c>
      <c r="Q207" s="467">
        <f t="shared" si="142"/>
        <v>56405.916019560857</v>
      </c>
      <c r="R207" s="467">
        <f t="shared" si="166"/>
        <v>40215.814931472283</v>
      </c>
      <c r="S207" s="518">
        <f t="shared" si="143"/>
        <v>0.7211029639191413</v>
      </c>
      <c r="T207" s="118" t="str">
        <f t="shared" si="144"/>
        <v>Yes</v>
      </c>
      <c r="U207" s="938">
        <f t="shared" si="145"/>
        <v>0.7211029639191413</v>
      </c>
      <c r="V207" s="1247">
        <f t="shared" si="136"/>
        <v>59082.352148564489</v>
      </c>
      <c r="W207" s="1244">
        <f t="shared" si="137"/>
        <v>0.40500057668795986</v>
      </c>
      <c r="X207" s="473">
        <f t="shared" si="146"/>
        <v>16190.101088088571</v>
      </c>
      <c r="Y207" s="474">
        <f t="shared" si="147"/>
        <v>8046.9581742517012</v>
      </c>
      <c r="Z207" s="116">
        <f t="shared" si="148"/>
        <v>5203.2226853115508</v>
      </c>
      <c r="AA207" s="116">
        <f t="shared" si="149"/>
        <v>0</v>
      </c>
      <c r="AB207" s="116">
        <f t="shared" si="150"/>
        <v>29642.070200912669</v>
      </c>
      <c r="AC207" s="116">
        <f t="shared" si="151"/>
        <v>59082.352148564489</v>
      </c>
      <c r="AD207" s="1240">
        <f t="shared" si="152"/>
        <v>0</v>
      </c>
      <c r="AE207" s="579">
        <f t="shared" si="153"/>
        <v>0.27402600775571762</v>
      </c>
      <c r="AF207" s="100">
        <f t="shared" si="154"/>
        <v>0.13619901513090346</v>
      </c>
      <c r="AG207" s="100">
        <f t="shared" si="155"/>
        <v>8.8067290757617073E-2</v>
      </c>
      <c r="AH207" s="100">
        <f t="shared" si="167"/>
        <v>0</v>
      </c>
      <c r="AI207" s="100">
        <f t="shared" si="156"/>
        <v>0.50170768635576191</v>
      </c>
      <c r="AJ207" s="471">
        <f t="shared" si="157"/>
        <v>1</v>
      </c>
      <c r="AK207" s="1250">
        <f t="shared" si="158"/>
        <v>636.05104368791956</v>
      </c>
      <c r="AL207" s="1251">
        <f t="shared" si="159"/>
        <v>14662.263126851729</v>
      </c>
      <c r="AM207" s="1251">
        <f t="shared" si="160"/>
        <v>891.78691754892134</v>
      </c>
      <c r="AN207" s="1251">
        <f t="shared" si="161"/>
        <v>16190.10108808857</v>
      </c>
      <c r="AO207" s="1022">
        <f t="shared" si="162"/>
        <v>0</v>
      </c>
    </row>
    <row r="208" spans="1:41">
      <c r="A208" s="89">
        <f>'Input data'!A148</f>
        <v>2048</v>
      </c>
      <c r="B208" s="152">
        <f>'Input data'!B148</f>
        <v>74.478544758379343</v>
      </c>
      <c r="C208" s="204">
        <f>'Input data'!C148</f>
        <v>8322.6399999999976</v>
      </c>
      <c r="D208" s="474">
        <f>'Input data'!E148</f>
        <v>600060.02112305223</v>
      </c>
      <c r="E208" s="473">
        <f>'Input data'!J148*C208</f>
        <v>100130.06157554078</v>
      </c>
      <c r="F208" s="474">
        <f>'Input data'!L148</f>
        <v>100730.12159666383</v>
      </c>
      <c r="G208" s="474">
        <f t="shared" si="172"/>
        <v>15308.962370313993</v>
      </c>
      <c r="H208" s="474">
        <f t="shared" si="135"/>
        <v>42709.507545485103</v>
      </c>
      <c r="I208" s="475">
        <f t="shared" si="138"/>
        <v>600.06002112305225</v>
      </c>
      <c r="J208" s="100">
        <f t="shared" si="170"/>
        <v>0.2</v>
      </c>
      <c r="K208" s="474">
        <f t="shared" si="164"/>
        <v>83.079666903118948</v>
      </c>
      <c r="L208" s="474">
        <f t="shared" si="140"/>
        <v>0</v>
      </c>
      <c r="M208" s="475">
        <f t="shared" si="165"/>
        <v>83.079666903118948</v>
      </c>
      <c r="N208" s="579">
        <f t="shared" si="169"/>
        <v>0.5</v>
      </c>
      <c r="O208" s="475">
        <f t="shared" si="141"/>
        <v>751.91700000000026</v>
      </c>
      <c r="P208" s="1234">
        <f t="shared" si="168"/>
        <v>834.99666690311915</v>
      </c>
      <c r="Q208" s="467">
        <f t="shared" si="142"/>
        <v>57183.473248895978</v>
      </c>
      <c r="R208" s="467">
        <f t="shared" si="166"/>
        <v>41874.510878581983</v>
      </c>
      <c r="S208" s="518">
        <f t="shared" si="143"/>
        <v>0.73848291716515835</v>
      </c>
      <c r="T208" s="118" t="str">
        <f t="shared" si="144"/>
        <v>Yes</v>
      </c>
      <c r="U208" s="938">
        <f t="shared" si="145"/>
        <v>0.73848291716515835</v>
      </c>
      <c r="V208" s="1247">
        <f t="shared" si="136"/>
        <v>58855.610718081851</v>
      </c>
      <c r="W208" s="1244">
        <f t="shared" si="137"/>
        <v>0.41570992087404424</v>
      </c>
      <c r="X208" s="473">
        <f t="shared" si="146"/>
        <v>15308.962370313991</v>
      </c>
      <c r="Y208" s="474">
        <f t="shared" si="147"/>
        <v>8138.241214047307</v>
      </c>
      <c r="Z208" s="116">
        <f t="shared" si="148"/>
        <v>5276.7441124569687</v>
      </c>
      <c r="AA208" s="116">
        <f t="shared" si="149"/>
        <v>0</v>
      </c>
      <c r="AB208" s="116">
        <f t="shared" si="150"/>
        <v>30131.663021263586</v>
      </c>
      <c r="AC208" s="116">
        <f t="shared" si="151"/>
        <v>58855.610718081851</v>
      </c>
      <c r="AD208" s="1240">
        <f t="shared" si="152"/>
        <v>0</v>
      </c>
      <c r="AE208" s="579">
        <f t="shared" si="153"/>
        <v>0.26011050065632418</v>
      </c>
      <c r="AF208" s="100">
        <f t="shared" si="154"/>
        <v>0.13827468808419049</v>
      </c>
      <c r="AG208" s="100">
        <f t="shared" si="155"/>
        <v>8.965575325915065E-2</v>
      </c>
      <c r="AH208" s="100">
        <f t="shared" si="167"/>
        <v>0</v>
      </c>
      <c r="AI208" s="100">
        <f t="shared" si="156"/>
        <v>0.5119590580003347</v>
      </c>
      <c r="AJ208" s="471">
        <f t="shared" si="157"/>
        <v>1</v>
      </c>
      <c r="AK208" s="1250">
        <f t="shared" si="158"/>
        <v>480.04801689844174</v>
      </c>
      <c r="AL208" s="1251">
        <f t="shared" si="159"/>
        <v>13975.641239889233</v>
      </c>
      <c r="AM208" s="1251">
        <f t="shared" si="160"/>
        <v>853.27311352631443</v>
      </c>
      <c r="AN208" s="1251">
        <f t="shared" si="161"/>
        <v>15308.96237031399</v>
      </c>
      <c r="AO208" s="1022">
        <f t="shared" si="162"/>
        <v>0</v>
      </c>
    </row>
    <row r="209" spans="1:41">
      <c r="A209" s="89">
        <f>'Input data'!A149</f>
        <v>2049</v>
      </c>
      <c r="B209" s="152">
        <f>'Input data'!B149</f>
        <v>74.807416768507309</v>
      </c>
      <c r="C209" s="204">
        <f>'Input data'!C149</f>
        <v>8457.3799999999992</v>
      </c>
      <c r="D209" s="474">
        <f>'Input data'!E149</f>
        <v>405056.23763620481</v>
      </c>
      <c r="E209" s="473">
        <f>'Input data'!J149*C209</f>
        <v>101751.12466329761</v>
      </c>
      <c r="F209" s="474">
        <f>'Input data'!L149</f>
        <v>102156.18090093382</v>
      </c>
      <c r="G209" s="474">
        <f t="shared" si="172"/>
        <v>14475.779217222871</v>
      </c>
      <c r="H209" s="474">
        <f t="shared" si="135"/>
        <v>44289.866498282223</v>
      </c>
      <c r="I209" s="475">
        <f t="shared" si="138"/>
        <v>405.0562376362048</v>
      </c>
      <c r="J209" s="100">
        <f t="shared" si="170"/>
        <v>0.2</v>
      </c>
      <c r="K209" s="474">
        <f t="shared" si="164"/>
        <v>56.080952096866334</v>
      </c>
      <c r="L209" s="474">
        <f t="shared" si="140"/>
        <v>0</v>
      </c>
      <c r="M209" s="475">
        <f t="shared" si="165"/>
        <v>56.080952096866334</v>
      </c>
      <c r="N209" s="579">
        <f t="shared" si="169"/>
        <v>0.5</v>
      </c>
      <c r="O209" s="475">
        <f t="shared" si="141"/>
        <v>751.91700000000026</v>
      </c>
      <c r="P209" s="1234">
        <f t="shared" si="168"/>
        <v>807.99795209686658</v>
      </c>
      <c r="Q209" s="467">
        <f t="shared" si="142"/>
        <v>57957.647763408226</v>
      </c>
      <c r="R209" s="467">
        <f t="shared" si="166"/>
        <v>43481.868546185353</v>
      </c>
      <c r="S209" s="518">
        <f t="shared" si="143"/>
        <v>0.75445341699738089</v>
      </c>
      <c r="T209" s="118" t="str">
        <f t="shared" si="144"/>
        <v>Yes</v>
      </c>
      <c r="U209" s="938">
        <f t="shared" si="145"/>
        <v>0.75445341699738089</v>
      </c>
      <c r="V209" s="1247">
        <f t="shared" si="136"/>
        <v>58674.312354748472</v>
      </c>
      <c r="W209" s="1244">
        <f t="shared" si="137"/>
        <v>0.42564109349733803</v>
      </c>
      <c r="X209" s="473">
        <f t="shared" si="146"/>
        <v>14475.779217222871</v>
      </c>
      <c r="Y209" s="474">
        <f t="shared" si="147"/>
        <v>8229.0521761953423</v>
      </c>
      <c r="Z209" s="116">
        <f t="shared" si="148"/>
        <v>5349.9991379215398</v>
      </c>
      <c r="AA209" s="116">
        <f t="shared" si="149"/>
        <v>0</v>
      </c>
      <c r="AB209" s="116">
        <f t="shared" si="150"/>
        <v>30619.481823408714</v>
      </c>
      <c r="AC209" s="116">
        <f t="shared" si="151"/>
        <v>58674.312354748472</v>
      </c>
      <c r="AD209" s="1240">
        <f t="shared" si="152"/>
        <v>0</v>
      </c>
      <c r="AE209" s="579">
        <f t="shared" si="153"/>
        <v>0.24671408383453097</v>
      </c>
      <c r="AF209" s="100">
        <f t="shared" si="154"/>
        <v>0.14024965689315608</v>
      </c>
      <c r="AG209" s="100">
        <f t="shared" si="155"/>
        <v>9.1181283993157322E-2</v>
      </c>
      <c r="AH209" s="100">
        <f t="shared" si="167"/>
        <v>0</v>
      </c>
      <c r="AI209" s="100">
        <f t="shared" si="156"/>
        <v>0.52185497527915559</v>
      </c>
      <c r="AJ209" s="471">
        <f t="shared" si="157"/>
        <v>1</v>
      </c>
      <c r="AK209" s="1250">
        <f t="shared" si="158"/>
        <v>324.04499010896382</v>
      </c>
      <c r="AL209" s="1251">
        <f t="shared" si="159"/>
        <v>13334.609755988587</v>
      </c>
      <c r="AM209" s="1251">
        <f t="shared" si="160"/>
        <v>817.12447112531868</v>
      </c>
      <c r="AN209" s="1251">
        <f t="shared" si="161"/>
        <v>14475.779217222869</v>
      </c>
      <c r="AO209" s="1022">
        <f t="shared" si="162"/>
        <v>0</v>
      </c>
    </row>
    <row r="210" spans="1:41" ht="15.75" thickBot="1">
      <c r="A210" s="141">
        <f>'Input data'!A150</f>
        <v>2050</v>
      </c>
      <c r="B210" s="593">
        <f>'Input data'!B150</f>
        <v>75.121207211856714</v>
      </c>
      <c r="C210" s="207">
        <f>'Input data'!C150</f>
        <v>8589.119999999999</v>
      </c>
      <c r="D210" s="595">
        <f>'Input data'!E150</f>
        <v>210052.45414935748</v>
      </c>
      <c r="E210" s="598">
        <f>'Input data'!J150*C210</f>
        <v>103336.09461417398</v>
      </c>
      <c r="F210" s="595">
        <f>'Input data'!L150</f>
        <v>103546.14706832333</v>
      </c>
      <c r="G210" s="595">
        <f>G177*(1-$C$6)</f>
        <v>13687.941669523079</v>
      </c>
      <c r="H210" s="595">
        <f t="shared" si="135"/>
        <v>45804.16934677228</v>
      </c>
      <c r="I210" s="589">
        <f t="shared" si="138"/>
        <v>210.05245414935749</v>
      </c>
      <c r="J210" s="581">
        <f t="shared" si="170"/>
        <v>0.2</v>
      </c>
      <c r="K210" s="595">
        <f t="shared" si="164"/>
        <v>29.082237290613723</v>
      </c>
      <c r="L210" s="595">
        <f t="shared" si="140"/>
        <v>0</v>
      </c>
      <c r="M210" s="589">
        <f t="shared" si="165"/>
        <v>29.082237290613723</v>
      </c>
      <c r="N210" s="580">
        <f t="shared" si="169"/>
        <v>0.5</v>
      </c>
      <c r="O210" s="589">
        <f t="shared" si="141"/>
        <v>751.91700000000026</v>
      </c>
      <c r="P210" s="1235">
        <f t="shared" si="168"/>
        <v>780.99923729061402</v>
      </c>
      <c r="Q210" s="1238">
        <f t="shared" si="142"/>
        <v>58711.11177900475</v>
      </c>
      <c r="R210" s="1238">
        <f t="shared" si="166"/>
        <v>45023.170109481667</v>
      </c>
      <c r="S210" s="520">
        <f t="shared" si="143"/>
        <v>0.76906062922957186</v>
      </c>
      <c r="T210" s="951" t="str">
        <f t="shared" si="144"/>
        <v>Yes</v>
      </c>
      <c r="U210" s="941">
        <f t="shared" si="145"/>
        <v>0.76906062922957186</v>
      </c>
      <c r="V210" s="1248">
        <f t="shared" si="136"/>
        <v>58522.976958841689</v>
      </c>
      <c r="W210" s="1245">
        <f t="shared" si="137"/>
        <v>0.43481260659340415</v>
      </c>
      <c r="X210" s="598">
        <f t="shared" si="146"/>
        <v>13687.941669523083</v>
      </c>
      <c r="Y210" s="595">
        <f t="shared" si="147"/>
        <v>8316.9728670316927</v>
      </c>
      <c r="Z210" s="1264">
        <f t="shared" si="148"/>
        <v>5421.623132687032</v>
      </c>
      <c r="AA210" s="1264">
        <f t="shared" si="149"/>
        <v>0</v>
      </c>
      <c r="AB210" s="1264">
        <f t="shared" si="150"/>
        <v>31096.439289599883</v>
      </c>
      <c r="AC210" s="1264">
        <f t="shared" si="151"/>
        <v>58522.976958841689</v>
      </c>
      <c r="AD210" s="1241">
        <f t="shared" si="152"/>
        <v>0</v>
      </c>
      <c r="AE210" s="580">
        <f t="shared" si="153"/>
        <v>0.23389004423253454</v>
      </c>
      <c r="AF210" s="581">
        <f t="shared" si="154"/>
        <v>0.14211465819452232</v>
      </c>
      <c r="AG210" s="581">
        <f t="shared" si="155"/>
        <v>9.2640932065024245E-2</v>
      </c>
      <c r="AH210" s="581">
        <f t="shared" si="167"/>
        <v>0</v>
      </c>
      <c r="AI210" s="581">
        <f>AB210/AC210</f>
        <v>0.53135436550791892</v>
      </c>
      <c r="AJ210" s="582">
        <f t="shared" si="157"/>
        <v>1</v>
      </c>
      <c r="AK210" s="1252">
        <f t="shared" si="158"/>
        <v>168.04196331948597</v>
      </c>
      <c r="AL210" s="1253">
        <f t="shared" si="159"/>
        <v>12736.708799763959</v>
      </c>
      <c r="AM210" s="1253">
        <f t="shared" si="160"/>
        <v>783.19090643963887</v>
      </c>
      <c r="AN210" s="1253">
        <f t="shared" si="161"/>
        <v>13687.941669523083</v>
      </c>
      <c r="AO210" s="1023">
        <f t="shared" si="162"/>
        <v>0</v>
      </c>
    </row>
  </sheetData>
  <mergeCells count="78">
    <mergeCell ref="CG94:CM94"/>
    <mergeCell ref="CM95:CM96"/>
    <mergeCell ref="BD94:BD96"/>
    <mergeCell ref="CD94:CE94"/>
    <mergeCell ref="BY94:CA94"/>
    <mergeCell ref="CB94:CC94"/>
    <mergeCell ref="BV94:BX94"/>
    <mergeCell ref="P134:P135"/>
    <mergeCell ref="Q134:Q135"/>
    <mergeCell ref="V134:V135"/>
    <mergeCell ref="S134:S135"/>
    <mergeCell ref="W134:W135"/>
    <mergeCell ref="A175:A176"/>
    <mergeCell ref="P174:P175"/>
    <mergeCell ref="Q174:Q175"/>
    <mergeCell ref="R174:R175"/>
    <mergeCell ref="S174:S175"/>
    <mergeCell ref="A174:D174"/>
    <mergeCell ref="E174:I174"/>
    <mergeCell ref="J174:L174"/>
    <mergeCell ref="M174:M175"/>
    <mergeCell ref="N174:O174"/>
    <mergeCell ref="BC94:BC95"/>
    <mergeCell ref="AB94:AB96"/>
    <mergeCell ref="V94:V95"/>
    <mergeCell ref="Q94:U94"/>
    <mergeCell ref="Z94:Z95"/>
    <mergeCell ref="AD94:AD96"/>
    <mergeCell ref="AC94:AC96"/>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G26:G27"/>
    <mergeCell ref="B26:B27"/>
    <mergeCell ref="A8:A9"/>
    <mergeCell ref="B8:F8"/>
    <mergeCell ref="G8:I8"/>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5"/>
  <cols>
    <col min="1" max="1" width="55.28515625" customWidth="1"/>
    <col min="2" max="2" width="33.7109375" customWidth="1"/>
    <col min="3" max="3" width="22.5703125" customWidth="1"/>
    <col min="4" max="4" width="31.28515625" customWidth="1"/>
    <col min="5" max="5" width="25.140625" customWidth="1"/>
    <col min="6" max="6" width="28.140625" customWidth="1"/>
    <col min="7" max="7" width="26.28515625" customWidth="1"/>
    <col min="8" max="8" width="19.7109375" customWidth="1"/>
    <col min="9" max="9" width="30.28515625" customWidth="1"/>
    <col min="10" max="10" width="25.28515625" customWidth="1"/>
    <col min="11" max="12" width="24.7109375" customWidth="1"/>
    <col min="13" max="13" width="23.7109375" customWidth="1"/>
    <col min="14" max="14" width="25.85546875" customWidth="1"/>
    <col min="15" max="15" width="26.140625" customWidth="1"/>
    <col min="16" max="16" width="19.85546875" customWidth="1"/>
    <col min="17" max="17" width="20.7109375" customWidth="1"/>
    <col min="18" max="18" width="19.28515625" customWidth="1"/>
    <col min="19" max="19" width="23.140625" customWidth="1"/>
    <col min="20" max="20" width="21.140625" customWidth="1"/>
    <col min="21" max="21" width="32.28515625" customWidth="1"/>
    <col min="22" max="22" width="20" customWidth="1"/>
    <col min="23" max="23" width="24.28515625" customWidth="1"/>
    <col min="24" max="24" width="20.28515625" customWidth="1"/>
    <col min="25" max="25" width="21.85546875" customWidth="1"/>
    <col min="26" max="26" width="17.28515625" customWidth="1"/>
    <col min="27" max="28" width="21.42578125" customWidth="1"/>
    <col min="29" max="29" width="32.28515625" customWidth="1"/>
    <col min="30" max="30" width="30.140625" customWidth="1"/>
    <col min="31" max="31" width="24.42578125" customWidth="1"/>
    <col min="32" max="32" width="29.42578125" customWidth="1"/>
    <col min="33" max="33" width="25.7109375" customWidth="1"/>
    <col min="34" max="34" width="22.7109375" customWidth="1"/>
    <col min="35" max="37" width="29.140625" customWidth="1"/>
    <col min="38" max="38" width="22.855468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9" max="69" width="15.5703125" customWidth="1"/>
    <col min="72" max="72" width="14.7109375" customWidth="1"/>
    <col min="73" max="73" width="13.28515625" customWidth="1"/>
    <col min="74" max="74" width="13.85546875" customWidth="1"/>
    <col min="75" max="75" width="14.5703125" customWidth="1"/>
    <col min="76" max="76" width="14.7109375" customWidth="1"/>
    <col min="77" max="77" width="18.28515625" customWidth="1"/>
    <col min="78" max="78" width="12.85546875" customWidth="1"/>
    <col min="79" max="79" width="19.28515625" customWidth="1"/>
    <col min="80" max="80" width="17" customWidth="1"/>
    <col min="81" max="82" width="17.7109375" customWidth="1"/>
    <col min="83" max="83" width="19.5703125" customWidth="1"/>
    <col min="90" max="90" width="14.425781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f>2017+10</f>
        <v>2027</v>
      </c>
      <c r="E4" s="521">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75" thickBot="1">
      <c r="A6" s="1515"/>
      <c r="B6" s="1501"/>
      <c r="C6" s="519">
        <v>0.8</v>
      </c>
      <c r="D6" s="123">
        <f>2017+30</f>
        <v>2047</v>
      </c>
      <c r="E6" s="519">
        <f t="shared" si="0"/>
        <v>0.8</v>
      </c>
      <c r="F6" s="123">
        <f>15+2017</f>
        <v>2032</v>
      </c>
      <c r="G6" s="519">
        <f t="shared" si="1"/>
        <v>0.8</v>
      </c>
      <c r="H6" s="123">
        <f t="shared" si="1"/>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2"/>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7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7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75">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7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75">
      <c r="A56" s="297" t="s">
        <v>550</v>
      </c>
      <c r="B56" s="351"/>
      <c r="C56" s="351"/>
      <c r="D56" s="351"/>
      <c r="E56" s="351"/>
      <c r="F56" s="351"/>
      <c r="G56" s="351"/>
      <c r="H56" s="351"/>
      <c r="I56" s="1130"/>
      <c r="J56" s="3"/>
      <c r="K56" s="3"/>
      <c r="L56" s="3"/>
      <c r="M56" s="3"/>
      <c r="N56" s="3"/>
      <c r="O56" s="3"/>
      <c r="P56" s="3"/>
      <c r="W56" s="277"/>
      <c r="Y56" s="266"/>
      <c r="Z56" s="266"/>
      <c r="AA56" s="266"/>
    </row>
    <row r="57" spans="1:28" ht="16.5"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75">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75">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75">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75">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75">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5"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5"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75">
      <c r="C81" s="299"/>
      <c r="D81" s="299"/>
      <c r="E81" s="299"/>
      <c r="F81" s="299"/>
      <c r="G81" s="299"/>
      <c r="H81" s="299"/>
      <c r="L81" s="299"/>
      <c r="M81" s="299"/>
      <c r="N81" s="299"/>
      <c r="O81" s="299"/>
      <c r="P81" s="299"/>
      <c r="R81" s="298"/>
      <c r="S81" s="298"/>
      <c r="Y81" s="664"/>
    </row>
    <row r="82" spans="1:91" ht="16.5" thickBot="1">
      <c r="C82" s="299"/>
      <c r="D82" s="299"/>
      <c r="E82" s="299"/>
      <c r="F82" s="299"/>
      <c r="G82" s="299"/>
      <c r="H82" s="299"/>
      <c r="L82" s="299"/>
      <c r="M82" s="299"/>
      <c r="N82" s="299"/>
      <c r="O82" s="299"/>
      <c r="P82" s="299"/>
      <c r="R82" s="298"/>
      <c r="S82" s="298"/>
      <c r="Y82" s="664"/>
    </row>
    <row r="83" spans="1:91" ht="15.75">
      <c r="A83" s="586" t="s">
        <v>613</v>
      </c>
      <c r="B83" s="101"/>
      <c r="C83" s="102"/>
      <c r="D83" s="112"/>
      <c r="E83" s="112"/>
      <c r="F83" s="112"/>
      <c r="G83" s="112"/>
      <c r="H83" s="299"/>
      <c r="L83" s="299"/>
      <c r="M83" s="299"/>
      <c r="N83" s="299"/>
      <c r="O83" s="299"/>
      <c r="P83" s="299"/>
      <c r="R83" s="298"/>
      <c r="S83" s="298"/>
      <c r="Y83" s="664"/>
    </row>
    <row r="84" spans="1:91" ht="15.75">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75">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5"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75">
      <c r="A87" s="112"/>
      <c r="B87" s="561"/>
      <c r="C87" s="561"/>
      <c r="D87" s="561"/>
      <c r="E87" s="561"/>
      <c r="F87" s="561"/>
      <c r="G87" s="561"/>
      <c r="H87" s="562"/>
      <c r="L87" s="299"/>
      <c r="M87" s="299"/>
      <c r="N87" s="299"/>
      <c r="O87" s="299"/>
      <c r="P87" s="299"/>
      <c r="R87" s="298"/>
      <c r="S87" s="298"/>
      <c r="Y87" s="664"/>
    </row>
    <row r="88" spans="1:91" ht="28.5">
      <c r="A88" s="609" t="s">
        <v>618</v>
      </c>
      <c r="B88" s="561"/>
      <c r="C88" s="561"/>
      <c r="D88" s="561"/>
      <c r="E88" s="561"/>
      <c r="F88" s="561"/>
      <c r="G88" s="561"/>
      <c r="H88" s="562"/>
      <c r="L88" s="299"/>
      <c r="M88" s="299"/>
      <c r="N88" s="299"/>
      <c r="O88" s="299"/>
      <c r="P88" s="299"/>
      <c r="R88" s="298"/>
      <c r="S88" s="298"/>
      <c r="Y88" s="664"/>
    </row>
    <row r="89" spans="1:91" ht="15.75">
      <c r="A89" s="112"/>
      <c r="B89" s="561"/>
      <c r="C89" s="561"/>
      <c r="D89" s="561"/>
      <c r="E89" s="561"/>
      <c r="F89" s="561"/>
      <c r="G89" s="561"/>
      <c r="H89" s="562"/>
      <c r="L89" s="299"/>
      <c r="M89" s="299"/>
      <c r="N89" s="299"/>
      <c r="O89" s="299"/>
      <c r="P89" s="299"/>
      <c r="R89" s="298"/>
      <c r="S89" s="298"/>
      <c r="X89" s="301"/>
      <c r="Y89" s="664"/>
    </row>
    <row r="90" spans="1:91" ht="23.25">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V93" s="659"/>
      <c r="CG93" s="1" t="s">
        <v>552</v>
      </c>
    </row>
    <row r="94" spans="1:91" ht="34.9"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629" t="s">
        <v>646</v>
      </c>
      <c r="BW94" s="1630"/>
      <c r="BX94" s="1631"/>
      <c r="BY94" s="1629" t="s">
        <v>650</v>
      </c>
      <c r="BZ94" s="1630"/>
      <c r="CA94" s="1631"/>
      <c r="CB94" s="1627" t="s">
        <v>647</v>
      </c>
      <c r="CC94" s="1628"/>
      <c r="CD94" s="1605" t="s">
        <v>651</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98" t="s">
        <v>736</v>
      </c>
    </row>
    <row r="96" spans="1:91" ht="30.75"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4436.7699999999986</v>
      </c>
      <c r="D99" s="204">
        <f>'Input data'!D119</f>
        <v>52992370.977903679</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113.54788737648573</v>
      </c>
      <c r="BW99" s="100">
        <f t="shared" si="59"/>
        <v>0.37621447580546824</v>
      </c>
      <c r="BX99" s="1385">
        <f t="shared" si="25"/>
        <v>52.992370977903676</v>
      </c>
      <c r="BY99" s="473">
        <f t="shared" si="60"/>
        <v>113.54788737648573</v>
      </c>
      <c r="BZ99" s="100">
        <f t="shared" si="61"/>
        <v>0.37621447580546824</v>
      </c>
      <c r="CA99" s="489">
        <f t="shared" si="26"/>
        <v>52.992370977903676</v>
      </c>
      <c r="CB99" s="579">
        <f t="shared" si="27"/>
        <v>4.2261345922522509E-2</v>
      </c>
      <c r="CC99" s="471">
        <f t="shared" si="62"/>
        <v>0.15548393155666862</v>
      </c>
      <c r="CD99" s="100">
        <f t="shared" si="28"/>
        <v>4.2261345922522509E-2</v>
      </c>
      <c r="CE99" s="471">
        <f t="shared" si="63"/>
        <v>0.15548393155666862</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59.308690000000006</v>
      </c>
      <c r="C100" s="204">
        <f>'Input data'!C120</f>
        <v>4157.24</v>
      </c>
      <c r="D100" s="204">
        <f>'Input data'!D120</f>
        <v>50781625.743101723</v>
      </c>
      <c r="E100" s="579">
        <f t="shared" si="71"/>
        <v>0.78061538461538471</v>
      </c>
      <c r="F100" s="100">
        <f t="shared" si="72"/>
        <v>0.30751923076923071</v>
      </c>
      <c r="G100" s="475">
        <f>B100*F100*'Input data'!$C$9</f>
        <v>558.22933891619243</v>
      </c>
      <c r="H100" s="301">
        <f>'Input data'!I120</f>
        <v>424.26313389388866</v>
      </c>
      <c r="I100" s="474">
        <f>'Input data'!K120</f>
        <v>25162.490686541139</v>
      </c>
      <c r="J100" s="474">
        <f>J97*0.81</f>
        <v>9026.6655003882443</v>
      </c>
      <c r="K100" s="475">
        <f t="shared" si="73"/>
        <v>2666.8081220502918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62.174809501571872</v>
      </c>
      <c r="R100" s="474">
        <f t="shared" si="32"/>
        <v>43.387514496329516</v>
      </c>
      <c r="S100" s="474">
        <f t="shared" si="33"/>
        <v>127.05661046635623</v>
      </c>
      <c r="T100" s="474">
        <f t="shared" si="34"/>
        <v>85.551967685751606</v>
      </c>
      <c r="U100" s="475">
        <f t="shared" si="35"/>
        <v>0</v>
      </c>
      <c r="V100" s="474">
        <f t="shared" si="9"/>
        <v>318.17090215000923</v>
      </c>
      <c r="W100" s="579">
        <f>($N$142-$N$137)/($A$102-$A$97)+W99</f>
        <v>0.2</v>
      </c>
      <c r="X100" s="475">
        <f t="shared" si="36"/>
        <v>1213.3941881208284</v>
      </c>
      <c r="Y100" s="474">
        <f t="shared" si="77"/>
        <v>1531.5650902708376</v>
      </c>
      <c r="Z100" s="474">
        <f t="shared" si="78"/>
        <v>10161.908532167698</v>
      </c>
      <c r="AA100" s="475">
        <f t="shared" si="79"/>
        <v>1135.2430317794533</v>
      </c>
      <c r="AB100" s="938">
        <f t="shared" si="37"/>
        <v>0.11171553337503697</v>
      </c>
      <c r="AC100" s="118" t="str">
        <f t="shared" si="38"/>
        <v>Yes</v>
      </c>
      <c r="AD100" s="938">
        <f t="shared" si="39"/>
        <v>0.11171553337503697</v>
      </c>
      <c r="AE100" s="579">
        <f t="shared" si="10"/>
        <v>6.3097402659273327E-2</v>
      </c>
      <c r="AF100" s="475">
        <f t="shared" si="11"/>
        <v>397.49323210110077</v>
      </c>
      <c r="AG100" s="473">
        <f t="shared" si="40"/>
        <v>9026.6655003882443</v>
      </c>
      <c r="AH100" s="474">
        <f t="shared" si="80"/>
        <v>7215.5760361663397</v>
      </c>
      <c r="AI100" s="474">
        <f t="shared" si="81"/>
        <v>4617.5691834333375</v>
      </c>
      <c r="AJ100" s="474">
        <f t="shared" si="12"/>
        <v>2714.9921597943135</v>
      </c>
      <c r="AK100" s="474">
        <f t="shared" si="41"/>
        <v>23574.802879782237</v>
      </c>
      <c r="AL100" s="640">
        <f t="shared" si="13"/>
        <v>0</v>
      </c>
      <c r="AM100" s="100">
        <f t="shared" si="42"/>
        <v>0.38289463315638228</v>
      </c>
      <c r="AN100" s="100">
        <f t="shared" si="43"/>
        <v>0.30607153209134236</v>
      </c>
      <c r="AO100" s="100">
        <f t="shared" si="44"/>
        <v>0.19586883534001326</v>
      </c>
      <c r="AP100" s="100">
        <f t="shared" si="45"/>
        <v>0.11516499941226198</v>
      </c>
      <c r="AQ100" s="100">
        <f t="shared" si="46"/>
        <v>0.99999999999999989</v>
      </c>
      <c r="AR100" s="473">
        <f t="shared" si="14"/>
        <v>2017.8652163457427</v>
      </c>
      <c r="AS100" s="474">
        <f t="shared" si="15"/>
        <v>2559.1990007498525</v>
      </c>
      <c r="AT100" s="474">
        <f t="shared" si="16"/>
        <v>557.59353532799946</v>
      </c>
      <c r="AU100" s="474">
        <f t="shared" si="17"/>
        <v>0</v>
      </c>
      <c r="AV100" s="474">
        <f t="shared" si="18"/>
        <v>0</v>
      </c>
      <c r="AW100" s="474">
        <f t="shared" si="19"/>
        <v>0</v>
      </c>
      <c r="AX100" s="474">
        <f t="shared" si="20"/>
        <v>2608.3793991678872</v>
      </c>
      <c r="AY100" s="474">
        <f t="shared" si="21"/>
        <v>338.57173496576468</v>
      </c>
      <c r="AZ100" s="474">
        <f t="shared" si="22"/>
        <v>435.26820826636424</v>
      </c>
      <c r="BA100" s="474">
        <f t="shared" si="23"/>
        <v>405.8558446188876</v>
      </c>
      <c r="BB100" s="474">
        <f t="shared" si="24"/>
        <v>103.93256094574485</v>
      </c>
      <c r="BC100" s="475">
        <f t="shared" si="47"/>
        <v>9026.6655003882424</v>
      </c>
      <c r="BD100" s="647">
        <f t="shared" si="48"/>
        <v>0</v>
      </c>
      <c r="BE100" s="383">
        <f t="shared" si="49"/>
        <v>0.22354491991078579</v>
      </c>
      <c r="BF100" s="383">
        <f t="shared" si="50"/>
        <v>0.28351543553262054</v>
      </c>
      <c r="BG100" s="383">
        <f t="shared" si="51"/>
        <v>6.1771817655591317E-2</v>
      </c>
      <c r="BH100" s="383">
        <f t="shared" si="52"/>
        <v>0</v>
      </c>
      <c r="BI100" s="383">
        <f t="shared" si="53"/>
        <v>0</v>
      </c>
      <c r="BJ100" s="383">
        <f t="shared" si="54"/>
        <v>0</v>
      </c>
      <c r="BK100" s="383">
        <f t="shared" si="55"/>
        <v>0.43116782690100253</v>
      </c>
      <c r="BL100" s="383">
        <f t="shared" si="56"/>
        <v>1.0000000000000002</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107.71993373767972</v>
      </c>
      <c r="BW100" s="100">
        <f t="shared" si="59"/>
        <v>0.40157009918946829</v>
      </c>
      <c r="BX100" s="1385">
        <f t="shared" si="25"/>
        <v>50.781625743101721</v>
      </c>
      <c r="BY100" s="473">
        <f t="shared" si="60"/>
        <v>107.71993373767972</v>
      </c>
      <c r="BZ100" s="100">
        <f t="shared" si="61"/>
        <v>0.40157009918946829</v>
      </c>
      <c r="CA100" s="489">
        <f t="shared" si="26"/>
        <v>50.781625743101721</v>
      </c>
      <c r="CB100" s="579">
        <f t="shared" si="27"/>
        <v>6.3097402659273327E-2</v>
      </c>
      <c r="CC100" s="471">
        <f t="shared" si="62"/>
        <v>0.16520675080924352</v>
      </c>
      <c r="CD100" s="100">
        <f t="shared" si="28"/>
        <v>6.3097402659273327E-2</v>
      </c>
      <c r="CE100" s="471">
        <f t="shared" si="63"/>
        <v>0.16520675080924352</v>
      </c>
      <c r="CG100" s="473">
        <f t="shared" si="64"/>
        <v>1364.3916529511498</v>
      </c>
      <c r="CH100" s="474">
        <f t="shared" si="65"/>
        <v>547.44573505593632</v>
      </c>
      <c r="CI100" s="474">
        <f t="shared" si="66"/>
        <v>2212.2267992546454</v>
      </c>
      <c r="CJ100" s="474">
        <f t="shared" si="67"/>
        <v>3051.3535141251637</v>
      </c>
      <c r="CK100" s="474">
        <f t="shared" si="68"/>
        <v>40.158334779443209</v>
      </c>
      <c r="CL100" s="474">
        <f t="shared" si="69"/>
        <v>7215.5760361663388</v>
      </c>
      <c r="CM100" s="576">
        <f t="shared" si="70"/>
        <v>0</v>
      </c>
    </row>
    <row r="101" spans="1:91">
      <c r="A101" s="89">
        <f>'Input data'!A121</f>
        <v>2021</v>
      </c>
      <c r="B101" s="152">
        <f>'Input data'!B121</f>
        <v>60.158036186957922</v>
      </c>
      <c r="C101" s="204">
        <f>'Input data'!C121</f>
        <v>4296.6100000000006</v>
      </c>
      <c r="D101" s="204">
        <f>'Input data'!D121</f>
        <v>50787753.059423499</v>
      </c>
      <c r="E101" s="579">
        <f t="shared" si="71"/>
        <v>0.80255384615384628</v>
      </c>
      <c r="F101" s="100">
        <f t="shared" si="72"/>
        <v>0.31349230769230763</v>
      </c>
      <c r="G101" s="475">
        <f>B101*F101*'Input data'!$C$9</f>
        <v>577.22161590038002</v>
      </c>
      <c r="H101" s="301">
        <f>'Input data'!I121</f>
        <v>424.26313389388866</v>
      </c>
      <c r="I101" s="474">
        <f>'Input data'!K121</f>
        <v>25522.836961580728</v>
      </c>
      <c r="J101" s="474">
        <f>J97*0.65</f>
        <v>7243.6204632745166</v>
      </c>
      <c r="K101" s="475">
        <f t="shared" si="73"/>
        <v>4617.3127208827345</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84.086934307327965</v>
      </c>
      <c r="R101" s="474">
        <f t="shared" si="32"/>
        <v>58.678476226274199</v>
      </c>
      <c r="S101" s="474">
        <f t="shared" si="33"/>
        <v>171.8348788398971</v>
      </c>
      <c r="T101" s="474">
        <f t="shared" si="34"/>
        <v>115.70285046828531</v>
      </c>
      <c r="U101" s="475">
        <f t="shared" si="35"/>
        <v>0</v>
      </c>
      <c r="V101" s="474">
        <f t="shared" si="9"/>
        <v>430.30313984178457</v>
      </c>
      <c r="W101" s="579">
        <v>0.4</v>
      </c>
      <c r="X101" s="475">
        <f t="shared" si="36"/>
        <v>2426.7883762416568</v>
      </c>
      <c r="Y101" s="474">
        <f t="shared" si="77"/>
        <v>2857.0915160834415</v>
      </c>
      <c r="Z101" s="474">
        <f t="shared" si="78"/>
        <v>9003.8416680738101</v>
      </c>
      <c r="AA101" s="475">
        <f t="shared" si="79"/>
        <v>1760.2212047992934</v>
      </c>
      <c r="AB101" s="938">
        <f t="shared" si="37"/>
        <v>0.19549668571369461</v>
      </c>
      <c r="AC101" s="118" t="str">
        <f t="shared" si="38"/>
        <v>Yes</v>
      </c>
      <c r="AD101" s="938">
        <f t="shared" si="39"/>
        <v>0.19549668571369461</v>
      </c>
      <c r="AE101" s="579">
        <f t="shared" si="10"/>
        <v>9.9034262897181091E-2</v>
      </c>
      <c r="AF101" s="475">
        <f t="shared" si="11"/>
        <v>382.24654715425936</v>
      </c>
      <c r="AG101" s="473">
        <f t="shared" si="40"/>
        <v>7243.6204632745166</v>
      </c>
      <c r="AH101" s="474">
        <f t="shared" si="80"/>
        <v>7426.4844355045898</v>
      </c>
      <c r="AI101" s="474">
        <f t="shared" si="81"/>
        <v>5830.9633715541659</v>
      </c>
      <c r="AJ101" s="474">
        <f t="shared" si="12"/>
        <v>2494.1333457123815</v>
      </c>
      <c r="AK101" s="474">
        <f t="shared" si="41"/>
        <v>22995.201616045651</v>
      </c>
      <c r="AL101" s="640">
        <f t="shared" si="13"/>
        <v>0</v>
      </c>
      <c r="AM101" s="100">
        <f t="shared" si="42"/>
        <v>0.31500573833716877</v>
      </c>
      <c r="AN101" s="100">
        <f t="shared" si="43"/>
        <v>0.32295800487013421</v>
      </c>
      <c r="AO101" s="100">
        <f t="shared" si="44"/>
        <v>0.25357304836524769</v>
      </c>
      <c r="AP101" s="100">
        <f t="shared" si="45"/>
        <v>0.10846320842744943</v>
      </c>
      <c r="AQ101" s="100">
        <f t="shared" si="46"/>
        <v>1.0000000000000002</v>
      </c>
      <c r="AR101" s="473">
        <f t="shared" si="14"/>
        <v>1429.5163495883612</v>
      </c>
      <c r="AS101" s="474">
        <f t="shared" si="15"/>
        <v>1813.013467791139</v>
      </c>
      <c r="AT101" s="474">
        <f t="shared" si="16"/>
        <v>495.32243768712476</v>
      </c>
      <c r="AU101" s="474">
        <f t="shared" si="17"/>
        <v>0</v>
      </c>
      <c r="AV101" s="474">
        <f t="shared" si="18"/>
        <v>0</v>
      </c>
      <c r="AW101" s="474">
        <f t="shared" si="19"/>
        <v>0</v>
      </c>
      <c r="AX101" s="474">
        <f t="shared" si="20"/>
        <v>2396.1933054814863</v>
      </c>
      <c r="AY101" s="474">
        <f t="shared" si="21"/>
        <v>299.2278902272858</v>
      </c>
      <c r="AZ101" s="474">
        <f t="shared" si="22"/>
        <v>365.29963669531679</v>
      </c>
      <c r="BA101" s="474">
        <f t="shared" si="23"/>
        <v>349.56950673337764</v>
      </c>
      <c r="BB101" s="474">
        <f t="shared" si="24"/>
        <v>95.477869070423097</v>
      </c>
      <c r="BC101" s="475">
        <f t="shared" si="47"/>
        <v>7243.6204632745139</v>
      </c>
      <c r="BD101" s="647">
        <f t="shared" si="48"/>
        <v>0</v>
      </c>
      <c r="BE101" s="383">
        <f t="shared" si="49"/>
        <v>0.19734832282227849</v>
      </c>
      <c r="BF101" s="383">
        <f t="shared" si="50"/>
        <v>0.25029106328571465</v>
      </c>
      <c r="BG101" s="383">
        <f t="shared" si="51"/>
        <v>6.8380506709101077E-2</v>
      </c>
      <c r="BH101" s="383">
        <f t="shared" si="52"/>
        <v>0</v>
      </c>
      <c r="BI101" s="383">
        <f t="shared" si="53"/>
        <v>0</v>
      </c>
      <c r="BJ101" s="383">
        <f t="shared" si="54"/>
        <v>0</v>
      </c>
      <c r="BK101" s="383">
        <f t="shared" si="55"/>
        <v>0.48398010718290579</v>
      </c>
      <c r="BL101" s="383">
        <f t="shared" si="56"/>
        <v>1</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98.528476167232299</v>
      </c>
      <c r="BW101" s="100">
        <f t="shared" si="59"/>
        <v>0.47497989513788669</v>
      </c>
      <c r="BX101" s="1385">
        <f t="shared" si="25"/>
        <v>50.787753059423501</v>
      </c>
      <c r="BY101" s="473">
        <f t="shared" si="60"/>
        <v>98.528476167232299</v>
      </c>
      <c r="BZ101" s="100">
        <f t="shared" si="61"/>
        <v>0.47497989513788669</v>
      </c>
      <c r="CA101" s="489">
        <f t="shared" si="26"/>
        <v>50.787753059423501</v>
      </c>
      <c r="CB101" s="579">
        <f t="shared" si="27"/>
        <v>9.9034262897181091E-2</v>
      </c>
      <c r="CC101" s="471">
        <f t="shared" si="62"/>
        <v>0.26294952622596801</v>
      </c>
      <c r="CD101" s="100">
        <f t="shared" si="28"/>
        <v>9.9034262897181091E-2</v>
      </c>
      <c r="CE101" s="471">
        <f t="shared" si="63"/>
        <v>0.26294952622596801</v>
      </c>
      <c r="CG101" s="473">
        <f t="shared" si="64"/>
        <v>1404.9525273849333</v>
      </c>
      <c r="CH101" s="474">
        <f t="shared" si="65"/>
        <v>569.9551992960038</v>
      </c>
      <c r="CI101" s="474">
        <f t="shared" si="66"/>
        <v>2286.8663130714031</v>
      </c>
      <c r="CJ101" s="474">
        <f t="shared" si="67"/>
        <v>3123.9769626437169</v>
      </c>
      <c r="CK101" s="474">
        <f t="shared" si="68"/>
        <v>40.733433108532914</v>
      </c>
      <c r="CL101" s="474">
        <f t="shared" si="69"/>
        <v>7426.4844355045898</v>
      </c>
      <c r="CM101" s="576">
        <f t="shared" si="70"/>
        <v>0</v>
      </c>
    </row>
    <row r="102" spans="1:91" s="1" customFormat="1">
      <c r="A102" s="89">
        <f>'Input data'!A122</f>
        <v>2022</v>
      </c>
      <c r="B102" s="152">
        <f>'Input data'!B122</f>
        <v>60.963559588769527</v>
      </c>
      <c r="C102" s="204">
        <f>'Input data'!C122</f>
        <v>4408.5100000000011</v>
      </c>
      <c r="D102" s="204">
        <f>'Input data'!D122</f>
        <v>50359792.847133145</v>
      </c>
      <c r="E102" s="579">
        <f t="shared" si="71"/>
        <v>0.82449230769230786</v>
      </c>
      <c r="F102" s="100">
        <f t="shared" si="72"/>
        <v>0.31946538461538454</v>
      </c>
      <c r="G102" s="475">
        <f>B102*F102*'Input data'!$C$9</f>
        <v>596.09595021552889</v>
      </c>
      <c r="H102" s="301">
        <f>'Input data'!I122</f>
        <v>424.26313389388866</v>
      </c>
      <c r="I102" s="474">
        <f>'Input data'!K122</f>
        <v>25864.590844458187</v>
      </c>
      <c r="J102" s="474">
        <f>J97*(1-$G$4)</f>
        <v>5572.0157409803969</v>
      </c>
      <c r="K102" s="475">
        <f t="shared" si="73"/>
        <v>6447.736777263327</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106.51608569698215</v>
      </c>
      <c r="R102" s="474">
        <f t="shared" si="32"/>
        <v>74.330235175924031</v>
      </c>
      <c r="S102" s="474">
        <f t="shared" si="33"/>
        <v>217.66971088926948</v>
      </c>
      <c r="T102" s="474">
        <f t="shared" si="34"/>
        <v>146.56515708875077</v>
      </c>
      <c r="U102" s="475">
        <f t="shared" si="35"/>
        <v>0</v>
      </c>
      <c r="V102" s="474">
        <f t="shared" si="9"/>
        <v>545.08118885092642</v>
      </c>
      <c r="W102" s="579">
        <f>$E$26</f>
        <v>0.5</v>
      </c>
      <c r="X102" s="475">
        <f t="shared" si="36"/>
        <v>3033.4854703020706</v>
      </c>
      <c r="Y102" s="474">
        <f t="shared" si="77"/>
        <v>3578.5666591529971</v>
      </c>
      <c r="Z102" s="474">
        <f t="shared" si="78"/>
        <v>8441.1858590907268</v>
      </c>
      <c r="AA102" s="475">
        <f t="shared" si="79"/>
        <v>2869.1701181103299</v>
      </c>
      <c r="AB102" s="938">
        <f t="shared" si="37"/>
        <v>0.3399013084186957</v>
      </c>
      <c r="AC102" s="118" t="str">
        <f t="shared" si="38"/>
        <v>Yes</v>
      </c>
      <c r="AD102" s="938">
        <f t="shared" si="39"/>
        <v>0.3399013084186957</v>
      </c>
      <c r="AE102" s="579">
        <f t="shared" si="10"/>
        <v>0.1603010975891157</v>
      </c>
      <c r="AF102" s="475">
        <f t="shared" si="11"/>
        <v>356.25328786410034</v>
      </c>
      <c r="AG102" s="473">
        <f t="shared" si="40"/>
        <v>5572.0157409803969</v>
      </c>
      <c r="AH102" s="474">
        <f t="shared" si="80"/>
        <v>7634.9422007108979</v>
      </c>
      <c r="AI102" s="474">
        <f t="shared" si="81"/>
        <v>6437.6604656145792</v>
      </c>
      <c r="AJ102" s="474">
        <f t="shared" si="12"/>
        <v>2073.8501360922724</v>
      </c>
      <c r="AK102" s="474">
        <f t="shared" si="41"/>
        <v>21718.468543398147</v>
      </c>
      <c r="AL102" s="640">
        <f t="shared" si="13"/>
        <v>0</v>
      </c>
      <c r="AM102" s="100">
        <f t="shared" si="42"/>
        <v>0.25655656750596006</v>
      </c>
      <c r="AN102" s="100">
        <f t="shared" si="43"/>
        <v>0.35154146276265519</v>
      </c>
      <c r="AO102" s="100">
        <f t="shared" si="44"/>
        <v>0.29641410731842149</v>
      </c>
      <c r="AP102" s="100">
        <f t="shared" si="45"/>
        <v>9.548786241296324E-2</v>
      </c>
      <c r="AQ102" s="100">
        <f t="shared" si="46"/>
        <v>0.99999999999999989</v>
      </c>
      <c r="AR102" s="473">
        <f t="shared" si="14"/>
        <v>1021.5294799037745</v>
      </c>
      <c r="AS102" s="474">
        <f t="shared" si="15"/>
        <v>1295.5757416447391</v>
      </c>
      <c r="AT102" s="474">
        <f t="shared" si="16"/>
        <v>397.79406354883503</v>
      </c>
      <c r="AU102" s="474">
        <f t="shared" si="17"/>
        <v>0</v>
      </c>
      <c r="AV102" s="474">
        <f t="shared" si="18"/>
        <v>0</v>
      </c>
      <c r="AW102" s="474">
        <f t="shared" si="19"/>
        <v>0</v>
      </c>
      <c r="AX102" s="474">
        <f t="shared" si="20"/>
        <v>1992.4138463642621</v>
      </c>
      <c r="AY102" s="474">
        <f t="shared" si="21"/>
        <v>238.99232421668012</v>
      </c>
      <c r="AZ102" s="474">
        <f t="shared" si="22"/>
        <v>275.00676539642268</v>
      </c>
      <c r="BA102" s="474">
        <f t="shared" si="23"/>
        <v>271.31450403534438</v>
      </c>
      <c r="BB102" s="474">
        <f t="shared" si="24"/>
        <v>79.389015870337047</v>
      </c>
      <c r="BC102" s="475">
        <f t="shared" si="47"/>
        <v>5572.0157409803942</v>
      </c>
      <c r="BD102" s="647">
        <f t="shared" si="48"/>
        <v>0</v>
      </c>
      <c r="BE102" s="383">
        <f t="shared" si="49"/>
        <v>0.18333212384716571</v>
      </c>
      <c r="BF102" s="383">
        <f t="shared" si="50"/>
        <v>0.23251473109025766</v>
      </c>
      <c r="BG102" s="383">
        <f t="shared" si="51"/>
        <v>7.1391410584716569E-2</v>
      </c>
      <c r="BH102" s="383">
        <f t="shared" si="52"/>
        <v>0</v>
      </c>
      <c r="BI102" s="383">
        <f t="shared" si="53"/>
        <v>0</v>
      </c>
      <c r="BJ102" s="383">
        <f t="shared" si="54"/>
        <v>0</v>
      </c>
      <c r="BK102" s="383">
        <f t="shared" si="55"/>
        <v>0.51276173447786022</v>
      </c>
      <c r="BL102" s="383">
        <f t="shared" si="56"/>
        <v>1</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95.435016155135301</v>
      </c>
      <c r="BW102" s="100">
        <f t="shared" si="59"/>
        <v>0.51509680516620993</v>
      </c>
      <c r="BX102" s="1385">
        <f t="shared" si="25"/>
        <v>50.359792847133143</v>
      </c>
      <c r="BY102" s="473">
        <f t="shared" si="60"/>
        <v>95.435016155135301</v>
      </c>
      <c r="BZ102" s="100">
        <f t="shared" si="61"/>
        <v>0.51509680516620993</v>
      </c>
      <c r="CA102" s="489">
        <f t="shared" si="26"/>
        <v>50.359792847133143</v>
      </c>
      <c r="CB102" s="579">
        <f t="shared" si="27"/>
        <v>0.1603010975891157</v>
      </c>
      <c r="CC102" s="471">
        <f t="shared" si="62"/>
        <v>0.28706558067926824</v>
      </c>
      <c r="CD102" s="100">
        <f t="shared" si="28"/>
        <v>0.1603010975891157</v>
      </c>
      <c r="CE102" s="471">
        <f t="shared" si="63"/>
        <v>0.28706558067926824</v>
      </c>
      <c r="CG102" s="473">
        <f t="shared" si="64"/>
        <v>1445.0682292890549</v>
      </c>
      <c r="CH102" s="474">
        <f t="shared" si="65"/>
        <v>592.45301558626056</v>
      </c>
      <c r="CI102" s="474">
        <f t="shared" si="66"/>
        <v>2361.0216725819091</v>
      </c>
      <c r="CJ102" s="474">
        <f t="shared" si="67"/>
        <v>3195.1204245347844</v>
      </c>
      <c r="CK102" s="474">
        <f t="shared" si="68"/>
        <v>41.278858718888266</v>
      </c>
      <c r="CL102" s="474">
        <f t="shared" si="69"/>
        <v>7634.9422007108969</v>
      </c>
      <c r="CM102" s="576">
        <f t="shared" si="70"/>
        <v>0</v>
      </c>
    </row>
    <row r="103" spans="1:91">
      <c r="A103" s="89">
        <f>'Input data'!A123</f>
        <v>2023</v>
      </c>
      <c r="B103" s="152">
        <f>'Input data'!B123</f>
        <v>61.723133308607778</v>
      </c>
      <c r="C103" s="204">
        <f>'Input data'!C123</f>
        <v>4511.7199999999984</v>
      </c>
      <c r="D103" s="204">
        <f>'Input data'!D123</f>
        <v>49422822.449545562</v>
      </c>
      <c r="E103" s="579">
        <f t="shared" si="71"/>
        <v>0.84643076923076943</v>
      </c>
      <c r="F103" s="100">
        <f t="shared" si="72"/>
        <v>0.32543846153846145</v>
      </c>
      <c r="G103" s="475">
        <f>B103*F103*'Input data'!$C$9</f>
        <v>614.8071215801873</v>
      </c>
      <c r="H103" s="301">
        <f>'Input data'!I123</f>
        <v>424.26313389388866</v>
      </c>
      <c r="I103" s="474">
        <f>'Input data'!K123</f>
        <v>26186.849971260202</v>
      </c>
      <c r="J103" s="474">
        <f>($J$107-$J$102)/($A$107-$A$102)+J102</f>
        <v>5237.6947965215732</v>
      </c>
      <c r="K103" s="475">
        <f t="shared" si="73"/>
        <v>6931.8174830189528</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129.4118637691306</v>
      </c>
      <c r="R103" s="474">
        <f t="shared" si="32"/>
        <v>90.307620727623316</v>
      </c>
      <c r="S103" s="474">
        <f t="shared" si="33"/>
        <v>264.45811248081009</v>
      </c>
      <c r="T103" s="474">
        <f t="shared" si="34"/>
        <v>178.06953774502108</v>
      </c>
      <c r="U103" s="475">
        <f t="shared" si="35"/>
        <v>0</v>
      </c>
      <c r="V103" s="474">
        <f t="shared" si="9"/>
        <v>662.24713472258509</v>
      </c>
      <c r="W103" s="579">
        <f>($N$147-$N$142)/($A$107-$A$102)+W102</f>
        <v>0.5</v>
      </c>
      <c r="X103" s="475">
        <f t="shared" si="36"/>
        <v>3033.4854703020706</v>
      </c>
      <c r="Y103" s="474">
        <f t="shared" si="77"/>
        <v>3695.7326050246556</v>
      </c>
      <c r="Z103" s="474">
        <f t="shared" si="78"/>
        <v>8473.7796745158703</v>
      </c>
      <c r="AA103" s="475">
        <f t="shared" si="79"/>
        <v>3236.0848779942971</v>
      </c>
      <c r="AB103" s="938">
        <f t="shared" si="37"/>
        <v>0.38189391302284281</v>
      </c>
      <c r="AC103" s="118" t="str">
        <f t="shared" si="38"/>
        <v>Yes</v>
      </c>
      <c r="AD103" s="938">
        <f t="shared" si="39"/>
        <v>0.38189391302284281</v>
      </c>
      <c r="AE103" s="579">
        <f t="shared" si="10"/>
        <v>0.17966783027035704</v>
      </c>
      <c r="AF103" s="475">
        <f t="shared" si="11"/>
        <v>348.03669716347173</v>
      </c>
      <c r="AG103" s="473">
        <f t="shared" si="40"/>
        <v>5237.6947965215732</v>
      </c>
      <c r="AH103" s="474">
        <f t="shared" si="80"/>
        <v>7840.4440662408088</v>
      </c>
      <c r="AI103" s="474">
        <f t="shared" si="81"/>
        <v>6437.6604656145792</v>
      </c>
      <c r="AJ103" s="474">
        <f t="shared" si="12"/>
        <v>1966.1161269315601</v>
      </c>
      <c r="AK103" s="474">
        <f t="shared" si="41"/>
        <v>21481.915455308521</v>
      </c>
      <c r="AL103" s="640">
        <f t="shared" si="13"/>
        <v>0</v>
      </c>
      <c r="AM103" s="100">
        <f t="shared" si="42"/>
        <v>0.243818797602951</v>
      </c>
      <c r="AN103" s="100">
        <f t="shared" si="43"/>
        <v>0.36497881590458037</v>
      </c>
      <c r="AO103" s="100">
        <f t="shared" si="44"/>
        <v>0.29967813992228198</v>
      </c>
      <c r="AP103" s="100">
        <f t="shared" si="45"/>
        <v>9.1524246570186638E-2</v>
      </c>
      <c r="AQ103" s="100">
        <f t="shared" si="46"/>
        <v>1</v>
      </c>
      <c r="AR103" s="473">
        <f t="shared" si="14"/>
        <v>978.76160478670909</v>
      </c>
      <c r="AS103" s="474">
        <f t="shared" si="15"/>
        <v>1241.3345057201709</v>
      </c>
      <c r="AT103" s="474">
        <f t="shared" si="16"/>
        <v>363.79743240028193</v>
      </c>
      <c r="AU103" s="474">
        <f t="shared" si="17"/>
        <v>0</v>
      </c>
      <c r="AV103" s="474">
        <f t="shared" si="18"/>
        <v>0</v>
      </c>
      <c r="AW103" s="474">
        <f t="shared" si="19"/>
        <v>0</v>
      </c>
      <c r="AX103" s="474">
        <f t="shared" si="20"/>
        <v>1888.9103540720944</v>
      </c>
      <c r="AY103" s="474">
        <f t="shared" si="21"/>
        <v>217.27368002051082</v>
      </c>
      <c r="AZ103" s="474">
        <f t="shared" si="22"/>
        <v>233.47663465606965</v>
      </c>
      <c r="BA103" s="474">
        <f t="shared" si="23"/>
        <v>238.87573246033949</v>
      </c>
      <c r="BB103" s="474">
        <f t="shared" si="24"/>
        <v>75.26485240539597</v>
      </c>
      <c r="BC103" s="475">
        <f t="shared" si="47"/>
        <v>5237.6947965215722</v>
      </c>
      <c r="BD103" s="647">
        <f t="shared" si="48"/>
        <v>0</v>
      </c>
      <c r="BE103" s="383">
        <f t="shared" si="49"/>
        <v>0.18686877391877027</v>
      </c>
      <c r="BF103" s="383">
        <f t="shared" si="50"/>
        <v>0.23700016017438794</v>
      </c>
      <c r="BG103" s="383">
        <f t="shared" si="51"/>
        <v>6.9457546980760509E-2</v>
      </c>
      <c r="BH103" s="383">
        <f t="shared" si="52"/>
        <v>0</v>
      </c>
      <c r="BI103" s="383">
        <f t="shared" si="53"/>
        <v>0</v>
      </c>
      <c r="BJ103" s="383">
        <f t="shared" si="54"/>
        <v>0</v>
      </c>
      <c r="BK103" s="383">
        <f t="shared" si="55"/>
        <v>0.50667351892608126</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94.790706690904059</v>
      </c>
      <c r="BW103" s="100">
        <f t="shared" si="59"/>
        <v>0.53689154564038388</v>
      </c>
      <c r="BX103" s="1385">
        <f t="shared" si="25"/>
        <v>49.422822449545563</v>
      </c>
      <c r="BY103" s="473">
        <f t="shared" si="60"/>
        <v>94.790706690904059</v>
      </c>
      <c r="BZ103" s="100">
        <f t="shared" si="61"/>
        <v>0.53689154564038388</v>
      </c>
      <c r="CA103" s="489">
        <f t="shared" si="26"/>
        <v>49.422822449545563</v>
      </c>
      <c r="CB103" s="579">
        <f t="shared" si="27"/>
        <v>0.17966783027035704</v>
      </c>
      <c r="CC103" s="471">
        <f t="shared" si="62"/>
        <v>0.29309262580641682</v>
      </c>
      <c r="CD103" s="100">
        <f t="shared" si="28"/>
        <v>0.17966783027035704</v>
      </c>
      <c r="CE103" s="471">
        <f t="shared" si="63"/>
        <v>0.29309262580641682</v>
      </c>
      <c r="CG103" s="473">
        <f t="shared" si="64"/>
        <v>1484.6416593514095</v>
      </c>
      <c r="CH103" s="474">
        <f t="shared" si="65"/>
        <v>614.88593704012726</v>
      </c>
      <c r="CI103" s="474">
        <f t="shared" si="66"/>
        <v>2434.5151063836329</v>
      </c>
      <c r="CJ103" s="474">
        <f t="shared" si="67"/>
        <v>3264.6081919920612</v>
      </c>
      <c r="CK103" s="474">
        <f t="shared" si="68"/>
        <v>41.793171473577871</v>
      </c>
      <c r="CL103" s="474">
        <f t="shared" si="69"/>
        <v>7840.4440662408097</v>
      </c>
      <c r="CM103" s="576">
        <f t="shared" si="70"/>
        <v>0</v>
      </c>
    </row>
    <row r="104" spans="1:91">
      <c r="A104" s="89">
        <f>'Input data'!A124</f>
        <v>2024</v>
      </c>
      <c r="B104" s="152">
        <f>'Input data'!B124</f>
        <v>62.434728280060035</v>
      </c>
      <c r="C104" s="204">
        <f>'Input data'!C124</f>
        <v>4622.4800000000005</v>
      </c>
      <c r="D104" s="204">
        <f>'Input data'!D124</f>
        <v>49894033.579494402</v>
      </c>
      <c r="E104" s="579">
        <f t="shared" si="71"/>
        <v>0.868369230769231</v>
      </c>
      <c r="F104" s="100">
        <f t="shared" si="72"/>
        <v>0.33141153846153837</v>
      </c>
      <c r="G104" s="475">
        <f>B104*F104*'Input data'!$C$9</f>
        <v>633.30934671551393</v>
      </c>
      <c r="H104" s="301">
        <f>'Input data'!I124</f>
        <v>424.26313389388866</v>
      </c>
      <c r="I104" s="474">
        <f>'Input data'!K124</f>
        <v>26488.753483911667</v>
      </c>
      <c r="J104" s="474">
        <f t="shared" ref="J104:J106" si="84">($J$107-$J$102)/($A$107-$A$102)+J103</f>
        <v>4903.3738520627494</v>
      </c>
      <c r="K104" s="475">
        <f t="shared" si="73"/>
        <v>7406.4385593562047</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152.72113501785225</v>
      </c>
      <c r="R104" s="474">
        <f t="shared" si="32"/>
        <v>106.57355466952356</v>
      </c>
      <c r="S104" s="474">
        <f t="shared" si="33"/>
        <v>312.0915032550688</v>
      </c>
      <c r="T104" s="474">
        <f t="shared" si="34"/>
        <v>210.14288122022117</v>
      </c>
      <c r="U104" s="475">
        <f t="shared" si="35"/>
        <v>0</v>
      </c>
      <c r="V104" s="474">
        <f t="shared" si="9"/>
        <v>781.52907416266578</v>
      </c>
      <c r="W104" s="579">
        <f>($N$147-$N$142)/($A$107-$A$102)+W103</f>
        <v>0.5</v>
      </c>
      <c r="X104" s="475">
        <f t="shared" si="36"/>
        <v>3033.4854703020706</v>
      </c>
      <c r="Y104" s="474">
        <f t="shared" si="77"/>
        <v>3815.0145444647364</v>
      </c>
      <c r="Z104" s="474">
        <f t="shared" si="78"/>
        <v>8494.7978669542172</v>
      </c>
      <c r="AA104" s="475">
        <f t="shared" si="79"/>
        <v>3591.4240148914678</v>
      </c>
      <c r="AB104" s="938">
        <f t="shared" si="37"/>
        <v>0.42277921984024341</v>
      </c>
      <c r="AC104" s="118" t="str">
        <f t="shared" si="38"/>
        <v>Yes</v>
      </c>
      <c r="AD104" s="938">
        <f t="shared" si="39"/>
        <v>0.42277921984024341</v>
      </c>
      <c r="AE104" s="579">
        <f t="shared" si="10"/>
        <v>0.19812197402919662</v>
      </c>
      <c r="AF104" s="475">
        <f t="shared" si="11"/>
        <v>340.20728429901806</v>
      </c>
      <c r="AG104" s="473">
        <f t="shared" si="40"/>
        <v>4903.3738520627494</v>
      </c>
      <c r="AH104" s="474">
        <f t="shared" si="80"/>
        <v>8042.4821550653223</v>
      </c>
      <c r="AI104" s="474">
        <f t="shared" si="81"/>
        <v>6437.6604656145792</v>
      </c>
      <c r="AJ104" s="474">
        <f t="shared" si="12"/>
        <v>1857.2328813636757</v>
      </c>
      <c r="AK104" s="474">
        <f t="shared" si="41"/>
        <v>21240.749354106327</v>
      </c>
      <c r="AL104" s="640">
        <f t="shared" si="13"/>
        <v>0</v>
      </c>
      <c r="AM104" s="100">
        <f t="shared" si="42"/>
        <v>0.23084749837767912</v>
      </c>
      <c r="AN104" s="100">
        <f t="shared" si="43"/>
        <v>0.378634577386533</v>
      </c>
      <c r="AO104" s="100">
        <f t="shared" si="44"/>
        <v>0.30308066623694851</v>
      </c>
      <c r="AP104" s="100">
        <f t="shared" si="45"/>
        <v>8.7437257998839377E-2</v>
      </c>
      <c r="AQ104" s="100">
        <f t="shared" si="46"/>
        <v>1</v>
      </c>
      <c r="AR104" s="473">
        <f t="shared" si="14"/>
        <v>933.45758987123816</v>
      </c>
      <c r="AS104" s="474">
        <f t="shared" si="15"/>
        <v>1183.8767584125512</v>
      </c>
      <c r="AT104" s="474">
        <f t="shared" si="16"/>
        <v>331.05697791349917</v>
      </c>
      <c r="AU104" s="474">
        <f t="shared" si="17"/>
        <v>0</v>
      </c>
      <c r="AV104" s="474">
        <f t="shared" si="18"/>
        <v>0</v>
      </c>
      <c r="AW104" s="474">
        <f t="shared" si="19"/>
        <v>0</v>
      </c>
      <c r="AX104" s="474">
        <f t="shared" si="20"/>
        <v>1784.3027537778362</v>
      </c>
      <c r="AY104" s="474">
        <f t="shared" si="21"/>
        <v>196.4530257699104</v>
      </c>
      <c r="AZ104" s="474">
        <f t="shared" si="22"/>
        <v>194.81163002048035</v>
      </c>
      <c r="BA104" s="474">
        <f t="shared" si="23"/>
        <v>208.31842125285596</v>
      </c>
      <c r="BB104" s="474">
        <f t="shared" si="24"/>
        <v>71.096695044377299</v>
      </c>
      <c r="BC104" s="475">
        <f t="shared" si="47"/>
        <v>4903.3738520627485</v>
      </c>
      <c r="BD104" s="647">
        <f t="shared" si="48"/>
        <v>0</v>
      </c>
      <c r="BE104" s="383">
        <f t="shared" si="49"/>
        <v>0.19037047103364385</v>
      </c>
      <c r="BF104" s="383">
        <f t="shared" si="50"/>
        <v>0.24144125945332898</v>
      </c>
      <c r="BG104" s="383">
        <f t="shared" si="51"/>
        <v>6.7516160892816757E-2</v>
      </c>
      <c r="BH104" s="383">
        <f t="shared" si="52"/>
        <v>0</v>
      </c>
      <c r="BI104" s="383">
        <f t="shared" si="53"/>
        <v>0</v>
      </c>
      <c r="BJ104" s="383">
        <f t="shared" si="54"/>
        <v>0</v>
      </c>
      <c r="BK104" s="383">
        <f t="shared" si="55"/>
        <v>0.50067210862021039</v>
      </c>
      <c r="BL104" s="383">
        <f t="shared" si="56"/>
        <v>1</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95.588678713307871</v>
      </c>
      <c r="BW104" s="100">
        <f t="shared" si="59"/>
        <v>0.5539882076551309</v>
      </c>
      <c r="BX104" s="1385">
        <f t="shared" si="25"/>
        <v>49.894033579494405</v>
      </c>
      <c r="BY104" s="473">
        <f t="shared" si="60"/>
        <v>95.588678713307871</v>
      </c>
      <c r="BZ104" s="100">
        <f t="shared" si="61"/>
        <v>0.5539882076551309</v>
      </c>
      <c r="CA104" s="489">
        <f t="shared" si="26"/>
        <v>49.894033579494405</v>
      </c>
      <c r="CB104" s="579">
        <f t="shared" si="27"/>
        <v>0.19812197402919662</v>
      </c>
      <c r="CC104" s="471">
        <f t="shared" si="62"/>
        <v>0.29532905879649052</v>
      </c>
      <c r="CD104" s="100">
        <f t="shared" si="28"/>
        <v>0.19812197402919662</v>
      </c>
      <c r="CE104" s="471">
        <f t="shared" si="63"/>
        <v>0.29532905879649052</v>
      </c>
      <c r="CG104" s="473">
        <f t="shared" si="64"/>
        <v>1523.5751326780919</v>
      </c>
      <c r="CH104" s="474">
        <f t="shared" si="65"/>
        <v>637.19964062707231</v>
      </c>
      <c r="CI104" s="474">
        <f t="shared" si="66"/>
        <v>2507.1666963621547</v>
      </c>
      <c r="CJ104" s="474">
        <f t="shared" si="67"/>
        <v>3332.2656879206647</v>
      </c>
      <c r="CK104" s="474">
        <f t="shared" si="68"/>
        <v>42.27499747733799</v>
      </c>
      <c r="CL104" s="474">
        <f t="shared" si="69"/>
        <v>8042.4821550653214</v>
      </c>
      <c r="CM104" s="576">
        <f t="shared" si="70"/>
        <v>0</v>
      </c>
    </row>
    <row r="105" spans="1:91">
      <c r="A105" s="89">
        <f>'Input data'!A125</f>
        <v>2025</v>
      </c>
      <c r="B105" s="152">
        <f>'Input data'!B125</f>
        <v>63.096422221537942</v>
      </c>
      <c r="C105" s="204">
        <f>'Input data'!C125</f>
        <v>4727.3100000000004</v>
      </c>
      <c r="D105" s="204">
        <f>'Input data'!D125</f>
        <v>49409698.226927206</v>
      </c>
      <c r="E105" s="579">
        <f t="shared" si="71"/>
        <v>0.89030769230769258</v>
      </c>
      <c r="F105" s="100">
        <f t="shared" si="72"/>
        <v>0.33738461538461528</v>
      </c>
      <c r="G105" s="475">
        <f>B105*F105*'Input data'!$C$9</f>
        <v>651.55646123780184</v>
      </c>
      <c r="H105" s="301">
        <f>'Input data'!I125</f>
        <v>424.26313389388866</v>
      </c>
      <c r="I105" s="474">
        <f>'Input data'!K125</f>
        <v>26769.485829201683</v>
      </c>
      <c r="J105" s="474">
        <f t="shared" si="84"/>
        <v>4569.0529076039256</v>
      </c>
      <c r="K105" s="475">
        <f t="shared" si="73"/>
        <v>7871.2210036525612</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176.38822829526225</v>
      </c>
      <c r="R105" s="474">
        <f t="shared" si="32"/>
        <v>123.08918794434112</v>
      </c>
      <c r="S105" s="474">
        <f t="shared" si="33"/>
        <v>360.45611708380602</v>
      </c>
      <c r="T105" s="474">
        <f t="shared" si="34"/>
        <v>242.70858452540733</v>
      </c>
      <c r="U105" s="475">
        <f t="shared" si="35"/>
        <v>0</v>
      </c>
      <c r="V105" s="474">
        <f t="shared" si="9"/>
        <v>902.64211784881672</v>
      </c>
      <c r="W105" s="579">
        <f>($N$147-$N$142)/($A$107-$A$102)+W104</f>
        <v>0.5</v>
      </c>
      <c r="X105" s="475">
        <f t="shared" si="36"/>
        <v>3033.4854703020706</v>
      </c>
      <c r="Y105" s="474">
        <f t="shared" si="77"/>
        <v>3936.1275881508873</v>
      </c>
      <c r="Z105" s="474">
        <f t="shared" si="78"/>
        <v>8504.1463231056005</v>
      </c>
      <c r="AA105" s="475">
        <f t="shared" si="79"/>
        <v>3935.0934155016748</v>
      </c>
      <c r="AB105" s="938">
        <f t="shared" si="37"/>
        <v>0.46272644731077855</v>
      </c>
      <c r="AC105" s="118" t="str">
        <f t="shared" si="38"/>
        <v>Yes</v>
      </c>
      <c r="AD105" s="938">
        <f t="shared" si="39"/>
        <v>0.46272644731077855</v>
      </c>
      <c r="AE105" s="579">
        <f t="shared" si="10"/>
        <v>0.2157382646789352</v>
      </c>
      <c r="AF105" s="475">
        <f t="shared" si="11"/>
        <v>332.7333416203744</v>
      </c>
      <c r="AG105" s="473">
        <f t="shared" si="40"/>
        <v>4569.0529076039256</v>
      </c>
      <c r="AH105" s="474">
        <f t="shared" si="80"/>
        <v>8240.548022850222</v>
      </c>
      <c r="AI105" s="474">
        <f t="shared" si="81"/>
        <v>6437.6604656145792</v>
      </c>
      <c r="AJ105" s="474">
        <f t="shared" si="12"/>
        <v>1747.0220139936384</v>
      </c>
      <c r="AK105" s="474">
        <f t="shared" si="41"/>
        <v>20994.283410062366</v>
      </c>
      <c r="AL105" s="640">
        <f t="shared" si="13"/>
        <v>0</v>
      </c>
      <c r="AM105" s="100">
        <f t="shared" si="42"/>
        <v>0.21763319177705398</v>
      </c>
      <c r="AN105" s="100">
        <f t="shared" si="43"/>
        <v>0.39251389827864303</v>
      </c>
      <c r="AO105" s="100">
        <f t="shared" si="44"/>
        <v>0.30663873302429878</v>
      </c>
      <c r="AP105" s="100">
        <f t="shared" si="45"/>
        <v>8.3214176920004185E-2</v>
      </c>
      <c r="AQ105" s="100">
        <f t="shared" si="46"/>
        <v>1</v>
      </c>
      <c r="AR105" s="473">
        <f t="shared" si="14"/>
        <v>885.67993777277832</v>
      </c>
      <c r="AS105" s="474">
        <f t="shared" si="15"/>
        <v>1123.2817699474731</v>
      </c>
      <c r="AT105" s="474">
        <f t="shared" si="16"/>
        <v>299.5654899731706</v>
      </c>
      <c r="AU105" s="474">
        <f t="shared" si="17"/>
        <v>0</v>
      </c>
      <c r="AV105" s="474">
        <f t="shared" si="18"/>
        <v>0</v>
      </c>
      <c r="AW105" s="474">
        <f t="shared" si="19"/>
        <v>0</v>
      </c>
      <c r="AX105" s="474">
        <f t="shared" si="20"/>
        <v>1678.419664953665</v>
      </c>
      <c r="AY105" s="474">
        <f t="shared" si="21"/>
        <v>176.52865032381524</v>
      </c>
      <c r="AZ105" s="474">
        <f t="shared" si="22"/>
        <v>159.04328569255273</v>
      </c>
      <c r="BA105" s="474">
        <f t="shared" si="23"/>
        <v>179.65639392094974</v>
      </c>
      <c r="BB105" s="474">
        <f t="shared" si="24"/>
        <v>66.877715019518732</v>
      </c>
      <c r="BC105" s="475">
        <f t="shared" si="47"/>
        <v>4569.0529076039229</v>
      </c>
      <c r="BD105" s="647">
        <f t="shared" si="48"/>
        <v>0</v>
      </c>
      <c r="BE105" s="383">
        <f t="shared" si="49"/>
        <v>0.19384322214759417</v>
      </c>
      <c r="BF105" s="383">
        <f t="shared" si="50"/>
        <v>0.24584564737214615</v>
      </c>
      <c r="BG105" s="383">
        <f t="shared" si="51"/>
        <v>6.5564023011120492E-2</v>
      </c>
      <c r="BH105" s="383">
        <f t="shared" si="52"/>
        <v>0</v>
      </c>
      <c r="BI105" s="383">
        <f t="shared" si="53"/>
        <v>0</v>
      </c>
      <c r="BJ105" s="383">
        <f t="shared" si="54"/>
        <v>0</v>
      </c>
      <c r="BK105" s="383">
        <f t="shared" si="55"/>
        <v>0.4947471074691393</v>
      </c>
      <c r="BL105" s="383">
        <f t="shared" si="56"/>
        <v>1</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95.395398062643622</v>
      </c>
      <c r="BW105" s="100">
        <f t="shared" si="59"/>
        <v>0.57391312272489814</v>
      </c>
      <c r="BX105" s="1385">
        <f t="shared" si="25"/>
        <v>49.409698226927205</v>
      </c>
      <c r="BY105" s="473">
        <f t="shared" si="60"/>
        <v>95.395398062643622</v>
      </c>
      <c r="BZ105" s="100">
        <f t="shared" si="61"/>
        <v>0.57391312272489814</v>
      </c>
      <c r="CA105" s="489">
        <f t="shared" si="26"/>
        <v>49.409698226927205</v>
      </c>
      <c r="CB105" s="579">
        <f t="shared" si="27"/>
        <v>0.2157382646789352</v>
      </c>
      <c r="CC105" s="471">
        <f t="shared" si="62"/>
        <v>0.29997941102562931</v>
      </c>
      <c r="CD105" s="100">
        <f t="shared" si="28"/>
        <v>0.2157382646789352</v>
      </c>
      <c r="CE105" s="471">
        <f t="shared" si="63"/>
        <v>0.29997941102562931</v>
      </c>
      <c r="CG105" s="473">
        <f t="shared" si="64"/>
        <v>1561.7707713642956</v>
      </c>
      <c r="CH105" s="474">
        <f t="shared" si="65"/>
        <v>659.33894002394447</v>
      </c>
      <c r="CI105" s="474">
        <f t="shared" si="66"/>
        <v>2578.7950929665958</v>
      </c>
      <c r="CJ105" s="474">
        <f t="shared" si="67"/>
        <v>3397.9201833557186</v>
      </c>
      <c r="CK105" s="474">
        <f t="shared" si="68"/>
        <v>42.723035139667047</v>
      </c>
      <c r="CL105" s="474">
        <f t="shared" si="69"/>
        <v>8240.5480228502201</v>
      </c>
      <c r="CM105" s="576">
        <f t="shared" si="70"/>
        <v>0</v>
      </c>
    </row>
    <row r="106" spans="1:91">
      <c r="A106" s="89">
        <f>'Input data'!A126</f>
        <v>2026</v>
      </c>
      <c r="B106" s="152">
        <f>'Input data'!B126</f>
        <v>63.744102485123491</v>
      </c>
      <c r="C106" s="204">
        <f>'Input data'!C126</f>
        <v>4818.42</v>
      </c>
      <c r="D106" s="204">
        <f>'Input data'!D126</f>
        <v>47599010.514277697</v>
      </c>
      <c r="E106" s="579">
        <f t="shared" si="71"/>
        <v>0.91224615384615415</v>
      </c>
      <c r="F106" s="100">
        <f t="shared" si="72"/>
        <v>0.3433576923076922</v>
      </c>
      <c r="G106" s="475">
        <f>B106*F106*'Input data'!$C$9</f>
        <v>669.89824329255828</v>
      </c>
      <c r="H106" s="301">
        <f>'Input data'!I126</f>
        <v>424.26313389388866</v>
      </c>
      <c r="I106" s="474">
        <f>'Input data'!K126</f>
        <v>27044.272687591711</v>
      </c>
      <c r="J106" s="474">
        <f t="shared" si="84"/>
        <v>4234.7319631451019</v>
      </c>
      <c r="K106" s="475">
        <f t="shared" si="73"/>
        <v>8333.2404705034969</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200.47369595557802</v>
      </c>
      <c r="R106" s="474">
        <f t="shared" si="32"/>
        <v>139.89677586684877</v>
      </c>
      <c r="S106" s="474">
        <f t="shared" si="33"/>
        <v>409.67569502781816</v>
      </c>
      <c r="T106" s="474">
        <f t="shared" si="34"/>
        <v>275.84996714467343</v>
      </c>
      <c r="U106" s="475">
        <f t="shared" si="35"/>
        <v>0</v>
      </c>
      <c r="V106" s="474">
        <f t="shared" si="9"/>
        <v>1025.8961339949183</v>
      </c>
      <c r="W106" s="579">
        <f>($N$147-$N$142)/($A$107-$A$102)+W105</f>
        <v>0.5</v>
      </c>
      <c r="X106" s="475">
        <f t="shared" si="36"/>
        <v>3033.4854703020706</v>
      </c>
      <c r="Y106" s="474">
        <f t="shared" si="77"/>
        <v>4059.3816042969888</v>
      </c>
      <c r="Z106" s="474">
        <f t="shared" si="78"/>
        <v>8508.5908293516095</v>
      </c>
      <c r="AA106" s="475">
        <f t="shared" si="79"/>
        <v>4273.8588662065076</v>
      </c>
      <c r="AB106" s="938">
        <f t="shared" si="37"/>
        <v>0.50229925870488634</v>
      </c>
      <c r="AC106" s="118" t="str">
        <f t="shared" si="38"/>
        <v>Yes</v>
      </c>
      <c r="AD106" s="938">
        <f t="shared" si="39"/>
        <v>0.50229925870488634</v>
      </c>
      <c r="AE106" s="579">
        <f t="shared" si="10"/>
        <v>0.23286991932417733</v>
      </c>
      <c r="AF106" s="475">
        <f t="shared" si="11"/>
        <v>325.46501213179619</v>
      </c>
      <c r="AG106" s="473">
        <f t="shared" si="40"/>
        <v>4234.7319631451019</v>
      </c>
      <c r="AH106" s="474">
        <f t="shared" si="80"/>
        <v>8439.1251185527253</v>
      </c>
      <c r="AI106" s="474">
        <f t="shared" si="81"/>
        <v>6437.6604656145792</v>
      </c>
      <c r="AJ106" s="474">
        <f t="shared" si="12"/>
        <v>1634.957541338767</v>
      </c>
      <c r="AK106" s="474">
        <f t="shared" si="41"/>
        <v>20746.475088651176</v>
      </c>
      <c r="AL106" s="640">
        <f t="shared" si="13"/>
        <v>0</v>
      </c>
      <c r="AM106" s="100">
        <f t="shared" si="42"/>
        <v>0.20411814272303072</v>
      </c>
      <c r="AN106" s="100">
        <f t="shared" si="43"/>
        <v>0.40677392581109506</v>
      </c>
      <c r="AO106" s="100">
        <f t="shared" si="44"/>
        <v>0.31030140966626835</v>
      </c>
      <c r="AP106" s="100">
        <f t="shared" si="45"/>
        <v>7.8806521799605775E-2</v>
      </c>
      <c r="AQ106" s="100">
        <f t="shared" si="46"/>
        <v>0.99999999999999989</v>
      </c>
      <c r="AR106" s="473">
        <f t="shared" si="14"/>
        <v>835.69948176283515</v>
      </c>
      <c r="AS106" s="474">
        <f t="shared" si="15"/>
        <v>1059.8930301835219</v>
      </c>
      <c r="AT106" s="474">
        <f t="shared" si="16"/>
        <v>269.26335040421839</v>
      </c>
      <c r="AU106" s="474">
        <f t="shared" si="17"/>
        <v>0</v>
      </c>
      <c r="AV106" s="474">
        <f t="shared" si="18"/>
        <v>0</v>
      </c>
      <c r="AW106" s="474">
        <f t="shared" si="19"/>
        <v>0</v>
      </c>
      <c r="AX106" s="474">
        <f t="shared" si="20"/>
        <v>1570.7557585231857</v>
      </c>
      <c r="AY106" s="474">
        <f t="shared" si="21"/>
        <v>157.4687404389492</v>
      </c>
      <c r="AZ106" s="474">
        <f t="shared" si="22"/>
        <v>126.18619554251835</v>
      </c>
      <c r="BA106" s="474">
        <f t="shared" si="23"/>
        <v>152.87762912230525</v>
      </c>
      <c r="BB106" s="474">
        <f t="shared" si="24"/>
        <v>62.587777167566479</v>
      </c>
      <c r="BC106" s="475">
        <f t="shared" si="47"/>
        <v>4234.731963145101</v>
      </c>
      <c r="BD106" s="647">
        <f t="shared" si="48"/>
        <v>0</v>
      </c>
      <c r="BE106" s="383">
        <f t="shared" si="49"/>
        <v>0.19734412686232164</v>
      </c>
      <c r="BF106" s="383">
        <f t="shared" si="50"/>
        <v>0.25028574167332845</v>
      </c>
      <c r="BG106" s="383">
        <f t="shared" si="51"/>
        <v>6.3584508476007218E-2</v>
      </c>
      <c r="BH106" s="383">
        <f t="shared" si="52"/>
        <v>0</v>
      </c>
      <c r="BI106" s="383">
        <f t="shared" si="53"/>
        <v>0</v>
      </c>
      <c r="BJ106" s="383">
        <f t="shared" si="54"/>
        <v>0</v>
      </c>
      <c r="BK106" s="383">
        <f t="shared" si="55"/>
        <v>0.48878562298834255</v>
      </c>
      <c r="BL106" s="383">
        <f t="shared" si="56"/>
        <v>0.99999999999999978</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93.80407274357124</v>
      </c>
      <c r="BW106" s="100">
        <f t="shared" si="59"/>
        <v>0.59755415715461579</v>
      </c>
      <c r="BX106" s="1385">
        <f t="shared" si="25"/>
        <v>47.599010514277694</v>
      </c>
      <c r="BY106" s="473">
        <f t="shared" si="60"/>
        <v>93.80407274357124</v>
      </c>
      <c r="BZ106" s="100">
        <f t="shared" si="61"/>
        <v>0.59755415715461579</v>
      </c>
      <c r="CA106" s="489">
        <f t="shared" si="26"/>
        <v>47.599010514277694</v>
      </c>
      <c r="CB106" s="579">
        <f t="shared" si="27"/>
        <v>0.23286991932417733</v>
      </c>
      <c r="CC106" s="471">
        <f t="shared" si="62"/>
        <v>0.30796773866479143</v>
      </c>
      <c r="CD106" s="100">
        <f t="shared" si="28"/>
        <v>0.23286991932417733</v>
      </c>
      <c r="CE106" s="471">
        <f t="shared" si="63"/>
        <v>0.30796773866479143</v>
      </c>
      <c r="CG106" s="473">
        <f t="shared" si="64"/>
        <v>1600.0770917935895</v>
      </c>
      <c r="CH106" s="474">
        <f t="shared" si="65"/>
        <v>681.65109331713393</v>
      </c>
      <c r="CI106" s="474">
        <f t="shared" si="66"/>
        <v>2650.7857619175948</v>
      </c>
      <c r="CJ106" s="474">
        <f t="shared" si="67"/>
        <v>3463.4495874831368</v>
      </c>
      <c r="CK106" s="474">
        <f t="shared" si="68"/>
        <v>43.161584041271631</v>
      </c>
      <c r="CL106" s="474">
        <f t="shared" si="69"/>
        <v>8439.1251185527271</v>
      </c>
      <c r="CM106" s="576">
        <f t="shared" si="70"/>
        <v>0</v>
      </c>
    </row>
    <row r="107" spans="1:91" s="1" customFormat="1">
      <c r="A107" s="89">
        <f>'Input data'!A127</f>
        <v>2027</v>
      </c>
      <c r="B107" s="152">
        <f>'Input data'!B127</f>
        <v>64.377188881988602</v>
      </c>
      <c r="C107" s="204">
        <f>'Input data'!C127</f>
        <v>4908.8799999999992</v>
      </c>
      <c r="D107" s="204">
        <f>'Input data'!D127</f>
        <v>46599596.269564167</v>
      </c>
      <c r="E107" s="579">
        <f t="shared" si="71"/>
        <v>0.93418461538461572</v>
      </c>
      <c r="F107" s="100">
        <f t="shared" si="72"/>
        <v>0.34933076923076911</v>
      </c>
      <c r="G107" s="475">
        <f>B107*F107*'Input data'!$C$9</f>
        <v>688.32080362278316</v>
      </c>
      <c r="H107" s="301">
        <f>'Input data'!I127</f>
        <v>424.26313389388866</v>
      </c>
      <c r="I107" s="474">
        <f>'Input data'!K127</f>
        <v>27312.86790635129</v>
      </c>
      <c r="J107" s="474">
        <f>J97*(1-$G$5)</f>
        <v>3900.4110186862777</v>
      </c>
      <c r="K107" s="475">
        <f t="shared" si="73"/>
        <v>8792.3825681941107</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224.96081968113708</v>
      </c>
      <c r="R107" s="474">
        <f t="shared" si="32"/>
        <v>156.98465187536692</v>
      </c>
      <c r="S107" s="474">
        <f t="shared" si="33"/>
        <v>459.71607256305106</v>
      </c>
      <c r="T107" s="474">
        <f t="shared" si="34"/>
        <v>309.54402482623482</v>
      </c>
      <c r="U107" s="475">
        <f t="shared" si="35"/>
        <v>0</v>
      </c>
      <c r="V107" s="474">
        <f t="shared" si="9"/>
        <v>1151.2055689457898</v>
      </c>
      <c r="W107" s="579">
        <f>$C$27</f>
        <v>0.5</v>
      </c>
      <c r="X107" s="475">
        <f t="shared" si="36"/>
        <v>3033.4854703020706</v>
      </c>
      <c r="Y107" s="474">
        <f t="shared" si="77"/>
        <v>4184.6910392478603</v>
      </c>
      <c r="Z107" s="474">
        <f t="shared" si="78"/>
        <v>8508.1025476325285</v>
      </c>
      <c r="AA107" s="475">
        <f t="shared" si="79"/>
        <v>4607.6915289462504</v>
      </c>
      <c r="AB107" s="938">
        <f t="shared" si="37"/>
        <v>0.54156511433073762</v>
      </c>
      <c r="AC107" s="118" t="str">
        <f t="shared" si="38"/>
        <v>Yes</v>
      </c>
      <c r="AD107" s="938">
        <f t="shared" si="39"/>
        <v>0.54156511433073762</v>
      </c>
      <c r="AE107" s="579">
        <f t="shared" si="10"/>
        <v>0.24954577664502264</v>
      </c>
      <c r="AF107" s="475">
        <f t="shared" si="11"/>
        <v>318.39006064448699</v>
      </c>
      <c r="AG107" s="473">
        <f t="shared" si="40"/>
        <v>3900.4110186862777</v>
      </c>
      <c r="AH107" s="474">
        <f t="shared" si="80"/>
        <v>8638.060414469559</v>
      </c>
      <c r="AI107" s="474">
        <f t="shared" si="81"/>
        <v>6437.6604656145792</v>
      </c>
      <c r="AJ107" s="474">
        <f t="shared" si="12"/>
        <v>1520.9251734875288</v>
      </c>
      <c r="AK107" s="474">
        <f t="shared" si="41"/>
        <v>20497.057072257943</v>
      </c>
      <c r="AL107" s="640">
        <f t="shared" si="13"/>
        <v>0</v>
      </c>
      <c r="AM107" s="100">
        <f t="shared" si="42"/>
        <v>0.19029126986065473</v>
      </c>
      <c r="AN107" s="100">
        <f t="shared" si="43"/>
        <v>0.4214293000218492</v>
      </c>
      <c r="AO107" s="100">
        <f t="shared" si="44"/>
        <v>0.31407730597226707</v>
      </c>
      <c r="AP107" s="100">
        <f t="shared" si="45"/>
        <v>7.4202124145229045E-2</v>
      </c>
      <c r="AQ107" s="100">
        <f t="shared" si="46"/>
        <v>1</v>
      </c>
      <c r="AR107" s="473">
        <f t="shared" si="14"/>
        <v>783.50149338659014</v>
      </c>
      <c r="AS107" s="474">
        <f t="shared" si="15"/>
        <v>993.69185945540244</v>
      </c>
      <c r="AT107" s="474">
        <f t="shared" si="16"/>
        <v>240.17021802943134</v>
      </c>
      <c r="AU107" s="474">
        <f t="shared" si="17"/>
        <v>0</v>
      </c>
      <c r="AV107" s="474">
        <f t="shared" si="18"/>
        <v>0</v>
      </c>
      <c r="AW107" s="474">
        <f t="shared" si="19"/>
        <v>0</v>
      </c>
      <c r="AX107" s="474">
        <f t="shared" si="20"/>
        <v>1461.201232529992</v>
      </c>
      <c r="AY107" s="474">
        <f t="shared" si="21"/>
        <v>139.28914194004449</v>
      </c>
      <c r="AZ107" s="474">
        <f t="shared" si="22"/>
        <v>96.310176843793855</v>
      </c>
      <c r="BA107" s="474">
        <f t="shared" si="23"/>
        <v>128.02439014233536</v>
      </c>
      <c r="BB107" s="474">
        <f t="shared" si="24"/>
        <v>58.222506358687156</v>
      </c>
      <c r="BC107" s="475">
        <f t="shared" si="47"/>
        <v>3900.4110186862767</v>
      </c>
      <c r="BD107" s="647">
        <f t="shared" si="48"/>
        <v>0</v>
      </c>
      <c r="BE107" s="383">
        <f t="shared" si="49"/>
        <v>0.20087664854625667</v>
      </c>
      <c r="BF107" s="383">
        <f t="shared" si="50"/>
        <v>0.25476593484501392</v>
      </c>
      <c r="BG107" s="383">
        <f t="shared" si="51"/>
        <v>6.1575617769207475E-2</v>
      </c>
      <c r="BH107" s="383">
        <f t="shared" si="52"/>
        <v>0</v>
      </c>
      <c r="BI107" s="383">
        <f t="shared" si="53"/>
        <v>0</v>
      </c>
      <c r="BJ107" s="383">
        <f t="shared" si="54"/>
        <v>0</v>
      </c>
      <c r="BK107" s="383">
        <f t="shared" si="55"/>
        <v>0.48278179883952188</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93.019078292560408</v>
      </c>
      <c r="BW107" s="100">
        <f t="shared" si="59"/>
        <v>0.61836000260903046</v>
      </c>
      <c r="BX107" s="1385">
        <f t="shared" si="25"/>
        <v>46.599596269564167</v>
      </c>
      <c r="BY107" s="473">
        <f t="shared" si="60"/>
        <v>93.019078292560408</v>
      </c>
      <c r="BZ107" s="100">
        <f t="shared" si="61"/>
        <v>0.61836000260903046</v>
      </c>
      <c r="CA107" s="489">
        <f t="shared" si="26"/>
        <v>46.599596269564167</v>
      </c>
      <c r="CB107" s="579">
        <f t="shared" si="27"/>
        <v>0.24954577664502264</v>
      </c>
      <c r="CC107" s="471">
        <f t="shared" si="62"/>
        <v>0.31361903577815242</v>
      </c>
      <c r="CD107" s="100">
        <f t="shared" si="28"/>
        <v>0.24954577664502264</v>
      </c>
      <c r="CE107" s="471">
        <f t="shared" si="63"/>
        <v>0.31361903577815242</v>
      </c>
      <c r="CG107" s="473">
        <f t="shared" si="64"/>
        <v>1638.4646366776085</v>
      </c>
      <c r="CH107" s="474">
        <f t="shared" si="65"/>
        <v>704.11950298209138</v>
      </c>
      <c r="CI107" s="474">
        <f t="shared" si="66"/>
        <v>2723.0841404585908</v>
      </c>
      <c r="CJ107" s="474">
        <f t="shared" si="67"/>
        <v>3528.8018830190877</v>
      </c>
      <c r="CK107" s="474">
        <f t="shared" si="68"/>
        <v>43.590251332179939</v>
      </c>
      <c r="CL107" s="474">
        <f t="shared" si="69"/>
        <v>8638.060414469559</v>
      </c>
      <c r="CM107" s="576">
        <f t="shared" si="70"/>
        <v>0</v>
      </c>
    </row>
    <row r="108" spans="1:91">
      <c r="A108" s="89">
        <f>'Input data'!A128</f>
        <v>2028</v>
      </c>
      <c r="B108" s="152">
        <f>'Input data'!B128</f>
        <v>64.995109664264291</v>
      </c>
      <c r="C108" s="204">
        <f>'Input data'!C128</f>
        <v>5001.3400000000011</v>
      </c>
      <c r="D108" s="204">
        <f>'Input data'!D128</f>
        <v>45314646.034956604</v>
      </c>
      <c r="E108" s="579">
        <f t="shared" si="71"/>
        <v>0.9561230769230773</v>
      </c>
      <c r="F108" s="100">
        <f t="shared" si="72"/>
        <v>0.35530384615384603</v>
      </c>
      <c r="G108" s="475">
        <f>B108*F108*'Input data'!$C$9</f>
        <v>706.80992048834287</v>
      </c>
      <c r="H108" s="301">
        <f>'Input data'!I128</f>
        <v>424.26313389388866</v>
      </c>
      <c r="I108" s="474">
        <f>'Input data'!K128</f>
        <v>27575.028913937738</v>
      </c>
      <c r="J108" s="474">
        <f>($J$112-$J$107)/($A$112-$A$107)+J107</f>
        <v>3566.0900742274539</v>
      </c>
      <c r="K108" s="475">
        <f t="shared" si="73"/>
        <v>9248.5345692535338</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249.83210263118417</v>
      </c>
      <c r="R108" s="474">
        <f t="shared" si="32"/>
        <v>174.34060613060615</v>
      </c>
      <c r="S108" s="474">
        <f t="shared" si="33"/>
        <v>510.54149422361616</v>
      </c>
      <c r="T108" s="474">
        <f t="shared" si="34"/>
        <v>343.76668207767125</v>
      </c>
      <c r="U108" s="475">
        <f t="shared" si="35"/>
        <v>0</v>
      </c>
      <c r="V108" s="474">
        <f t="shared" si="9"/>
        <v>1278.4808850630777</v>
      </c>
      <c r="W108" s="579">
        <f>W107</f>
        <v>0.5</v>
      </c>
      <c r="X108" s="475">
        <f t="shared" si="36"/>
        <v>3033.4854703020706</v>
      </c>
      <c r="Y108" s="474">
        <f t="shared" si="77"/>
        <v>4311.966355365148</v>
      </c>
      <c r="Z108" s="474">
        <f t="shared" si="78"/>
        <v>8502.6582881158392</v>
      </c>
      <c r="AA108" s="475">
        <f t="shared" si="79"/>
        <v>4936.5682138883858</v>
      </c>
      <c r="AB108" s="938">
        <f t="shared" si="37"/>
        <v>0.58059115709591957</v>
      </c>
      <c r="AC108" s="118" t="str">
        <f t="shared" si="38"/>
        <v>Yes</v>
      </c>
      <c r="AD108" s="938">
        <f t="shared" si="39"/>
        <v>0.58059115709591957</v>
      </c>
      <c r="AE108" s="579">
        <f t="shared" si="10"/>
        <v>0.26579388990510533</v>
      </c>
      <c r="AF108" s="475">
        <f t="shared" si="11"/>
        <v>311.49658519290148</v>
      </c>
      <c r="AG108" s="473">
        <f t="shared" si="40"/>
        <v>3566.0900742274539</v>
      </c>
      <c r="AH108" s="474">
        <f t="shared" si="80"/>
        <v>8837.1978805699891</v>
      </c>
      <c r="AI108" s="474">
        <f t="shared" si="81"/>
        <v>6437.6604656145792</v>
      </c>
      <c r="AJ108" s="474">
        <f t="shared" si="12"/>
        <v>1404.8062942444512</v>
      </c>
      <c r="AK108" s="474">
        <f t="shared" si="41"/>
        <v>20245.754714656476</v>
      </c>
      <c r="AL108" s="640">
        <f t="shared" si="13"/>
        <v>0</v>
      </c>
      <c r="AM108" s="100">
        <f t="shared" si="42"/>
        <v>0.17614014021645041</v>
      </c>
      <c r="AN108" s="100">
        <f t="shared" si="43"/>
        <v>0.43649634232565759</v>
      </c>
      <c r="AO108" s="100">
        <f t="shared" si="44"/>
        <v>0.317975820429859</v>
      </c>
      <c r="AP108" s="100">
        <f t="shared" si="45"/>
        <v>6.9387697028032852E-2</v>
      </c>
      <c r="AQ108" s="100">
        <f t="shared" si="46"/>
        <v>0.99999999999999989</v>
      </c>
      <c r="AR108" s="473">
        <f t="shared" si="14"/>
        <v>729.06684709384683</v>
      </c>
      <c r="AS108" s="474">
        <f t="shared" si="15"/>
        <v>924.65400139130315</v>
      </c>
      <c r="AT108" s="474">
        <f t="shared" si="16"/>
        <v>212.30819771872788</v>
      </c>
      <c r="AU108" s="474">
        <f t="shared" si="17"/>
        <v>0</v>
      </c>
      <c r="AV108" s="474">
        <f t="shared" si="18"/>
        <v>0</v>
      </c>
      <c r="AW108" s="474">
        <f t="shared" si="19"/>
        <v>0</v>
      </c>
      <c r="AX108" s="474">
        <f t="shared" si="20"/>
        <v>1349.6421286189686</v>
      </c>
      <c r="AY108" s="474">
        <f t="shared" si="21"/>
        <v>122.00748810501022</v>
      </c>
      <c r="AZ108" s="474">
        <f t="shared" si="22"/>
        <v>69.491167582156024</v>
      </c>
      <c r="BA108" s="474">
        <f t="shared" si="23"/>
        <v>105.14288186878203</v>
      </c>
      <c r="BB108" s="474">
        <f t="shared" si="24"/>
        <v>53.777361848657684</v>
      </c>
      <c r="BC108" s="475">
        <f t="shared" si="47"/>
        <v>3566.0900742274521</v>
      </c>
      <c r="BD108" s="647">
        <f t="shared" si="48"/>
        <v>0</v>
      </c>
      <c r="BE108" s="383">
        <f t="shared" si="49"/>
        <v>0.20444431630117751</v>
      </c>
      <c r="BF108" s="383">
        <f t="shared" si="50"/>
        <v>0.25929070274300842</v>
      </c>
      <c r="BG108" s="383">
        <f t="shared" si="51"/>
        <v>5.953528747159359E-2</v>
      </c>
      <c r="BH108" s="383">
        <f t="shared" si="52"/>
        <v>0</v>
      </c>
      <c r="BI108" s="383">
        <f t="shared" si="53"/>
        <v>0</v>
      </c>
      <c r="BJ108" s="383">
        <f t="shared" si="54"/>
        <v>0</v>
      </c>
      <c r="BK108" s="383">
        <f t="shared" si="55"/>
        <v>0.47672969348422056</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91.956918602423812</v>
      </c>
      <c r="BW108" s="100">
        <f t="shared" si="59"/>
        <v>0.6398923243030854</v>
      </c>
      <c r="BX108" s="1385">
        <f t="shared" si="25"/>
        <v>45.314646034956603</v>
      </c>
      <c r="BY108" s="473">
        <f t="shared" si="60"/>
        <v>91.956918602423812</v>
      </c>
      <c r="BZ108" s="100">
        <f t="shared" si="61"/>
        <v>0.6398923243030854</v>
      </c>
      <c r="CA108" s="489">
        <f t="shared" si="26"/>
        <v>45.314646034956603</v>
      </c>
      <c r="CB108" s="579">
        <f t="shared" si="27"/>
        <v>0.26579388990510533</v>
      </c>
      <c r="CC108" s="471">
        <f t="shared" si="62"/>
        <v>0.32018308815120211</v>
      </c>
      <c r="CD108" s="100">
        <f t="shared" si="28"/>
        <v>0.26579388990510533</v>
      </c>
      <c r="CE108" s="471">
        <f t="shared" si="63"/>
        <v>0.32018308815120211</v>
      </c>
      <c r="CG108" s="473">
        <f t="shared" si="64"/>
        <v>1676.9033555396099</v>
      </c>
      <c r="CH108" s="474">
        <f t="shared" si="65"/>
        <v>726.72709995546654</v>
      </c>
      <c r="CI108" s="474">
        <f t="shared" si="66"/>
        <v>2795.634371657758</v>
      </c>
      <c r="CJ108" s="474">
        <f t="shared" si="67"/>
        <v>3593.9244035393012</v>
      </c>
      <c r="CK108" s="474">
        <f t="shared" si="68"/>
        <v>44.008649877853472</v>
      </c>
      <c r="CL108" s="474">
        <f t="shared" si="69"/>
        <v>8837.1978805699891</v>
      </c>
      <c r="CM108" s="576">
        <f t="shared" si="70"/>
        <v>0</v>
      </c>
    </row>
    <row r="109" spans="1:91">
      <c r="A109" s="89">
        <f>'Input data'!A129</f>
        <v>2029</v>
      </c>
      <c r="B109" s="152">
        <f>'Input data'!B129</f>
        <v>65.59730237662275</v>
      </c>
      <c r="C109" s="204">
        <f>'Input data'!C129</f>
        <v>5124.16</v>
      </c>
      <c r="D109" s="204">
        <f>'Input data'!D129</f>
        <v>44520340.557958424</v>
      </c>
      <c r="E109" s="579">
        <f t="shared" si="71"/>
        <v>0.97806153846153887</v>
      </c>
      <c r="F109" s="100">
        <f t="shared" si="72"/>
        <v>0.36127692307692294</v>
      </c>
      <c r="G109" s="475">
        <f>B109*F109*'Input data'!$C$9</f>
        <v>725.35105679827302</v>
      </c>
      <c r="H109" s="301">
        <f>'Input data'!I129</f>
        <v>424.26313389388866</v>
      </c>
      <c r="I109" s="474">
        <f>'Input data'!K129</f>
        <v>27830.517081291</v>
      </c>
      <c r="J109" s="474">
        <f t="shared" ref="J109:J111" si="85">($J$112-$J$107)/($A$112-$A$107)+J108</f>
        <v>3231.7691297686301</v>
      </c>
      <c r="K109" s="475">
        <f t="shared" si="73"/>
        <v>9701.5855783553015</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275.06928776093423</v>
      </c>
      <c r="R109" s="474">
        <f t="shared" si="32"/>
        <v>191.95189829927608</v>
      </c>
      <c r="S109" s="474">
        <f t="shared" si="33"/>
        <v>562.11465103750061</v>
      </c>
      <c r="T109" s="474">
        <f t="shared" si="34"/>
        <v>378.49281737278807</v>
      </c>
      <c r="U109" s="475">
        <f t="shared" si="35"/>
        <v>0</v>
      </c>
      <c r="V109" s="474">
        <f t="shared" si="9"/>
        <v>1407.628654470499</v>
      </c>
      <c r="W109" s="579">
        <f t="shared" ref="W109:W130" si="86">W108</f>
        <v>0.5</v>
      </c>
      <c r="X109" s="475">
        <f t="shared" si="36"/>
        <v>3033.4854703020706</v>
      </c>
      <c r="Y109" s="474">
        <f t="shared" si="77"/>
        <v>4441.11412477257</v>
      </c>
      <c r="Z109" s="474">
        <f t="shared" si="78"/>
        <v>8492.2405833513621</v>
      </c>
      <c r="AA109" s="475">
        <f t="shared" si="79"/>
        <v>5260.4714535827316</v>
      </c>
      <c r="AB109" s="938">
        <f t="shared" si="37"/>
        <v>0.61944446838866507</v>
      </c>
      <c r="AC109" s="118" t="str">
        <f t="shared" si="38"/>
        <v>Yes</v>
      </c>
      <c r="AD109" s="938">
        <f t="shared" si="39"/>
        <v>0.61944446838866507</v>
      </c>
      <c r="AE109" s="579">
        <f t="shared" si="10"/>
        <v>0.28164159769015185</v>
      </c>
      <c r="AF109" s="475">
        <f t="shared" si="11"/>
        <v>304.77298702298305</v>
      </c>
      <c r="AG109" s="473">
        <f t="shared" si="40"/>
        <v>3231.7691297686301</v>
      </c>
      <c r="AH109" s="474">
        <f t="shared" si="80"/>
        <v>9036.3786772772637</v>
      </c>
      <c r="AI109" s="474">
        <f t="shared" si="81"/>
        <v>6437.6604656145792</v>
      </c>
      <c r="AJ109" s="474">
        <f t="shared" si="12"/>
        <v>1286.4775133126673</v>
      </c>
      <c r="AK109" s="474">
        <f t="shared" si="41"/>
        <v>19992.285785973141</v>
      </c>
      <c r="AL109" s="640">
        <f t="shared" si="13"/>
        <v>0</v>
      </c>
      <c r="AM109" s="100">
        <f t="shared" si="42"/>
        <v>0.16165080693454689</v>
      </c>
      <c r="AN109" s="100">
        <f t="shared" si="43"/>
        <v>0.45199327250600374</v>
      </c>
      <c r="AO109" s="100">
        <f t="shared" si="44"/>
        <v>0.32200722491328776</v>
      </c>
      <c r="AP109" s="100">
        <f t="shared" si="45"/>
        <v>6.4348695646161552E-2</v>
      </c>
      <c r="AQ109" s="100">
        <f t="shared" si="46"/>
        <v>0.99999999999999989</v>
      </c>
      <c r="AR109" s="473">
        <f t="shared" si="14"/>
        <v>672.37195123420065</v>
      </c>
      <c r="AS109" s="474">
        <f t="shared" si="15"/>
        <v>852.74953539610613</v>
      </c>
      <c r="AT109" s="474">
        <f t="shared" si="16"/>
        <v>185.70192242399085</v>
      </c>
      <c r="AU109" s="474">
        <f t="shared" si="17"/>
        <v>0</v>
      </c>
      <c r="AV109" s="474">
        <f t="shared" si="18"/>
        <v>0</v>
      </c>
      <c r="AW109" s="474">
        <f t="shared" si="19"/>
        <v>0</v>
      </c>
      <c r="AX109" s="474">
        <f t="shared" si="20"/>
        <v>1235.9599018038095</v>
      </c>
      <c r="AY109" s="474">
        <f t="shared" si="21"/>
        <v>105.64326524665248</v>
      </c>
      <c r="AZ109" s="474">
        <f t="shared" si="22"/>
        <v>45.811510248818855</v>
      </c>
      <c r="BA109" s="474">
        <f t="shared" si="23"/>
        <v>84.283423279076644</v>
      </c>
      <c r="BB109" s="474">
        <f t="shared" si="24"/>
        <v>49.247620135974401</v>
      </c>
      <c r="BC109" s="475">
        <f t="shared" si="47"/>
        <v>3231.7691297686292</v>
      </c>
      <c r="BD109" s="647">
        <f t="shared" si="48"/>
        <v>0</v>
      </c>
      <c r="BE109" s="383">
        <f t="shared" si="49"/>
        <v>0.20805073761018861</v>
      </c>
      <c r="BF109" s="383">
        <f t="shared" si="50"/>
        <v>0.26386462063184468</v>
      </c>
      <c r="BG109" s="383">
        <f t="shared" si="51"/>
        <v>5.7461382594890288E-2</v>
      </c>
      <c r="BH109" s="383">
        <f t="shared" si="52"/>
        <v>0</v>
      </c>
      <c r="BI109" s="383">
        <f t="shared" si="53"/>
        <v>0</v>
      </c>
      <c r="BJ109" s="383">
        <f t="shared" si="54"/>
        <v>0</v>
      </c>
      <c r="BK109" s="383">
        <f t="shared" si="55"/>
        <v>0.47062325916307651</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91.538909395017598</v>
      </c>
      <c r="BW109" s="100">
        <f t="shared" si="59"/>
        <v>0.66022043131359209</v>
      </c>
      <c r="BX109" s="1385">
        <f t="shared" si="25"/>
        <v>44.520340557958427</v>
      </c>
      <c r="BY109" s="473">
        <f t="shared" si="60"/>
        <v>91.538909395017598</v>
      </c>
      <c r="BZ109" s="100">
        <f t="shared" si="61"/>
        <v>0.66022043131359209</v>
      </c>
      <c r="CA109" s="489">
        <f t="shared" si="26"/>
        <v>44.520340557958427</v>
      </c>
      <c r="CB109" s="579">
        <f t="shared" si="27"/>
        <v>0.28164159769015185</v>
      </c>
      <c r="CC109" s="471">
        <f t="shared" si="62"/>
        <v>0.32610844737555411</v>
      </c>
      <c r="CD109" s="100">
        <f t="shared" si="28"/>
        <v>0.28164159769015185</v>
      </c>
      <c r="CE109" s="471">
        <f t="shared" si="63"/>
        <v>0.32610844737555411</v>
      </c>
      <c r="CG109" s="473">
        <f t="shared" si="64"/>
        <v>1715.3626417313758</v>
      </c>
      <c r="CH109" s="474">
        <f t="shared" si="65"/>
        <v>749.45636365622329</v>
      </c>
      <c r="CI109" s="474">
        <f t="shared" si="66"/>
        <v>2868.3793717835661</v>
      </c>
      <c r="CJ109" s="474">
        <f t="shared" si="67"/>
        <v>3658.7639012702984</v>
      </c>
      <c r="CK109" s="474">
        <f t="shared" si="68"/>
        <v>44.416398835799306</v>
      </c>
      <c r="CL109" s="474">
        <f t="shared" si="69"/>
        <v>9036.3786772772637</v>
      </c>
      <c r="CM109" s="576">
        <f t="shared" si="70"/>
        <v>0</v>
      </c>
    </row>
    <row r="110" spans="1:91" s="1" customFormat="1">
      <c r="A110" s="89">
        <f>'Input data'!A130</f>
        <v>2030</v>
      </c>
      <c r="B110" s="152">
        <f>'Input data'!B130</f>
        <v>66.183214701401099</v>
      </c>
      <c r="C110" s="204">
        <f>'Input data'!C130</f>
        <v>5234.6499999999996</v>
      </c>
      <c r="D110" s="204">
        <f>'Input data'!D130</f>
        <v>41257794.114847519</v>
      </c>
      <c r="E110" s="579">
        <f>C52</f>
        <v>1</v>
      </c>
      <c r="F110" s="100">
        <f>D52</f>
        <v>0.36725000000000002</v>
      </c>
      <c r="G110" s="475">
        <f>B110*F110*'Input data'!$C$9</f>
        <v>743.92937810459534</v>
      </c>
      <c r="H110" s="301">
        <f>'Input data'!I130</f>
        <v>424.26313389388866</v>
      </c>
      <c r="I110" s="474">
        <f>'Input data'!K130</f>
        <v>28079.098080388514</v>
      </c>
      <c r="J110" s="474">
        <f t="shared" si="85"/>
        <v>2897.4481853098064</v>
      </c>
      <c r="K110" s="475">
        <f t="shared" si="73"/>
        <v>10151.426698944424</v>
      </c>
      <c r="L110" s="100">
        <f>C19</f>
        <v>0.7</v>
      </c>
      <c r="M110" s="100">
        <f>D19</f>
        <v>0.6</v>
      </c>
      <c r="N110" s="100">
        <f>E19</f>
        <v>0.9</v>
      </c>
      <c r="O110" s="100">
        <f>F19</f>
        <v>0.9</v>
      </c>
      <c r="P110" s="100">
        <f>G19</f>
        <v>0.23600000000000002</v>
      </c>
      <c r="Q110" s="473">
        <f t="shared" si="31"/>
        <v>300.65337789676232</v>
      </c>
      <c r="R110" s="474">
        <f t="shared" si="32"/>
        <v>209.80527156318033</v>
      </c>
      <c r="S110" s="474">
        <f t="shared" si="33"/>
        <v>614.39672155099561</v>
      </c>
      <c r="T110" s="474">
        <f t="shared" si="34"/>
        <v>413.69629077489935</v>
      </c>
      <c r="U110" s="475">
        <f t="shared" si="35"/>
        <v>0</v>
      </c>
      <c r="V110" s="474">
        <f t="shared" si="9"/>
        <v>1538.5516617858375</v>
      </c>
      <c r="W110" s="579">
        <f t="shared" si="86"/>
        <v>0.5</v>
      </c>
      <c r="X110" s="475">
        <f t="shared" si="36"/>
        <v>3033.4854703020706</v>
      </c>
      <c r="Y110" s="474">
        <f t="shared" si="77"/>
        <v>4572.0371320879076</v>
      </c>
      <c r="Z110" s="474">
        <f t="shared" si="78"/>
        <v>8476.8377521663224</v>
      </c>
      <c r="AA110" s="475">
        <f t="shared" si="79"/>
        <v>5579.3895668565165</v>
      </c>
      <c r="AB110" s="938">
        <f t="shared" si="37"/>
        <v>0.65819232713645603</v>
      </c>
      <c r="AC110" s="118" t="str">
        <f t="shared" si="38"/>
        <v>Yes</v>
      </c>
      <c r="AD110" s="938">
        <f t="shared" si="39"/>
        <v>0.65819232713645603</v>
      </c>
      <c r="AE110" s="579">
        <f t="shared" si="10"/>
        <v>0.29711559328224646</v>
      </c>
      <c r="AF110" s="475">
        <f t="shared" si="11"/>
        <v>298.20794115922075</v>
      </c>
      <c r="AG110" s="473">
        <f t="shared" si="40"/>
        <v>2897.4481853098064</v>
      </c>
      <c r="AH110" s="474">
        <f t="shared" si="80"/>
        <v>9235.4413564857023</v>
      </c>
      <c r="AI110" s="474">
        <f t="shared" si="81"/>
        <v>6437.6604656145792</v>
      </c>
      <c r="AJ110" s="474">
        <f t="shared" si="12"/>
        <v>1165.8101879934081</v>
      </c>
      <c r="AK110" s="474">
        <f t="shared" si="41"/>
        <v>19736.360195403493</v>
      </c>
      <c r="AL110" s="640">
        <f t="shared" si="13"/>
        <v>0</v>
      </c>
      <c r="AM110" s="100">
        <f t="shared" si="42"/>
        <v>0.14680762595651292</v>
      </c>
      <c r="AN110" s="100">
        <f t="shared" si="43"/>
        <v>0.46794045432128839</v>
      </c>
      <c r="AO110" s="100">
        <f t="shared" si="44"/>
        <v>0.32618276125269952</v>
      </c>
      <c r="AP110" s="100">
        <f t="shared" si="45"/>
        <v>5.9069158469499353E-2</v>
      </c>
      <c r="AQ110" s="100">
        <f t="shared" si="46"/>
        <v>1.0000000000000002</v>
      </c>
      <c r="AR110" s="473">
        <f t="shared" si="14"/>
        <v>613.38865531037209</v>
      </c>
      <c r="AS110" s="474">
        <f t="shared" si="15"/>
        <v>777.94275902352047</v>
      </c>
      <c r="AT110" s="474">
        <f t="shared" si="16"/>
        <v>160.37864923958358</v>
      </c>
      <c r="AU110" s="474">
        <f t="shared" si="17"/>
        <v>0</v>
      </c>
      <c r="AV110" s="474">
        <f t="shared" si="18"/>
        <v>0</v>
      </c>
      <c r="AW110" s="474">
        <f t="shared" si="19"/>
        <v>0</v>
      </c>
      <c r="AX110" s="474">
        <f t="shared" si="20"/>
        <v>1120.0309609484925</v>
      </c>
      <c r="AY110" s="474">
        <f t="shared" si="21"/>
        <v>90.217888649332252</v>
      </c>
      <c r="AZ110" s="474">
        <f t="shared" si="22"/>
        <v>25.360272202010606</v>
      </c>
      <c r="BA110" s="474">
        <f t="shared" si="23"/>
        <v>65.500643284452153</v>
      </c>
      <c r="BB110" s="474">
        <f t="shared" si="24"/>
        <v>44.6283566520408</v>
      </c>
      <c r="BC110" s="475">
        <f t="shared" si="47"/>
        <v>2897.4481853098046</v>
      </c>
      <c r="BD110" s="647">
        <f t="shared" si="48"/>
        <v>0</v>
      </c>
      <c r="BE110" s="383">
        <f t="shared" si="49"/>
        <v>0.21169961154794095</v>
      </c>
      <c r="BF110" s="383">
        <f t="shared" si="50"/>
        <v>0.26849237993891523</v>
      </c>
      <c r="BG110" s="383">
        <f t="shared" si="51"/>
        <v>5.5351688445270809E-2</v>
      </c>
      <c r="BH110" s="383">
        <f t="shared" si="52"/>
        <v>0</v>
      </c>
      <c r="BI110" s="383">
        <f t="shared" si="53"/>
        <v>0</v>
      </c>
      <c r="BJ110" s="383">
        <f t="shared" si="54"/>
        <v>0</v>
      </c>
      <c r="BK110" s="383">
        <f t="shared" si="55"/>
        <v>0.46445632006787302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88.586979917577395</v>
      </c>
      <c r="BW110" s="100">
        <f t="shared" si="59"/>
        <v>0.68785339922473643</v>
      </c>
      <c r="BX110" s="1385">
        <f t="shared" si="25"/>
        <v>41.25779411484752</v>
      </c>
      <c r="BY110" s="473">
        <f t="shared" si="60"/>
        <v>88.586979917577395</v>
      </c>
      <c r="BZ110" s="100">
        <f t="shared" si="61"/>
        <v>0.68785339922473643</v>
      </c>
      <c r="CA110" s="489">
        <f t="shared" si="26"/>
        <v>41.25779411484752</v>
      </c>
      <c r="CB110" s="579">
        <f t="shared" si="27"/>
        <v>0.29711559328224646</v>
      </c>
      <c r="CC110" s="471">
        <f t="shared" si="62"/>
        <v>0.33947437568196359</v>
      </c>
      <c r="CD110" s="100">
        <f t="shared" si="28"/>
        <v>0.29711559328224646</v>
      </c>
      <c r="CE110" s="471">
        <f t="shared" si="63"/>
        <v>0.33947437568196359</v>
      </c>
      <c r="CG110" s="473">
        <f t="shared" si="64"/>
        <v>1753.8113710644452</v>
      </c>
      <c r="CH110" s="474">
        <f t="shared" si="65"/>
        <v>772.28934317735082</v>
      </c>
      <c r="CI110" s="474">
        <f t="shared" si="66"/>
        <v>2941.260901042001</v>
      </c>
      <c r="CJ110" s="474">
        <f t="shared" si="67"/>
        <v>3723.2666169740951</v>
      </c>
      <c r="CK110" s="474">
        <f t="shared" si="68"/>
        <v>44.813124227809318</v>
      </c>
      <c r="CL110" s="474">
        <f t="shared" si="69"/>
        <v>9235.4413564857005</v>
      </c>
      <c r="CM110" s="576">
        <f t="shared" si="70"/>
        <v>0</v>
      </c>
    </row>
    <row r="111" spans="1:91">
      <c r="A111" s="89">
        <f>'Input data'!A131</f>
        <v>2031</v>
      </c>
      <c r="B111" s="152">
        <f>'Input data'!B131</f>
        <v>66.757007289602299</v>
      </c>
      <c r="C111" s="204">
        <f>'Input data'!C131</f>
        <v>5365.4400000000005</v>
      </c>
      <c r="D111" s="204">
        <f>'Input data'!D131</f>
        <v>39014257.111139439</v>
      </c>
      <c r="E111" s="579">
        <f>E110</f>
        <v>1</v>
      </c>
      <c r="F111" s="100">
        <f>F110</f>
        <v>0.36725000000000002</v>
      </c>
      <c r="G111" s="475">
        <f>B111*F111*'Input data'!$C$9</f>
        <v>750.37906727770996</v>
      </c>
      <c r="H111" s="301">
        <f>'Input data'!I131</f>
        <v>424.26313389388866</v>
      </c>
      <c r="I111" s="474">
        <f>'Input data'!K131</f>
        <v>28322.537122063841</v>
      </c>
      <c r="J111" s="474">
        <f t="shared" si="85"/>
        <v>2563.1272408509826</v>
      </c>
      <c r="K111" s="475">
        <f t="shared" si="73"/>
        <v>10598.878257060056</v>
      </c>
      <c r="L111" s="100">
        <f>L110</f>
        <v>0.7</v>
      </c>
      <c r="M111" s="100">
        <f t="shared" ref="M111:P126" si="87">M110</f>
        <v>0.6</v>
      </c>
      <c r="N111" s="100">
        <f t="shared" si="87"/>
        <v>0.9</v>
      </c>
      <c r="O111" s="100">
        <f t="shared" si="87"/>
        <v>0.9</v>
      </c>
      <c r="P111" s="100">
        <f t="shared" si="87"/>
        <v>0.23600000000000002</v>
      </c>
      <c r="Q111" s="473">
        <f t="shared" si="31"/>
        <v>303.25997052954881</v>
      </c>
      <c r="R111" s="474">
        <f t="shared" si="32"/>
        <v>211.62423291662367</v>
      </c>
      <c r="S111" s="474">
        <f t="shared" si="33"/>
        <v>619.72339367823542</v>
      </c>
      <c r="T111" s="474">
        <f t="shared" si="34"/>
        <v>417.28293833325552</v>
      </c>
      <c r="U111" s="475">
        <f t="shared" si="35"/>
        <v>0</v>
      </c>
      <c r="V111" s="474">
        <f t="shared" si="9"/>
        <v>1551.8905354576634</v>
      </c>
      <c r="W111" s="579">
        <f t="shared" si="86"/>
        <v>0.5</v>
      </c>
      <c r="X111" s="475">
        <f t="shared" si="36"/>
        <v>3033.4854703020706</v>
      </c>
      <c r="Y111" s="474">
        <f t="shared" si="77"/>
        <v>4585.3760057597337</v>
      </c>
      <c r="Z111" s="474">
        <f t="shared" si="78"/>
        <v>8576.6294921513054</v>
      </c>
      <c r="AA111" s="475">
        <f t="shared" si="79"/>
        <v>6013.5022513003223</v>
      </c>
      <c r="AB111" s="938">
        <f t="shared" si="37"/>
        <v>0.70114982310981644</v>
      </c>
      <c r="AC111" s="118" t="str">
        <f t="shared" si="38"/>
        <v>Yes</v>
      </c>
      <c r="AD111" s="938">
        <f t="shared" si="39"/>
        <v>0.70114982310981644</v>
      </c>
      <c r="AE111" s="579">
        <f t="shared" si="10"/>
        <v>0.31699518009206651</v>
      </c>
      <c r="AF111" s="475">
        <f t="shared" si="11"/>
        <v>289.7737653587709</v>
      </c>
      <c r="AG111" s="473">
        <f t="shared" si="40"/>
        <v>2563.1272408509826</v>
      </c>
      <c r="AH111" s="474">
        <f t="shared" si="80"/>
        <v>9315.5104166398032</v>
      </c>
      <c r="AI111" s="474">
        <f t="shared" si="81"/>
        <v>6437.6604656145792</v>
      </c>
      <c r="AJ111" s="474">
        <f t="shared" si="12"/>
        <v>1028.1312432856109</v>
      </c>
      <c r="AK111" s="474">
        <f t="shared" si="41"/>
        <v>19344.429366390974</v>
      </c>
      <c r="AL111" s="640">
        <f t="shared" si="13"/>
        <v>0</v>
      </c>
      <c r="AM111" s="100">
        <f t="shared" si="42"/>
        <v>0.13249950113825337</v>
      </c>
      <c r="AN111" s="100">
        <f t="shared" si="43"/>
        <v>0.48156036242788208</v>
      </c>
      <c r="AO111" s="100">
        <f t="shared" si="44"/>
        <v>0.33279143797332039</v>
      </c>
      <c r="AP111" s="100">
        <f t="shared" si="45"/>
        <v>5.314869846054425E-2</v>
      </c>
      <c r="AQ111" s="100">
        <f t="shared" si="46"/>
        <v>1</v>
      </c>
      <c r="AR111" s="473">
        <f t="shared" si="14"/>
        <v>544.41419432341388</v>
      </c>
      <c r="AS111" s="474">
        <f t="shared" si="15"/>
        <v>690.46448237491904</v>
      </c>
      <c r="AT111" s="474">
        <f t="shared" si="16"/>
        <v>141.43837627887706</v>
      </c>
      <c r="AU111" s="474">
        <f t="shared" si="17"/>
        <v>0</v>
      </c>
      <c r="AV111" s="474">
        <f t="shared" si="18"/>
        <v>0</v>
      </c>
      <c r="AW111" s="474">
        <f t="shared" si="19"/>
        <v>0</v>
      </c>
      <c r="AX111" s="474">
        <f t="shared" si="20"/>
        <v>987.75841578497352</v>
      </c>
      <c r="AY111" s="474">
        <f t="shared" si="21"/>
        <v>79.563406615353102</v>
      </c>
      <c r="AZ111" s="474">
        <f t="shared" si="22"/>
        <v>22.365294503038015</v>
      </c>
      <c r="BA111" s="474">
        <f t="shared" si="23"/>
        <v>57.765199266239385</v>
      </c>
      <c r="BB111" s="474">
        <f t="shared" si="24"/>
        <v>39.357871704167856</v>
      </c>
      <c r="BC111" s="475">
        <f t="shared" si="47"/>
        <v>2563.1272408509822</v>
      </c>
      <c r="BD111" s="647">
        <f t="shared" si="48"/>
        <v>0</v>
      </c>
      <c r="BE111" s="383">
        <f t="shared" si="49"/>
        <v>0.21240232854872365</v>
      </c>
      <c r="BF111" s="383">
        <f t="shared" si="50"/>
        <v>0.26938361520658582</v>
      </c>
      <c r="BG111" s="383">
        <f t="shared" si="51"/>
        <v>5.5181956644461475E-2</v>
      </c>
      <c r="BH111" s="383">
        <f t="shared" si="52"/>
        <v>0</v>
      </c>
      <c r="BI111" s="383">
        <f t="shared" si="53"/>
        <v>0</v>
      </c>
      <c r="BJ111" s="383">
        <f t="shared" si="54"/>
        <v>0</v>
      </c>
      <c r="BK111" s="383">
        <f t="shared" si="55"/>
        <v>0.4630320996002289</v>
      </c>
      <c r="BL111" s="383">
        <f t="shared" si="56"/>
        <v>0.99999999999999978</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86.622143824658352</v>
      </c>
      <c r="BW111" s="100">
        <f t="shared" si="59"/>
        <v>0.70017272303827005</v>
      </c>
      <c r="BX111" s="1385">
        <f t="shared" si="25"/>
        <v>39.014257111139436</v>
      </c>
      <c r="BY111" s="473">
        <f t="shared" si="60"/>
        <v>86.622143824658352</v>
      </c>
      <c r="BZ111" s="100">
        <f t="shared" si="61"/>
        <v>0.70017272303827005</v>
      </c>
      <c r="CA111" s="489">
        <f t="shared" si="26"/>
        <v>39.014257111139436</v>
      </c>
      <c r="CB111" s="579">
        <f t="shared" si="27"/>
        <v>0.31699518009206651</v>
      </c>
      <c r="CC111" s="471">
        <f t="shared" si="62"/>
        <v>0.35038871214637335</v>
      </c>
      <c r="CD111" s="100">
        <f t="shared" si="28"/>
        <v>0.31699518009206651</v>
      </c>
      <c r="CE111" s="471">
        <f t="shared" si="63"/>
        <v>0.35038871214637335</v>
      </c>
      <c r="CG111" s="473">
        <f t="shared" si="64"/>
        <v>1769.0164947557016</v>
      </c>
      <c r="CH111" s="474">
        <f t="shared" si="65"/>
        <v>778.98490644155959</v>
      </c>
      <c r="CI111" s="474">
        <f t="shared" si="66"/>
        <v>2966.7609271830424</v>
      </c>
      <c r="CJ111" s="474">
        <f t="shared" si="67"/>
        <v>3755.5464449993037</v>
      </c>
      <c r="CK111" s="474">
        <f t="shared" si="68"/>
        <v>45.201643260196427</v>
      </c>
      <c r="CL111" s="474">
        <f t="shared" si="69"/>
        <v>9315.5104166398032</v>
      </c>
      <c r="CM111" s="576">
        <f t="shared" si="70"/>
        <v>0</v>
      </c>
    </row>
    <row r="112" spans="1:91">
      <c r="A112" s="89">
        <f>'Input data'!A132</f>
        <v>2032</v>
      </c>
      <c r="B112" s="152">
        <f>'Input data'!B132</f>
        <v>67.318270994163854</v>
      </c>
      <c r="C112" s="204">
        <f>'Input data'!C132</f>
        <v>5502.3</v>
      </c>
      <c r="D112" s="204">
        <f>'Input data'!D132</f>
        <v>36334930.67697753</v>
      </c>
      <c r="E112" s="579">
        <f t="shared" ref="E112:E130" si="88">E111</f>
        <v>1</v>
      </c>
      <c r="F112" s="100">
        <f t="shared" ref="F112:F130" si="89">F111</f>
        <v>0.36725000000000002</v>
      </c>
      <c r="G112" s="475">
        <f>B112*F112*'Input data'!$C$9</f>
        <v>756.68792611104072</v>
      </c>
      <c r="H112" s="301">
        <f>'Input data'!I132</f>
        <v>424.26313389388866</v>
      </c>
      <c r="I112" s="474">
        <f>'Input data'!K132</f>
        <v>28560.66062030202</v>
      </c>
      <c r="J112" s="474">
        <f>J97*(1-$G$6)</f>
        <v>2228.8062963921584</v>
      </c>
      <c r="K112" s="475">
        <f t="shared" si="73"/>
        <v>11043.859584078717</v>
      </c>
      <c r="L112" s="100">
        <f t="shared" ref="L112:P127" si="90">L111</f>
        <v>0.7</v>
      </c>
      <c r="M112" s="100">
        <f t="shared" si="87"/>
        <v>0.6</v>
      </c>
      <c r="N112" s="100">
        <f t="shared" si="87"/>
        <v>0.9</v>
      </c>
      <c r="O112" s="100">
        <f t="shared" si="87"/>
        <v>0.9</v>
      </c>
      <c r="P112" s="100">
        <f t="shared" si="87"/>
        <v>0.23600000000000002</v>
      </c>
      <c r="Q112" s="473">
        <f t="shared" si="31"/>
        <v>305.80964765582053</v>
      </c>
      <c r="R112" s="474">
        <f t="shared" si="32"/>
        <v>213.4034768606565</v>
      </c>
      <c r="S112" s="474">
        <f t="shared" si="33"/>
        <v>624.93375678259645</v>
      </c>
      <c r="T112" s="474">
        <f t="shared" si="34"/>
        <v>420.7912706766042</v>
      </c>
      <c r="U112" s="475">
        <f t="shared" si="35"/>
        <v>0</v>
      </c>
      <c r="V112" s="474">
        <f t="shared" si="9"/>
        <v>1564.9381519756776</v>
      </c>
      <c r="W112" s="579">
        <f t="shared" si="86"/>
        <v>0.5</v>
      </c>
      <c r="X112" s="475">
        <f t="shared" si="36"/>
        <v>3033.4854703020706</v>
      </c>
      <c r="Y112" s="474">
        <f t="shared" si="77"/>
        <v>4598.4236222777481</v>
      </c>
      <c r="Z112" s="474">
        <f t="shared" si="78"/>
        <v>8674.2422581931278</v>
      </c>
      <c r="AA112" s="475">
        <f t="shared" si="79"/>
        <v>6445.4359618009694</v>
      </c>
      <c r="AB112" s="938">
        <f t="shared" si="37"/>
        <v>0.74305464038810165</v>
      </c>
      <c r="AC112" s="118" t="str">
        <f t="shared" si="38"/>
        <v>Yes</v>
      </c>
      <c r="AD112" s="938">
        <f t="shared" si="39"/>
        <v>0.74305464038810165</v>
      </c>
      <c r="AE112" s="579">
        <f t="shared" si="10"/>
        <v>0.33644054339812191</v>
      </c>
      <c r="AF112" s="475">
        <f t="shared" si="11"/>
        <v>281.52381458283861</v>
      </c>
      <c r="AG112" s="473">
        <f t="shared" si="40"/>
        <v>2228.8062963921584</v>
      </c>
      <c r="AH112" s="474">
        <f t="shared" si="80"/>
        <v>9393.8311517746661</v>
      </c>
      <c r="AI112" s="474">
        <f t="shared" si="81"/>
        <v>6437.6604656145792</v>
      </c>
      <c r="AJ112" s="474">
        <f t="shared" si="12"/>
        <v>891.39852761686427</v>
      </c>
      <c r="AK112" s="474">
        <f t="shared" si="41"/>
        <v>18951.696441398268</v>
      </c>
      <c r="AL112" s="640">
        <f t="shared" si="13"/>
        <v>0</v>
      </c>
      <c r="AM112" s="100">
        <f t="shared" si="42"/>
        <v>0.11760457979495348</v>
      </c>
      <c r="AN112" s="100">
        <f t="shared" si="43"/>
        <v>0.49567230990755484</v>
      </c>
      <c r="AO112" s="100">
        <f t="shared" si="44"/>
        <v>0.33968782085133509</v>
      </c>
      <c r="AP112" s="100">
        <f t="shared" si="45"/>
        <v>4.703528944615664E-2</v>
      </c>
      <c r="AQ112" s="100">
        <f t="shared" si="46"/>
        <v>1</v>
      </c>
      <c r="AR112" s="473">
        <f t="shared" si="14"/>
        <v>474.90080351134759</v>
      </c>
      <c r="AS112" s="474">
        <f t="shared" si="15"/>
        <v>602.30269690783007</v>
      </c>
      <c r="AT112" s="474">
        <f t="shared" si="16"/>
        <v>122.62827453876626</v>
      </c>
      <c r="AU112" s="474">
        <f t="shared" si="17"/>
        <v>0</v>
      </c>
      <c r="AV112" s="474">
        <f t="shared" si="18"/>
        <v>0</v>
      </c>
      <c r="AW112" s="474">
        <f t="shared" si="19"/>
        <v>0</v>
      </c>
      <c r="AX112" s="474">
        <f t="shared" si="20"/>
        <v>856.3949429822901</v>
      </c>
      <c r="AY112" s="474">
        <f t="shared" si="21"/>
        <v>68.982149868784404</v>
      </c>
      <c r="AZ112" s="474">
        <f t="shared" si="22"/>
        <v>19.390900451594771</v>
      </c>
      <c r="BA112" s="474">
        <f t="shared" si="23"/>
        <v>50.08291880019857</v>
      </c>
      <c r="BB112" s="474">
        <f t="shared" si="24"/>
        <v>34.123609331345456</v>
      </c>
      <c r="BC112" s="475">
        <f t="shared" si="47"/>
        <v>2228.806296392157</v>
      </c>
      <c r="BD112" s="647">
        <f t="shared" si="48"/>
        <v>0</v>
      </c>
      <c r="BE112" s="383">
        <f t="shared" si="49"/>
        <v>0.21307405864748558</v>
      </c>
      <c r="BF112" s="383">
        <f t="shared" si="50"/>
        <v>0.27023555069940242</v>
      </c>
      <c r="BG112" s="383">
        <f t="shared" si="51"/>
        <v>5.5019709311333487E-2</v>
      </c>
      <c r="BH112" s="383">
        <f t="shared" si="52"/>
        <v>0</v>
      </c>
      <c r="BI112" s="383">
        <f t="shared" si="53"/>
        <v>0</v>
      </c>
      <c r="BJ112" s="383">
        <f t="shared" si="54"/>
        <v>0</v>
      </c>
      <c r="BK112" s="383">
        <f t="shared" si="55"/>
        <v>0.46167068134177863</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84.251840409453891</v>
      </c>
      <c r="BW112" s="100">
        <f t="shared" si="59"/>
        <v>0.71478647130084183</v>
      </c>
      <c r="BX112" s="1385">
        <f t="shared" si="25"/>
        <v>36.334930676977528</v>
      </c>
      <c r="BY112" s="473">
        <f t="shared" si="60"/>
        <v>84.251840409453891</v>
      </c>
      <c r="BZ112" s="100">
        <f t="shared" si="61"/>
        <v>0.71478647130084183</v>
      </c>
      <c r="CA112" s="489">
        <f t="shared" si="26"/>
        <v>36.334930676977528</v>
      </c>
      <c r="CB112" s="579">
        <f t="shared" si="27"/>
        <v>0.33644054339812191</v>
      </c>
      <c r="CC112" s="471">
        <f t="shared" si="62"/>
        <v>0.36313265841080156</v>
      </c>
      <c r="CD112" s="100">
        <f t="shared" si="28"/>
        <v>0.33644054339812191</v>
      </c>
      <c r="CE112" s="471">
        <f t="shared" si="63"/>
        <v>0.36313265841080156</v>
      </c>
      <c r="CG112" s="473">
        <f t="shared" si="64"/>
        <v>1783.8896113256189</v>
      </c>
      <c r="CH112" s="474">
        <f t="shared" si="65"/>
        <v>785.53427065272342</v>
      </c>
      <c r="CI112" s="474">
        <f t="shared" si="66"/>
        <v>2991.704154810303</v>
      </c>
      <c r="CJ112" s="474">
        <f t="shared" si="67"/>
        <v>3787.1214360894387</v>
      </c>
      <c r="CK112" s="474">
        <f t="shared" si="68"/>
        <v>45.581678896581813</v>
      </c>
      <c r="CL112" s="474">
        <f t="shared" si="69"/>
        <v>9393.8311517746661</v>
      </c>
      <c r="CM112" s="576">
        <f t="shared" si="70"/>
        <v>0</v>
      </c>
    </row>
    <row r="113" spans="1:91">
      <c r="A113" s="89">
        <f>'Input data'!A133</f>
        <v>2033</v>
      </c>
      <c r="B113" s="152">
        <f>'Input data'!B133</f>
        <v>67.86660286866902</v>
      </c>
      <c r="C113" s="204">
        <f>'Input data'!C133</f>
        <v>5663.260000000002</v>
      </c>
      <c r="D113" s="204">
        <f>'Input data'!D133</f>
        <v>35521966.003645025</v>
      </c>
      <c r="E113" s="579">
        <f t="shared" si="88"/>
        <v>1</v>
      </c>
      <c r="F113" s="100">
        <f t="shared" si="89"/>
        <v>0.36725000000000002</v>
      </c>
      <c r="G113" s="475">
        <f>B113*F113*'Input data'!$C$9</f>
        <v>762.85142530393978</v>
      </c>
      <c r="H113" s="301">
        <f>'Input data'!I133</f>
        <v>424.26313389388866</v>
      </c>
      <c r="I113" s="474">
        <f>'Input data'!K133</f>
        <v>28793.297619793491</v>
      </c>
      <c r="J113" s="474">
        <f>J112</f>
        <v>2228.8062963921584</v>
      </c>
      <c r="K113" s="475">
        <f t="shared" si="73"/>
        <v>11151.970289455423</v>
      </c>
      <c r="L113" s="100">
        <f t="shared" si="90"/>
        <v>0.7</v>
      </c>
      <c r="M113" s="100">
        <f t="shared" si="87"/>
        <v>0.6</v>
      </c>
      <c r="N113" s="100">
        <f t="shared" si="87"/>
        <v>0.9</v>
      </c>
      <c r="O113" s="100">
        <f t="shared" si="87"/>
        <v>0.9</v>
      </c>
      <c r="P113" s="100">
        <f t="shared" si="87"/>
        <v>0.23600000000000002</v>
      </c>
      <c r="Q113" s="473">
        <f t="shared" si="31"/>
        <v>308.30057879330366</v>
      </c>
      <c r="R113" s="474">
        <f t="shared" si="32"/>
        <v>215.14172602785618</v>
      </c>
      <c r="S113" s="474">
        <f t="shared" si="33"/>
        <v>630.02407020327018</v>
      </c>
      <c r="T113" s="474">
        <f t="shared" si="34"/>
        <v>424.21876907812293</v>
      </c>
      <c r="U113" s="475">
        <f t="shared" si="35"/>
        <v>0</v>
      </c>
      <c r="V113" s="474">
        <f t="shared" si="9"/>
        <v>1577.6851441025528</v>
      </c>
      <c r="W113" s="579">
        <f t="shared" si="86"/>
        <v>0.5</v>
      </c>
      <c r="X113" s="475">
        <f t="shared" si="36"/>
        <v>3033.4854703020706</v>
      </c>
      <c r="Y113" s="474">
        <f t="shared" si="77"/>
        <v>4611.1706144046238</v>
      </c>
      <c r="Z113" s="474">
        <f t="shared" si="78"/>
        <v>8769.6059714429575</v>
      </c>
      <c r="AA113" s="475">
        <f t="shared" si="79"/>
        <v>6540.7996750507991</v>
      </c>
      <c r="AB113" s="938">
        <f t="shared" si="37"/>
        <v>0.74584875265206141</v>
      </c>
      <c r="AC113" s="118" t="str">
        <f t="shared" si="38"/>
        <v>Yes</v>
      </c>
      <c r="AD113" s="938">
        <f t="shared" si="39"/>
        <v>0.74584875265206141</v>
      </c>
      <c r="AE113" s="579">
        <f t="shared" si="10"/>
        <v>0.33923160487106796</v>
      </c>
      <c r="AF113" s="475">
        <f t="shared" si="11"/>
        <v>280.33967009543602</v>
      </c>
      <c r="AG113" s="473">
        <f t="shared" si="40"/>
        <v>2228.8062963921584</v>
      </c>
      <c r="AH113" s="474">
        <f t="shared" si="80"/>
        <v>9470.3473333130205</v>
      </c>
      <c r="AI113" s="474">
        <f t="shared" si="81"/>
        <v>6437.6604656145792</v>
      </c>
      <c r="AJ113" s="474">
        <f t="shared" si="12"/>
        <v>888.8869633808855</v>
      </c>
      <c r="AK113" s="474">
        <f t="shared" si="41"/>
        <v>19025.701058700644</v>
      </c>
      <c r="AL113" s="640">
        <f t="shared" si="13"/>
        <v>0</v>
      </c>
      <c r="AM113" s="100">
        <f t="shared" si="42"/>
        <v>0.11714713111046716</v>
      </c>
      <c r="AN113" s="100">
        <f t="shared" si="43"/>
        <v>0.49776601157002492</v>
      </c>
      <c r="AO113" s="100">
        <f t="shared" si="44"/>
        <v>0.3383665309232099</v>
      </c>
      <c r="AP113" s="100">
        <f t="shared" si="45"/>
        <v>4.6720326396297945E-2</v>
      </c>
      <c r="AQ113" s="100">
        <f t="shared" si="46"/>
        <v>1</v>
      </c>
      <c r="AR113" s="473">
        <f t="shared" si="14"/>
        <v>476.33127839489197</v>
      </c>
      <c r="AS113" s="474">
        <f t="shared" si="15"/>
        <v>604.11692605599603</v>
      </c>
      <c r="AT113" s="474">
        <f t="shared" si="16"/>
        <v>122.28276265030179</v>
      </c>
      <c r="AU113" s="474">
        <f t="shared" si="17"/>
        <v>0</v>
      </c>
      <c r="AV113" s="474">
        <f t="shared" si="18"/>
        <v>0</v>
      </c>
      <c r="AW113" s="474">
        <f t="shared" si="19"/>
        <v>0</v>
      </c>
      <c r="AX113" s="474">
        <f t="shared" si="20"/>
        <v>853.98200326562096</v>
      </c>
      <c r="AY113" s="474">
        <f t="shared" si="21"/>
        <v>68.787788878538478</v>
      </c>
      <c r="AZ113" s="474">
        <f t="shared" si="22"/>
        <v>19.336265526172795</v>
      </c>
      <c r="BA113" s="474">
        <f t="shared" si="23"/>
        <v>49.941807429924914</v>
      </c>
      <c r="BB113" s="474">
        <f t="shared" si="24"/>
        <v>34.027464190710951</v>
      </c>
      <c r="BC113" s="475">
        <f t="shared" si="47"/>
        <v>2228.8062963921575</v>
      </c>
      <c r="BD113" s="647">
        <f t="shared" si="48"/>
        <v>0</v>
      </c>
      <c r="BE113" s="383">
        <f t="shared" si="49"/>
        <v>0.21371587076272405</v>
      </c>
      <c r="BF113" s="383">
        <f t="shared" si="50"/>
        <v>0.27104954209520138</v>
      </c>
      <c r="BG113" s="383">
        <f t="shared" si="51"/>
        <v>5.4864688263060339E-2</v>
      </c>
      <c r="BH113" s="383">
        <f t="shared" si="52"/>
        <v>0</v>
      </c>
      <c r="BI113" s="383">
        <f t="shared" si="53"/>
        <v>0</v>
      </c>
      <c r="BJ113" s="383">
        <f t="shared" si="54"/>
        <v>0</v>
      </c>
      <c r="BK113" s="383">
        <f t="shared" si="55"/>
        <v>0.46036989887901436</v>
      </c>
      <c r="BL113" s="383">
        <f t="shared" si="56"/>
        <v>1</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84.338210155690433</v>
      </c>
      <c r="BW113" s="100">
        <f t="shared" si="59"/>
        <v>0.72086215897728811</v>
      </c>
      <c r="BX113" s="1385">
        <f t="shared" si="25"/>
        <v>35.521966003645026</v>
      </c>
      <c r="BY113" s="473">
        <f t="shared" si="60"/>
        <v>84.338210155690433</v>
      </c>
      <c r="BZ113" s="100">
        <f t="shared" si="61"/>
        <v>0.72086215897728811</v>
      </c>
      <c r="CA113" s="489">
        <f t="shared" si="26"/>
        <v>35.521966003645026</v>
      </c>
      <c r="CB113" s="579">
        <f t="shared" si="27"/>
        <v>0.33923160487106796</v>
      </c>
      <c r="CC113" s="471">
        <f t="shared" si="62"/>
        <v>0.36991646811125578</v>
      </c>
      <c r="CD113" s="100">
        <f t="shared" si="28"/>
        <v>0.33923160487106796</v>
      </c>
      <c r="CE113" s="471">
        <f t="shared" si="63"/>
        <v>0.36991646811125578</v>
      </c>
      <c r="CG113" s="473">
        <f t="shared" si="64"/>
        <v>1798.4200429609364</v>
      </c>
      <c r="CH113" s="474">
        <f t="shared" si="65"/>
        <v>791.93273384486918</v>
      </c>
      <c r="CI113" s="474">
        <f t="shared" si="66"/>
        <v>3016.0726765050181</v>
      </c>
      <c r="CJ113" s="474">
        <f t="shared" si="67"/>
        <v>3817.9689217031091</v>
      </c>
      <c r="CK113" s="474">
        <f t="shared" si="68"/>
        <v>45.952958299087889</v>
      </c>
      <c r="CL113" s="474">
        <f t="shared" si="69"/>
        <v>9470.3473333130205</v>
      </c>
      <c r="CM113" s="576">
        <f t="shared" si="70"/>
        <v>0</v>
      </c>
    </row>
    <row r="114" spans="1:91">
      <c r="A114" s="89">
        <f>'Input data'!A134</f>
        <v>2034</v>
      </c>
      <c r="B114" s="152">
        <f>'Input data'!B134</f>
        <v>68.401606645337111</v>
      </c>
      <c r="C114" s="204">
        <f>'Input data'!C134</f>
        <v>5838.79</v>
      </c>
      <c r="D114" s="204">
        <f>'Input data'!D134</f>
        <v>32152713.47625063</v>
      </c>
      <c r="E114" s="579">
        <f t="shared" si="88"/>
        <v>1</v>
      </c>
      <c r="F114" s="100">
        <f t="shared" si="89"/>
        <v>0.36725000000000002</v>
      </c>
      <c r="G114" s="475">
        <f>B114*F114*'Input data'!$C$9</f>
        <v>768.86511062666079</v>
      </c>
      <c r="H114" s="301">
        <f>'Input data'!I134</f>
        <v>424.26313389388866</v>
      </c>
      <c r="I114" s="474">
        <f>'Input data'!K134</f>
        <v>29020.279998727765</v>
      </c>
      <c r="J114" s="474">
        <f t="shared" ref="J114:J130" si="91">J113</f>
        <v>2228.8062963921584</v>
      </c>
      <c r="K114" s="475">
        <f t="shared" si="73"/>
        <v>11257.453188342135</v>
      </c>
      <c r="L114" s="100">
        <f t="shared" si="90"/>
        <v>0.7</v>
      </c>
      <c r="M114" s="100">
        <f t="shared" si="87"/>
        <v>0.6</v>
      </c>
      <c r="N114" s="100">
        <f t="shared" si="87"/>
        <v>0.9</v>
      </c>
      <c r="O114" s="100">
        <f t="shared" si="87"/>
        <v>0.9</v>
      </c>
      <c r="P114" s="100">
        <f t="shared" si="87"/>
        <v>0.23600000000000002</v>
      </c>
      <c r="Q114" s="473">
        <f t="shared" si="31"/>
        <v>310.7309637990561</v>
      </c>
      <c r="R114" s="474">
        <f t="shared" si="32"/>
        <v>216.83772422252821</v>
      </c>
      <c r="S114" s="474">
        <f t="shared" si="33"/>
        <v>634.99065527903758</v>
      </c>
      <c r="T114" s="474">
        <f t="shared" si="34"/>
        <v>427.56295655763279</v>
      </c>
      <c r="U114" s="475">
        <f t="shared" si="35"/>
        <v>0</v>
      </c>
      <c r="V114" s="474">
        <f t="shared" si="9"/>
        <v>1590.1222998582548</v>
      </c>
      <c r="W114" s="579">
        <f t="shared" si="86"/>
        <v>0.5</v>
      </c>
      <c r="X114" s="475">
        <f t="shared" si="36"/>
        <v>3033.4854703020706</v>
      </c>
      <c r="Y114" s="474">
        <f t="shared" si="77"/>
        <v>4623.6077701603253</v>
      </c>
      <c r="Z114" s="474">
        <f t="shared" si="78"/>
        <v>8862.6517145739672</v>
      </c>
      <c r="AA114" s="475">
        <f t="shared" si="79"/>
        <v>6633.8454181818088</v>
      </c>
      <c r="AB114" s="938">
        <f t="shared" si="37"/>
        <v>0.74851699376530234</v>
      </c>
      <c r="AC114" s="118" t="str">
        <f t="shared" si="38"/>
        <v>Yes</v>
      </c>
      <c r="AD114" s="938">
        <f t="shared" si="39"/>
        <v>0.74851699376530234</v>
      </c>
      <c r="AE114" s="579">
        <f t="shared" si="10"/>
        <v>0.34190989992674348</v>
      </c>
      <c r="AF114" s="475">
        <f t="shared" si="11"/>
        <v>279.20336824162263</v>
      </c>
      <c r="AG114" s="473">
        <f t="shared" si="40"/>
        <v>2228.8062963921584</v>
      </c>
      <c r="AH114" s="474">
        <f t="shared" si="80"/>
        <v>9545.0036646382505</v>
      </c>
      <c r="AI114" s="474">
        <f t="shared" si="81"/>
        <v>6437.6604656145792</v>
      </c>
      <c r="AJ114" s="474">
        <f t="shared" si="12"/>
        <v>886.48854187169172</v>
      </c>
      <c r="AK114" s="474">
        <f t="shared" si="41"/>
        <v>19097.958968516679</v>
      </c>
      <c r="AL114" s="640">
        <f t="shared" si="13"/>
        <v>0</v>
      </c>
      <c r="AM114" s="100">
        <f t="shared" si="42"/>
        <v>0.11670390014275267</v>
      </c>
      <c r="AN114" s="100">
        <f t="shared" si="43"/>
        <v>0.49979181965849634</v>
      </c>
      <c r="AO114" s="100">
        <f t="shared" si="44"/>
        <v>0.33708630729740152</v>
      </c>
      <c r="AP114" s="100">
        <f t="shared" si="45"/>
        <v>4.641797290134949E-2</v>
      </c>
      <c r="AQ114" s="100">
        <f t="shared" si="46"/>
        <v>1</v>
      </c>
      <c r="AR114" s="473">
        <f t="shared" si="14"/>
        <v>477.69731223145749</v>
      </c>
      <c r="AS114" s="474">
        <f t="shared" si="15"/>
        <v>605.84942652293012</v>
      </c>
      <c r="AT114" s="474">
        <f t="shared" si="16"/>
        <v>121.95281562640957</v>
      </c>
      <c r="AU114" s="474">
        <f t="shared" si="17"/>
        <v>0</v>
      </c>
      <c r="AV114" s="474">
        <f t="shared" si="18"/>
        <v>0</v>
      </c>
      <c r="AW114" s="474">
        <f t="shared" si="19"/>
        <v>0</v>
      </c>
      <c r="AX114" s="474">
        <f t="shared" si="20"/>
        <v>851.67776336845066</v>
      </c>
      <c r="AY114" s="474">
        <f t="shared" si="21"/>
        <v>68.602183600012822</v>
      </c>
      <c r="AZ114" s="474">
        <f t="shared" si="22"/>
        <v>19.284091833615655</v>
      </c>
      <c r="BA114" s="474">
        <f t="shared" si="23"/>
        <v>49.807052944728824</v>
      </c>
      <c r="BB114" s="474">
        <f t="shared" si="24"/>
        <v>33.935650264553331</v>
      </c>
      <c r="BC114" s="475">
        <f t="shared" si="47"/>
        <v>2228.8062963921579</v>
      </c>
      <c r="BD114" s="647">
        <f t="shared" si="48"/>
        <v>0</v>
      </c>
      <c r="BE114" s="383">
        <f t="shared" si="49"/>
        <v>0.21432877007065254</v>
      </c>
      <c r="BF114" s="383">
        <f t="shared" si="50"/>
        <v>0.27182686422935831</v>
      </c>
      <c r="BG114" s="383">
        <f t="shared" si="51"/>
        <v>5.4716650712903409E-2</v>
      </c>
      <c r="BH114" s="383">
        <f t="shared" si="52"/>
        <v>0</v>
      </c>
      <c r="BI114" s="383">
        <f t="shared" si="53"/>
        <v>0</v>
      </c>
      <c r="BJ114" s="383">
        <f t="shared" si="54"/>
        <v>0</v>
      </c>
      <c r="BK114" s="383">
        <f t="shared" si="55"/>
        <v>0.45912771498708599</v>
      </c>
      <c r="BL114" s="383">
        <f t="shared" si="56"/>
        <v>1.0000000000000002</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81.94125368542737</v>
      </c>
      <c r="BW114" s="100">
        <f t="shared" si="59"/>
        <v>0.73736752350947032</v>
      </c>
      <c r="BX114" s="1385">
        <f t="shared" si="25"/>
        <v>32.152713476250632</v>
      </c>
      <c r="BY114" s="473">
        <f t="shared" si="60"/>
        <v>81.94125368542737</v>
      </c>
      <c r="BZ114" s="100">
        <f t="shared" si="61"/>
        <v>0.73736752350947032</v>
      </c>
      <c r="CA114" s="489">
        <f t="shared" si="26"/>
        <v>32.152713476250632</v>
      </c>
      <c r="CB114" s="579">
        <f t="shared" si="27"/>
        <v>0.34190989992674348</v>
      </c>
      <c r="CC114" s="471">
        <f t="shared" si="62"/>
        <v>0.38629272789697089</v>
      </c>
      <c r="CD114" s="100">
        <f t="shared" si="28"/>
        <v>0.34190989992674348</v>
      </c>
      <c r="CE114" s="471">
        <f t="shared" si="63"/>
        <v>0.38629272789697089</v>
      </c>
      <c r="CG114" s="473">
        <f t="shared" si="64"/>
        <v>1812.5972888278266</v>
      </c>
      <c r="CH114" s="474">
        <f t="shared" si="65"/>
        <v>798.17567198476684</v>
      </c>
      <c r="CI114" s="474">
        <f t="shared" si="66"/>
        <v>3039.848881654968</v>
      </c>
      <c r="CJ114" s="474">
        <f t="shared" si="67"/>
        <v>3848.0666090187001</v>
      </c>
      <c r="CK114" s="474">
        <f t="shared" si="68"/>
        <v>46.315213151988935</v>
      </c>
      <c r="CL114" s="474">
        <f t="shared" si="69"/>
        <v>9545.0036646382505</v>
      </c>
      <c r="CM114" s="576">
        <f t="shared" si="70"/>
        <v>0</v>
      </c>
    </row>
    <row r="115" spans="1:91">
      <c r="A115" s="89">
        <f>'Input data'!A135</f>
        <v>2035</v>
      </c>
      <c r="B115" s="152">
        <f>'Input data'!B135</f>
        <v>68.922893208527455</v>
      </c>
      <c r="C115" s="204">
        <f>'Input data'!C135</f>
        <v>5978.8699999999981</v>
      </c>
      <c r="D115" s="204">
        <f>'Input data'!D135</f>
        <v>24779864.252695084</v>
      </c>
      <c r="E115" s="579">
        <f t="shared" si="88"/>
        <v>1</v>
      </c>
      <c r="F115" s="100">
        <f t="shared" si="89"/>
        <v>0.36725000000000002</v>
      </c>
      <c r="G115" s="475">
        <f>B115*F115*'Input data'!$C$9</f>
        <v>774.72460824275743</v>
      </c>
      <c r="H115" s="301">
        <f>'Input data'!I135</f>
        <v>424.26313389388866</v>
      </c>
      <c r="I115" s="474">
        <f>'Input data'!K135</f>
        <v>29241.442669683674</v>
      </c>
      <c r="J115" s="474">
        <f t="shared" si="91"/>
        <v>2228.8062963921584</v>
      </c>
      <c r="K115" s="475">
        <f t="shared" si="73"/>
        <v>11360.231561568688</v>
      </c>
      <c r="L115" s="100">
        <f t="shared" si="90"/>
        <v>0.7</v>
      </c>
      <c r="M115" s="100">
        <f t="shared" si="87"/>
        <v>0.6</v>
      </c>
      <c r="N115" s="100">
        <f t="shared" si="87"/>
        <v>0.9</v>
      </c>
      <c r="O115" s="100">
        <f t="shared" si="87"/>
        <v>0.9</v>
      </c>
      <c r="P115" s="100">
        <f t="shared" si="87"/>
        <v>0.23600000000000002</v>
      </c>
      <c r="Q115" s="473">
        <f t="shared" si="31"/>
        <v>313.09903502047496</v>
      </c>
      <c r="R115" s="474">
        <f t="shared" si="32"/>
        <v>218.49023792174671</v>
      </c>
      <c r="S115" s="474">
        <f t="shared" si="33"/>
        <v>639.82989974393286</v>
      </c>
      <c r="T115" s="474">
        <f t="shared" si="34"/>
        <v>430.82140084136245</v>
      </c>
      <c r="U115" s="475">
        <f t="shared" si="35"/>
        <v>0</v>
      </c>
      <c r="V115" s="474">
        <f t="shared" si="9"/>
        <v>1602.240573527517</v>
      </c>
      <c r="W115" s="579">
        <f t="shared" si="86"/>
        <v>0.5</v>
      </c>
      <c r="X115" s="475">
        <f t="shared" si="36"/>
        <v>3033.4854703020706</v>
      </c>
      <c r="Y115" s="474">
        <f t="shared" si="77"/>
        <v>4635.7260438295871</v>
      </c>
      <c r="Z115" s="474">
        <f t="shared" si="78"/>
        <v>8953.3118141312589</v>
      </c>
      <c r="AA115" s="475">
        <f t="shared" si="79"/>
        <v>6724.5055177391005</v>
      </c>
      <c r="AB115" s="938">
        <f t="shared" si="37"/>
        <v>0.75106347878174284</v>
      </c>
      <c r="AC115" s="118" t="str">
        <f t="shared" si="38"/>
        <v>Yes</v>
      </c>
      <c r="AD115" s="938">
        <f t="shared" si="39"/>
        <v>0.75106347878174284</v>
      </c>
      <c r="AE115" s="579">
        <f t="shared" si="10"/>
        <v>0.34447789085286562</v>
      </c>
      <c r="AF115" s="475">
        <f t="shared" si="11"/>
        <v>278.113864363495</v>
      </c>
      <c r="AG115" s="473">
        <f t="shared" si="40"/>
        <v>2228.8062963921584</v>
      </c>
      <c r="AH115" s="474">
        <f t="shared" si="80"/>
        <v>9617.7458471688078</v>
      </c>
      <c r="AI115" s="474">
        <f t="shared" si="81"/>
        <v>6437.6604656145792</v>
      </c>
      <c r="AJ115" s="474">
        <f t="shared" si="12"/>
        <v>884.19956416050832</v>
      </c>
      <c r="AK115" s="474">
        <f t="shared" si="41"/>
        <v>19168.412173336055</v>
      </c>
      <c r="AL115" s="640">
        <f t="shared" si="13"/>
        <v>0</v>
      </c>
      <c r="AM115" s="100">
        <f t="shared" si="42"/>
        <v>0.11627495674850458</v>
      </c>
      <c r="AN115" s="100">
        <f t="shared" si="43"/>
        <v>0.50174974119908766</v>
      </c>
      <c r="AO115" s="100">
        <f t="shared" si="44"/>
        <v>0.33584735174724561</v>
      </c>
      <c r="AP115" s="100">
        <f t="shared" si="45"/>
        <v>4.6127950305162022E-2</v>
      </c>
      <c r="AQ115" s="100">
        <f t="shared" si="46"/>
        <v>0.99999999999999989</v>
      </c>
      <c r="AR115" s="473">
        <f t="shared" si="14"/>
        <v>479.00101176576942</v>
      </c>
      <c r="AS115" s="474">
        <f t="shared" si="15"/>
        <v>607.50287023089561</v>
      </c>
      <c r="AT115" s="474">
        <f t="shared" si="16"/>
        <v>121.63792461135419</v>
      </c>
      <c r="AU115" s="474">
        <f t="shared" si="17"/>
        <v>0</v>
      </c>
      <c r="AV115" s="474">
        <f t="shared" si="18"/>
        <v>0</v>
      </c>
      <c r="AW115" s="474">
        <f t="shared" si="19"/>
        <v>0</v>
      </c>
      <c r="AX115" s="474">
        <f t="shared" si="20"/>
        <v>849.47866961215118</v>
      </c>
      <c r="AY115" s="474">
        <f t="shared" si="21"/>
        <v>68.425047786314195</v>
      </c>
      <c r="AZ115" s="474">
        <f t="shared" si="22"/>
        <v>19.234298909846608</v>
      </c>
      <c r="BA115" s="474">
        <f t="shared" si="23"/>
        <v>49.678447521572991</v>
      </c>
      <c r="BB115" s="474">
        <f t="shared" si="24"/>
        <v>33.848025954253643</v>
      </c>
      <c r="BC115" s="475">
        <f t="shared" si="47"/>
        <v>2228.8062963921579</v>
      </c>
      <c r="BD115" s="647">
        <f t="shared" si="48"/>
        <v>0</v>
      </c>
      <c r="BE115" s="383">
        <f t="shared" si="49"/>
        <v>0.21491370180582497</v>
      </c>
      <c r="BF115" s="383">
        <f t="shared" si="50"/>
        <v>0.2725687159150082</v>
      </c>
      <c r="BG115" s="383">
        <f t="shared" si="51"/>
        <v>5.4575368352222223E-2</v>
      </c>
      <c r="BH115" s="383">
        <f t="shared" si="52"/>
        <v>0</v>
      </c>
      <c r="BI115" s="383">
        <f t="shared" si="53"/>
        <v>0</v>
      </c>
      <c r="BJ115" s="383">
        <f t="shared" si="54"/>
        <v>0</v>
      </c>
      <c r="BK115" s="383">
        <f t="shared" si="55"/>
        <v>0.45794221392694456</v>
      </c>
      <c r="BL115" s="383">
        <f t="shared" si="56"/>
        <v>1</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75.357124308723471</v>
      </c>
      <c r="BW115" s="100">
        <f t="shared" si="59"/>
        <v>0.77312397460965654</v>
      </c>
      <c r="BX115" s="1385">
        <f t="shared" si="25"/>
        <v>24.779864252695084</v>
      </c>
      <c r="BY115" s="473">
        <f t="shared" si="60"/>
        <v>75.357124308723471</v>
      </c>
      <c r="BZ115" s="100">
        <f t="shared" si="61"/>
        <v>0.77312397460965654</v>
      </c>
      <c r="CA115" s="489">
        <f t="shared" si="26"/>
        <v>24.779864252695084</v>
      </c>
      <c r="CB115" s="579">
        <f t="shared" si="27"/>
        <v>0.34447789085286562</v>
      </c>
      <c r="CC115" s="471">
        <f t="shared" si="62"/>
        <v>0.41900945651695554</v>
      </c>
      <c r="CD115" s="100">
        <f t="shared" si="28"/>
        <v>0.34447789085286562</v>
      </c>
      <c r="CE115" s="471">
        <f t="shared" si="63"/>
        <v>0.41900945651695554</v>
      </c>
      <c r="CG115" s="473">
        <f t="shared" si="64"/>
        <v>1826.411037619436</v>
      </c>
      <c r="CH115" s="474">
        <f t="shared" si="65"/>
        <v>804.2585444972276</v>
      </c>
      <c r="CI115" s="474">
        <f t="shared" si="66"/>
        <v>3063.0154774975517</v>
      </c>
      <c r="CJ115" s="474">
        <f t="shared" si="67"/>
        <v>3877.3926075722679</v>
      </c>
      <c r="CK115" s="474">
        <f t="shared" si="68"/>
        <v>46.66817998232397</v>
      </c>
      <c r="CL115" s="474">
        <f t="shared" si="69"/>
        <v>9617.7458471688078</v>
      </c>
      <c r="CM115" s="576">
        <f t="shared" si="70"/>
        <v>0</v>
      </c>
    </row>
    <row r="116" spans="1:91">
      <c r="A116" s="89">
        <f>'Input data'!A136</f>
        <v>2036</v>
      </c>
      <c r="B116" s="152">
        <f>'Input data'!B136</f>
        <v>69.431445341664755</v>
      </c>
      <c r="C116" s="204">
        <f>'Input data'!C136</f>
        <v>6119.1299999999983</v>
      </c>
      <c r="D116" s="204">
        <f>'Input data'!D136</f>
        <v>11557949.273739366</v>
      </c>
      <c r="E116" s="579">
        <f t="shared" si="88"/>
        <v>1</v>
      </c>
      <c r="F116" s="100">
        <f t="shared" si="89"/>
        <v>0.36725000000000002</v>
      </c>
      <c r="G116" s="475">
        <f>B116*F116*'Input data'!$C$9</f>
        <v>780.44096508407279</v>
      </c>
      <c r="H116" s="301">
        <f>'Input data'!I136</f>
        <v>424.26313389388866</v>
      </c>
      <c r="I116" s="474">
        <f>'Input data'!K136</f>
        <v>29457.202591436926</v>
      </c>
      <c r="J116" s="474">
        <f t="shared" si="91"/>
        <v>2228.8062963921584</v>
      </c>
      <c r="K116" s="475">
        <f t="shared" si="73"/>
        <v>11460.499177570253</v>
      </c>
      <c r="L116" s="100">
        <f t="shared" si="90"/>
        <v>0.7</v>
      </c>
      <c r="M116" s="100">
        <f t="shared" si="87"/>
        <v>0.6</v>
      </c>
      <c r="N116" s="100">
        <f t="shared" si="87"/>
        <v>0.9</v>
      </c>
      <c r="O116" s="100">
        <f t="shared" si="87"/>
        <v>0.9</v>
      </c>
      <c r="P116" s="100">
        <f t="shared" si="87"/>
        <v>0.23600000000000002</v>
      </c>
      <c r="Q116" s="473">
        <f t="shared" si="31"/>
        <v>315.40925699071568</v>
      </c>
      <c r="R116" s="474">
        <f t="shared" si="32"/>
        <v>220.10238261550785</v>
      </c>
      <c r="S116" s="474">
        <f t="shared" si="33"/>
        <v>644.55092704287881</v>
      </c>
      <c r="T116" s="474">
        <f t="shared" si="34"/>
        <v>434.00024508599108</v>
      </c>
      <c r="U116" s="475">
        <f t="shared" si="35"/>
        <v>0</v>
      </c>
      <c r="V116" s="474">
        <f t="shared" si="9"/>
        <v>1614.0628117350934</v>
      </c>
      <c r="W116" s="579">
        <f t="shared" si="86"/>
        <v>0.5</v>
      </c>
      <c r="X116" s="475">
        <f t="shared" si="36"/>
        <v>3033.4854703020706</v>
      </c>
      <c r="Y116" s="474">
        <f t="shared" si="77"/>
        <v>4647.5482820371635</v>
      </c>
      <c r="Z116" s="474">
        <f t="shared" si="78"/>
        <v>9041.7571919252478</v>
      </c>
      <c r="AA116" s="475">
        <f t="shared" si="79"/>
        <v>6812.9508955330894</v>
      </c>
      <c r="AB116" s="938">
        <f t="shared" si="37"/>
        <v>0.75349854579344411</v>
      </c>
      <c r="AC116" s="118" t="str">
        <f t="shared" si="38"/>
        <v>Yes</v>
      </c>
      <c r="AD116" s="938">
        <f t="shared" si="39"/>
        <v>0.75349854579344411</v>
      </c>
      <c r="AE116" s="579">
        <f t="shared" si="10"/>
        <v>0.34694448796127797</v>
      </c>
      <c r="AF116" s="475">
        <f t="shared" si="11"/>
        <v>277.06737814422632</v>
      </c>
      <c r="AG116" s="473">
        <f t="shared" si="40"/>
        <v>2228.8062963921584</v>
      </c>
      <c r="AH116" s="474">
        <f t="shared" si="80"/>
        <v>9688.711022001964</v>
      </c>
      <c r="AI116" s="474">
        <f t="shared" si="81"/>
        <v>6437.6604656145792</v>
      </c>
      <c r="AJ116" s="474">
        <f t="shared" si="12"/>
        <v>882.01073757050824</v>
      </c>
      <c r="AK116" s="474">
        <f t="shared" si="41"/>
        <v>19237.18852157921</v>
      </c>
      <c r="AL116" s="640">
        <f t="shared" si="13"/>
        <v>0</v>
      </c>
      <c r="AM116" s="100">
        <f t="shared" si="42"/>
        <v>0.11585925323193705</v>
      </c>
      <c r="AN116" s="100">
        <f t="shared" si="43"/>
        <v>0.50364485491909106</v>
      </c>
      <c r="AO116" s="100">
        <f t="shared" si="44"/>
        <v>0.33464663811934731</v>
      </c>
      <c r="AP116" s="100">
        <f t="shared" si="45"/>
        <v>4.5849253729624659E-2</v>
      </c>
      <c r="AQ116" s="100">
        <f t="shared" si="46"/>
        <v>1</v>
      </c>
      <c r="AR116" s="473">
        <f t="shared" si="14"/>
        <v>480.24766969176466</v>
      </c>
      <c r="AS116" s="474">
        <f t="shared" si="15"/>
        <v>609.08396974767197</v>
      </c>
      <c r="AT116" s="474">
        <f t="shared" si="16"/>
        <v>121.33681122639733</v>
      </c>
      <c r="AU116" s="474">
        <f t="shared" si="17"/>
        <v>0</v>
      </c>
      <c r="AV116" s="474">
        <f t="shared" si="18"/>
        <v>0</v>
      </c>
      <c r="AW116" s="474">
        <f t="shared" si="19"/>
        <v>0</v>
      </c>
      <c r="AX116" s="474">
        <f t="shared" si="20"/>
        <v>847.37579422626447</v>
      </c>
      <c r="AY116" s="474">
        <f t="shared" si="21"/>
        <v>68.255662310356698</v>
      </c>
      <c r="AZ116" s="474">
        <f t="shared" si="22"/>
        <v>19.186684608052847</v>
      </c>
      <c r="BA116" s="474">
        <f t="shared" si="23"/>
        <v>49.55546905461523</v>
      </c>
      <c r="BB116" s="474">
        <f t="shared" si="24"/>
        <v>33.764235527034849</v>
      </c>
      <c r="BC116" s="475">
        <f t="shared" si="47"/>
        <v>2228.8062963921584</v>
      </c>
      <c r="BD116" s="647">
        <f t="shared" si="48"/>
        <v>0</v>
      </c>
      <c r="BE116" s="383">
        <f t="shared" si="49"/>
        <v>0.2154730406447421</v>
      </c>
      <c r="BF116" s="383">
        <f t="shared" si="50"/>
        <v>0.27327810888439075</v>
      </c>
      <c r="BG116" s="383">
        <f t="shared" si="51"/>
        <v>5.4440267609979921E-2</v>
      </c>
      <c r="BH116" s="383">
        <f t="shared" si="52"/>
        <v>0</v>
      </c>
      <c r="BI116" s="383">
        <f t="shared" si="53"/>
        <v>0</v>
      </c>
      <c r="BJ116" s="383">
        <f t="shared" si="54"/>
        <v>0</v>
      </c>
      <c r="BK116" s="383">
        <f t="shared" si="55"/>
        <v>0.4568085828608871</v>
      </c>
      <c r="BL116" s="383">
        <f t="shared" si="56"/>
        <v>0.99999999999999989</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69.676347383600515</v>
      </c>
      <c r="BW116" s="100">
        <f t="shared" si="59"/>
        <v>0.77156167675830989</v>
      </c>
      <c r="BX116" s="1385">
        <f t="shared" si="25"/>
        <v>11.557949273739366</v>
      </c>
      <c r="BY116" s="473">
        <f t="shared" si="60"/>
        <v>69.676347383600515</v>
      </c>
      <c r="BZ116" s="100">
        <f t="shared" si="61"/>
        <v>0.77156167675830989</v>
      </c>
      <c r="CA116" s="489">
        <f t="shared" si="26"/>
        <v>11.557949273739366</v>
      </c>
      <c r="CB116" s="579">
        <f t="shared" si="27"/>
        <v>0.34694448796127797</v>
      </c>
      <c r="CC116" s="471">
        <f t="shared" si="62"/>
        <v>0.40783458287695618</v>
      </c>
      <c r="CD116" s="100">
        <f t="shared" si="28"/>
        <v>0.34694448796127797</v>
      </c>
      <c r="CE116" s="471">
        <f t="shared" si="63"/>
        <v>0.40783458287695618</v>
      </c>
      <c r="CG116" s="473">
        <f t="shared" si="64"/>
        <v>1839.8873324458402</v>
      </c>
      <c r="CH116" s="474">
        <f t="shared" si="65"/>
        <v>810.19281944358693</v>
      </c>
      <c r="CI116" s="474">
        <f t="shared" si="66"/>
        <v>3085.616140098889</v>
      </c>
      <c r="CJ116" s="474">
        <f t="shared" si="67"/>
        <v>3906.0022057739247</v>
      </c>
      <c r="CK116" s="474">
        <f t="shared" si="68"/>
        <v>47.012524239722467</v>
      </c>
      <c r="CL116" s="474">
        <f t="shared" si="69"/>
        <v>9688.711022001964</v>
      </c>
      <c r="CM116" s="576">
        <f t="shared" si="70"/>
        <v>0</v>
      </c>
    </row>
    <row r="117" spans="1:91" s="1" customFormat="1">
      <c r="A117" s="89">
        <f>'Input data'!A137</f>
        <v>2037</v>
      </c>
      <c r="B117" s="152">
        <f>'Input data'!B137</f>
        <v>69.92691944658003</v>
      </c>
      <c r="C117" s="204">
        <f>'Input data'!C137</f>
        <v>6283.2400000000007</v>
      </c>
      <c r="D117" s="204">
        <f>'Input data'!D137</f>
        <v>6514539.8947081817</v>
      </c>
      <c r="E117" s="579">
        <f t="shared" si="88"/>
        <v>1</v>
      </c>
      <c r="F117" s="100">
        <f t="shared" si="89"/>
        <v>0.36725000000000002</v>
      </c>
      <c r="G117" s="475">
        <f>B117*F117*'Input data'!$C$9</f>
        <v>786.01031895120593</v>
      </c>
      <c r="H117" s="301">
        <f>'Input data'!I137</f>
        <v>424.26313389388866</v>
      </c>
      <c r="I117" s="474">
        <f>'Input data'!K137</f>
        <v>29667.41398795155</v>
      </c>
      <c r="J117" s="474">
        <f t="shared" si="91"/>
        <v>2228.8062963921584</v>
      </c>
      <c r="K117" s="475">
        <f t="shared" si="73"/>
        <v>11558.188291533621</v>
      </c>
      <c r="L117" s="100">
        <f t="shared" si="90"/>
        <v>0.7</v>
      </c>
      <c r="M117" s="100">
        <f t="shared" si="87"/>
        <v>0.6</v>
      </c>
      <c r="N117" s="100">
        <f t="shared" si="87"/>
        <v>0.9</v>
      </c>
      <c r="O117" s="100">
        <f t="shared" si="87"/>
        <v>0.9</v>
      </c>
      <c r="P117" s="100">
        <f>P116</f>
        <v>0.23600000000000002</v>
      </c>
      <c r="Q117" s="473">
        <f t="shared" si="31"/>
        <v>317.66006883137993</v>
      </c>
      <c r="R117" s="474">
        <f t="shared" si="32"/>
        <v>221.67306907435204</v>
      </c>
      <c r="S117" s="474">
        <f t="shared" si="33"/>
        <v>649.15054746093801</v>
      </c>
      <c r="T117" s="474">
        <f t="shared" si="34"/>
        <v>437.09734153715726</v>
      </c>
      <c r="U117" s="475">
        <f t="shared" si="35"/>
        <v>0</v>
      </c>
      <c r="V117" s="474">
        <f t="shared" si="9"/>
        <v>1625.5810269038273</v>
      </c>
      <c r="W117" s="579">
        <f t="shared" si="86"/>
        <v>0.5</v>
      </c>
      <c r="X117" s="475">
        <f t="shared" si="36"/>
        <v>3033.4854703020706</v>
      </c>
      <c r="Y117" s="474">
        <f t="shared" si="77"/>
        <v>4659.0664972058976</v>
      </c>
      <c r="Z117" s="474">
        <f t="shared" si="78"/>
        <v>9127.9280907198809</v>
      </c>
      <c r="AA117" s="475">
        <f t="shared" si="79"/>
        <v>6899.1217943277225</v>
      </c>
      <c r="AB117" s="938">
        <f t="shared" si="37"/>
        <v>0.75582560749376126</v>
      </c>
      <c r="AC117" s="118" t="str">
        <f t="shared" si="38"/>
        <v>Yes</v>
      </c>
      <c r="AD117" s="938">
        <f t="shared" si="39"/>
        <v>0.75582560749376126</v>
      </c>
      <c r="AE117" s="579">
        <f t="shared" si="10"/>
        <v>0.34931177329504914</v>
      </c>
      <c r="AF117" s="475">
        <f t="shared" si="11"/>
        <v>276.06302624969959</v>
      </c>
      <c r="AG117" s="473">
        <f t="shared" si="40"/>
        <v>2228.8062963921584</v>
      </c>
      <c r="AH117" s="474">
        <f t="shared" si="80"/>
        <v>9757.851242226192</v>
      </c>
      <c r="AI117" s="474">
        <f t="shared" si="81"/>
        <v>6437.6604656145792</v>
      </c>
      <c r="AJ117" s="474">
        <f t="shared" si="12"/>
        <v>879.9189945089214</v>
      </c>
      <c r="AK117" s="474">
        <f t="shared" si="41"/>
        <v>19304.23699874185</v>
      </c>
      <c r="AL117" s="640">
        <f t="shared" si="13"/>
        <v>0</v>
      </c>
      <c r="AM117" s="100">
        <f t="shared" si="42"/>
        <v>0.11545684486454556</v>
      </c>
      <c r="AN117" s="100">
        <f t="shared" si="43"/>
        <v>0.50547717803413617</v>
      </c>
      <c r="AO117" s="100">
        <f t="shared" si="44"/>
        <v>0.33348432605930772</v>
      </c>
      <c r="AP117" s="100">
        <f t="shared" si="45"/>
        <v>4.5581651042010618E-2</v>
      </c>
      <c r="AQ117" s="100">
        <f t="shared" si="46"/>
        <v>1</v>
      </c>
      <c r="AR117" s="473">
        <f t="shared" si="14"/>
        <v>481.43903317336083</v>
      </c>
      <c r="AS117" s="474">
        <f t="shared" si="15"/>
        <v>610.59494094977833</v>
      </c>
      <c r="AT117" s="474">
        <f t="shared" si="16"/>
        <v>121.04905346769141</v>
      </c>
      <c r="AU117" s="474">
        <f t="shared" si="17"/>
        <v>0</v>
      </c>
      <c r="AV117" s="474">
        <f t="shared" si="18"/>
        <v>0</v>
      </c>
      <c r="AW117" s="474">
        <f t="shared" si="19"/>
        <v>0</v>
      </c>
      <c r="AX117" s="474">
        <f t="shared" si="20"/>
        <v>845.36619007675984</v>
      </c>
      <c r="AY117" s="474">
        <f t="shared" si="21"/>
        <v>68.09378978208683</v>
      </c>
      <c r="AZ117" s="474">
        <f t="shared" si="22"/>
        <v>19.141182197827842</v>
      </c>
      <c r="BA117" s="474">
        <f t="shared" si="23"/>
        <v>49.437945192213938</v>
      </c>
      <c r="BB117" s="474">
        <f t="shared" si="24"/>
        <v>33.684161552439029</v>
      </c>
      <c r="BC117" s="475">
        <f t="shared" si="47"/>
        <v>2228.8062963921579</v>
      </c>
      <c r="BD117" s="647">
        <f t="shared" si="48"/>
        <v>0</v>
      </c>
      <c r="BE117" s="383">
        <f t="shared" si="49"/>
        <v>0.21600757048859831</v>
      </c>
      <c r="BF117" s="383">
        <f t="shared" si="50"/>
        <v>0.27395603733629453</v>
      </c>
      <c r="BG117" s="383">
        <f t="shared" si="51"/>
        <v>5.4311159145430221E-2</v>
      </c>
      <c r="BH117" s="383">
        <f t="shared" si="52"/>
        <v>0</v>
      </c>
      <c r="BI117" s="383">
        <f t="shared" si="53"/>
        <v>0</v>
      </c>
      <c r="BJ117" s="383">
        <f t="shared" si="54"/>
        <v>0</v>
      </c>
      <c r="BK117" s="383">
        <f t="shared" si="55"/>
        <v>0.45572523302967693</v>
      </c>
      <c r="BL117" s="383">
        <f t="shared" si="56"/>
        <v>1</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68.567513681280332</v>
      </c>
      <c r="BW117" s="100">
        <f t="shared" si="59"/>
        <v>0.76786750588769426</v>
      </c>
      <c r="BX117" s="1385">
        <f t="shared" si="25"/>
        <v>6.5145398947081814</v>
      </c>
      <c r="BY117" s="473">
        <f t="shared" si="60"/>
        <v>68.567513681280332</v>
      </c>
      <c r="BZ117" s="100">
        <f t="shared" si="61"/>
        <v>0.76786750588769426</v>
      </c>
      <c r="CA117" s="489">
        <f t="shared" si="26"/>
        <v>6.5145398947081814</v>
      </c>
      <c r="CB117" s="579">
        <f t="shared" si="27"/>
        <v>0.34931177329504914</v>
      </c>
      <c r="CC117" s="471">
        <f t="shared" si="62"/>
        <v>0.4000221113417517</v>
      </c>
      <c r="CD117" s="100">
        <f t="shared" si="28"/>
        <v>0.34931177329504914</v>
      </c>
      <c r="CE117" s="471">
        <f t="shared" si="63"/>
        <v>0.4000221113417517</v>
      </c>
      <c r="CG117" s="473">
        <f t="shared" si="64"/>
        <v>1853.0170681830491</v>
      </c>
      <c r="CH117" s="474">
        <f t="shared" si="65"/>
        <v>815.97448739025299</v>
      </c>
      <c r="CI117" s="474">
        <f t="shared" si="66"/>
        <v>3107.6355995470449</v>
      </c>
      <c r="CJ117" s="474">
        <f t="shared" si="67"/>
        <v>3933.8760738344181</v>
      </c>
      <c r="CK117" s="474">
        <f t="shared" si="68"/>
        <v>47.34801327142646</v>
      </c>
      <c r="CL117" s="474">
        <f t="shared" si="69"/>
        <v>9757.851242226192</v>
      </c>
      <c r="CM117" s="576">
        <f t="shared" si="70"/>
        <v>0</v>
      </c>
    </row>
    <row r="118" spans="1:91">
      <c r="A118" s="89">
        <f>'Input data'!A138</f>
        <v>2038</v>
      </c>
      <c r="B118" s="152">
        <f>'Input data'!B138</f>
        <v>70.408978817025954</v>
      </c>
      <c r="C118" s="204">
        <f>'Input data'!C138</f>
        <v>6443.4999999999982</v>
      </c>
      <c r="D118" s="204">
        <f>'Input data'!D138</f>
        <v>4950160.264487111</v>
      </c>
      <c r="E118" s="579">
        <f t="shared" si="88"/>
        <v>1</v>
      </c>
      <c r="F118" s="100">
        <f t="shared" si="89"/>
        <v>0.36725000000000002</v>
      </c>
      <c r="G118" s="475">
        <f>B118*F118*'Input data'!$C$9</f>
        <v>791.42888511308411</v>
      </c>
      <c r="H118" s="301">
        <f>'Input data'!I138</f>
        <v>424.26313389388866</v>
      </c>
      <c r="I118" s="474">
        <f>'Input data'!K138</f>
        <v>29871.934007179854</v>
      </c>
      <c r="J118" s="474">
        <f t="shared" si="91"/>
        <v>2228.8062963921584</v>
      </c>
      <c r="K118" s="475">
        <f t="shared" si="73"/>
        <v>11653.232517476881</v>
      </c>
      <c r="L118" s="100">
        <f t="shared" si="90"/>
        <v>0.7</v>
      </c>
      <c r="M118" s="100">
        <f t="shared" si="87"/>
        <v>0.6</v>
      </c>
      <c r="N118" s="100">
        <f t="shared" si="87"/>
        <v>0.9</v>
      </c>
      <c r="O118" s="100">
        <f t="shared" si="87"/>
        <v>0.9</v>
      </c>
      <c r="P118" s="100">
        <f t="shared" si="87"/>
        <v>0.23600000000000002</v>
      </c>
      <c r="Q118" s="473">
        <f t="shared" si="31"/>
        <v>319.84994097230333</v>
      </c>
      <c r="R118" s="474">
        <f t="shared" si="32"/>
        <v>223.20122991667881</v>
      </c>
      <c r="S118" s="474">
        <f t="shared" si="33"/>
        <v>653.62563526274971</v>
      </c>
      <c r="T118" s="474">
        <f t="shared" si="34"/>
        <v>440.11058552034092</v>
      </c>
      <c r="U118" s="475">
        <f t="shared" si="35"/>
        <v>0</v>
      </c>
      <c r="V118" s="474">
        <f t="shared" si="9"/>
        <v>1636.7873916720728</v>
      </c>
      <c r="W118" s="579">
        <f t="shared" si="86"/>
        <v>0.5</v>
      </c>
      <c r="X118" s="475">
        <f t="shared" si="36"/>
        <v>3033.4854703020706</v>
      </c>
      <c r="Y118" s="474">
        <f t="shared" si="77"/>
        <v>4670.2728619741429</v>
      </c>
      <c r="Z118" s="474">
        <f t="shared" si="78"/>
        <v>9211.7659518948967</v>
      </c>
      <c r="AA118" s="475">
        <f t="shared" si="79"/>
        <v>6982.9596555027383</v>
      </c>
      <c r="AB118" s="938">
        <f t="shared" si="37"/>
        <v>0.75804788050073246</v>
      </c>
      <c r="AC118" s="118" t="str">
        <f t="shared" si="38"/>
        <v>Yes</v>
      </c>
      <c r="AD118" s="938">
        <f t="shared" si="39"/>
        <v>0.75804788050073246</v>
      </c>
      <c r="AE118" s="579">
        <f t="shared" si="10"/>
        <v>0.35158173141266735</v>
      </c>
      <c r="AF118" s="475">
        <f t="shared" si="11"/>
        <v>275.09996670491103</v>
      </c>
      <c r="AG118" s="473">
        <f t="shared" si="40"/>
        <v>2228.8062963921584</v>
      </c>
      <c r="AH118" s="474">
        <f t="shared" si="80"/>
        <v>9825.1195226532473</v>
      </c>
      <c r="AI118" s="474">
        <f t="shared" si="81"/>
        <v>6437.6604656145792</v>
      </c>
      <c r="AJ118" s="474">
        <f t="shared" si="12"/>
        <v>877.92144363063971</v>
      </c>
      <c r="AK118" s="474">
        <f t="shared" si="41"/>
        <v>19369.507728290624</v>
      </c>
      <c r="AL118" s="640">
        <f t="shared" si="13"/>
        <v>0</v>
      </c>
      <c r="AM118" s="100">
        <f t="shared" si="42"/>
        <v>0.11506778218926127</v>
      </c>
      <c r="AN118" s="100">
        <f t="shared" si="43"/>
        <v>0.50724673339544513</v>
      </c>
      <c r="AO118" s="100">
        <f t="shared" si="44"/>
        <v>0.33236056155479321</v>
      </c>
      <c r="AP118" s="100">
        <f t="shared" si="45"/>
        <v>4.5324922860500445E-2</v>
      </c>
      <c r="AQ118" s="100">
        <f t="shared" si="46"/>
        <v>1</v>
      </c>
      <c r="AR118" s="473">
        <f t="shared" si="14"/>
        <v>482.57674899167415</v>
      </c>
      <c r="AS118" s="474">
        <f t="shared" si="15"/>
        <v>612.03787240118493</v>
      </c>
      <c r="AT118" s="474">
        <f t="shared" si="16"/>
        <v>120.7742535774987</v>
      </c>
      <c r="AU118" s="474">
        <f t="shared" si="17"/>
        <v>0</v>
      </c>
      <c r="AV118" s="474">
        <f t="shared" si="18"/>
        <v>0</v>
      </c>
      <c r="AW118" s="474">
        <f t="shared" si="19"/>
        <v>0</v>
      </c>
      <c r="AX118" s="474">
        <f t="shared" si="20"/>
        <v>843.44707935634642</v>
      </c>
      <c r="AY118" s="474">
        <f t="shared" si="21"/>
        <v>67.939206450628419</v>
      </c>
      <c r="AZ118" s="474">
        <f t="shared" si="22"/>
        <v>19.09772878274164</v>
      </c>
      <c r="BA118" s="474">
        <f t="shared" si="23"/>
        <v>49.325713485141584</v>
      </c>
      <c r="BB118" s="474">
        <f t="shared" si="24"/>
        <v>33.607693346941538</v>
      </c>
      <c r="BC118" s="475">
        <f t="shared" si="47"/>
        <v>2228.8062963921575</v>
      </c>
      <c r="BD118" s="647">
        <f t="shared" si="48"/>
        <v>0</v>
      </c>
      <c r="BE118" s="383">
        <f t="shared" si="49"/>
        <v>0.21651803019976976</v>
      </c>
      <c r="BF118" s="383">
        <f t="shared" si="50"/>
        <v>0.2746034383481018</v>
      </c>
      <c r="BG118" s="383">
        <f t="shared" si="51"/>
        <v>5.418786449634496E-2</v>
      </c>
      <c r="BH118" s="383">
        <f t="shared" si="52"/>
        <v>0</v>
      </c>
      <c r="BI118" s="383">
        <f t="shared" si="53"/>
        <v>0</v>
      </c>
      <c r="BJ118" s="383">
        <f t="shared" si="54"/>
        <v>0</v>
      </c>
      <c r="BK118" s="383">
        <f t="shared" si="55"/>
        <v>0.45469066695578342</v>
      </c>
      <c r="BL118" s="383">
        <f t="shared" si="56"/>
        <v>0.99999999999999989</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68.828773078815559</v>
      </c>
      <c r="BW118" s="100">
        <f t="shared" si="59"/>
        <v>0.76874863151070516</v>
      </c>
      <c r="BX118" s="1385">
        <f t="shared" si="25"/>
        <v>4.9501602644871108</v>
      </c>
      <c r="BY118" s="473">
        <f t="shared" si="60"/>
        <v>68.828773078815559</v>
      </c>
      <c r="BZ118" s="100">
        <f t="shared" si="61"/>
        <v>0.76874863151070516</v>
      </c>
      <c r="CA118" s="489">
        <f t="shared" si="26"/>
        <v>4.9501602644871108</v>
      </c>
      <c r="CB118" s="579">
        <f t="shared" si="27"/>
        <v>0.35158173141266735</v>
      </c>
      <c r="CC118" s="471">
        <f t="shared" si="62"/>
        <v>0.40029168986864183</v>
      </c>
      <c r="CD118" s="100">
        <f t="shared" si="28"/>
        <v>0.35158173141266735</v>
      </c>
      <c r="CE118" s="471">
        <f t="shared" si="63"/>
        <v>0.40029168986864183</v>
      </c>
      <c r="CG118" s="473">
        <f t="shared" si="64"/>
        <v>1865.7913223384362</v>
      </c>
      <c r="CH118" s="474">
        <f t="shared" si="65"/>
        <v>821.59961932519798</v>
      </c>
      <c r="CI118" s="474">
        <f t="shared" si="66"/>
        <v>3129.0588922152915</v>
      </c>
      <c r="CJ118" s="474">
        <f t="shared" si="67"/>
        <v>3960.9952696830724</v>
      </c>
      <c r="CK118" s="474">
        <f t="shared" si="68"/>
        <v>47.674419091247046</v>
      </c>
      <c r="CL118" s="474">
        <f t="shared" si="69"/>
        <v>9825.1195226532436</v>
      </c>
      <c r="CM118" s="576">
        <f t="shared" si="70"/>
        <v>0</v>
      </c>
    </row>
    <row r="119" spans="1:91">
      <c r="A119" s="89">
        <f>'Input data'!A139</f>
        <v>2039</v>
      </c>
      <c r="B119" s="152">
        <f>'Input data'!B139</f>
        <v>70.877294017675013</v>
      </c>
      <c r="C119" s="204">
        <f>'Input data'!C139</f>
        <v>6615.260000000002</v>
      </c>
      <c r="D119" s="204">
        <f>'Input data'!D139</f>
        <v>3385780.6342660398</v>
      </c>
      <c r="E119" s="579">
        <f t="shared" si="88"/>
        <v>1</v>
      </c>
      <c r="F119" s="100">
        <f t="shared" si="89"/>
        <v>0.36725000000000002</v>
      </c>
      <c r="G119" s="475">
        <f>B119*F119*'Input data'!$C$9</f>
        <v>796.6929605670739</v>
      </c>
      <c r="H119" s="301">
        <f>'Input data'!I139</f>
        <v>424.26313389388866</v>
      </c>
      <c r="I119" s="474">
        <f>'Input data'!K139</f>
        <v>30070.622881857369</v>
      </c>
      <c r="J119" s="474">
        <f t="shared" si="91"/>
        <v>2228.8062963921584</v>
      </c>
      <c r="K119" s="475">
        <f t="shared" si="73"/>
        <v>11745.566902973793</v>
      </c>
      <c r="L119" s="100">
        <f t="shared" si="90"/>
        <v>0.7</v>
      </c>
      <c r="M119" s="100">
        <f t="shared" si="87"/>
        <v>0.6</v>
      </c>
      <c r="N119" s="100">
        <f t="shared" si="87"/>
        <v>0.9</v>
      </c>
      <c r="O119" s="100">
        <f t="shared" si="87"/>
        <v>0.9</v>
      </c>
      <c r="P119" s="100">
        <f t="shared" si="87"/>
        <v>0.23600000000000002</v>
      </c>
      <c r="Q119" s="473">
        <f t="shared" si="31"/>
        <v>321.97737687324593</v>
      </c>
      <c r="R119" s="474">
        <f t="shared" si="32"/>
        <v>224.68582081019508</v>
      </c>
      <c r="S119" s="474">
        <f t="shared" si="33"/>
        <v>657.97313221087188</v>
      </c>
      <c r="T119" s="474">
        <f t="shared" si="34"/>
        <v>443.03791780989695</v>
      </c>
      <c r="U119" s="475">
        <f t="shared" si="35"/>
        <v>0</v>
      </c>
      <c r="V119" s="474">
        <f t="shared" si="9"/>
        <v>1647.6742477042098</v>
      </c>
      <c r="W119" s="579">
        <f t="shared" si="86"/>
        <v>0.5</v>
      </c>
      <c r="X119" s="475">
        <f t="shared" si="36"/>
        <v>3033.4854703020706</v>
      </c>
      <c r="Y119" s="474">
        <f t="shared" si="77"/>
        <v>4681.1597180062799</v>
      </c>
      <c r="Z119" s="474">
        <f t="shared" si="78"/>
        <v>9293.2134813596713</v>
      </c>
      <c r="AA119" s="475">
        <f t="shared" si="79"/>
        <v>7064.4071849675129</v>
      </c>
      <c r="AB119" s="938">
        <f t="shared" si="37"/>
        <v>0.76016839590926233</v>
      </c>
      <c r="AC119" s="118" t="str">
        <f t="shared" si="38"/>
        <v>Yes</v>
      </c>
      <c r="AD119" s="938">
        <f t="shared" si="39"/>
        <v>0.76016839590926233</v>
      </c>
      <c r="AE119" s="579">
        <f t="shared" si="10"/>
        <v>0.35375625269174904</v>
      </c>
      <c r="AF119" s="475">
        <f t="shared" si="11"/>
        <v>274.17739749232885</v>
      </c>
      <c r="AG119" s="473">
        <f t="shared" si="40"/>
        <v>2228.8062963921584</v>
      </c>
      <c r="AH119" s="474">
        <f t="shared" si="80"/>
        <v>9890.4698927049085</v>
      </c>
      <c r="AI119" s="474">
        <f t="shared" si="81"/>
        <v>6437.6604656145792</v>
      </c>
      <c r="AJ119" s="474">
        <f t="shared" si="12"/>
        <v>876.01536035309903</v>
      </c>
      <c r="AK119" s="474">
        <f t="shared" si="41"/>
        <v>19432.952015064744</v>
      </c>
      <c r="AL119" s="640">
        <f t="shared" si="13"/>
        <v>0</v>
      </c>
      <c r="AM119" s="100">
        <f t="shared" si="42"/>
        <v>0.11469211135108814</v>
      </c>
      <c r="AN119" s="100">
        <f t="shared" si="43"/>
        <v>0.50895354885030608</v>
      </c>
      <c r="AO119" s="100">
        <f t="shared" si="44"/>
        <v>0.33127547789054379</v>
      </c>
      <c r="AP119" s="100">
        <f t="shared" si="45"/>
        <v>4.5078861908062012E-2</v>
      </c>
      <c r="AQ119" s="100">
        <f t="shared" si="46"/>
        <v>1</v>
      </c>
      <c r="AR119" s="473">
        <f t="shared" si="14"/>
        <v>483.66236894732049</v>
      </c>
      <c r="AS119" s="474">
        <f t="shared" si="15"/>
        <v>613.41473220489149</v>
      </c>
      <c r="AT119" s="474">
        <f t="shared" si="16"/>
        <v>120.51203673933882</v>
      </c>
      <c r="AU119" s="474">
        <f t="shared" si="17"/>
        <v>0</v>
      </c>
      <c r="AV119" s="474">
        <f t="shared" si="18"/>
        <v>0</v>
      </c>
      <c r="AW119" s="474">
        <f t="shared" si="19"/>
        <v>0</v>
      </c>
      <c r="AX119" s="474">
        <f t="shared" si="20"/>
        <v>841.61584447181826</v>
      </c>
      <c r="AY119" s="474">
        <f t="shared" si="21"/>
        <v>67.791701470263234</v>
      </c>
      <c r="AZ119" s="474">
        <f t="shared" si="22"/>
        <v>19.056265094007497</v>
      </c>
      <c r="BA119" s="474">
        <f t="shared" si="23"/>
        <v>49.218620853666494</v>
      </c>
      <c r="BB119" s="474">
        <f t="shared" si="24"/>
        <v>33.534726610851337</v>
      </c>
      <c r="BC119" s="475">
        <f t="shared" si="47"/>
        <v>2228.8062963921575</v>
      </c>
      <c r="BD119" s="647">
        <f t="shared" si="48"/>
        <v>0</v>
      </c>
      <c r="BE119" s="383">
        <f t="shared" si="49"/>
        <v>0.21700511602566844</v>
      </c>
      <c r="BF119" s="383">
        <f t="shared" si="50"/>
        <v>0.27522119494989145</v>
      </c>
      <c r="BG119" s="383">
        <f t="shared" si="51"/>
        <v>5.4070215493565166E-2</v>
      </c>
      <c r="BH119" s="383">
        <f t="shared" si="52"/>
        <v>0</v>
      </c>
      <c r="BI119" s="383">
        <f t="shared" si="53"/>
        <v>0</v>
      </c>
      <c r="BJ119" s="383">
        <f t="shared" si="54"/>
        <v>0</v>
      </c>
      <c r="BK119" s="383">
        <f t="shared" si="55"/>
        <v>0.45370347353087498</v>
      </c>
      <c r="BL119" s="383">
        <f t="shared" si="56"/>
        <v>1</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69.147172812440928</v>
      </c>
      <c r="BW119" s="100">
        <f t="shared" si="59"/>
        <v>0.76981346715231846</v>
      </c>
      <c r="BX119" s="1385">
        <f t="shared" si="25"/>
        <v>3.3857806342660397</v>
      </c>
      <c r="BY119" s="473">
        <f t="shared" si="60"/>
        <v>69.147172812440928</v>
      </c>
      <c r="BZ119" s="100">
        <f t="shared" si="61"/>
        <v>0.76981346715231846</v>
      </c>
      <c r="CA119" s="489">
        <f t="shared" si="26"/>
        <v>3.3857806342660397</v>
      </c>
      <c r="CB119" s="579">
        <f t="shared" si="27"/>
        <v>0.35375625269174904</v>
      </c>
      <c r="CC119" s="471">
        <f t="shared" si="62"/>
        <v>0.4008477870843189</v>
      </c>
      <c r="CD119" s="100">
        <f t="shared" si="28"/>
        <v>0.35375625269174904</v>
      </c>
      <c r="CE119" s="471">
        <f t="shared" si="63"/>
        <v>0.4008477870843189</v>
      </c>
      <c r="CG119" s="473">
        <f t="shared" si="64"/>
        <v>1878.2013650939336</v>
      </c>
      <c r="CH119" s="474">
        <f t="shared" si="65"/>
        <v>827.06437108047305</v>
      </c>
      <c r="CI119" s="474">
        <f t="shared" si="66"/>
        <v>3149.8713776052396</v>
      </c>
      <c r="CJ119" s="474">
        <f t="shared" si="67"/>
        <v>3987.3412602890753</v>
      </c>
      <c r="CK119" s="474">
        <f t="shared" si="68"/>
        <v>47.991518636186704</v>
      </c>
      <c r="CL119" s="474">
        <f t="shared" si="69"/>
        <v>9890.4698927049085</v>
      </c>
      <c r="CM119" s="576">
        <f t="shared" si="70"/>
        <v>0</v>
      </c>
    </row>
    <row r="120" spans="1:91">
      <c r="A120" s="89">
        <f>'Input data'!A140</f>
        <v>2040</v>
      </c>
      <c r="B120" s="152">
        <f>'Input data'!B140</f>
        <v>71.331543257193218</v>
      </c>
      <c r="C120" s="204">
        <f>'Input data'!C140</f>
        <v>6787.6000000000013</v>
      </c>
      <c r="D120" s="204">
        <f>'Input data'!D140</f>
        <v>1821401.0040449696</v>
      </c>
      <c r="E120" s="579">
        <f t="shared" si="88"/>
        <v>1</v>
      </c>
      <c r="F120" s="100">
        <f t="shared" si="89"/>
        <v>0.36725000000000002</v>
      </c>
      <c r="G120" s="475">
        <f>B120*F120*'Input data'!$C$9</f>
        <v>801.79892823249929</v>
      </c>
      <c r="H120" s="301">
        <f>'Input data'!I140</f>
        <v>424.26313389388866</v>
      </c>
      <c r="I120" s="474">
        <f>'Input data'!K140</f>
        <v>30263.344087784277</v>
      </c>
      <c r="J120" s="474">
        <f t="shared" si="91"/>
        <v>2228.8062963921584</v>
      </c>
      <c r="K120" s="475">
        <f t="shared" si="73"/>
        <v>11835.128002710084</v>
      </c>
      <c r="L120" s="100">
        <f t="shared" si="90"/>
        <v>0.7</v>
      </c>
      <c r="M120" s="100">
        <f t="shared" si="87"/>
        <v>0.6</v>
      </c>
      <c r="N120" s="100">
        <f t="shared" si="87"/>
        <v>0.9</v>
      </c>
      <c r="O120" s="100">
        <f t="shared" si="87"/>
        <v>0.9</v>
      </c>
      <c r="P120" s="100">
        <f t="shared" si="87"/>
        <v>0.23600000000000002</v>
      </c>
      <c r="Q120" s="473">
        <f t="shared" si="31"/>
        <v>324.04091471867014</v>
      </c>
      <c r="R120" s="474">
        <f t="shared" si="32"/>
        <v>226.12582165458548</v>
      </c>
      <c r="S120" s="474">
        <f t="shared" si="33"/>
        <v>662.19005102912797</v>
      </c>
      <c r="T120" s="474">
        <f t="shared" si="34"/>
        <v>445.87732696105195</v>
      </c>
      <c r="U120" s="475">
        <f t="shared" si="35"/>
        <v>0</v>
      </c>
      <c r="V120" s="474">
        <f t="shared" si="9"/>
        <v>1658.2341143634355</v>
      </c>
      <c r="W120" s="579">
        <f t="shared" si="86"/>
        <v>0.5</v>
      </c>
      <c r="X120" s="475">
        <f t="shared" si="36"/>
        <v>3033.4854703020706</v>
      </c>
      <c r="Y120" s="474">
        <f t="shared" si="77"/>
        <v>4691.7195846655059</v>
      </c>
      <c r="Z120" s="474">
        <f t="shared" si="78"/>
        <v>9372.2147144367373</v>
      </c>
      <c r="AA120" s="475">
        <f t="shared" si="79"/>
        <v>7143.4084180445789</v>
      </c>
      <c r="AB120" s="938">
        <f t="shared" si="37"/>
        <v>0.76219000905314749</v>
      </c>
      <c r="AC120" s="118" t="str">
        <f t="shared" si="38"/>
        <v>Yes</v>
      </c>
      <c r="AD120" s="938">
        <f t="shared" si="39"/>
        <v>0.76219000905314749</v>
      </c>
      <c r="AE120" s="579">
        <f t="shared" si="10"/>
        <v>0.35583713643760551</v>
      </c>
      <c r="AF120" s="475">
        <f t="shared" si="11"/>
        <v>273.2945552330429</v>
      </c>
      <c r="AG120" s="473">
        <f t="shared" si="40"/>
        <v>2228.8062963921584</v>
      </c>
      <c r="AH120" s="474">
        <f t="shared" si="80"/>
        <v>9953.8574484730289</v>
      </c>
      <c r="AI120" s="474">
        <f t="shared" si="81"/>
        <v>6437.6604656145792</v>
      </c>
      <c r="AJ120" s="474">
        <f t="shared" si="12"/>
        <v>874.19817808141352</v>
      </c>
      <c r="AK120" s="474">
        <f t="shared" si="41"/>
        <v>19494.522388561181</v>
      </c>
      <c r="AL120" s="640">
        <f t="shared" si="13"/>
        <v>0</v>
      </c>
      <c r="AM120" s="100">
        <f t="shared" si="42"/>
        <v>0.11432987441128371</v>
      </c>
      <c r="AN120" s="100">
        <f t="shared" si="43"/>
        <v>0.51059765661731027</v>
      </c>
      <c r="AO120" s="100">
        <f t="shared" si="44"/>
        <v>0.33022919655584948</v>
      </c>
      <c r="AP120" s="100">
        <f t="shared" si="45"/>
        <v>4.4843272415556461E-2</v>
      </c>
      <c r="AQ120" s="100">
        <f t="shared" si="46"/>
        <v>0.99999999999999989</v>
      </c>
      <c r="AR120" s="473">
        <f t="shared" si="14"/>
        <v>484.6973548581845</v>
      </c>
      <c r="AS120" s="474">
        <f t="shared" si="15"/>
        <v>614.72737434145131</v>
      </c>
      <c r="AT120" s="474">
        <f t="shared" si="16"/>
        <v>120.26204987084469</v>
      </c>
      <c r="AU120" s="474">
        <f t="shared" si="17"/>
        <v>0</v>
      </c>
      <c r="AV120" s="474">
        <f t="shared" si="18"/>
        <v>0</v>
      </c>
      <c r="AW120" s="474">
        <f t="shared" si="19"/>
        <v>0</v>
      </c>
      <c r="AX120" s="474">
        <f t="shared" si="20"/>
        <v>839.87001961376177</v>
      </c>
      <c r="AY120" s="474">
        <f t="shared" si="21"/>
        <v>67.651076221375462</v>
      </c>
      <c r="AZ120" s="474">
        <f t="shared" si="22"/>
        <v>19.016735299599066</v>
      </c>
      <c r="BA120" s="474">
        <f t="shared" si="23"/>
        <v>49.116523094540312</v>
      </c>
      <c r="BB120" s="474">
        <f t="shared" si="24"/>
        <v>33.465163092400601</v>
      </c>
      <c r="BC120" s="475">
        <f t="shared" si="47"/>
        <v>2228.8062963921579</v>
      </c>
      <c r="BD120" s="647">
        <f t="shared" si="48"/>
        <v>0</v>
      </c>
      <c r="BE120" s="383">
        <f t="shared" si="49"/>
        <v>0.21746948384109469</v>
      </c>
      <c r="BF120" s="383">
        <f t="shared" si="50"/>
        <v>0.27581013896834855</v>
      </c>
      <c r="BG120" s="383">
        <f t="shared" si="51"/>
        <v>5.3958053719390879E-2</v>
      </c>
      <c r="BH120" s="383">
        <f t="shared" si="52"/>
        <v>0</v>
      </c>
      <c r="BI120" s="383">
        <f t="shared" si="53"/>
        <v>0</v>
      </c>
      <c r="BJ120" s="383">
        <f t="shared" si="54"/>
        <v>0</v>
      </c>
      <c r="BK120" s="383">
        <f t="shared" si="55"/>
        <v>0.4527623234711658</v>
      </c>
      <c r="BL120" s="383">
        <f t="shared" si="56"/>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69.466672609461753</v>
      </c>
      <c r="BW120" s="100">
        <f t="shared" si="59"/>
        <v>0.77087216980438333</v>
      </c>
      <c r="BX120" s="1385">
        <f t="shared" si="25"/>
        <v>1.8214010040449695</v>
      </c>
      <c r="BY120" s="473">
        <f t="shared" si="60"/>
        <v>69.466672609461753</v>
      </c>
      <c r="BZ120" s="100">
        <f t="shared" si="61"/>
        <v>0.77087216980438333</v>
      </c>
      <c r="CA120" s="489">
        <f t="shared" si="26"/>
        <v>1.8214010040449695</v>
      </c>
      <c r="CB120" s="579">
        <f t="shared" si="27"/>
        <v>0.35583713643760551</v>
      </c>
      <c r="CC120" s="471">
        <f t="shared" si="62"/>
        <v>0.40141160594196446</v>
      </c>
      <c r="CD120" s="100">
        <f t="shared" si="28"/>
        <v>0.35583713643760551</v>
      </c>
      <c r="CE120" s="471">
        <f t="shared" si="63"/>
        <v>0.40141160594196446</v>
      </c>
      <c r="CG120" s="473">
        <f t="shared" si="64"/>
        <v>1890.238669192242</v>
      </c>
      <c r="CH120" s="474">
        <f t="shared" si="65"/>
        <v>832.36498768559079</v>
      </c>
      <c r="CI120" s="474">
        <f t="shared" si="66"/>
        <v>3170.0587549266779</v>
      </c>
      <c r="CJ120" s="474">
        <f t="shared" si="67"/>
        <v>4012.8959426494685</v>
      </c>
      <c r="CK120" s="474">
        <f t="shared" si="68"/>
        <v>48.299094019050152</v>
      </c>
      <c r="CL120" s="474">
        <f t="shared" si="69"/>
        <v>9953.8574484730307</v>
      </c>
      <c r="CM120" s="576">
        <f t="shared" si="70"/>
        <v>0</v>
      </c>
    </row>
    <row r="121" spans="1:91">
      <c r="A121" s="89">
        <f>'Input data'!A141</f>
        <v>2041</v>
      </c>
      <c r="B121" s="152">
        <f>'Input data'!B141</f>
        <v>71.772879261991122</v>
      </c>
      <c r="C121" s="204">
        <f>'Input data'!C141</f>
        <v>6981.3799999999992</v>
      </c>
      <c r="D121" s="204">
        <f>'Input data'!D141</f>
        <v>1694135.0775526946</v>
      </c>
      <c r="E121" s="579">
        <f t="shared" si="88"/>
        <v>1</v>
      </c>
      <c r="F121" s="100">
        <f t="shared" si="89"/>
        <v>0.36725000000000002</v>
      </c>
      <c r="G121" s="475">
        <f>B121*F121*'Input data'!$C$9</f>
        <v>806.75974527751248</v>
      </c>
      <c r="H121" s="301">
        <f>'Input data'!I141</f>
        <v>424.26313389388866</v>
      </c>
      <c r="I121" s="474">
        <f>'Input data'!K141</f>
        <v>30450.586684280046</v>
      </c>
      <c r="J121" s="474">
        <f t="shared" si="91"/>
        <v>2228.8062963921584</v>
      </c>
      <c r="K121" s="475">
        <f t="shared" si="73"/>
        <v>11922.143091573736</v>
      </c>
      <c r="L121" s="100">
        <f t="shared" si="90"/>
        <v>0.7</v>
      </c>
      <c r="M121" s="100">
        <f t="shared" si="87"/>
        <v>0.6</v>
      </c>
      <c r="N121" s="100">
        <f t="shared" si="87"/>
        <v>0.9</v>
      </c>
      <c r="O121" s="100">
        <f t="shared" si="87"/>
        <v>0.9</v>
      </c>
      <c r="P121" s="100">
        <f t="shared" si="87"/>
        <v>0.23600000000000002</v>
      </c>
      <c r="Q121" s="473">
        <f t="shared" si="31"/>
        <v>326.04579104915069</v>
      </c>
      <c r="R121" s="474">
        <f t="shared" si="32"/>
        <v>227.52488667061698</v>
      </c>
      <c r="S121" s="474">
        <f t="shared" si="33"/>
        <v>666.28709278924225</v>
      </c>
      <c r="T121" s="474">
        <f t="shared" si="34"/>
        <v>448.63601840561296</v>
      </c>
      <c r="U121" s="475">
        <f t="shared" si="35"/>
        <v>0</v>
      </c>
      <c r="V121" s="474">
        <f t="shared" si="9"/>
        <v>1668.4937889146229</v>
      </c>
      <c r="W121" s="579">
        <f t="shared" si="86"/>
        <v>0.5</v>
      </c>
      <c r="X121" s="475">
        <f t="shared" si="36"/>
        <v>3033.4854703020706</v>
      </c>
      <c r="Y121" s="474">
        <f t="shared" si="77"/>
        <v>4701.9792592166932</v>
      </c>
      <c r="Z121" s="474">
        <f t="shared" si="78"/>
        <v>9448.9701287492026</v>
      </c>
      <c r="AA121" s="475">
        <f t="shared" si="79"/>
        <v>7220.1638323570442</v>
      </c>
      <c r="AB121" s="938">
        <f t="shared" si="37"/>
        <v>0.7641217755985017</v>
      </c>
      <c r="AC121" s="118" t="str">
        <f t="shared" si="38"/>
        <v>Yes</v>
      </c>
      <c r="AD121" s="938">
        <f t="shared" si="39"/>
        <v>0.7641217755985017</v>
      </c>
      <c r="AE121" s="579">
        <f t="shared" si="10"/>
        <v>0.35783268259694956</v>
      </c>
      <c r="AF121" s="475">
        <f t="shared" si="11"/>
        <v>272.44791856564967</v>
      </c>
      <c r="AG121" s="473">
        <f t="shared" si="40"/>
        <v>2228.8062963921584</v>
      </c>
      <c r="AH121" s="474">
        <f t="shared" si="80"/>
        <v>10015.443045504031</v>
      </c>
      <c r="AI121" s="474">
        <f t="shared" si="81"/>
        <v>6437.6604656145792</v>
      </c>
      <c r="AJ121" s="474">
        <f t="shared" si="12"/>
        <v>872.46175688239703</v>
      </c>
      <c r="AK121" s="474">
        <f t="shared" si="41"/>
        <v>19554.371564393165</v>
      </c>
      <c r="AL121" s="640">
        <f t="shared" si="13"/>
        <v>0</v>
      </c>
      <c r="AM121" s="100">
        <f t="shared" si="42"/>
        <v>0.11397995016370784</v>
      </c>
      <c r="AN121" s="100">
        <f t="shared" si="43"/>
        <v>0.51218434775686139</v>
      </c>
      <c r="AO121" s="100">
        <f t="shared" si="44"/>
        <v>0.32921847907078777</v>
      </c>
      <c r="AP121" s="100">
        <f t="shared" si="45"/>
        <v>4.4617223008642994E-2</v>
      </c>
      <c r="AQ121" s="100">
        <f t="shared" si="46"/>
        <v>1</v>
      </c>
      <c r="AR121" s="473">
        <f t="shared" si="14"/>
        <v>485.68634286687831</v>
      </c>
      <c r="AS121" s="474">
        <f t="shared" si="15"/>
        <v>615.98167869394229</v>
      </c>
      <c r="AT121" s="474">
        <f t="shared" si="16"/>
        <v>120.02317317438303</v>
      </c>
      <c r="AU121" s="474">
        <f t="shared" si="17"/>
        <v>0</v>
      </c>
      <c r="AV121" s="474">
        <f t="shared" si="18"/>
        <v>0</v>
      </c>
      <c r="AW121" s="474">
        <f t="shared" si="19"/>
        <v>0</v>
      </c>
      <c r="AX121" s="474">
        <f t="shared" si="20"/>
        <v>838.2017844892315</v>
      </c>
      <c r="AY121" s="474">
        <f t="shared" si="21"/>
        <v>67.51670078359443</v>
      </c>
      <c r="AZ121" s="474">
        <f t="shared" si="22"/>
        <v>18.978962328734738</v>
      </c>
      <c r="BA121" s="474">
        <f t="shared" si="23"/>
        <v>49.018962868424929</v>
      </c>
      <c r="BB121" s="474">
        <f t="shared" si="24"/>
        <v>33.398691186968669</v>
      </c>
      <c r="BC121" s="475">
        <f t="shared" si="47"/>
        <v>2228.8062963921579</v>
      </c>
      <c r="BD121" s="647">
        <f t="shared" si="48"/>
        <v>0</v>
      </c>
      <c r="BE121" s="383">
        <f t="shared" si="49"/>
        <v>0.21791321374723086</v>
      </c>
      <c r="BF121" s="383">
        <f t="shared" si="50"/>
        <v>0.27637290853451557</v>
      </c>
      <c r="BG121" s="383">
        <f t="shared" si="51"/>
        <v>5.3850876753474941E-2</v>
      </c>
      <c r="BH121" s="383">
        <f t="shared" si="52"/>
        <v>0</v>
      </c>
      <c r="BI121" s="383">
        <f t="shared" si="53"/>
        <v>0</v>
      </c>
      <c r="BJ121" s="383">
        <f t="shared" si="54"/>
        <v>0</v>
      </c>
      <c r="BK121" s="383">
        <f t="shared" si="55"/>
        <v>0.4518630009647786</v>
      </c>
      <c r="BL121" s="383">
        <f t="shared" si="56"/>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70.469231276297435</v>
      </c>
      <c r="BW121" s="100">
        <f t="shared" si="59"/>
        <v>0.77413194840300614</v>
      </c>
      <c r="BX121" s="1385">
        <f t="shared" si="25"/>
        <v>1.6941350775526947</v>
      </c>
      <c r="BY121" s="473">
        <f t="shared" si="60"/>
        <v>70.469231276297435</v>
      </c>
      <c r="BZ121" s="100">
        <f t="shared" si="61"/>
        <v>0.77413194840300614</v>
      </c>
      <c r="CA121" s="489">
        <f t="shared" si="26"/>
        <v>1.6941350775526947</v>
      </c>
      <c r="CB121" s="579">
        <f t="shared" si="27"/>
        <v>0.35783268259694956</v>
      </c>
      <c r="CC121" s="471">
        <f t="shared" si="62"/>
        <v>0.40580717718292303</v>
      </c>
      <c r="CD121" s="100">
        <f t="shared" si="28"/>
        <v>0.35783268259694956</v>
      </c>
      <c r="CE121" s="471">
        <f t="shared" si="63"/>
        <v>0.40580717718292303</v>
      </c>
      <c r="CG121" s="473">
        <f t="shared" si="64"/>
        <v>1901.9337811200453</v>
      </c>
      <c r="CH121" s="474">
        <f t="shared" si="65"/>
        <v>837.51492025994003</v>
      </c>
      <c r="CI121" s="474">
        <f t="shared" si="66"/>
        <v>3189.6722527144593</v>
      </c>
      <c r="CJ121" s="474">
        <f t="shared" si="67"/>
        <v>4037.7241656505184</v>
      </c>
      <c r="CK121" s="474">
        <f t="shared" si="68"/>
        <v>48.597925759068289</v>
      </c>
      <c r="CL121" s="474">
        <f t="shared" si="69"/>
        <v>10015.443045504031</v>
      </c>
      <c r="CM121" s="576">
        <f t="shared" si="70"/>
        <v>0</v>
      </c>
    </row>
    <row r="122" spans="1:91">
      <c r="A122" s="89">
        <f>'Input data'!A142</f>
        <v>2042</v>
      </c>
      <c r="B122" s="152">
        <f>'Input data'!B142</f>
        <v>72.201023455996193</v>
      </c>
      <c r="C122" s="204">
        <f>'Input data'!C142</f>
        <v>7178.2100000000019</v>
      </c>
      <c r="D122" s="204">
        <f>'Input data'!D142</f>
        <v>1566869.1510604194</v>
      </c>
      <c r="E122" s="579">
        <f t="shared" si="88"/>
        <v>1</v>
      </c>
      <c r="F122" s="100">
        <f t="shared" si="89"/>
        <v>0.36725000000000002</v>
      </c>
      <c r="G122" s="475">
        <f>B122*F122*'Input data'!$C$9</f>
        <v>811.57228038059407</v>
      </c>
      <c r="H122" s="301">
        <f>'Input data'!I142</f>
        <v>424.26313389388866</v>
      </c>
      <c r="I122" s="474">
        <f>'Input data'!K142</f>
        <v>30632.232481787109</v>
      </c>
      <c r="J122" s="474">
        <f t="shared" si="91"/>
        <v>2228.8062963921584</v>
      </c>
      <c r="K122" s="475">
        <f t="shared" si="73"/>
        <v>12006.557244696971</v>
      </c>
      <c r="L122" s="100">
        <f t="shared" si="90"/>
        <v>0.7</v>
      </c>
      <c r="M122" s="100">
        <f t="shared" si="87"/>
        <v>0.6</v>
      </c>
      <c r="N122" s="100">
        <f t="shared" si="87"/>
        <v>0.9</v>
      </c>
      <c r="O122" s="100">
        <f t="shared" si="87"/>
        <v>0.9</v>
      </c>
      <c r="P122" s="100">
        <f t="shared" si="87"/>
        <v>0.23600000000000002</v>
      </c>
      <c r="Q122" s="473">
        <f t="shared" si="31"/>
        <v>327.99074036500474</v>
      </c>
      <c r="R122" s="474">
        <f t="shared" si="32"/>
        <v>228.88213275327871</v>
      </c>
      <c r="S122" s="474">
        <f t="shared" si="33"/>
        <v>670.26167139402332</v>
      </c>
      <c r="T122" s="474">
        <f t="shared" si="34"/>
        <v>451.31225082762194</v>
      </c>
      <c r="U122" s="475">
        <f t="shared" si="35"/>
        <v>0</v>
      </c>
      <c r="V122" s="474">
        <f t="shared" si="9"/>
        <v>1678.4467953399287</v>
      </c>
      <c r="W122" s="579">
        <f t="shared" si="86"/>
        <v>0.5</v>
      </c>
      <c r="X122" s="475">
        <f t="shared" si="36"/>
        <v>3033.4854703020706</v>
      </c>
      <c r="Y122" s="474">
        <f t="shared" si="77"/>
        <v>4711.932265641999</v>
      </c>
      <c r="Z122" s="474">
        <f t="shared" si="78"/>
        <v>9523.4312754471302</v>
      </c>
      <c r="AA122" s="475">
        <f t="shared" si="79"/>
        <v>7294.6249790549718</v>
      </c>
      <c r="AB122" s="938">
        <f t="shared" si="37"/>
        <v>0.76596604396795898</v>
      </c>
      <c r="AC122" s="118" t="str">
        <f t="shared" si="38"/>
        <v>Yes</v>
      </c>
      <c r="AD122" s="938">
        <f t="shared" si="39"/>
        <v>0.76596604396795898</v>
      </c>
      <c r="AE122" s="579">
        <f t="shared" si="10"/>
        <v>0.35974439441261952</v>
      </c>
      <c r="AF122" s="475">
        <f t="shared" si="11"/>
        <v>271.63684971963158</v>
      </c>
      <c r="AG122" s="473">
        <f t="shared" si="40"/>
        <v>2228.8062963921584</v>
      </c>
      <c r="AH122" s="474">
        <f t="shared" si="80"/>
        <v>10075.18781030117</v>
      </c>
      <c r="AI122" s="474">
        <f t="shared" si="81"/>
        <v>6437.6604656145792</v>
      </c>
      <c r="AJ122" s="474">
        <f t="shared" si="12"/>
        <v>870.80398581212808</v>
      </c>
      <c r="AK122" s="474">
        <f t="shared" si="41"/>
        <v>19612.458558120034</v>
      </c>
      <c r="AL122" s="640">
        <f t="shared" si="13"/>
        <v>0</v>
      </c>
      <c r="AM122" s="100">
        <f t="shared" si="42"/>
        <v>0.11364237124005948</v>
      </c>
      <c r="AN122" s="100">
        <f t="shared" si="43"/>
        <v>0.51371365708404759</v>
      </c>
      <c r="AO122" s="100">
        <f t="shared" si="44"/>
        <v>0.32824341968841186</v>
      </c>
      <c r="AP122" s="100">
        <f t="shared" si="45"/>
        <v>4.4400551987481149E-2</v>
      </c>
      <c r="AQ122" s="100">
        <f t="shared" si="46"/>
        <v>1</v>
      </c>
      <c r="AR122" s="473">
        <f t="shared" si="14"/>
        <v>486.63053527283574</v>
      </c>
      <c r="AS122" s="474">
        <f t="shared" si="15"/>
        <v>617.17917010331303</v>
      </c>
      <c r="AT122" s="474">
        <f t="shared" si="16"/>
        <v>119.7951162507634</v>
      </c>
      <c r="AU122" s="474">
        <f t="shared" si="17"/>
        <v>0</v>
      </c>
      <c r="AV122" s="474">
        <f t="shared" si="18"/>
        <v>0</v>
      </c>
      <c r="AW122" s="474">
        <f t="shared" si="19"/>
        <v>0</v>
      </c>
      <c r="AX122" s="474">
        <f t="shared" si="20"/>
        <v>836.60911104720071</v>
      </c>
      <c r="AY122" s="474">
        <f t="shared" si="21"/>
        <v>67.388411798505828</v>
      </c>
      <c r="AZ122" s="474">
        <f t="shared" si="22"/>
        <v>18.942900261321309</v>
      </c>
      <c r="BA122" s="474">
        <f t="shared" si="23"/>
        <v>48.925821572664127</v>
      </c>
      <c r="BB122" s="474">
        <f t="shared" si="24"/>
        <v>33.335230085553235</v>
      </c>
      <c r="BC122" s="475">
        <f t="shared" si="47"/>
        <v>2228.806296392157</v>
      </c>
      <c r="BD122" s="647">
        <f t="shared" si="48"/>
        <v>0</v>
      </c>
      <c r="BE122" s="383">
        <f t="shared" si="49"/>
        <v>0.21833684518056182</v>
      </c>
      <c r="BF122" s="383">
        <f t="shared" si="50"/>
        <v>0.27691018779979287</v>
      </c>
      <c r="BG122" s="383">
        <f t="shared" si="51"/>
        <v>5.3748554302219864E-2</v>
      </c>
      <c r="BH122" s="383">
        <f t="shared" si="52"/>
        <v>0</v>
      </c>
      <c r="BI122" s="383">
        <f t="shared" si="53"/>
        <v>0</v>
      </c>
      <c r="BJ122" s="383">
        <f t="shared" si="54"/>
        <v>0</v>
      </c>
      <c r="BK122" s="383">
        <f t="shared" si="55"/>
        <v>0.45100441271742558</v>
      </c>
      <c r="BL122" s="383">
        <f t="shared" si="56"/>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71.485666776292149</v>
      </c>
      <c r="BW122" s="100">
        <f t="shared" si="59"/>
        <v>0.77734350557678589</v>
      </c>
      <c r="BX122" s="1385">
        <f t="shared" si="25"/>
        <v>1.5668691510604194</v>
      </c>
      <c r="BY122" s="473">
        <f t="shared" si="60"/>
        <v>71.485666776292149</v>
      </c>
      <c r="BZ122" s="100">
        <f t="shared" si="61"/>
        <v>0.77734350557678589</v>
      </c>
      <c r="CA122" s="489">
        <f t="shared" si="26"/>
        <v>1.5668691510604194</v>
      </c>
      <c r="CB122" s="579">
        <f t="shared" si="27"/>
        <v>0.35974439441261952</v>
      </c>
      <c r="CC122" s="471">
        <f t="shared" si="62"/>
        <v>0.41005065582927047</v>
      </c>
      <c r="CD122" s="100">
        <f t="shared" si="28"/>
        <v>0.35974439441261952</v>
      </c>
      <c r="CE122" s="471">
        <f t="shared" si="63"/>
        <v>0.41005065582927047</v>
      </c>
      <c r="CG122" s="473">
        <f t="shared" si="64"/>
        <v>1913.2793187958603</v>
      </c>
      <c r="CH122" s="474">
        <f t="shared" si="65"/>
        <v>842.51091811022832</v>
      </c>
      <c r="CI122" s="474">
        <f t="shared" si="66"/>
        <v>3208.6994907160697</v>
      </c>
      <c r="CJ122" s="474">
        <f t="shared" si="67"/>
        <v>4061.8102574486043</v>
      </c>
      <c r="CK122" s="474">
        <f t="shared" si="68"/>
        <v>48.887825230405966</v>
      </c>
      <c r="CL122" s="474">
        <f t="shared" si="69"/>
        <v>10075.187810301168</v>
      </c>
      <c r="CM122" s="576">
        <f t="shared" si="70"/>
        <v>0</v>
      </c>
    </row>
    <row r="123" spans="1:91">
      <c r="A123" s="89">
        <f>'Input data'!A143</f>
        <v>2043</v>
      </c>
      <c r="B123" s="152">
        <f>'Input data'!B143</f>
        <v>72.615704257339331</v>
      </c>
      <c r="C123" s="204">
        <f>'Input data'!C143</f>
        <v>7380.12</v>
      </c>
      <c r="D123" s="204">
        <f>'Input data'!D143</f>
        <v>1439603.2245681447</v>
      </c>
      <c r="E123" s="579">
        <f t="shared" si="88"/>
        <v>1</v>
      </c>
      <c r="F123" s="100">
        <f t="shared" si="89"/>
        <v>0.36725000000000002</v>
      </c>
      <c r="G123" s="475">
        <f>B123*F123*'Input data'!$C$9</f>
        <v>816.23348083824715</v>
      </c>
      <c r="H123" s="301">
        <f>'Input data'!I143</f>
        <v>424.26313389388866</v>
      </c>
      <c r="I123" s="474">
        <f>'Input data'!K143</f>
        <v>30808.166258130579</v>
      </c>
      <c r="J123" s="474">
        <f t="shared" si="91"/>
        <v>2228.8062963921584</v>
      </c>
      <c r="K123" s="475">
        <f t="shared" si="73"/>
        <v>12088.316916209487</v>
      </c>
      <c r="L123" s="100">
        <f t="shared" si="90"/>
        <v>0.7</v>
      </c>
      <c r="M123" s="100">
        <f t="shared" si="87"/>
        <v>0.6</v>
      </c>
      <c r="N123" s="100">
        <f t="shared" si="87"/>
        <v>0.9</v>
      </c>
      <c r="O123" s="100">
        <f t="shared" si="87"/>
        <v>0.9</v>
      </c>
      <c r="P123" s="100">
        <f t="shared" si="87"/>
        <v>0.23600000000000002</v>
      </c>
      <c r="Q123" s="473">
        <f t="shared" si="31"/>
        <v>329.87452893942259</v>
      </c>
      <c r="R123" s="474">
        <f t="shared" si="32"/>
        <v>230.19669896965786</v>
      </c>
      <c r="S123" s="474">
        <f t="shared" si="33"/>
        <v>674.11126567536576</v>
      </c>
      <c r="T123" s="474">
        <f t="shared" si="34"/>
        <v>453.90432663030424</v>
      </c>
      <c r="U123" s="475">
        <f t="shared" si="35"/>
        <v>0</v>
      </c>
      <c r="V123" s="474">
        <f t="shared" si="9"/>
        <v>1688.0868202147503</v>
      </c>
      <c r="W123" s="579">
        <f t="shared" si="86"/>
        <v>0.5</v>
      </c>
      <c r="X123" s="475">
        <f t="shared" si="36"/>
        <v>3033.4854703020706</v>
      </c>
      <c r="Y123" s="474">
        <f t="shared" si="77"/>
        <v>4721.5722905168204</v>
      </c>
      <c r="Z123" s="474">
        <f t="shared" si="78"/>
        <v>9595.5509220848253</v>
      </c>
      <c r="AA123" s="475">
        <f t="shared" si="79"/>
        <v>7366.7446256926669</v>
      </c>
      <c r="AB123" s="938">
        <f t="shared" si="37"/>
        <v>0.76772503064285691</v>
      </c>
      <c r="AC123" s="118" t="str">
        <f t="shared" si="38"/>
        <v>Yes</v>
      </c>
      <c r="AD123" s="938">
        <f t="shared" si="39"/>
        <v>0.76772503064285691</v>
      </c>
      <c r="AE123" s="579">
        <f t="shared" si="10"/>
        <v>0.36157370370249042</v>
      </c>
      <c r="AF123" s="475">
        <f t="shared" si="11"/>
        <v>270.86074122744975</v>
      </c>
      <c r="AG123" s="473">
        <f t="shared" si="40"/>
        <v>2228.8062963921584</v>
      </c>
      <c r="AH123" s="474">
        <f t="shared" si="80"/>
        <v>10133.053845363742</v>
      </c>
      <c r="AI123" s="474">
        <f t="shared" si="81"/>
        <v>6437.6604656145792</v>
      </c>
      <c r="AJ123" s="474">
        <f t="shared" si="12"/>
        <v>869.2228725257296</v>
      </c>
      <c r="AK123" s="474">
        <f t="shared" si="41"/>
        <v>19668.743479896209</v>
      </c>
      <c r="AL123" s="640">
        <f t="shared" si="13"/>
        <v>0</v>
      </c>
      <c r="AM123" s="100">
        <f t="shared" si="42"/>
        <v>0.11331716734575663</v>
      </c>
      <c r="AN123" s="100">
        <f t="shared" si="43"/>
        <v>0.51518562208719254</v>
      </c>
      <c r="AO123" s="100">
        <f t="shared" si="44"/>
        <v>0.32730410420953593</v>
      </c>
      <c r="AP123" s="100">
        <f t="shared" si="45"/>
        <v>4.4193106357514833E-2</v>
      </c>
      <c r="AQ123" s="100">
        <f t="shared" si="46"/>
        <v>0.99999999999999989</v>
      </c>
      <c r="AR123" s="473">
        <f t="shared" si="14"/>
        <v>487.5310668267702</v>
      </c>
      <c r="AS123" s="474">
        <f t="shared" si="15"/>
        <v>618.32128774045941</v>
      </c>
      <c r="AT123" s="474">
        <f t="shared" si="16"/>
        <v>119.57760501627693</v>
      </c>
      <c r="AU123" s="474">
        <f t="shared" si="17"/>
        <v>0</v>
      </c>
      <c r="AV123" s="474">
        <f t="shared" si="18"/>
        <v>0</v>
      </c>
      <c r="AW123" s="474">
        <f t="shared" si="19"/>
        <v>0</v>
      </c>
      <c r="AX123" s="474">
        <f t="shared" si="20"/>
        <v>835.09008517852021</v>
      </c>
      <c r="AY123" s="474">
        <f t="shared" si="21"/>
        <v>67.266055085652098</v>
      </c>
      <c r="AZ123" s="474">
        <f t="shared" si="22"/>
        <v>18.908505757191683</v>
      </c>
      <c r="BA123" s="474">
        <f t="shared" si="23"/>
        <v>48.836987268048027</v>
      </c>
      <c r="BB123" s="474">
        <f t="shared" si="24"/>
        <v>33.274703519239615</v>
      </c>
      <c r="BC123" s="475">
        <f t="shared" si="47"/>
        <v>2228.8062963921584</v>
      </c>
      <c r="BD123" s="647">
        <f t="shared" si="48"/>
        <v>0</v>
      </c>
      <c r="BE123" s="383">
        <f t="shared" si="49"/>
        <v>0.21874088727044277</v>
      </c>
      <c r="BF123" s="383">
        <f t="shared" si="50"/>
        <v>0.27742262247794092</v>
      </c>
      <c r="BG123" s="383">
        <f t="shared" si="51"/>
        <v>5.3650963392306059E-2</v>
      </c>
      <c r="BH123" s="383">
        <f t="shared" si="52"/>
        <v>0</v>
      </c>
      <c r="BI123" s="383">
        <f t="shared" si="53"/>
        <v>0</v>
      </c>
      <c r="BJ123" s="383">
        <f t="shared" si="54"/>
        <v>0</v>
      </c>
      <c r="BK123" s="383">
        <f t="shared" si="55"/>
        <v>0.45018552685931018</v>
      </c>
      <c r="BL123" s="383">
        <f t="shared" si="56"/>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72.52634813795639</v>
      </c>
      <c r="BW123" s="100">
        <f t="shared" si="59"/>
        <v>0.78053840604742564</v>
      </c>
      <c r="BX123" s="1385">
        <f t="shared" si="25"/>
        <v>1.4396032245681447</v>
      </c>
      <c r="BY123" s="473">
        <f t="shared" si="60"/>
        <v>72.52634813795639</v>
      </c>
      <c r="BZ123" s="100">
        <f t="shared" si="61"/>
        <v>0.78053840604742564</v>
      </c>
      <c r="CA123" s="489">
        <f t="shared" si="26"/>
        <v>1.4396032245681447</v>
      </c>
      <c r="CB123" s="579">
        <f t="shared" si="27"/>
        <v>0.36157370370249042</v>
      </c>
      <c r="CC123" s="471">
        <f t="shared" si="62"/>
        <v>0.41419141332929277</v>
      </c>
      <c r="CD123" s="100">
        <f t="shared" si="28"/>
        <v>0.36157370370249042</v>
      </c>
      <c r="CE123" s="471">
        <f t="shared" si="63"/>
        <v>0.41419141332929277</v>
      </c>
      <c r="CG123" s="473">
        <f t="shared" si="64"/>
        <v>1924.2680854799653</v>
      </c>
      <c r="CH123" s="474">
        <f t="shared" si="65"/>
        <v>847.34981215825007</v>
      </c>
      <c r="CI123" s="474">
        <f t="shared" si="66"/>
        <v>3227.1283995097301</v>
      </c>
      <c r="CJ123" s="474">
        <f t="shared" si="67"/>
        <v>4085.1389396727432</v>
      </c>
      <c r="CK123" s="474">
        <f t="shared" si="68"/>
        <v>49.168608543052834</v>
      </c>
      <c r="CL123" s="474">
        <f t="shared" si="69"/>
        <v>10133.05384536374</v>
      </c>
      <c r="CM123" s="576">
        <f t="shared" si="70"/>
        <v>0</v>
      </c>
    </row>
    <row r="124" spans="1:91">
      <c r="A124" s="89">
        <f>'Input data'!A144</f>
        <v>2044</v>
      </c>
      <c r="B124" s="152">
        <f>'Input data'!B144</f>
        <v>73.016657364175842</v>
      </c>
      <c r="C124" s="204">
        <f>'Input data'!C144</f>
        <v>7589.87</v>
      </c>
      <c r="D124" s="204">
        <f>'Input data'!D144</f>
        <v>1312337.2980758694</v>
      </c>
      <c r="E124" s="579">
        <f t="shared" si="88"/>
        <v>1</v>
      </c>
      <c r="F124" s="100">
        <f t="shared" si="89"/>
        <v>0.36725000000000002</v>
      </c>
      <c r="G124" s="475">
        <f>B124*F124*'Input data'!$C$9</f>
        <v>820.74037577775323</v>
      </c>
      <c r="H124" s="301">
        <f>'Input data'!I144</f>
        <v>424.26313389388866</v>
      </c>
      <c r="I124" s="474">
        <f>'Input data'!K144</f>
        <v>30978.275879781526</v>
      </c>
      <c r="J124" s="474">
        <f t="shared" si="91"/>
        <v>2228.8062963921584</v>
      </c>
      <c r="K124" s="475">
        <f t="shared" si="73"/>
        <v>12167.369995591742</v>
      </c>
      <c r="L124" s="100">
        <f t="shared" si="90"/>
        <v>0.7</v>
      </c>
      <c r="M124" s="100">
        <f t="shared" si="87"/>
        <v>0.6</v>
      </c>
      <c r="N124" s="100">
        <f t="shared" si="87"/>
        <v>0.9</v>
      </c>
      <c r="O124" s="100">
        <f t="shared" si="87"/>
        <v>0.9</v>
      </c>
      <c r="P124" s="100">
        <f t="shared" si="87"/>
        <v>0.23600000000000002</v>
      </c>
      <c r="Q124" s="473">
        <f t="shared" si="31"/>
        <v>331.69595611687964</v>
      </c>
      <c r="R124" s="474">
        <f t="shared" si="32"/>
        <v>231.46774746501228</v>
      </c>
      <c r="S124" s="474">
        <f t="shared" si="33"/>
        <v>677.83342204760402</v>
      </c>
      <c r="T124" s="474">
        <f t="shared" si="34"/>
        <v>456.41059372266773</v>
      </c>
      <c r="U124" s="475">
        <f t="shared" si="35"/>
        <v>0</v>
      </c>
      <c r="V124" s="474">
        <f t="shared" si="9"/>
        <v>1697.4077193521637</v>
      </c>
      <c r="W124" s="579">
        <f t="shared" si="86"/>
        <v>0.5</v>
      </c>
      <c r="X124" s="475">
        <f t="shared" si="36"/>
        <v>3033.4854703020706</v>
      </c>
      <c r="Y124" s="474">
        <f t="shared" si="77"/>
        <v>4730.8931896542344</v>
      </c>
      <c r="Z124" s="474">
        <f t="shared" si="78"/>
        <v>9665.2831023296658</v>
      </c>
      <c r="AA124" s="475">
        <f t="shared" si="79"/>
        <v>7436.4768059375074</v>
      </c>
      <c r="AB124" s="938">
        <f t="shared" si="37"/>
        <v>0.7694008263601777</v>
      </c>
      <c r="AC124" s="118" t="str">
        <f t="shared" si="38"/>
        <v>Yes</v>
      </c>
      <c r="AD124" s="938">
        <f t="shared" si="39"/>
        <v>0.7694008263601777</v>
      </c>
      <c r="AE124" s="579">
        <f t="shared" si="10"/>
        <v>0.36332197294239865</v>
      </c>
      <c r="AF124" s="475">
        <f t="shared" si="11"/>
        <v>270.11901504083602</v>
      </c>
      <c r="AG124" s="473">
        <f t="shared" si="40"/>
        <v>2228.8062963921584</v>
      </c>
      <c r="AH124" s="474">
        <f t="shared" si="80"/>
        <v>10189.004269071567</v>
      </c>
      <c r="AI124" s="474">
        <f t="shared" si="81"/>
        <v>6437.6604656145792</v>
      </c>
      <c r="AJ124" s="474">
        <f t="shared" si="12"/>
        <v>867.7165377070761</v>
      </c>
      <c r="AK124" s="474">
        <f t="shared" si="41"/>
        <v>19723.187568785383</v>
      </c>
      <c r="AL124" s="640">
        <f t="shared" si="13"/>
        <v>0</v>
      </c>
      <c r="AM124" s="100">
        <f t="shared" si="42"/>
        <v>0.11300436547688399</v>
      </c>
      <c r="AN124" s="100">
        <f t="shared" si="43"/>
        <v>0.51660028246129175</v>
      </c>
      <c r="AO124" s="100">
        <f t="shared" si="44"/>
        <v>0.32640061060936465</v>
      </c>
      <c r="AP124" s="100">
        <f t="shared" si="45"/>
        <v>4.3994741452459497E-2</v>
      </c>
      <c r="AQ124" s="100">
        <f t="shared" si="46"/>
        <v>0.99999999999999989</v>
      </c>
      <c r="AR124" s="473">
        <f t="shared" si="14"/>
        <v>488.38900790326136</v>
      </c>
      <c r="AS124" s="474">
        <f t="shared" si="15"/>
        <v>619.40938912992397</v>
      </c>
      <c r="AT124" s="474">
        <f t="shared" si="16"/>
        <v>119.3703809363999</v>
      </c>
      <c r="AU124" s="474">
        <f t="shared" si="17"/>
        <v>0</v>
      </c>
      <c r="AV124" s="474">
        <f t="shared" si="18"/>
        <v>0</v>
      </c>
      <c r="AW124" s="474">
        <f t="shared" si="19"/>
        <v>0</v>
      </c>
      <c r="AX124" s="474">
        <f t="shared" si="20"/>
        <v>833.64290136436045</v>
      </c>
      <c r="AY124" s="474">
        <f t="shared" si="21"/>
        <v>67.14948521146718</v>
      </c>
      <c r="AZ124" s="474">
        <f t="shared" si="22"/>
        <v>18.875737934932236</v>
      </c>
      <c r="BA124" s="474">
        <f t="shared" si="23"/>
        <v>48.752354365848539</v>
      </c>
      <c r="BB124" s="474">
        <f t="shared" si="24"/>
        <v>33.217039545964546</v>
      </c>
      <c r="BC124" s="475">
        <f t="shared" si="47"/>
        <v>2228.8062963921575</v>
      </c>
      <c r="BD124" s="647">
        <f t="shared" si="48"/>
        <v>0</v>
      </c>
      <c r="BE124" s="383">
        <f t="shared" si="49"/>
        <v>0.21912582026254718</v>
      </c>
      <c r="BF124" s="383">
        <f t="shared" si="50"/>
        <v>0.27791082165039754</v>
      </c>
      <c r="BG124" s="383">
        <f t="shared" si="51"/>
        <v>5.3557988026877293E-2</v>
      </c>
      <c r="BH124" s="383">
        <f t="shared" si="52"/>
        <v>0</v>
      </c>
      <c r="BI124" s="383">
        <f t="shared" si="53"/>
        <v>0</v>
      </c>
      <c r="BJ124" s="383">
        <f t="shared" si="54"/>
        <v>0</v>
      </c>
      <c r="BK124" s="383">
        <f t="shared" si="55"/>
        <v>0.44940537006017828</v>
      </c>
      <c r="BL124" s="383">
        <f t="shared" si="56"/>
        <v>1.0000000000000002</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73.605388627281442</v>
      </c>
      <c r="BW124" s="100">
        <f t="shared" si="59"/>
        <v>0.78375566975790967</v>
      </c>
      <c r="BX124" s="1385">
        <f t="shared" si="25"/>
        <v>1.3123372980758694</v>
      </c>
      <c r="BY124" s="473">
        <f t="shared" si="60"/>
        <v>73.605388627281442</v>
      </c>
      <c r="BZ124" s="100">
        <f t="shared" si="61"/>
        <v>0.78375566975790967</v>
      </c>
      <c r="CA124" s="489">
        <f t="shared" si="26"/>
        <v>1.3123372980758694</v>
      </c>
      <c r="CB124" s="579">
        <f t="shared" si="27"/>
        <v>0.36332197294239865</v>
      </c>
      <c r="CC124" s="471">
        <f t="shared" si="62"/>
        <v>0.41828468458581836</v>
      </c>
      <c r="CD124" s="100">
        <f t="shared" si="28"/>
        <v>0.36332197294239865</v>
      </c>
      <c r="CE124" s="471">
        <f t="shared" si="63"/>
        <v>0.41828468458581836</v>
      </c>
      <c r="CG124" s="473">
        <f t="shared" si="64"/>
        <v>1934.893077348464</v>
      </c>
      <c r="CH124" s="474">
        <f t="shared" si="65"/>
        <v>852.02851827611903</v>
      </c>
      <c r="CI124" s="474">
        <f t="shared" si="66"/>
        <v>3244.9472332066152</v>
      </c>
      <c r="CJ124" s="474">
        <f t="shared" si="67"/>
        <v>4107.6953435040132</v>
      </c>
      <c r="CK124" s="474">
        <f t="shared" si="68"/>
        <v>49.440096736354654</v>
      </c>
      <c r="CL124" s="474">
        <f t="shared" si="69"/>
        <v>10189.004269071567</v>
      </c>
      <c r="CM124" s="576">
        <f t="shared" si="70"/>
        <v>0</v>
      </c>
    </row>
    <row r="125" spans="1:91">
      <c r="A125" s="89">
        <f>'Input data'!A145</f>
        <v>2045</v>
      </c>
      <c r="B125" s="152">
        <f>'Input data'!B145</f>
        <v>73.40362603426334</v>
      </c>
      <c r="C125" s="204">
        <f>'Input data'!C145</f>
        <v>7808.4800000000005</v>
      </c>
      <c r="D125" s="204">
        <f>'Input data'!D145</f>
        <v>1185071.3715835942</v>
      </c>
      <c r="E125" s="579">
        <f t="shared" si="88"/>
        <v>1</v>
      </c>
      <c r="F125" s="100">
        <f t="shared" si="89"/>
        <v>0.36725000000000002</v>
      </c>
      <c r="G125" s="475">
        <f>B125*F125*'Input data'!$C$9</f>
        <v>825.0900792997561</v>
      </c>
      <c r="H125" s="301">
        <f>'Input data'!I145</f>
        <v>424.26313389388866</v>
      </c>
      <c r="I125" s="474">
        <f>'Input data'!K145</f>
        <v>31142.4524204716</v>
      </c>
      <c r="J125" s="474">
        <f t="shared" si="91"/>
        <v>2228.8062963921584</v>
      </c>
      <c r="K125" s="475">
        <f t="shared" si="73"/>
        <v>12243.665862797345</v>
      </c>
      <c r="L125" s="100">
        <f t="shared" si="90"/>
        <v>0.7</v>
      </c>
      <c r="M125" s="100">
        <f t="shared" si="87"/>
        <v>0.6</v>
      </c>
      <c r="N125" s="100">
        <f t="shared" si="87"/>
        <v>0.9</v>
      </c>
      <c r="O125" s="100">
        <f t="shared" si="87"/>
        <v>0.9</v>
      </c>
      <c r="P125" s="100">
        <f t="shared" si="87"/>
        <v>0.23600000000000002</v>
      </c>
      <c r="Q125" s="473">
        <f t="shared" si="31"/>
        <v>333.45385558318594</v>
      </c>
      <c r="R125" s="474">
        <f t="shared" si="32"/>
        <v>232.69446434905069</v>
      </c>
      <c r="S125" s="474">
        <f t="shared" si="33"/>
        <v>681.42575710291021</v>
      </c>
      <c r="T125" s="474">
        <f t="shared" si="34"/>
        <v>458.8294472670832</v>
      </c>
      <c r="U125" s="475">
        <f t="shared" si="35"/>
        <v>0</v>
      </c>
      <c r="V125" s="474">
        <f t="shared" si="9"/>
        <v>1706.4035243022299</v>
      </c>
      <c r="W125" s="579">
        <f t="shared" si="86"/>
        <v>0.5</v>
      </c>
      <c r="X125" s="475">
        <f t="shared" si="36"/>
        <v>3033.4854703020706</v>
      </c>
      <c r="Y125" s="474">
        <f t="shared" si="77"/>
        <v>4739.8889946043</v>
      </c>
      <c r="Z125" s="474">
        <f t="shared" si="78"/>
        <v>9732.5831645852031</v>
      </c>
      <c r="AA125" s="475">
        <f t="shared" si="79"/>
        <v>7503.7768681930447</v>
      </c>
      <c r="AB125" s="938">
        <f t="shared" si="37"/>
        <v>0.77099540186799431</v>
      </c>
      <c r="AC125" s="118" t="str">
        <f t="shared" si="38"/>
        <v>Yes</v>
      </c>
      <c r="AD125" s="938">
        <f t="shared" si="39"/>
        <v>0.77099540186799431</v>
      </c>
      <c r="AE125" s="579">
        <f t="shared" si="10"/>
        <v>0.36499049722876975</v>
      </c>
      <c r="AF125" s="475">
        <f t="shared" si="11"/>
        <v>269.41112169812209</v>
      </c>
      <c r="AG125" s="473">
        <f t="shared" si="40"/>
        <v>2228.8062963921584</v>
      </c>
      <c r="AH125" s="474">
        <f t="shared" si="80"/>
        <v>10243.003254698275</v>
      </c>
      <c r="AI125" s="474">
        <f t="shared" si="81"/>
        <v>6437.6604656145792</v>
      </c>
      <c r="AJ125" s="474">
        <f t="shared" si="12"/>
        <v>866.28320989535655</v>
      </c>
      <c r="AK125" s="474">
        <f t="shared" si="41"/>
        <v>19775.753226600365</v>
      </c>
      <c r="AL125" s="640">
        <f t="shared" si="13"/>
        <v>0</v>
      </c>
      <c r="AM125" s="100">
        <f t="shared" si="42"/>
        <v>0.11270399012636298</v>
      </c>
      <c r="AN125" s="100">
        <f t="shared" si="43"/>
        <v>0.51795767965593398</v>
      </c>
      <c r="AO125" s="100">
        <f t="shared" si="44"/>
        <v>0.32553300963299248</v>
      </c>
      <c r="AP125" s="100">
        <f t="shared" si="45"/>
        <v>4.3805320584710726E-2</v>
      </c>
      <c r="AQ125" s="100">
        <f t="shared" si="46"/>
        <v>1.0000000000000002</v>
      </c>
      <c r="AR125" s="473">
        <f t="shared" si="14"/>
        <v>489.20536744731686</v>
      </c>
      <c r="AS125" s="474">
        <f t="shared" si="15"/>
        <v>620.44475388693343</v>
      </c>
      <c r="AT125" s="474">
        <f t="shared" si="16"/>
        <v>119.17320031409226</v>
      </c>
      <c r="AU125" s="474">
        <f t="shared" si="17"/>
        <v>0</v>
      </c>
      <c r="AV125" s="474">
        <f t="shared" si="18"/>
        <v>0</v>
      </c>
      <c r="AW125" s="474">
        <f t="shared" si="19"/>
        <v>0</v>
      </c>
      <c r="AX125" s="474">
        <f t="shared" si="20"/>
        <v>832.26585770592612</v>
      </c>
      <c r="AY125" s="474">
        <f t="shared" si="21"/>
        <v>67.038565088922823</v>
      </c>
      <c r="AZ125" s="474">
        <f t="shared" si="22"/>
        <v>18.844558259343341</v>
      </c>
      <c r="BA125" s="474">
        <f t="shared" si="23"/>
        <v>48.671823337151032</v>
      </c>
      <c r="BB125" s="474">
        <f t="shared" si="24"/>
        <v>33.162170352471904</v>
      </c>
      <c r="BC125" s="475">
        <f t="shared" si="47"/>
        <v>2228.8062963921584</v>
      </c>
      <c r="BD125" s="647">
        <f t="shared" si="48"/>
        <v>0</v>
      </c>
      <c r="BE125" s="383">
        <f t="shared" si="49"/>
        <v>0.21949209684090071</v>
      </c>
      <c r="BF125" s="383">
        <f t="shared" si="50"/>
        <v>0.2783753594429752</v>
      </c>
      <c r="BG125" s="383">
        <f t="shared" si="51"/>
        <v>5.3469518866220818E-2</v>
      </c>
      <c r="BH125" s="383">
        <f t="shared" si="52"/>
        <v>0</v>
      </c>
      <c r="BI125" s="383">
        <f t="shared" si="53"/>
        <v>0</v>
      </c>
      <c r="BJ125" s="383">
        <f t="shared" si="54"/>
        <v>0</v>
      </c>
      <c r="BK125" s="383">
        <f t="shared" si="55"/>
        <v>0.448663024849903</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74.727980742988066</v>
      </c>
      <c r="BW125" s="100">
        <f t="shared" si="59"/>
        <v>0.78700417423752278</v>
      </c>
      <c r="BX125" s="1385">
        <f t="shared" si="25"/>
        <v>1.1850713715835943</v>
      </c>
      <c r="BY125" s="473">
        <f t="shared" si="60"/>
        <v>74.727980742988066</v>
      </c>
      <c r="BZ125" s="100">
        <f t="shared" si="61"/>
        <v>0.78700417423752278</v>
      </c>
      <c r="CA125" s="489">
        <f t="shared" si="26"/>
        <v>1.1850713715835943</v>
      </c>
      <c r="CB125" s="579">
        <f t="shared" si="27"/>
        <v>0.36499049722876975</v>
      </c>
      <c r="CC125" s="471">
        <f t="shared" si="62"/>
        <v>0.4223414227318022</v>
      </c>
      <c r="CD125" s="100">
        <f t="shared" si="28"/>
        <v>0.36499049722876975</v>
      </c>
      <c r="CE125" s="471">
        <f t="shared" si="63"/>
        <v>0.4223414227318022</v>
      </c>
      <c r="CG125" s="473">
        <f t="shared" si="64"/>
        <v>1945.1474909019169</v>
      </c>
      <c r="CH125" s="474">
        <f t="shared" si="65"/>
        <v>856.54404054865324</v>
      </c>
      <c r="CI125" s="474">
        <f t="shared" si="66"/>
        <v>3262.1445818756351</v>
      </c>
      <c r="CJ125" s="474">
        <f t="shared" si="67"/>
        <v>4129.4650254037524</v>
      </c>
      <c r="CK125" s="474">
        <f t="shared" si="68"/>
        <v>49.702115968317628</v>
      </c>
      <c r="CL125" s="474">
        <f t="shared" si="69"/>
        <v>10243.003254698275</v>
      </c>
      <c r="CM125" s="576">
        <f t="shared" si="70"/>
        <v>0</v>
      </c>
    </row>
    <row r="126" spans="1:91">
      <c r="A126" s="89">
        <f>'Input data'!A146</f>
        <v>2046</v>
      </c>
      <c r="B126" s="152">
        <f>'Input data'!B146</f>
        <v>73.776422042674071</v>
      </c>
      <c r="C126" s="204">
        <f>'Input data'!C146</f>
        <v>8042.25</v>
      </c>
      <c r="D126" s="204">
        <f>'Input data'!D146</f>
        <v>990067.58809674683</v>
      </c>
      <c r="E126" s="579">
        <f t="shared" si="88"/>
        <v>1</v>
      </c>
      <c r="F126" s="100">
        <f t="shared" si="89"/>
        <v>0.36725000000000002</v>
      </c>
      <c r="G126" s="475">
        <f>B126*F126*'Input data'!$C$9</f>
        <v>829.28047567062026</v>
      </c>
      <c r="H126" s="301">
        <f>'Input data'!I146</f>
        <v>424.26313389388866</v>
      </c>
      <c r="I126" s="474">
        <f>'Input data'!K146</f>
        <v>31300.616023303068</v>
      </c>
      <c r="J126" s="474">
        <f t="shared" si="91"/>
        <v>2228.8062963921584</v>
      </c>
      <c r="K126" s="475">
        <f t="shared" si="73"/>
        <v>12317.167406852714</v>
      </c>
      <c r="L126" s="100">
        <f t="shared" si="90"/>
        <v>0.7</v>
      </c>
      <c r="M126" s="100">
        <f t="shared" si="87"/>
        <v>0.6</v>
      </c>
      <c r="N126" s="100">
        <f t="shared" si="87"/>
        <v>0.9</v>
      </c>
      <c r="O126" s="100">
        <f t="shared" si="87"/>
        <v>0.9</v>
      </c>
      <c r="P126" s="100">
        <f t="shared" si="87"/>
        <v>0.23600000000000002</v>
      </c>
      <c r="Q126" s="473">
        <f t="shared" si="31"/>
        <v>335.1473722807475</v>
      </c>
      <c r="R126" s="474">
        <f t="shared" si="32"/>
        <v>233.87625293600843</v>
      </c>
      <c r="S126" s="474">
        <f t="shared" si="33"/>
        <v>684.88652349826043</v>
      </c>
      <c r="T126" s="474">
        <f t="shared" si="34"/>
        <v>461.15971071214244</v>
      </c>
      <c r="U126" s="475">
        <f t="shared" si="35"/>
        <v>0</v>
      </c>
      <c r="V126" s="474">
        <f t="shared" si="9"/>
        <v>1715.0698594271589</v>
      </c>
      <c r="W126" s="579">
        <f t="shared" si="86"/>
        <v>0.5</v>
      </c>
      <c r="X126" s="475">
        <f t="shared" si="36"/>
        <v>3033.4854703020706</v>
      </c>
      <c r="Y126" s="474">
        <f t="shared" si="77"/>
        <v>4748.5553297292299</v>
      </c>
      <c r="Z126" s="474">
        <f t="shared" si="78"/>
        <v>9797.4183735156421</v>
      </c>
      <c r="AA126" s="475">
        <f t="shared" si="79"/>
        <v>7568.6120771234837</v>
      </c>
      <c r="AB126" s="938">
        <f t="shared" si="37"/>
        <v>0.77251085832804056</v>
      </c>
      <c r="AC126" s="118" t="str">
        <f t="shared" si="38"/>
        <v>Yes</v>
      </c>
      <c r="AD126" s="938">
        <f t="shared" si="39"/>
        <v>0.77251085832804056</v>
      </c>
      <c r="AE126" s="579">
        <f t="shared" si="10"/>
        <v>0.36658076364000425</v>
      </c>
      <c r="AF126" s="475">
        <f t="shared" si="11"/>
        <v>268.7364302867656</v>
      </c>
      <c r="AG126" s="473">
        <f t="shared" si="40"/>
        <v>2228.8062963921584</v>
      </c>
      <c r="AH126" s="474">
        <f t="shared" si="80"/>
        <v>10295.024536667468</v>
      </c>
      <c r="AI126" s="474">
        <f t="shared" si="81"/>
        <v>6437.6604656145792</v>
      </c>
      <c r="AJ126" s="474">
        <f t="shared" si="12"/>
        <v>864.92100040387356</v>
      </c>
      <c r="AK126" s="474">
        <f t="shared" si="41"/>
        <v>19826.412299078078</v>
      </c>
      <c r="AL126" s="640">
        <f t="shared" si="13"/>
        <v>0</v>
      </c>
      <c r="AM126" s="100">
        <f t="shared" si="42"/>
        <v>0.11241601671401726</v>
      </c>
      <c r="AN126" s="100">
        <f t="shared" si="43"/>
        <v>0.51925806753984349</v>
      </c>
      <c r="AO126" s="100">
        <f t="shared" si="44"/>
        <v>0.32470123028329884</v>
      </c>
      <c r="AP126" s="100">
        <f t="shared" si="45"/>
        <v>4.3624685462840505E-2</v>
      </c>
      <c r="AQ126" s="100">
        <f t="shared" si="46"/>
        <v>1.0000000000000002</v>
      </c>
      <c r="AR126" s="473">
        <f t="shared" si="14"/>
        <v>489.98122117057733</v>
      </c>
      <c r="AS126" s="474">
        <f t="shared" si="15"/>
        <v>621.42874630486722</v>
      </c>
      <c r="AT126" s="474">
        <f t="shared" si="16"/>
        <v>118.98580332573565</v>
      </c>
      <c r="AU126" s="474">
        <f t="shared" si="17"/>
        <v>0</v>
      </c>
      <c r="AV126" s="474">
        <f t="shared" si="18"/>
        <v>0</v>
      </c>
      <c r="AW126" s="474">
        <f t="shared" si="19"/>
        <v>0</v>
      </c>
      <c r="AX126" s="474">
        <f t="shared" si="20"/>
        <v>830.95713968178109</v>
      </c>
      <c r="AY126" s="474">
        <f t="shared" si="21"/>
        <v>66.933148559297834</v>
      </c>
      <c r="AZ126" s="474">
        <f t="shared" si="22"/>
        <v>18.814925645169954</v>
      </c>
      <c r="BA126" s="474">
        <f t="shared" si="23"/>
        <v>48.595288066744992</v>
      </c>
      <c r="BB126" s="474">
        <f t="shared" si="24"/>
        <v>33.110023637983723</v>
      </c>
      <c r="BC126" s="475">
        <f t="shared" si="47"/>
        <v>2228.8062963921579</v>
      </c>
      <c r="BD126" s="647">
        <f t="shared" si="48"/>
        <v>0</v>
      </c>
      <c r="BE126" s="383">
        <f t="shared" si="49"/>
        <v>0.21984019964575927</v>
      </c>
      <c r="BF126" s="383">
        <f t="shared" si="50"/>
        <v>0.27881684797409018</v>
      </c>
      <c r="BG126" s="383">
        <f t="shared" si="51"/>
        <v>5.3385439335101433E-2</v>
      </c>
      <c r="BH126" s="383">
        <f t="shared" si="52"/>
        <v>0</v>
      </c>
      <c r="BI126" s="383">
        <f t="shared" si="53"/>
        <v>0</v>
      </c>
      <c r="BJ126" s="383">
        <f t="shared" si="54"/>
        <v>0</v>
      </c>
      <c r="BK126" s="383">
        <f t="shared" si="55"/>
        <v>0.44795751304504905</v>
      </c>
      <c r="BL126" s="383">
        <f t="shared" si="56"/>
        <v>0.99999999999999989</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75.899304727741267</v>
      </c>
      <c r="BW126" s="100">
        <f t="shared" si="59"/>
        <v>0.79029125466945604</v>
      </c>
      <c r="BX126" s="1385">
        <f t="shared" si="25"/>
        <v>0.99006758809674678</v>
      </c>
      <c r="BY126" s="473">
        <f t="shared" si="60"/>
        <v>75.899304727741267</v>
      </c>
      <c r="BZ126" s="100">
        <f t="shared" si="61"/>
        <v>0.79029125466945604</v>
      </c>
      <c r="CA126" s="489">
        <f t="shared" si="26"/>
        <v>0.99006758809674678</v>
      </c>
      <c r="CB126" s="579">
        <f t="shared" si="27"/>
        <v>0.36658076364000425</v>
      </c>
      <c r="CC126" s="471">
        <f t="shared" si="62"/>
        <v>0.42634516534026512</v>
      </c>
      <c r="CD126" s="100">
        <f t="shared" si="28"/>
        <v>0.36658076364000425</v>
      </c>
      <c r="CE126" s="471">
        <f t="shared" si="63"/>
        <v>0.42634516534026512</v>
      </c>
      <c r="CG126" s="473">
        <f t="shared" si="64"/>
        <v>1955.0263383043587</v>
      </c>
      <c r="CH126" s="474">
        <f t="shared" si="65"/>
        <v>860.89418258653404</v>
      </c>
      <c r="CI126" s="474">
        <f t="shared" si="66"/>
        <v>3278.712080576779</v>
      </c>
      <c r="CJ126" s="474">
        <f t="shared" si="67"/>
        <v>4150.4373964092883</v>
      </c>
      <c r="CK126" s="474">
        <f t="shared" si="68"/>
        <v>49.954538790507733</v>
      </c>
      <c r="CL126" s="474">
        <f t="shared" si="69"/>
        <v>10295.024536667466</v>
      </c>
      <c r="CM126" s="576">
        <f t="shared" si="70"/>
        <v>0</v>
      </c>
    </row>
    <row r="127" spans="1:91" s="1" customFormat="1">
      <c r="A127" s="89">
        <f>'Input data'!A147</f>
        <v>2047</v>
      </c>
      <c r="B127" s="152">
        <f>'Input data'!B147</f>
        <v>74.134805489166112</v>
      </c>
      <c r="C127" s="204">
        <f>'Input data'!C147</f>
        <v>8187.4100000000008</v>
      </c>
      <c r="D127" s="204">
        <f>'Input data'!D147</f>
        <v>795063.80460989953</v>
      </c>
      <c r="E127" s="579">
        <f t="shared" si="88"/>
        <v>1</v>
      </c>
      <c r="F127" s="100">
        <f t="shared" si="89"/>
        <v>0.36725000000000002</v>
      </c>
      <c r="G127" s="475">
        <f>B127*F127*'Input data'!$C$9</f>
        <v>833.30886830272004</v>
      </c>
      <c r="H127" s="301">
        <f>'Input data'!I147</f>
        <v>424.26313389388866</v>
      </c>
      <c r="I127" s="474">
        <f>'Input data'!K147</f>
        <v>31452.664907447474</v>
      </c>
      <c r="J127" s="474">
        <f t="shared" si="91"/>
        <v>2228.8062963921584</v>
      </c>
      <c r="K127" s="475">
        <f t="shared" si="73"/>
        <v>12387.8273283292</v>
      </c>
      <c r="L127" s="100">
        <f t="shared" si="90"/>
        <v>0.7</v>
      </c>
      <c r="M127" s="100">
        <f t="shared" si="90"/>
        <v>0.6</v>
      </c>
      <c r="N127" s="100">
        <f t="shared" si="90"/>
        <v>0.9</v>
      </c>
      <c r="O127" s="100">
        <f t="shared" si="90"/>
        <v>0.9</v>
      </c>
      <c r="P127" s="100">
        <f t="shared" si="90"/>
        <v>0.23600000000000002</v>
      </c>
      <c r="Q127" s="473">
        <f t="shared" si="31"/>
        <v>336.77541640426466</v>
      </c>
      <c r="R127" s="474">
        <f t="shared" si="32"/>
        <v>235.01235272587587</v>
      </c>
      <c r="S127" s="474">
        <f t="shared" si="33"/>
        <v>688.21349417468173</v>
      </c>
      <c r="T127" s="474">
        <f t="shared" si="34"/>
        <v>463.39988449574957</v>
      </c>
      <c r="U127" s="475">
        <f t="shared" si="35"/>
        <v>0</v>
      </c>
      <c r="V127" s="474">
        <f t="shared" si="9"/>
        <v>1723.4011478005718</v>
      </c>
      <c r="W127" s="579">
        <f t="shared" si="86"/>
        <v>0.5</v>
      </c>
      <c r="X127" s="475">
        <f t="shared" si="36"/>
        <v>3033.4854703020706</v>
      </c>
      <c r="Y127" s="474">
        <f t="shared" si="77"/>
        <v>4756.8866181026424</v>
      </c>
      <c r="Z127" s="474">
        <f t="shared" si="78"/>
        <v>9859.7470066187161</v>
      </c>
      <c r="AA127" s="475">
        <f t="shared" si="79"/>
        <v>7630.9407102265577</v>
      </c>
      <c r="AB127" s="938">
        <f t="shared" si="37"/>
        <v>0.77394893652991392</v>
      </c>
      <c r="AC127" s="118" t="str">
        <f t="shared" si="38"/>
        <v>Yes</v>
      </c>
      <c r="AD127" s="938">
        <f t="shared" si="39"/>
        <v>0.77394893652991392</v>
      </c>
      <c r="AE127" s="579">
        <f t="shared" si="10"/>
        <v>0.36809393406209001</v>
      </c>
      <c r="AF127" s="475">
        <f t="shared" si="11"/>
        <v>268.09444786137595</v>
      </c>
      <c r="AG127" s="473">
        <f t="shared" si="40"/>
        <v>2228.8062963921584</v>
      </c>
      <c r="AH127" s="474">
        <f t="shared" si="80"/>
        <v>10345.034638445472</v>
      </c>
      <c r="AI127" s="474">
        <f t="shared" si="81"/>
        <v>6437.6604656145792</v>
      </c>
      <c r="AJ127" s="474">
        <f t="shared" si="12"/>
        <v>863.62834447628131</v>
      </c>
      <c r="AK127" s="474">
        <f t="shared" si="41"/>
        <v>19875.12974492849</v>
      </c>
      <c r="AL127" s="640">
        <f t="shared" si="13"/>
        <v>0</v>
      </c>
      <c r="AM127" s="100">
        <f t="shared" si="42"/>
        <v>0.11214046524455418</v>
      </c>
      <c r="AN127" s="100">
        <f t="shared" si="43"/>
        <v>0.52050148961091436</v>
      </c>
      <c r="AO127" s="100">
        <f t="shared" si="44"/>
        <v>0.32390533034166824</v>
      </c>
      <c r="AP127" s="100">
        <f t="shared" si="45"/>
        <v>4.3452714802863224E-2</v>
      </c>
      <c r="AQ127" s="100">
        <f t="shared" si="46"/>
        <v>1</v>
      </c>
      <c r="AR127" s="473">
        <f t="shared" si="14"/>
        <v>490.71746028841352</v>
      </c>
      <c r="AS127" s="474">
        <f t="shared" si="15"/>
        <v>622.36249668592131</v>
      </c>
      <c r="AT127" s="474">
        <f t="shared" si="16"/>
        <v>118.80797471029395</v>
      </c>
      <c r="AU127" s="474">
        <f t="shared" si="17"/>
        <v>0</v>
      </c>
      <c r="AV127" s="474">
        <f t="shared" si="18"/>
        <v>0</v>
      </c>
      <c r="AW127" s="474">
        <f t="shared" si="19"/>
        <v>0</v>
      </c>
      <c r="AX127" s="474">
        <f t="shared" si="20"/>
        <v>829.71524398069039</v>
      </c>
      <c r="AY127" s="474">
        <f t="shared" si="21"/>
        <v>66.833114531684686</v>
      </c>
      <c r="AZ127" s="474">
        <f t="shared" si="22"/>
        <v>18.786806053726245</v>
      </c>
      <c r="BA127" s="474">
        <f t="shared" si="23"/>
        <v>48.522660639334475</v>
      </c>
      <c r="BB127" s="474">
        <f t="shared" si="24"/>
        <v>33.060539502093427</v>
      </c>
      <c r="BC127" s="475">
        <f t="shared" si="47"/>
        <v>2228.8062963921579</v>
      </c>
      <c r="BD127" s="647">
        <f t="shared" si="48"/>
        <v>0</v>
      </c>
      <c r="BE127" s="383">
        <f t="shared" si="49"/>
        <v>0.22017052853931451</v>
      </c>
      <c r="BF127" s="383">
        <f t="shared" si="50"/>
        <v>0.27923579437717849</v>
      </c>
      <c r="BG127" s="383">
        <f t="shared" si="51"/>
        <v>5.3305652852207175E-2</v>
      </c>
      <c r="BH127" s="383">
        <f t="shared" si="52"/>
        <v>0</v>
      </c>
      <c r="BI127" s="383">
        <f t="shared" si="53"/>
        <v>0</v>
      </c>
      <c r="BJ127" s="383">
        <f t="shared" si="54"/>
        <v>0</v>
      </c>
      <c r="BK127" s="383">
        <f t="shared" si="55"/>
        <v>0.44728802423129987</v>
      </c>
      <c r="BL127" s="383">
        <f t="shared" si="56"/>
        <v>1</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76.614335235849452</v>
      </c>
      <c r="BW127" s="100">
        <f t="shared" si="59"/>
        <v>0.79224843605420403</v>
      </c>
      <c r="BX127" s="1385">
        <f t="shared" si="25"/>
        <v>0.79506380460989956</v>
      </c>
      <c r="BY127" s="473">
        <f t="shared" si="60"/>
        <v>76.614335235849452</v>
      </c>
      <c r="BZ127" s="100">
        <f t="shared" si="61"/>
        <v>0.79224843605420403</v>
      </c>
      <c r="CA127" s="489">
        <f t="shared" si="26"/>
        <v>0.79506380460989956</v>
      </c>
      <c r="CB127" s="579">
        <f t="shared" si="27"/>
        <v>0.36809393406209001</v>
      </c>
      <c r="CC127" s="471">
        <f t="shared" si="62"/>
        <v>0.42859765533045768</v>
      </c>
      <c r="CD127" s="100">
        <f t="shared" si="28"/>
        <v>0.36809393406209001</v>
      </c>
      <c r="CE127" s="471">
        <f t="shared" si="63"/>
        <v>0.42859765533045768</v>
      </c>
      <c r="CG127" s="473">
        <f t="shared" si="64"/>
        <v>1964.523262358211</v>
      </c>
      <c r="CH127" s="474">
        <f t="shared" si="65"/>
        <v>865.07614500322393</v>
      </c>
      <c r="CI127" s="474">
        <f t="shared" si="66"/>
        <v>3294.6390678575194</v>
      </c>
      <c r="CJ127" s="474">
        <f t="shared" si="67"/>
        <v>4170.598960461748</v>
      </c>
      <c r="CK127" s="474">
        <f t="shared" si="68"/>
        <v>50.197202764769145</v>
      </c>
      <c r="CL127" s="474">
        <f t="shared" si="69"/>
        <v>10345.034638445472</v>
      </c>
      <c r="CM127" s="576">
        <f t="shared" si="70"/>
        <v>0</v>
      </c>
    </row>
    <row r="128" spans="1:91">
      <c r="A128" s="89">
        <f>'Input data'!A148</f>
        <v>2048</v>
      </c>
      <c r="B128" s="152">
        <f>'Input data'!B148</f>
        <v>74.478544758379343</v>
      </c>
      <c r="C128" s="204">
        <f>'Input data'!C148</f>
        <v>8322.6399999999976</v>
      </c>
      <c r="D128" s="204">
        <f>'Input data'!D148</f>
        <v>600060.02112305223</v>
      </c>
      <c r="E128" s="579">
        <f t="shared" si="88"/>
        <v>1</v>
      </c>
      <c r="F128" s="100">
        <f t="shared" si="89"/>
        <v>0.36725000000000002</v>
      </c>
      <c r="G128" s="475">
        <f>B128*F128*'Input data'!$C$9</f>
        <v>837.17265373426267</v>
      </c>
      <c r="H128" s="301">
        <f>'Input data'!I148</f>
        <v>424.26313389388866</v>
      </c>
      <c r="I128" s="474">
        <f>'Input data'!K148</f>
        <v>31598.500807046275</v>
      </c>
      <c r="J128" s="474">
        <f t="shared" si="91"/>
        <v>2228.8062963921584</v>
      </c>
      <c r="K128" s="475">
        <f t="shared" si="73"/>
        <v>12455.599961269521</v>
      </c>
      <c r="L128" s="100">
        <f t="shared" ref="L128:P130" si="93">L127</f>
        <v>0.7</v>
      </c>
      <c r="M128" s="100">
        <f t="shared" si="93"/>
        <v>0.6</v>
      </c>
      <c r="N128" s="100">
        <f t="shared" si="93"/>
        <v>0.9</v>
      </c>
      <c r="O128" s="100">
        <f t="shared" si="93"/>
        <v>0.9</v>
      </c>
      <c r="P128" s="100">
        <f t="shared" si="93"/>
        <v>0.23600000000000002</v>
      </c>
      <c r="Q128" s="473">
        <f t="shared" si="31"/>
        <v>338.33693578453358</v>
      </c>
      <c r="R128" s="474">
        <f t="shared" si="32"/>
        <v>236.10202948227982</v>
      </c>
      <c r="S128" s="474">
        <f t="shared" si="33"/>
        <v>691.40451898400488</v>
      </c>
      <c r="T128" s="474">
        <f t="shared" si="34"/>
        <v>465.54852084272579</v>
      </c>
      <c r="U128" s="475">
        <f t="shared" si="35"/>
        <v>0</v>
      </c>
      <c r="V128" s="474">
        <f t="shared" si="9"/>
        <v>1731.392005093544</v>
      </c>
      <c r="W128" s="579">
        <f t="shared" si="86"/>
        <v>0.5</v>
      </c>
      <c r="X128" s="475">
        <f t="shared" si="36"/>
        <v>3033.4854703020706</v>
      </c>
      <c r="Y128" s="474">
        <f t="shared" si="77"/>
        <v>4764.877475395615</v>
      </c>
      <c r="Z128" s="474">
        <f t="shared" si="78"/>
        <v>9919.5287822660648</v>
      </c>
      <c r="AA128" s="475">
        <f t="shared" si="79"/>
        <v>7690.7224858739064</v>
      </c>
      <c r="AB128" s="938">
        <f t="shared" si="37"/>
        <v>0.77531127281199352</v>
      </c>
      <c r="AC128" s="118" t="str">
        <f t="shared" si="38"/>
        <v>Yes</v>
      </c>
      <c r="AD128" s="938">
        <f t="shared" si="39"/>
        <v>0.77531127281199352</v>
      </c>
      <c r="AE128" s="579">
        <f t="shared" si="10"/>
        <v>0.36953110862747474</v>
      </c>
      <c r="AF128" s="475">
        <f t="shared" si="11"/>
        <v>267.48470767631323</v>
      </c>
      <c r="AG128" s="473">
        <f t="shared" si="40"/>
        <v>2228.8062963921584</v>
      </c>
      <c r="AH128" s="474">
        <f t="shared" si="80"/>
        <v>10393.001239600504</v>
      </c>
      <c r="AI128" s="474">
        <f t="shared" si="81"/>
        <v>6437.6604656145792</v>
      </c>
      <c r="AJ128" s="474">
        <f t="shared" si="12"/>
        <v>862.4037712450687</v>
      </c>
      <c r="AK128" s="474">
        <f t="shared" si="41"/>
        <v>19921.871772852312</v>
      </c>
      <c r="AL128" s="640">
        <f t="shared" si="13"/>
        <v>0</v>
      </c>
      <c r="AM128" s="100">
        <f t="shared" si="42"/>
        <v>0.11187735378506802</v>
      </c>
      <c r="AN128" s="100">
        <f t="shared" si="43"/>
        <v>0.52168798986865916</v>
      </c>
      <c r="AO128" s="100">
        <f t="shared" si="44"/>
        <v>0.32314536199290411</v>
      </c>
      <c r="AP128" s="100">
        <f t="shared" si="45"/>
        <v>4.328929435336859E-2</v>
      </c>
      <c r="AQ128" s="100">
        <f t="shared" si="46"/>
        <v>0.99999999999999989</v>
      </c>
      <c r="AR128" s="473">
        <f t="shared" si="14"/>
        <v>491.41492254130577</v>
      </c>
      <c r="AS128" s="474">
        <f t="shared" si="15"/>
        <v>623.24706751166514</v>
      </c>
      <c r="AT128" s="474">
        <f t="shared" si="16"/>
        <v>118.63951212286803</v>
      </c>
      <c r="AU128" s="474">
        <f t="shared" si="17"/>
        <v>0</v>
      </c>
      <c r="AV128" s="474">
        <f t="shared" si="18"/>
        <v>0</v>
      </c>
      <c r="AW128" s="474">
        <f t="shared" si="19"/>
        <v>0</v>
      </c>
      <c r="AX128" s="474">
        <f t="shared" si="20"/>
        <v>828.53875749341103</v>
      </c>
      <c r="AY128" s="474">
        <f t="shared" si="21"/>
        <v>66.738349180897487</v>
      </c>
      <c r="AZ128" s="474">
        <f t="shared" si="22"/>
        <v>18.760167488722598</v>
      </c>
      <c r="BA128" s="474">
        <f t="shared" si="23"/>
        <v>48.45385841473626</v>
      </c>
      <c r="BB128" s="474">
        <f t="shared" si="24"/>
        <v>33.013661638551028</v>
      </c>
      <c r="BC128" s="475">
        <f t="shared" si="47"/>
        <v>2228.8062963921575</v>
      </c>
      <c r="BD128" s="647">
        <f t="shared" si="48"/>
        <v>0</v>
      </c>
      <c r="BE128" s="383">
        <f t="shared" si="49"/>
        <v>0.22048345939114375</v>
      </c>
      <c r="BF128" s="383">
        <f t="shared" si="50"/>
        <v>0.27963267535655106</v>
      </c>
      <c r="BG128" s="383">
        <f t="shared" si="51"/>
        <v>5.3230068631317906E-2</v>
      </c>
      <c r="BH128" s="383">
        <f t="shared" si="52"/>
        <v>0</v>
      </c>
      <c r="BI128" s="383">
        <f t="shared" si="53"/>
        <v>0</v>
      </c>
      <c r="BJ128" s="383">
        <f t="shared" si="54"/>
        <v>0</v>
      </c>
      <c r="BK128" s="383">
        <f t="shared" si="55"/>
        <v>0.4466537966209872</v>
      </c>
      <c r="BL128" s="383">
        <f t="shared" si="56"/>
        <v>0.99999999999999978</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77.27647379436786</v>
      </c>
      <c r="BW128" s="100">
        <f t="shared" si="59"/>
        <v>0.79402854213729268</v>
      </c>
      <c r="BX128" s="1385">
        <f t="shared" si="25"/>
        <v>0.60006002112305223</v>
      </c>
      <c r="BY128" s="473">
        <f t="shared" si="60"/>
        <v>77.27647379436786</v>
      </c>
      <c r="BZ128" s="100">
        <f t="shared" si="61"/>
        <v>0.79402854213729268</v>
      </c>
      <c r="CA128" s="489">
        <f t="shared" si="26"/>
        <v>0.60006002112305223</v>
      </c>
      <c r="CB128" s="579">
        <f t="shared" si="27"/>
        <v>0.36953110862747474</v>
      </c>
      <c r="CC128" s="471">
        <f t="shared" si="62"/>
        <v>0.43061121030737315</v>
      </c>
      <c r="CD128" s="100">
        <f t="shared" si="28"/>
        <v>0.36953110862747474</v>
      </c>
      <c r="CE128" s="471">
        <f t="shared" si="63"/>
        <v>0.43061121030737315</v>
      </c>
      <c r="CG128" s="473">
        <f t="shared" si="64"/>
        <v>1973.6321254097784</v>
      </c>
      <c r="CH128" s="474">
        <f t="shared" si="65"/>
        <v>869.08722508814662</v>
      </c>
      <c r="CI128" s="474">
        <f t="shared" si="66"/>
        <v>3309.915250455344</v>
      </c>
      <c r="CJ128" s="474">
        <f t="shared" si="67"/>
        <v>4189.9366875845371</v>
      </c>
      <c r="CK128" s="474">
        <f t="shared" si="68"/>
        <v>50.429951062698272</v>
      </c>
      <c r="CL128" s="474">
        <f t="shared" si="69"/>
        <v>10393.001239600504</v>
      </c>
      <c r="CM128" s="576">
        <f t="shared" si="70"/>
        <v>0</v>
      </c>
    </row>
    <row r="129" spans="1:91">
      <c r="A129" s="89">
        <f>'Input data'!A149</f>
        <v>2049</v>
      </c>
      <c r="B129" s="152">
        <f>'Input data'!B149</f>
        <v>74.807416768507309</v>
      </c>
      <c r="C129" s="204">
        <f>'Input data'!C149</f>
        <v>8457.3799999999992</v>
      </c>
      <c r="D129" s="204">
        <f>'Input data'!D149</f>
        <v>405056.23763620481</v>
      </c>
      <c r="E129" s="579">
        <f t="shared" si="88"/>
        <v>1</v>
      </c>
      <c r="F129" s="100">
        <f t="shared" si="89"/>
        <v>0.36725000000000002</v>
      </c>
      <c r="G129" s="475">
        <f>B129*F129*'Input data'!$C$9</f>
        <v>840.86932442447198</v>
      </c>
      <c r="H129" s="301">
        <f>'Input data'!I149</f>
        <v>424.26313389388866</v>
      </c>
      <c r="I129" s="474">
        <f>'Input data'!K149</f>
        <v>31738.029076713148</v>
      </c>
      <c r="J129" s="474">
        <f t="shared" si="91"/>
        <v>2228.8062963921584</v>
      </c>
      <c r="K129" s="475">
        <f t="shared" si="73"/>
        <v>12520.441322216622</v>
      </c>
      <c r="L129" s="100">
        <f t="shared" si="93"/>
        <v>0.7</v>
      </c>
      <c r="M129" s="100">
        <f t="shared" si="93"/>
        <v>0.6</v>
      </c>
      <c r="N129" s="100">
        <f t="shared" si="93"/>
        <v>0.9</v>
      </c>
      <c r="O129" s="100">
        <f t="shared" si="93"/>
        <v>0.9</v>
      </c>
      <c r="P129" s="100">
        <f t="shared" si="93"/>
        <v>0.23600000000000002</v>
      </c>
      <c r="Q129" s="473">
        <f t="shared" si="31"/>
        <v>339.83091701809508</v>
      </c>
      <c r="R129" s="474">
        <f t="shared" si="32"/>
        <v>237.14457602079005</v>
      </c>
      <c r="S129" s="474">
        <f t="shared" si="33"/>
        <v>694.4575269973534</v>
      </c>
      <c r="T129" s="474">
        <f t="shared" si="34"/>
        <v>467.60422531920767</v>
      </c>
      <c r="U129" s="475">
        <f t="shared" si="35"/>
        <v>0</v>
      </c>
      <c r="V129" s="474">
        <f t="shared" si="9"/>
        <v>1739.0372453554462</v>
      </c>
      <c r="W129" s="579">
        <f t="shared" si="86"/>
        <v>0.5</v>
      </c>
      <c r="X129" s="475">
        <f t="shared" si="36"/>
        <v>3033.4854703020706</v>
      </c>
      <c r="Y129" s="474">
        <f t="shared" si="77"/>
        <v>4772.5227156575165</v>
      </c>
      <c r="Z129" s="474">
        <f t="shared" si="78"/>
        <v>9976.7249029512641</v>
      </c>
      <c r="AA129" s="475">
        <f t="shared" si="79"/>
        <v>7747.9186065591057</v>
      </c>
      <c r="AB129" s="938">
        <f t="shared" si="37"/>
        <v>0.77659940330389943</v>
      </c>
      <c r="AC129" s="118" t="str">
        <f t="shared" si="38"/>
        <v>Yes</v>
      </c>
      <c r="AD129" s="938">
        <f t="shared" si="39"/>
        <v>0.77659940330389943</v>
      </c>
      <c r="AE129" s="579">
        <f t="shared" si="10"/>
        <v>0.370893327239466</v>
      </c>
      <c r="AF129" s="475">
        <f t="shared" si="11"/>
        <v>266.90676853894126</v>
      </c>
      <c r="AG129" s="473">
        <f t="shared" si="40"/>
        <v>2228.8062963921584</v>
      </c>
      <c r="AH129" s="474">
        <f t="shared" si="80"/>
        <v>10438.893210503244</v>
      </c>
      <c r="AI129" s="474">
        <f t="shared" si="81"/>
        <v>6437.6604656145792</v>
      </c>
      <c r="AJ129" s="474">
        <f t="shared" si="12"/>
        <v>861.24589991810944</v>
      </c>
      <c r="AK129" s="474">
        <f t="shared" si="41"/>
        <v>19966.605872428092</v>
      </c>
      <c r="AL129" s="640">
        <f t="shared" si="13"/>
        <v>0</v>
      </c>
      <c r="AM129" s="100">
        <f t="shared" si="42"/>
        <v>0.11162669863033253</v>
      </c>
      <c r="AN129" s="100">
        <f t="shared" si="43"/>
        <v>0.52281761242747438</v>
      </c>
      <c r="AO129" s="100">
        <f t="shared" si="44"/>
        <v>0.32242137230265822</v>
      </c>
      <c r="AP129" s="100">
        <f t="shared" si="45"/>
        <v>4.3134316639534855E-2</v>
      </c>
      <c r="AQ129" s="100">
        <f t="shared" si="46"/>
        <v>0.99999999999999989</v>
      </c>
      <c r="AR129" s="473">
        <f t="shared" si="14"/>
        <v>492.07439436681773</v>
      </c>
      <c r="AS129" s="474">
        <f t="shared" si="15"/>
        <v>624.08345619768943</v>
      </c>
      <c r="AT129" s="474">
        <f t="shared" si="16"/>
        <v>118.48022561008624</v>
      </c>
      <c r="AU129" s="474">
        <f t="shared" si="17"/>
        <v>0</v>
      </c>
      <c r="AV129" s="474">
        <f t="shared" si="18"/>
        <v>0</v>
      </c>
      <c r="AW129" s="474">
        <f t="shared" si="19"/>
        <v>0</v>
      </c>
      <c r="AX129" s="474">
        <f t="shared" si="20"/>
        <v>827.42635364899002</v>
      </c>
      <c r="AY129" s="474">
        <f t="shared" si="21"/>
        <v>66.648745652362834</v>
      </c>
      <c r="AZ129" s="474">
        <f t="shared" si="22"/>
        <v>18.734979913310092</v>
      </c>
      <c r="BA129" s="474">
        <f t="shared" si="23"/>
        <v>48.388803813620584</v>
      </c>
      <c r="BB129" s="474">
        <f t="shared" si="24"/>
        <v>32.969337189280552</v>
      </c>
      <c r="BC129" s="475">
        <f t="shared" si="47"/>
        <v>2228.806296392157</v>
      </c>
      <c r="BD129" s="647">
        <f t="shared" si="48"/>
        <v>0</v>
      </c>
      <c r="BE129" s="383">
        <f t="shared" si="49"/>
        <v>0.22077934505271046</v>
      </c>
      <c r="BF129" s="383">
        <f t="shared" si="50"/>
        <v>0.28000793842332289</v>
      </c>
      <c r="BG129" s="383">
        <f t="shared" si="51"/>
        <v>5.3158601445928308E-2</v>
      </c>
      <c r="BH129" s="383">
        <f t="shared" si="52"/>
        <v>0</v>
      </c>
      <c r="BI129" s="383">
        <f t="shared" si="53"/>
        <v>0</v>
      </c>
      <c r="BJ129" s="383">
        <f t="shared" si="54"/>
        <v>0</v>
      </c>
      <c r="BK129" s="383">
        <f t="shared" si="55"/>
        <v>0.44605411507803849</v>
      </c>
      <c r="BL129" s="383">
        <f t="shared" si="56"/>
        <v>1.0000000000000002</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77.934091927004005</v>
      </c>
      <c r="BW129" s="100">
        <f t="shared" si="59"/>
        <v>0.79576655642791783</v>
      </c>
      <c r="BX129" s="1385">
        <f t="shared" si="25"/>
        <v>0.4050562376362048</v>
      </c>
      <c r="BY129" s="473">
        <f t="shared" si="60"/>
        <v>77.934091927004005</v>
      </c>
      <c r="BZ129" s="100">
        <f t="shared" si="61"/>
        <v>0.79576655642791783</v>
      </c>
      <c r="CA129" s="489">
        <f t="shared" si="26"/>
        <v>0.4050562376362048</v>
      </c>
      <c r="CB129" s="579">
        <f t="shared" si="27"/>
        <v>0.370893327239466</v>
      </c>
      <c r="CC129" s="471">
        <f t="shared" si="62"/>
        <v>0.43256016872057879</v>
      </c>
      <c r="CD129" s="100">
        <f t="shared" si="28"/>
        <v>0.370893327239466</v>
      </c>
      <c r="CE129" s="471">
        <f t="shared" si="63"/>
        <v>0.43256016872057879</v>
      </c>
      <c r="CG129" s="473">
        <f t="shared" si="64"/>
        <v>1982.3470159388878</v>
      </c>
      <c r="CH129" s="474">
        <f t="shared" si="65"/>
        <v>872.92481970842971</v>
      </c>
      <c r="CI129" s="474">
        <f t="shared" si="66"/>
        <v>3324.5307143490309</v>
      </c>
      <c r="CJ129" s="474">
        <f t="shared" si="67"/>
        <v>4208.4380278728731</v>
      </c>
      <c r="CK129" s="474">
        <f t="shared" si="68"/>
        <v>50.652632634021245</v>
      </c>
      <c r="CL129" s="474">
        <f t="shared" si="69"/>
        <v>10438.893210503242</v>
      </c>
      <c r="CM129" s="576">
        <f t="shared" si="70"/>
        <v>0</v>
      </c>
    </row>
    <row r="130" spans="1:91" ht="15.75" thickBot="1">
      <c r="A130" s="141">
        <f>'Input data'!A150</f>
        <v>2050</v>
      </c>
      <c r="B130" s="593">
        <f>'Input data'!B150</f>
        <v>75.121207211856714</v>
      </c>
      <c r="C130" s="207">
        <f>'Input data'!C150</f>
        <v>8589.119999999999</v>
      </c>
      <c r="D130" s="207">
        <f>'Input data'!D150</f>
        <v>210052.45414935748</v>
      </c>
      <c r="E130" s="580">
        <f t="shared" si="88"/>
        <v>1</v>
      </c>
      <c r="F130" s="581">
        <f t="shared" si="89"/>
        <v>0.36725000000000002</v>
      </c>
      <c r="G130" s="589">
        <f>B130*F130*'Input data'!$C$9</f>
        <v>844.3964714575875</v>
      </c>
      <c r="H130" s="584">
        <f>'Input data'!I150</f>
        <v>424.26313389388866</v>
      </c>
      <c r="I130" s="595">
        <f>'Input data'!K150</f>
        <v>31871.158793594521</v>
      </c>
      <c r="J130" s="595">
        <f t="shared" si="91"/>
        <v>2228.8062963921584</v>
      </c>
      <c r="K130" s="589">
        <f t="shared" si="73"/>
        <v>12582.309157643092</v>
      </c>
      <c r="L130" s="581">
        <f t="shared" si="93"/>
        <v>0.7</v>
      </c>
      <c r="M130" s="581">
        <f t="shared" si="93"/>
        <v>0.6</v>
      </c>
      <c r="N130" s="581">
        <f t="shared" si="93"/>
        <v>0.9</v>
      </c>
      <c r="O130" s="581">
        <f t="shared" si="93"/>
        <v>0.9</v>
      </c>
      <c r="P130" s="581">
        <f t="shared" si="93"/>
        <v>0.23600000000000002</v>
      </c>
      <c r="Q130" s="598">
        <f t="shared" si="31"/>
        <v>341.25638656003798</v>
      </c>
      <c r="R130" s="595">
        <f t="shared" si="32"/>
        <v>238.13931297150907</v>
      </c>
      <c r="S130" s="595">
        <f t="shared" si="33"/>
        <v>697.37052873831908</v>
      </c>
      <c r="T130" s="595">
        <f t="shared" si="34"/>
        <v>469.56565833632476</v>
      </c>
      <c r="U130" s="589">
        <f t="shared" si="35"/>
        <v>0</v>
      </c>
      <c r="V130" s="595">
        <f t="shared" si="9"/>
        <v>1746.3318866061909</v>
      </c>
      <c r="W130" s="580">
        <f t="shared" si="86"/>
        <v>0.5</v>
      </c>
      <c r="X130" s="589">
        <f t="shared" si="36"/>
        <v>3033.4854703020706</v>
      </c>
      <c r="Y130" s="595">
        <f t="shared" si="77"/>
        <v>4779.817356908261</v>
      </c>
      <c r="Z130" s="595">
        <f t="shared" si="78"/>
        <v>10031.29809712699</v>
      </c>
      <c r="AA130" s="589">
        <f t="shared" si="79"/>
        <v>7802.4918007348315</v>
      </c>
      <c r="AB130" s="941">
        <f t="shared" si="37"/>
        <v>0.77781476785835935</v>
      </c>
      <c r="AC130" s="951" t="str">
        <f t="shared" si="38"/>
        <v>Yes</v>
      </c>
      <c r="AD130" s="941">
        <f t="shared" si="39"/>
        <v>0.77781476785835935</v>
      </c>
      <c r="AE130" s="580">
        <f t="shared" si="10"/>
        <v>0.37218157100180649</v>
      </c>
      <c r="AF130" s="589">
        <f t="shared" si="11"/>
        <v>266.36021420311141</v>
      </c>
      <c r="AG130" s="598">
        <f t="shared" si="40"/>
        <v>2228.8062963921584</v>
      </c>
      <c r="AH130" s="595">
        <f t="shared" si="80"/>
        <v>10482.680645895343</v>
      </c>
      <c r="AI130" s="595">
        <f t="shared" si="81"/>
        <v>6437.6604656145792</v>
      </c>
      <c r="AJ130" s="595">
        <f t="shared" si="12"/>
        <v>860.15343624439436</v>
      </c>
      <c r="AK130" s="595">
        <f t="shared" si="41"/>
        <v>20009.300844146474</v>
      </c>
      <c r="AL130" s="641">
        <f t="shared" si="13"/>
        <v>0</v>
      </c>
      <c r="AM130" s="581">
        <f t="shared" si="42"/>
        <v>0.11138851445897341</v>
      </c>
      <c r="AN130" s="581">
        <f t="shared" si="43"/>
        <v>0.52389040114622243</v>
      </c>
      <c r="AO130" s="581">
        <f t="shared" si="44"/>
        <v>0.32173340366851721</v>
      </c>
      <c r="AP130" s="581">
        <f t="shared" si="45"/>
        <v>4.2987680726287038E-2</v>
      </c>
      <c r="AQ130" s="581">
        <f t="shared" si="46"/>
        <v>1.0000000000000002</v>
      </c>
      <c r="AR130" s="598">
        <f t="shared" si="14"/>
        <v>492.6966129125542</v>
      </c>
      <c r="AS130" s="595">
        <f t="shared" si="15"/>
        <v>624.87259764658154</v>
      </c>
      <c r="AT130" s="595">
        <f t="shared" si="16"/>
        <v>118.32993712390027</v>
      </c>
      <c r="AU130" s="595">
        <f t="shared" si="17"/>
        <v>0</v>
      </c>
      <c r="AV130" s="595">
        <f t="shared" si="18"/>
        <v>0</v>
      </c>
      <c r="AW130" s="595">
        <f t="shared" si="19"/>
        <v>0</v>
      </c>
      <c r="AX130" s="595">
        <f t="shared" si="20"/>
        <v>826.37678901928098</v>
      </c>
      <c r="AY130" s="595">
        <f t="shared" si="21"/>
        <v>66.564203788615444</v>
      </c>
      <c r="AZ130" s="595">
        <f t="shared" si="22"/>
        <v>18.711215173199349</v>
      </c>
      <c r="BA130" s="595">
        <f t="shared" si="23"/>
        <v>48.327424118941067</v>
      </c>
      <c r="BB130" s="595">
        <f t="shared" si="24"/>
        <v>32.927516609084847</v>
      </c>
      <c r="BC130" s="589">
        <f t="shared" si="47"/>
        <v>2228.8062963921575</v>
      </c>
      <c r="BD130" s="648">
        <f t="shared" si="48"/>
        <v>0</v>
      </c>
      <c r="BE130" s="607">
        <f t="shared" si="49"/>
        <v>0.22105851626051959</v>
      </c>
      <c r="BF130" s="607">
        <f>AS130/BC130</f>
        <v>0.28036200304085801</v>
      </c>
      <c r="BG130" s="607">
        <f t="shared" si="51"/>
        <v>5.3091171411102367E-2</v>
      </c>
      <c r="BH130" s="607">
        <f t="shared" si="52"/>
        <v>0</v>
      </c>
      <c r="BI130" s="607">
        <f t="shared" si="53"/>
        <v>0</v>
      </c>
      <c r="BJ130" s="607">
        <f t="shared" si="54"/>
        <v>0</v>
      </c>
      <c r="BK130" s="607">
        <f t="shared" si="55"/>
        <v>0.44548830928752009</v>
      </c>
      <c r="BL130" s="607">
        <f t="shared" si="56"/>
        <v>1.0000000000000002</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78.574288293818029</v>
      </c>
      <c r="BW130" s="581">
        <f t="shared" si="59"/>
        <v>0.79743058051767912</v>
      </c>
      <c r="BX130" s="1386">
        <f t="shared" si="25"/>
        <v>0.21005245414935747</v>
      </c>
      <c r="BY130" s="598">
        <f t="shared" si="60"/>
        <v>78.574288293818029</v>
      </c>
      <c r="BZ130" s="581">
        <f t="shared" si="61"/>
        <v>0.79743058051767912</v>
      </c>
      <c r="CA130" s="602">
        <f t="shared" si="26"/>
        <v>0.21005245414935747</v>
      </c>
      <c r="CB130" s="580">
        <f t="shared" si="27"/>
        <v>0.37218157100180649</v>
      </c>
      <c r="CC130" s="582">
        <f t="shared" si="62"/>
        <v>0.43440688902670288</v>
      </c>
      <c r="CD130" s="581">
        <f t="shared" si="28"/>
        <v>0.37218157100180649</v>
      </c>
      <c r="CE130" s="582">
        <f t="shared" si="63"/>
        <v>0.43440688902670288</v>
      </c>
      <c r="CG130" s="598">
        <f t="shared" si="64"/>
        <v>1990.6622549335552</v>
      </c>
      <c r="CH130" s="595">
        <f t="shared" si="65"/>
        <v>876.5864281159844</v>
      </c>
      <c r="CI130" s="595">
        <f t="shared" si="66"/>
        <v>3338.4759354494004</v>
      </c>
      <c r="CJ130" s="595">
        <f t="shared" si="67"/>
        <v>4226.0909250269242</v>
      </c>
      <c r="CK130" s="595">
        <f t="shared" si="68"/>
        <v>50.865102369478485</v>
      </c>
      <c r="CL130" s="595">
        <f t="shared" si="69"/>
        <v>10482.680645895342</v>
      </c>
      <c r="CM130" s="583">
        <f t="shared" si="70"/>
        <v>0</v>
      </c>
    </row>
    <row r="131" spans="1:91">
      <c r="AM131" s="474"/>
      <c r="AN131" s="301"/>
      <c r="AO131" s="301"/>
      <c r="AP131" s="301"/>
      <c r="AS131" s="100"/>
    </row>
    <row r="132" spans="1:91" ht="23.25">
      <c r="A132" s="610" t="s">
        <v>654</v>
      </c>
      <c r="AM132" s="474"/>
      <c r="AO132" s="301"/>
      <c r="AS132" s="100"/>
    </row>
    <row r="133" spans="1:91" ht="15.75" thickBot="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51.6" customHeight="1">
      <c r="A135" s="155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4436.7699999999986</v>
      </c>
      <c r="D139" s="205">
        <f>'Input data'!D119</f>
        <v>52992370.977903679</v>
      </c>
      <c r="E139" s="473">
        <f>'Input data'!J119*C139</f>
        <v>53378.982305676094</v>
      </c>
      <c r="F139" s="474">
        <f>'Input data'!L119</f>
        <v>106371.35328357978</v>
      </c>
      <c r="G139" s="474">
        <f>G137*0.89</f>
        <v>60911.340429377713</v>
      </c>
      <c r="H139" s="474">
        <f t="shared" ref="H139:H170" si="121">E139*$B$12+I139*$E$80-G139</f>
        <v>19448.710043484389</v>
      </c>
      <c r="I139" s="475">
        <f t="shared" si="96"/>
        <v>52992.37097790368</v>
      </c>
      <c r="J139" s="579">
        <f t="shared" ref="J139:J149" si="122">($J$150-$J$137)/($A$150-$A$137)+J138</f>
        <v>0.11361731727283289</v>
      </c>
      <c r="K139" s="474">
        <f t="shared" ref="K139:K170" si="123">(I139)*J139-(I139)*$J$137</f>
        <v>2759.2904299500592</v>
      </c>
      <c r="L139" s="474">
        <f t="shared" si="97"/>
        <v>0</v>
      </c>
      <c r="M139" s="475">
        <f t="shared" ref="M139:M170" si="124">L139+K139</f>
        <v>2759.2904299500592</v>
      </c>
      <c r="N139" s="579">
        <v>0.1</v>
      </c>
      <c r="O139" s="475">
        <f t="shared" si="98"/>
        <v>150.38340000000005</v>
      </c>
      <c r="P139" s="1234">
        <f>O139+M139</f>
        <v>2909.6738299500594</v>
      </c>
      <c r="Q139" s="467">
        <f t="shared" si="99"/>
        <v>77450.376642912044</v>
      </c>
      <c r="R139" s="467">
        <f t="shared" ref="R139:R170" si="125">Q139-G139</f>
        <v>16539.036213534331</v>
      </c>
      <c r="S139" s="1255">
        <f t="shared" si="100"/>
        <v>0.5426396528245393</v>
      </c>
      <c r="T139" s="118" t="str">
        <f t="shared" si="101"/>
        <v>Yes</v>
      </c>
      <c r="U139" s="1255">
        <f t="shared" si="102"/>
        <v>0.5426396528245393</v>
      </c>
      <c r="V139" s="1268">
        <f t="shared" si="95"/>
        <v>89832.31707004545</v>
      </c>
      <c r="W139" s="1269">
        <f t="shared" si="103"/>
        <v>0.15548393155666862</v>
      </c>
      <c r="X139" s="473">
        <f t="shared" si="104"/>
        <v>60911.340429377713</v>
      </c>
      <c r="Y139" s="474">
        <f t="shared" si="105"/>
        <v>10295.34070894855</v>
      </c>
      <c r="Z139" s="474">
        <f t="shared" si="106"/>
        <v>2562.5527582487894</v>
      </c>
      <c r="AA139" s="474">
        <f t="shared" si="107"/>
        <v>0</v>
      </c>
      <c r="AB139" s="474">
        <f t="shared" si="108"/>
        <v>16063.083173470395</v>
      </c>
      <c r="AC139" s="474">
        <f t="shared" si="109"/>
        <v>89832.31707004545</v>
      </c>
      <c r="AD139" s="1240">
        <f t="shared" si="110"/>
        <v>0</v>
      </c>
      <c r="AE139" s="100">
        <f t="shared" si="111"/>
        <v>0.67805598715530158</v>
      </c>
      <c r="AF139" s="100">
        <f t="shared" si="112"/>
        <v>0.11460620236390993</v>
      </c>
      <c r="AG139" s="100">
        <f t="shared" si="113"/>
        <v>2.8525956379937031E-2</v>
      </c>
      <c r="AH139" s="100">
        <f t="shared" ref="AH139:AH170" si="126">AA139/AC139</f>
        <v>0</v>
      </c>
      <c r="AI139" s="100">
        <f t="shared" si="114"/>
        <v>0.17881185410085146</v>
      </c>
      <c r="AJ139" s="471">
        <f t="shared" si="115"/>
        <v>1</v>
      </c>
      <c r="AK139" s="1250">
        <f t="shared" si="116"/>
        <v>46971.519951467533</v>
      </c>
      <c r="AL139" s="1251">
        <f t="shared" si="117"/>
        <v>13029.747376968175</v>
      </c>
      <c r="AM139" s="1251">
        <f t="shared" si="118"/>
        <v>910.07310094199636</v>
      </c>
      <c r="AN139" s="1251">
        <f t="shared" si="119"/>
        <v>60911.340429377706</v>
      </c>
      <c r="AO139" s="1022">
        <f t="shared" si="120"/>
        <v>0</v>
      </c>
    </row>
    <row r="140" spans="1:91">
      <c r="A140" s="89">
        <f>'Input data'!A120</f>
        <v>2020</v>
      </c>
      <c r="B140" s="152">
        <f>'Input data'!B120</f>
        <v>59.308690000000006</v>
      </c>
      <c r="C140" s="204">
        <f>'Input data'!C120</f>
        <v>4157.24</v>
      </c>
      <c r="D140" s="205">
        <f>'Input data'!D120</f>
        <v>50781625.743101723</v>
      </c>
      <c r="E140" s="473">
        <f>'Input data'!J120*C140</f>
        <v>50015.944121613007</v>
      </c>
      <c r="F140" s="474">
        <f>'Input data'!L120</f>
        <v>100797.56986471472</v>
      </c>
      <c r="G140" s="474">
        <f>G137*0.81</f>
        <v>55436.163761568481</v>
      </c>
      <c r="H140" s="474">
        <f t="shared" si="121"/>
        <v>20919.47259233264</v>
      </c>
      <c r="I140" s="475">
        <f t="shared" si="96"/>
        <v>50781.625743101722</v>
      </c>
      <c r="J140" s="579">
        <f t="shared" si="122"/>
        <v>0.13965210661166627</v>
      </c>
      <c r="K140" s="474">
        <f>(I140)*J140-(I140)*$J$137</f>
        <v>3966.2667855153936</v>
      </c>
      <c r="L140" s="474">
        <f t="shared" si="97"/>
        <v>0</v>
      </c>
      <c r="M140" s="475">
        <f t="shared" si="124"/>
        <v>3966.2667855153936</v>
      </c>
      <c r="N140" s="579">
        <f>($N$142-$N$137)/($A$102-$A$97)+N139</f>
        <v>0.2</v>
      </c>
      <c r="O140" s="475">
        <f t="shared" si="98"/>
        <v>300.7668000000001</v>
      </c>
      <c r="P140" s="1234">
        <f t="shared" ref="P140:P170" si="127">O140+M140</f>
        <v>4267.0335855153935</v>
      </c>
      <c r="Q140" s="467">
        <f t="shared" si="99"/>
        <v>72088.602768385725</v>
      </c>
      <c r="R140" s="467">
        <f t="shared" si="125"/>
        <v>16652.439006817243</v>
      </c>
      <c r="S140" s="1255">
        <f t="shared" si="100"/>
        <v>0.58637954210654075</v>
      </c>
      <c r="T140" s="118" t="str">
        <f t="shared" si="101"/>
        <v>Yes</v>
      </c>
      <c r="U140" s="1255">
        <f t="shared" si="102"/>
        <v>0.58637954210654075</v>
      </c>
      <c r="V140" s="1268">
        <f t="shared" si="95"/>
        <v>84145.130857897486</v>
      </c>
      <c r="W140" s="1269">
        <f t="shared" si="103"/>
        <v>0.16520675080924352</v>
      </c>
      <c r="X140" s="473">
        <f t="shared" si="104"/>
        <v>55436.163761568481</v>
      </c>
      <c r="Y140" s="474">
        <f t="shared" si="105"/>
        <v>11096.944848116838</v>
      </c>
      <c r="Z140" s="474">
        <f t="shared" si="106"/>
        <v>2560.9621544777392</v>
      </c>
      <c r="AA140" s="474">
        <f t="shared" si="107"/>
        <v>0</v>
      </c>
      <c r="AB140" s="474">
        <f t="shared" si="108"/>
        <v>15051.060093734426</v>
      </c>
      <c r="AC140" s="474">
        <f t="shared" si="109"/>
        <v>84145.130857897486</v>
      </c>
      <c r="AD140" s="1240">
        <f t="shared" si="110"/>
        <v>0</v>
      </c>
      <c r="AE140" s="100">
        <f t="shared" si="111"/>
        <v>0.65881606215798627</v>
      </c>
      <c r="AF140" s="100">
        <f t="shared" si="112"/>
        <v>0.13187863320168963</v>
      </c>
      <c r="AG140" s="100">
        <f t="shared" si="113"/>
        <v>3.0435060571747614E-2</v>
      </c>
      <c r="AH140" s="100">
        <f t="shared" si="126"/>
        <v>0</v>
      </c>
      <c r="AI140" s="100">
        <f t="shared" si="114"/>
        <v>0.17887024406857643</v>
      </c>
      <c r="AJ140" s="471">
        <f t="shared" si="115"/>
        <v>0.99999999999999989</v>
      </c>
      <c r="AK140" s="1250">
        <f t="shared" si="116"/>
        <v>43689.864730912348</v>
      </c>
      <c r="AL140" s="1251">
        <f t="shared" si="117"/>
        <v>11041.235660888884</v>
      </c>
      <c r="AM140" s="1251">
        <f t="shared" si="118"/>
        <v>705.06336976725561</v>
      </c>
      <c r="AN140" s="1251">
        <f t="shared" si="119"/>
        <v>55436.163761568481</v>
      </c>
      <c r="AO140" s="1022">
        <f t="shared" si="120"/>
        <v>0</v>
      </c>
    </row>
    <row r="141" spans="1:91">
      <c r="A141" s="89">
        <f>'Input data'!A121</f>
        <v>2021</v>
      </c>
      <c r="B141" s="152">
        <f>'Input data'!B121</f>
        <v>60.158036186957922</v>
      </c>
      <c r="C141" s="204">
        <f>'Input data'!C121</f>
        <v>4296.6100000000006</v>
      </c>
      <c r="D141" s="205">
        <f>'Input data'!D121</f>
        <v>50787753.059423499</v>
      </c>
      <c r="E141" s="473">
        <f>'Input data'!J121*C141</f>
        <v>51692.710950621971</v>
      </c>
      <c r="F141" s="474">
        <f>'Input data'!L121</f>
        <v>102480.46401004547</v>
      </c>
      <c r="G141" s="474">
        <f>G137*0.65</f>
        <v>44485.810425950018</v>
      </c>
      <c r="H141" s="474">
        <f t="shared" si="121"/>
        <v>32837.71686643795</v>
      </c>
      <c r="I141" s="475">
        <f t="shared" si="96"/>
        <v>50787.7530594235</v>
      </c>
      <c r="J141" s="579">
        <f t="shared" si="122"/>
        <v>0.16568689595049965</v>
      </c>
      <c r="K141" s="474">
        <f t="shared" si="123"/>
        <v>5288.9938075791251</v>
      </c>
      <c r="L141" s="474">
        <f t="shared" si="97"/>
        <v>0</v>
      </c>
      <c r="M141" s="475">
        <f t="shared" si="124"/>
        <v>5288.9938075791251</v>
      </c>
      <c r="N141" s="579">
        <v>0.4</v>
      </c>
      <c r="O141" s="475">
        <f t="shared" si="98"/>
        <v>601.53360000000021</v>
      </c>
      <c r="P141" s="1234">
        <f t="shared" si="127"/>
        <v>5890.5274075791258</v>
      </c>
      <c r="Q141" s="467">
        <f t="shared" si="99"/>
        <v>71432.999884808843</v>
      </c>
      <c r="R141" s="467">
        <f t="shared" si="125"/>
        <v>26947.189458858826</v>
      </c>
      <c r="S141" s="1255">
        <f t="shared" si="100"/>
        <v>0.92729131516959551</v>
      </c>
      <c r="T141" s="118" t="str">
        <f t="shared" si="101"/>
        <v>Yes</v>
      </c>
      <c r="U141" s="1255">
        <f t="shared" si="102"/>
        <v>0.92729131516959551</v>
      </c>
      <c r="V141" s="1268">
        <f t="shared" si="95"/>
        <v>75533.274551186652</v>
      </c>
      <c r="W141" s="1269">
        <f t="shared" si="103"/>
        <v>0.26294952622596801</v>
      </c>
      <c r="X141" s="473">
        <f t="shared" si="104"/>
        <v>44485.810425950018</v>
      </c>
      <c r="Y141" s="474">
        <f t="shared" si="105"/>
        <v>12554.321363546935</v>
      </c>
      <c r="Z141" s="474">
        <f t="shared" si="106"/>
        <v>2937.5012039878866</v>
      </c>
      <c r="AA141" s="474">
        <f t="shared" si="107"/>
        <v>0</v>
      </c>
      <c r="AB141" s="474">
        <f t="shared" si="108"/>
        <v>15555.641557701811</v>
      </c>
      <c r="AC141" s="474">
        <f t="shared" si="109"/>
        <v>75533.274551186652</v>
      </c>
      <c r="AD141" s="1240">
        <f t="shared" si="110"/>
        <v>0</v>
      </c>
      <c r="AE141" s="100">
        <f t="shared" si="111"/>
        <v>0.58895646574680549</v>
      </c>
      <c r="AF141" s="100">
        <f t="shared" si="112"/>
        <v>0.16620915004868808</v>
      </c>
      <c r="AG141" s="100">
        <f t="shared" si="113"/>
        <v>3.8890160944859205E-2</v>
      </c>
      <c r="AH141" s="100">
        <f t="shared" si="126"/>
        <v>0</v>
      </c>
      <c r="AI141" s="100">
        <f t="shared" si="114"/>
        <v>0.20594422325964717</v>
      </c>
      <c r="AJ141" s="471">
        <f t="shared" si="115"/>
        <v>1</v>
      </c>
      <c r="AK141" s="1250">
        <f t="shared" si="116"/>
        <v>42372.887902707123</v>
      </c>
      <c r="AL141" s="1251">
        <f t="shared" si="117"/>
        <v>2005.9624312614219</v>
      </c>
      <c r="AM141" s="1251">
        <f t="shared" si="118"/>
        <v>106.96009198147247</v>
      </c>
      <c r="AN141" s="1251">
        <f t="shared" si="119"/>
        <v>44485.810425950018</v>
      </c>
      <c r="AO141" s="1022">
        <f t="shared" si="120"/>
        <v>0</v>
      </c>
    </row>
    <row r="142" spans="1:91">
      <c r="A142" s="89">
        <f>'Input data'!A122</f>
        <v>2022</v>
      </c>
      <c r="B142" s="152">
        <f>'Input data'!B122</f>
        <v>60.963559588769527</v>
      </c>
      <c r="C142" s="204">
        <f>'Input data'!C122</f>
        <v>4408.5100000000011</v>
      </c>
      <c r="D142" s="205">
        <f>'Input data'!D122</f>
        <v>50359792.847133145</v>
      </c>
      <c r="E142" s="473">
        <f>'Input data'!J122*C142</f>
        <v>53038.984956262379</v>
      </c>
      <c r="F142" s="474">
        <f>'Input data'!L122</f>
        <v>103398.77780339553</v>
      </c>
      <c r="G142" s="474">
        <f>G137*(1-E4)</f>
        <v>34219.854173807704</v>
      </c>
      <c r="H142" s="474">
        <f t="shared" si="121"/>
        <v>43474.554499121747</v>
      </c>
      <c r="I142" s="475">
        <f t="shared" si="96"/>
        <v>50359.792847133147</v>
      </c>
      <c r="J142" s="579">
        <f t="shared" si="122"/>
        <v>0.19172168528933303</v>
      </c>
      <c r="K142" s="474">
        <f t="shared" si="123"/>
        <v>6555.5329896119965</v>
      </c>
      <c r="L142" s="474">
        <f t="shared" si="97"/>
        <v>0</v>
      </c>
      <c r="M142" s="475">
        <f t="shared" si="124"/>
        <v>6555.5329896119965</v>
      </c>
      <c r="N142" s="579">
        <f>$E$26</f>
        <v>0.5</v>
      </c>
      <c r="O142" s="475">
        <f t="shared" si="98"/>
        <v>751.91700000000026</v>
      </c>
      <c r="P142" s="1234">
        <f t="shared" si="127"/>
        <v>7307.4499896119969</v>
      </c>
      <c r="Q142" s="467">
        <f t="shared" si="99"/>
        <v>70386.958683317454</v>
      </c>
      <c r="R142" s="467">
        <f t="shared" si="125"/>
        <v>36167.104509509751</v>
      </c>
      <c r="S142" s="1255">
        <f t="shared" si="100"/>
        <v>1.2184766534043601</v>
      </c>
      <c r="T142" s="118" t="str">
        <f t="shared" si="101"/>
        <v>No</v>
      </c>
      <c r="U142" s="1255">
        <f t="shared" si="102"/>
        <v>1</v>
      </c>
      <c r="V142" s="1268">
        <f t="shared" si="95"/>
        <v>73716.547611737158</v>
      </c>
      <c r="W142" s="1269">
        <f t="shared" si="103"/>
        <v>0.28706558067926824</v>
      </c>
      <c r="X142" s="473">
        <f t="shared" si="104"/>
        <v>40704.72849165908</v>
      </c>
      <c r="Y142" s="474">
        <f t="shared" si="105"/>
        <v>13902.327682230418</v>
      </c>
      <c r="Z142" s="474">
        <f t="shared" si="106"/>
        <v>3148.72204906348</v>
      </c>
      <c r="AA142" s="474">
        <f t="shared" si="107"/>
        <v>0</v>
      </c>
      <c r="AB142" s="474">
        <f t="shared" si="108"/>
        <v>15960.769388784185</v>
      </c>
      <c r="AC142" s="474">
        <f t="shared" si="109"/>
        <v>73716.547611737158</v>
      </c>
      <c r="AD142" s="475">
        <f t="shared" si="110"/>
        <v>6484.874317851376</v>
      </c>
      <c r="AE142" s="100">
        <f t="shared" si="111"/>
        <v>0.55217898572854585</v>
      </c>
      <c r="AF142" s="100">
        <f t="shared" si="112"/>
        <v>0.18859168168663515</v>
      </c>
      <c r="AG142" s="100">
        <f t="shared" si="113"/>
        <v>4.2713910934186777E-2</v>
      </c>
      <c r="AH142" s="100">
        <f t="shared" si="126"/>
        <v>0</v>
      </c>
      <c r="AI142" s="100">
        <f t="shared" si="114"/>
        <v>0.21651542165063234</v>
      </c>
      <c r="AJ142" s="471">
        <f t="shared" si="115"/>
        <v>1.0000000000000002</v>
      </c>
      <c r="AK142" s="1250">
        <f t="shared" si="116"/>
        <v>40704.72849165908</v>
      </c>
      <c r="AL142" s="1251">
        <f t="shared" si="117"/>
        <v>0</v>
      </c>
      <c r="AM142" s="1251">
        <f t="shared" si="118"/>
        <v>0</v>
      </c>
      <c r="AN142" s="1251">
        <f t="shared" si="119"/>
        <v>40704.72849165908</v>
      </c>
      <c r="AO142" s="1022">
        <f t="shared" si="120"/>
        <v>0</v>
      </c>
    </row>
    <row r="143" spans="1:91">
      <c r="A143" s="89">
        <f>'Input data'!A123</f>
        <v>2023</v>
      </c>
      <c r="B143" s="152">
        <f>'Input data'!B123</f>
        <v>61.723133308607778</v>
      </c>
      <c r="C143" s="204">
        <f>'Input data'!C123</f>
        <v>4511.7199999999984</v>
      </c>
      <c r="D143" s="205">
        <f>'Input data'!D123</f>
        <v>49422822.449545562</v>
      </c>
      <c r="E143" s="473">
        <f>'Input data'!J123*C143</f>
        <v>54280.70917540574</v>
      </c>
      <c r="F143" s="474">
        <f>'Input data'!L123</f>
        <v>103703.53162495131</v>
      </c>
      <c r="G143" s="474">
        <f>($G$147-$G$142)/($A$147-$A$142)+G142</f>
        <v>32166.662923379241</v>
      </c>
      <c r="H143" s="474">
        <f t="shared" si="121"/>
        <v>45360.953958762148</v>
      </c>
      <c r="I143" s="475">
        <f t="shared" si="96"/>
        <v>49422.822449545565</v>
      </c>
      <c r="J143" s="579">
        <f t="shared" si="122"/>
        <v>0.21775647462816641</v>
      </c>
      <c r="K143" s="474">
        <f t="shared" si="123"/>
        <v>7720.2766260269018</v>
      </c>
      <c r="L143" s="474">
        <f t="shared" si="97"/>
        <v>0</v>
      </c>
      <c r="M143" s="475">
        <f t="shared" si="124"/>
        <v>7720.2766260269018</v>
      </c>
      <c r="N143" s="579">
        <f>($N$147-$N$142)/($A$107-$A$102)+N142</f>
        <v>0.5</v>
      </c>
      <c r="O143" s="475">
        <f t="shared" si="98"/>
        <v>751.91700000000026</v>
      </c>
      <c r="P143" s="1234">
        <f t="shared" si="127"/>
        <v>8472.1936260269013</v>
      </c>
      <c r="Q143" s="467">
        <f t="shared" si="99"/>
        <v>69055.423256114489</v>
      </c>
      <c r="R143" s="467">
        <f t="shared" si="125"/>
        <v>36888.760332735248</v>
      </c>
      <c r="S143" s="1255">
        <f t="shared" si="100"/>
        <v>1.2136560424662712</v>
      </c>
      <c r="T143" s="118" t="str">
        <f t="shared" si="101"/>
        <v>No</v>
      </c>
      <c r="U143" s="1255">
        <f t="shared" si="102"/>
        <v>1</v>
      </c>
      <c r="V143" s="1268">
        <f t="shared" si="95"/>
        <v>73308.791235595549</v>
      </c>
      <c r="W143" s="1269">
        <f t="shared" si="103"/>
        <v>0.29309262580641682</v>
      </c>
      <c r="X143" s="473">
        <f t="shared" si="104"/>
        <v>38660.682866758725</v>
      </c>
      <c r="Y143" s="474">
        <f t="shared" si="105"/>
        <v>15108.837876902802</v>
      </c>
      <c r="Z143" s="474">
        <f t="shared" si="106"/>
        <v>3204.8349418807438</v>
      </c>
      <c r="AA143" s="474">
        <f t="shared" si="107"/>
        <v>0</v>
      </c>
      <c r="AB143" s="474">
        <f t="shared" si="108"/>
        <v>16334.435550053271</v>
      </c>
      <c r="AC143" s="474">
        <f t="shared" si="109"/>
        <v>73308.791235595549</v>
      </c>
      <c r="AD143" s="475">
        <f t="shared" si="110"/>
        <v>6494.0199433794842</v>
      </c>
      <c r="AE143" s="100">
        <f t="shared" si="111"/>
        <v>0.52736762147002614</v>
      </c>
      <c r="AF143" s="100">
        <f t="shared" si="112"/>
        <v>0.20609858138769324</v>
      </c>
      <c r="AG143" s="100">
        <f t="shared" si="113"/>
        <v>4.3716925185428725E-2</v>
      </c>
      <c r="AH143" s="100">
        <f t="shared" si="126"/>
        <v>0</v>
      </c>
      <c r="AI143" s="100">
        <f t="shared" si="114"/>
        <v>0.22281687195685176</v>
      </c>
      <c r="AJ143" s="471">
        <f t="shared" si="115"/>
        <v>0.99999999999999978</v>
      </c>
      <c r="AK143" s="1250">
        <f t="shared" si="116"/>
        <v>38660.682866758725</v>
      </c>
      <c r="AL143" s="1251">
        <f t="shared" si="117"/>
        <v>0</v>
      </c>
      <c r="AM143" s="1251">
        <f t="shared" si="118"/>
        <v>0</v>
      </c>
      <c r="AN143" s="1251">
        <f>SUM(AK143:AM143)</f>
        <v>38660.682866758725</v>
      </c>
      <c r="AO143" s="1022">
        <f t="shared" si="120"/>
        <v>0</v>
      </c>
    </row>
    <row r="144" spans="1:91">
      <c r="A144" s="89">
        <f>'Input data'!A124</f>
        <v>2024</v>
      </c>
      <c r="B144" s="152">
        <f>'Input data'!B124</f>
        <v>62.434728280060035</v>
      </c>
      <c r="C144" s="204">
        <f>'Input data'!C124</f>
        <v>4622.4800000000005</v>
      </c>
      <c r="D144" s="205">
        <f>'Input data'!D124</f>
        <v>49894033.579494402</v>
      </c>
      <c r="E144" s="473">
        <f>'Input data'!J124*C144</f>
        <v>55613.267789031597</v>
      </c>
      <c r="F144" s="474">
        <f>'Input data'!L124</f>
        <v>105507.30136852601</v>
      </c>
      <c r="G144" s="474">
        <f t="shared" ref="G144:G146" si="128">($G$147-$G$142)/($A$147-$A$142)+G143</f>
        <v>30113.471672950778</v>
      </c>
      <c r="H144" s="474">
        <f t="shared" si="121"/>
        <v>48620.985979658915</v>
      </c>
      <c r="I144" s="475">
        <f t="shared" si="96"/>
        <v>49894.033579494404</v>
      </c>
      <c r="J144" s="579">
        <f t="shared" si="122"/>
        <v>0.24379126396699979</v>
      </c>
      <c r="K144" s="474">
        <f t="shared" si="123"/>
        <v>9092.8645745477079</v>
      </c>
      <c r="L144" s="474">
        <f t="shared" si="97"/>
        <v>0</v>
      </c>
      <c r="M144" s="475">
        <f t="shared" si="124"/>
        <v>9092.8645745477079</v>
      </c>
      <c r="N144" s="579">
        <f>($N$147-$N$142)/($A$107-$A$102)+N143</f>
        <v>0.5</v>
      </c>
      <c r="O144" s="475">
        <f t="shared" si="98"/>
        <v>751.91700000000026</v>
      </c>
      <c r="P144" s="1234">
        <f t="shared" si="127"/>
        <v>9844.7815745477074</v>
      </c>
      <c r="Q144" s="467">
        <f t="shared" si="99"/>
        <v>68889.676078061981</v>
      </c>
      <c r="R144" s="467">
        <f t="shared" si="125"/>
        <v>38776.204405111203</v>
      </c>
      <c r="S144" s="1255">
        <f t="shared" si="100"/>
        <v>1.2444475579773371</v>
      </c>
      <c r="T144" s="118" t="str">
        <f t="shared" si="101"/>
        <v>No</v>
      </c>
      <c r="U144" s="1255">
        <f t="shared" si="102"/>
        <v>1</v>
      </c>
      <c r="V144" s="1268">
        <f t="shared" si="95"/>
        <v>74347.929359201546</v>
      </c>
      <c r="W144" s="1269">
        <f t="shared" si="103"/>
        <v>0.29532905879649052</v>
      </c>
      <c r="X144" s="473">
        <f t="shared" si="104"/>
        <v>37730.304068737532</v>
      </c>
      <c r="Y144" s="474">
        <f t="shared" si="105"/>
        <v>16617.136621700181</v>
      </c>
      <c r="Z144" s="474">
        <f t="shared" si="106"/>
        <v>3265.0525952906887</v>
      </c>
      <c r="AA144" s="474">
        <f t="shared" si="107"/>
        <v>0</v>
      </c>
      <c r="AB144" s="474">
        <f t="shared" si="108"/>
        <v>16735.436073473149</v>
      </c>
      <c r="AC144" s="474">
        <f t="shared" si="109"/>
        <v>74347.929359201546</v>
      </c>
      <c r="AD144" s="475">
        <f t="shared" si="110"/>
        <v>7616.8323957867542</v>
      </c>
      <c r="AE144" s="100">
        <f t="shared" si="111"/>
        <v>0.5074829170621401</v>
      </c>
      <c r="AF144" s="100">
        <f t="shared" si="112"/>
        <v>0.22350503591588713</v>
      </c>
      <c r="AG144" s="100">
        <f t="shared" si="113"/>
        <v>4.3915851099444167E-2</v>
      </c>
      <c r="AH144" s="100">
        <f t="shared" si="126"/>
        <v>0</v>
      </c>
      <c r="AI144" s="100">
        <f t="shared" si="114"/>
        <v>0.22509619592252864</v>
      </c>
      <c r="AJ144" s="471">
        <f t="shared" si="115"/>
        <v>1</v>
      </c>
      <c r="AK144" s="1250">
        <f t="shared" si="116"/>
        <v>37730.304068737532</v>
      </c>
      <c r="AL144" s="1251">
        <f t="shared" si="117"/>
        <v>0</v>
      </c>
      <c r="AM144" s="1251">
        <f t="shared" si="118"/>
        <v>0</v>
      </c>
      <c r="AN144" s="1251">
        <f t="shared" si="119"/>
        <v>37730.304068737532</v>
      </c>
      <c r="AO144" s="1022">
        <f t="shared" si="120"/>
        <v>0</v>
      </c>
    </row>
    <row r="145" spans="1:41">
      <c r="A145" s="89">
        <f>'Input data'!A125</f>
        <v>2025</v>
      </c>
      <c r="B145" s="152">
        <f>'Input data'!B125</f>
        <v>63.096422221537942</v>
      </c>
      <c r="C145" s="204">
        <f>'Input data'!C125</f>
        <v>4727.3100000000004</v>
      </c>
      <c r="D145" s="205">
        <f>'Input data'!D125</f>
        <v>49409698.226927206</v>
      </c>
      <c r="E145" s="473">
        <f>'Input data'!J125*C145</f>
        <v>56874.48230209043</v>
      </c>
      <c r="F145" s="474">
        <f>'Input data'!L125</f>
        <v>106284.18052901764</v>
      </c>
      <c r="G145" s="474">
        <f t="shared" si="128"/>
        <v>28060.280422522315</v>
      </c>
      <c r="H145" s="474">
        <f t="shared" si="121"/>
        <v>50943.345490304309</v>
      </c>
      <c r="I145" s="475">
        <f t="shared" si="96"/>
        <v>49409.698226927205</v>
      </c>
      <c r="J145" s="579">
        <f t="shared" si="122"/>
        <v>0.26982605330583315</v>
      </c>
      <c r="K145" s="474">
        <f t="shared" si="123"/>
        <v>10290.968677067031</v>
      </c>
      <c r="L145" s="474">
        <f t="shared" si="97"/>
        <v>0</v>
      </c>
      <c r="M145" s="475">
        <f t="shared" si="124"/>
        <v>10290.968677067031</v>
      </c>
      <c r="N145" s="579">
        <f>($N$147-$N$142)/($A$107-$A$102)+N144</f>
        <v>0.5</v>
      </c>
      <c r="O145" s="475">
        <f t="shared" si="98"/>
        <v>751.91700000000026</v>
      </c>
      <c r="P145" s="1234">
        <f t="shared" si="127"/>
        <v>11042.88567706703</v>
      </c>
      <c r="Q145" s="467">
        <f t="shared" si="99"/>
        <v>67960.7402357596</v>
      </c>
      <c r="R145" s="467">
        <f t="shared" si="125"/>
        <v>39900.459813237285</v>
      </c>
      <c r="S145" s="1255">
        <f t="shared" si="100"/>
        <v>1.2514624524464648</v>
      </c>
      <c r="T145" s="118" t="str">
        <f t="shared" si="101"/>
        <v>No</v>
      </c>
      <c r="U145" s="1255">
        <f t="shared" si="102"/>
        <v>1</v>
      </c>
      <c r="V145" s="1268">
        <f t="shared" si="95"/>
        <v>74401.114652581266</v>
      </c>
      <c r="W145" s="1269">
        <f t="shared" si="103"/>
        <v>0.29997941102562931</v>
      </c>
      <c r="X145" s="473">
        <f t="shared" si="104"/>
        <v>36077.67435932321</v>
      </c>
      <c r="Y145" s="474">
        <f t="shared" si="105"/>
        <v>17886.426692415222</v>
      </c>
      <c r="Z145" s="474">
        <f t="shared" si="106"/>
        <v>3322.0462446854558</v>
      </c>
      <c r="AA145" s="474">
        <f t="shared" si="107"/>
        <v>0</v>
      </c>
      <c r="AB145" s="474">
        <f t="shared" si="108"/>
        <v>17114.967356157376</v>
      </c>
      <c r="AC145" s="474">
        <f t="shared" si="109"/>
        <v>74401.114652581266</v>
      </c>
      <c r="AD145" s="475">
        <f t="shared" si="110"/>
        <v>8017.3939368008942</v>
      </c>
      <c r="AE145" s="100">
        <f t="shared" si="111"/>
        <v>0.48490771311410097</v>
      </c>
      <c r="AF145" s="100">
        <f t="shared" si="112"/>
        <v>0.24040535919302483</v>
      </c>
      <c r="AG145" s="100">
        <f t="shared" si="113"/>
        <v>4.4650490254048915E-2</v>
      </c>
      <c r="AH145" s="100">
        <f t="shared" si="126"/>
        <v>0</v>
      </c>
      <c r="AI145" s="100">
        <f t="shared" si="114"/>
        <v>0.23003643743882526</v>
      </c>
      <c r="AJ145" s="471">
        <f t="shared" si="115"/>
        <v>1</v>
      </c>
      <c r="AK145" s="1250">
        <f t="shared" si="116"/>
        <v>36077.674359323217</v>
      </c>
      <c r="AL145" s="1251">
        <f t="shared" si="117"/>
        <v>0</v>
      </c>
      <c r="AM145" s="1251">
        <f t="shared" si="118"/>
        <v>0</v>
      </c>
      <c r="AN145" s="1251">
        <f t="shared" si="119"/>
        <v>36077.674359323217</v>
      </c>
      <c r="AO145" s="1022">
        <f t="shared" si="120"/>
        <v>0</v>
      </c>
    </row>
    <row r="146" spans="1:41">
      <c r="A146" s="89">
        <f>'Input data'!A126</f>
        <v>2026</v>
      </c>
      <c r="B146" s="152">
        <f>'Input data'!B126</f>
        <v>63.744102485123491</v>
      </c>
      <c r="C146" s="204">
        <f>'Input data'!C126</f>
        <v>4818.42</v>
      </c>
      <c r="D146" s="205">
        <f>'Input data'!D126</f>
        <v>47599010.514277697</v>
      </c>
      <c r="E146" s="473">
        <f>'Input data'!J126*C146</f>
        <v>57970.630869149376</v>
      </c>
      <c r="F146" s="474">
        <f>'Input data'!L126</f>
        <v>105569.64138342708</v>
      </c>
      <c r="G146" s="474">
        <f t="shared" si="128"/>
        <v>26007.089172093853</v>
      </c>
      <c r="H146" s="474">
        <f t="shared" si="121"/>
        <v>51926.270614169538</v>
      </c>
      <c r="I146" s="475">
        <f t="shared" si="96"/>
        <v>47599.010514277696</v>
      </c>
      <c r="J146" s="579">
        <f t="shared" si="122"/>
        <v>0.2958608426446665</v>
      </c>
      <c r="K146" s="474">
        <f t="shared" si="123"/>
        <v>11153.07190328521</v>
      </c>
      <c r="L146" s="474">
        <f t="shared" si="97"/>
        <v>0</v>
      </c>
      <c r="M146" s="475">
        <f t="shared" si="124"/>
        <v>11153.07190328521</v>
      </c>
      <c r="N146" s="579">
        <f>($N$147-$N$142)/($A$107-$A$102)+N145</f>
        <v>0.5</v>
      </c>
      <c r="O146" s="475">
        <f t="shared" si="98"/>
        <v>751.91700000000026</v>
      </c>
      <c r="P146" s="1234">
        <f t="shared" si="127"/>
        <v>11904.98890328521</v>
      </c>
      <c r="Q146" s="467">
        <f t="shared" si="99"/>
        <v>66028.370882978183</v>
      </c>
      <c r="R146" s="467">
        <f t="shared" si="125"/>
        <v>40021.28171088433</v>
      </c>
      <c r="S146" s="1255">
        <f t="shared" si="100"/>
        <v>1.23096788516537</v>
      </c>
      <c r="T146" s="118" t="str">
        <f t="shared" si="101"/>
        <v>No</v>
      </c>
      <c r="U146" s="1255">
        <f t="shared" si="102"/>
        <v>1</v>
      </c>
      <c r="V146" s="1268">
        <f t="shared" si="95"/>
        <v>73057.597654920057</v>
      </c>
      <c r="W146" s="1269">
        <f t="shared" si="103"/>
        <v>0.30796773866479143</v>
      </c>
      <c r="X146" s="473">
        <f t="shared" si="104"/>
        <v>33516.327154471153</v>
      </c>
      <c r="Y146" s="474">
        <f t="shared" si="105"/>
        <v>18724.863724353592</v>
      </c>
      <c r="Z146" s="474">
        <f t="shared" si="106"/>
        <v>3371.5806470164412</v>
      </c>
      <c r="AA146" s="474">
        <f t="shared" si="107"/>
        <v>0</v>
      </c>
      <c r="AB146" s="474">
        <f t="shared" si="108"/>
        <v>17444.826129078869</v>
      </c>
      <c r="AC146" s="474">
        <f t="shared" si="109"/>
        <v>73057.597654920057</v>
      </c>
      <c r="AD146" s="475">
        <f t="shared" si="110"/>
        <v>7509.2379823773008</v>
      </c>
      <c r="AE146" s="100">
        <f t="shared" si="111"/>
        <v>0.45876579890817143</v>
      </c>
      <c r="AF146" s="100">
        <f t="shared" si="112"/>
        <v>0.25630275735042007</v>
      </c>
      <c r="AG146" s="100">
        <f t="shared" si="113"/>
        <v>4.6149623793294584E-2</v>
      </c>
      <c r="AH146" s="100">
        <f t="shared" si="126"/>
        <v>0</v>
      </c>
      <c r="AI146" s="100">
        <f t="shared" si="114"/>
        <v>0.2387818199481139</v>
      </c>
      <c r="AJ146" s="471">
        <f t="shared" si="115"/>
        <v>0.99999999999999989</v>
      </c>
      <c r="AK146" s="1250">
        <f t="shared" si="116"/>
        <v>33516.327154471161</v>
      </c>
      <c r="AL146" s="1251">
        <f t="shared" si="117"/>
        <v>0</v>
      </c>
      <c r="AM146" s="1251">
        <f t="shared" si="118"/>
        <v>0</v>
      </c>
      <c r="AN146" s="1251">
        <f t="shared" si="119"/>
        <v>33516.327154471161</v>
      </c>
      <c r="AO146" s="1022">
        <f t="shared" si="120"/>
        <v>0</v>
      </c>
    </row>
    <row r="147" spans="1:41">
      <c r="A147" s="89">
        <f>'Input data'!A127</f>
        <v>2027</v>
      </c>
      <c r="B147" s="152">
        <f>'Input data'!B127</f>
        <v>64.377188881988602</v>
      </c>
      <c r="C147" s="204">
        <f>'Input data'!C127</f>
        <v>4908.8799999999992</v>
      </c>
      <c r="D147" s="205">
        <f>'Input data'!D127</f>
        <v>46599596.269564167</v>
      </c>
      <c r="E147" s="473">
        <f>'Input data'!J127*C147</f>
        <v>59058.959256550894</v>
      </c>
      <c r="F147" s="474">
        <f>'Input data'!L127</f>
        <v>105658.55552611506</v>
      </c>
      <c r="G147" s="474">
        <f>G137*(1-E5)</f>
        <v>23953.89792166539</v>
      </c>
      <c r="H147" s="474">
        <f t="shared" si="121"/>
        <v>53666.049883871958</v>
      </c>
      <c r="I147" s="475">
        <f t="shared" si="96"/>
        <v>46599.596269564165</v>
      </c>
      <c r="J147" s="579">
        <f t="shared" si="122"/>
        <v>0.32189563198349985</v>
      </c>
      <c r="K147" s="474">
        <f t="shared" si="123"/>
        <v>12132.106721527884</v>
      </c>
      <c r="L147" s="474">
        <f t="shared" si="97"/>
        <v>0</v>
      </c>
      <c r="M147" s="475">
        <f t="shared" si="124"/>
        <v>12132.106721527884</v>
      </c>
      <c r="N147" s="579">
        <f>$C$27</f>
        <v>0.5</v>
      </c>
      <c r="O147" s="475">
        <f t="shared" si="98"/>
        <v>751.91700000000026</v>
      </c>
      <c r="P147" s="1234">
        <f t="shared" si="127"/>
        <v>12884.023721527883</v>
      </c>
      <c r="Q147" s="467">
        <f t="shared" si="99"/>
        <v>64735.924084009464</v>
      </c>
      <c r="R147" s="467">
        <f t="shared" si="125"/>
        <v>40782.026162344075</v>
      </c>
      <c r="S147" s="1255">
        <f t="shared" si="100"/>
        <v>1.2307269609420306</v>
      </c>
      <c r="T147" s="118" t="str">
        <f t="shared" si="101"/>
        <v>No</v>
      </c>
      <c r="U147" s="1255">
        <f t="shared" si="102"/>
        <v>1</v>
      </c>
      <c r="V147" s="1268">
        <f t="shared" si="95"/>
        <v>72522.021220302471</v>
      </c>
      <c r="W147" s="1269">
        <f t="shared" si="103"/>
        <v>0.31361903577815242</v>
      </c>
      <c r="X147" s="473">
        <f t="shared" si="104"/>
        <v>31599.38977819687</v>
      </c>
      <c r="Y147" s="474">
        <f t="shared" si="105"/>
        <v>19729.53817019931</v>
      </c>
      <c r="Z147" s="474">
        <f t="shared" si="106"/>
        <v>3420.7616593626267</v>
      </c>
      <c r="AA147" s="474">
        <f t="shared" si="107"/>
        <v>0</v>
      </c>
      <c r="AB147" s="474">
        <f t="shared" si="108"/>
        <v>17772.331612543669</v>
      </c>
      <c r="AC147" s="474">
        <f t="shared" si="109"/>
        <v>72522.021220302471</v>
      </c>
      <c r="AD147" s="475">
        <f t="shared" si="110"/>
        <v>7645.4918565314802</v>
      </c>
      <c r="AE147" s="100">
        <f t="shared" si="111"/>
        <v>0.43572130570115236</v>
      </c>
      <c r="AF147" s="100">
        <f t="shared" si="112"/>
        <v>0.27204892856290175</v>
      </c>
      <c r="AG147" s="100">
        <f t="shared" si="113"/>
        <v>4.7168592405488388E-2</v>
      </c>
      <c r="AH147" s="100">
        <f t="shared" si="126"/>
        <v>0</v>
      </c>
      <c r="AI147" s="100">
        <f t="shared" si="114"/>
        <v>0.2450611733304576</v>
      </c>
      <c r="AJ147" s="471">
        <f t="shared" si="115"/>
        <v>1.0000000000000002</v>
      </c>
      <c r="AK147" s="1250">
        <f t="shared" si="116"/>
        <v>31599.38977819687</v>
      </c>
      <c r="AL147" s="1251">
        <f t="shared" si="117"/>
        <v>0</v>
      </c>
      <c r="AM147" s="1251">
        <f t="shared" si="118"/>
        <v>0</v>
      </c>
      <c r="AN147" s="1251">
        <f t="shared" si="119"/>
        <v>31599.38977819687</v>
      </c>
      <c r="AO147" s="1022">
        <f t="shared" si="120"/>
        <v>0</v>
      </c>
    </row>
    <row r="148" spans="1:41">
      <c r="A148" s="89">
        <f>'Input data'!A128</f>
        <v>2028</v>
      </c>
      <c r="B148" s="152">
        <f>'Input data'!B128</f>
        <v>64.995109664264291</v>
      </c>
      <c r="C148" s="204">
        <f>'Input data'!C128</f>
        <v>5001.3400000000011</v>
      </c>
      <c r="D148" s="205">
        <f>'Input data'!D128</f>
        <v>45314646.034956604</v>
      </c>
      <c r="E148" s="473">
        <f>'Input data'!J128*C148</f>
        <v>60171.349735206066</v>
      </c>
      <c r="F148" s="474">
        <f>'Input data'!L128</f>
        <v>105485.99577016267</v>
      </c>
      <c r="G148" s="474">
        <f>($G$152-$G$147)/($A$152-$A$147)+G147</f>
        <v>21900.706671236927</v>
      </c>
      <c r="H148" s="474">
        <f t="shared" si="121"/>
        <v>55151.67425742303</v>
      </c>
      <c r="I148" s="475">
        <f t="shared" si="96"/>
        <v>45314.646034956604</v>
      </c>
      <c r="J148" s="579">
        <f t="shared" si="122"/>
        <v>0.34793042132233321</v>
      </c>
      <c r="K148" s="474">
        <f t="shared" si="123"/>
        <v>12977.329898322856</v>
      </c>
      <c r="L148" s="474">
        <f t="shared" si="97"/>
        <v>0</v>
      </c>
      <c r="M148" s="475">
        <f t="shared" si="124"/>
        <v>12977.329898322856</v>
      </c>
      <c r="N148" s="579">
        <f>N147</f>
        <v>0.5</v>
      </c>
      <c r="O148" s="475">
        <f t="shared" si="98"/>
        <v>751.91700000000026</v>
      </c>
      <c r="P148" s="1234">
        <f t="shared" si="127"/>
        <v>13729.246898322855</v>
      </c>
      <c r="Q148" s="467">
        <f t="shared" si="99"/>
        <v>63323.134030337103</v>
      </c>
      <c r="R148" s="467">
        <f t="shared" si="125"/>
        <v>41422.427359100177</v>
      </c>
      <c r="S148" s="1255">
        <f t="shared" si="100"/>
        <v>1.2264288243782802</v>
      </c>
      <c r="T148" s="118" t="str">
        <f t="shared" si="101"/>
        <v>No</v>
      </c>
      <c r="U148" s="1255">
        <f t="shared" si="102"/>
        <v>1</v>
      </c>
      <c r="V148" s="1268">
        <f t="shared" si="95"/>
        <v>71711.163887767339</v>
      </c>
      <c r="W148" s="1269">
        <f t="shared" si="103"/>
        <v>0.32018308815120211</v>
      </c>
      <c r="X148" s="473">
        <f t="shared" si="104"/>
        <v>29548.302147941758</v>
      </c>
      <c r="Y148" s="474">
        <f t="shared" si="105"/>
        <v>20584.753727672942</v>
      </c>
      <c r="Z148" s="474">
        <f t="shared" si="106"/>
        <v>3471.0300255081979</v>
      </c>
      <c r="AA148" s="474">
        <f t="shared" si="107"/>
        <v>0</v>
      </c>
      <c r="AB148" s="474">
        <f t="shared" si="108"/>
        <v>18107.077986644446</v>
      </c>
      <c r="AC148" s="474">
        <f t="shared" si="109"/>
        <v>71711.163887767339</v>
      </c>
      <c r="AD148" s="475">
        <f t="shared" si="110"/>
        <v>7647.5954767048315</v>
      </c>
      <c r="AE148" s="100">
        <f t="shared" si="111"/>
        <v>0.41204605456113896</v>
      </c>
      <c r="AF148" s="100">
        <f t="shared" si="112"/>
        <v>0.28705089433340431</v>
      </c>
      <c r="AG148" s="100">
        <f t="shared" si="113"/>
        <v>4.8402924138012692E-2</v>
      </c>
      <c r="AH148" s="100">
        <f t="shared" si="126"/>
        <v>0</v>
      </c>
      <c r="AI148" s="100">
        <f t="shared" si="114"/>
        <v>0.25250012696744412</v>
      </c>
      <c r="AJ148" s="471">
        <f t="shared" si="115"/>
        <v>1.0000000000000002</v>
      </c>
      <c r="AK148" s="1250">
        <f t="shared" si="116"/>
        <v>29548.302147941755</v>
      </c>
      <c r="AL148" s="1251">
        <f t="shared" si="117"/>
        <v>0</v>
      </c>
      <c r="AM148" s="1251">
        <f t="shared" si="118"/>
        <v>0</v>
      </c>
      <c r="AN148" s="1251">
        <f t="shared" si="119"/>
        <v>29548.302147941755</v>
      </c>
      <c r="AO148" s="1022">
        <f t="shared" si="120"/>
        <v>0</v>
      </c>
    </row>
    <row r="149" spans="1:41">
      <c r="A149" s="89">
        <f>'Input data'!A129</f>
        <v>2029</v>
      </c>
      <c r="B149" s="152">
        <f>'Input data'!B129</f>
        <v>65.59730237662275</v>
      </c>
      <c r="C149" s="204">
        <f>'Input data'!C129</f>
        <v>5124.16</v>
      </c>
      <c r="D149" s="205">
        <f>'Input data'!D129</f>
        <v>44520340.557958424</v>
      </c>
      <c r="E149" s="473">
        <f>'Input data'!J129*C149</f>
        <v>61649.00275909125</v>
      </c>
      <c r="F149" s="474">
        <f>'Input data'!L129</f>
        <v>106169.34331704967</v>
      </c>
      <c r="G149" s="474">
        <f t="shared" ref="G149:G151" si="129">($G$152-$G$147)/($A$152-$A$147)+G148</f>
        <v>19847.515420808464</v>
      </c>
      <c r="H149" s="474">
        <f t="shared" si="121"/>
        <v>57307.335562326181</v>
      </c>
      <c r="I149" s="475">
        <f t="shared" si="96"/>
        <v>44520.340557958421</v>
      </c>
      <c r="J149" s="579">
        <f t="shared" si="122"/>
        <v>0.37396521066116656</v>
      </c>
      <c r="K149" s="474">
        <f t="shared" si="123"/>
        <v>13908.932252634801</v>
      </c>
      <c r="L149" s="474">
        <f t="shared" si="97"/>
        <v>0</v>
      </c>
      <c r="M149" s="475">
        <f t="shared" si="124"/>
        <v>13908.932252634801</v>
      </c>
      <c r="N149" s="579">
        <f t="shared" ref="N149:N170" si="130">N148</f>
        <v>0.5</v>
      </c>
      <c r="O149" s="475">
        <f t="shared" si="98"/>
        <v>751.91700000000026</v>
      </c>
      <c r="P149" s="1234">
        <f t="shared" si="127"/>
        <v>14660.8492526348</v>
      </c>
      <c r="Q149" s="467">
        <f t="shared" si="99"/>
        <v>62494.001730499847</v>
      </c>
      <c r="R149" s="467">
        <f t="shared" si="125"/>
        <v>42646.486309691383</v>
      </c>
      <c r="S149" s="1255">
        <f t="shared" si="100"/>
        <v>1.231748593679397</v>
      </c>
      <c r="T149" s="118" t="str">
        <f t="shared" si="101"/>
        <v>No</v>
      </c>
      <c r="U149" s="1255">
        <f t="shared" si="102"/>
        <v>1</v>
      </c>
      <c r="V149" s="1268">
        <f t="shared" si="95"/>
        <v>71546.623609044444</v>
      </c>
      <c r="W149" s="1269">
        <f t="shared" si="103"/>
        <v>0.32610844737555411</v>
      </c>
      <c r="X149" s="473">
        <f t="shared" si="104"/>
        <v>27871.282022494619</v>
      </c>
      <c r="Y149" s="474">
        <f t="shared" si="105"/>
        <v>21585.796083622205</v>
      </c>
      <c r="Z149" s="474">
        <f t="shared" si="106"/>
        <v>3537.8044223284328</v>
      </c>
      <c r="AA149" s="474">
        <f t="shared" si="107"/>
        <v>0</v>
      </c>
      <c r="AB149" s="474">
        <f t="shared" si="108"/>
        <v>18551.741080599193</v>
      </c>
      <c r="AC149" s="474">
        <f t="shared" si="109"/>
        <v>71546.623609044444</v>
      </c>
      <c r="AD149" s="475">
        <f t="shared" si="110"/>
        <v>8023.7666016861549</v>
      </c>
      <c r="AE149" s="100">
        <f t="shared" si="111"/>
        <v>0.3895541203284863</v>
      </c>
      <c r="AF149" s="100">
        <f t="shared" si="112"/>
        <v>0.30170251221880823</v>
      </c>
      <c r="AG149" s="100">
        <f t="shared" si="113"/>
        <v>4.9447538456324963E-2</v>
      </c>
      <c r="AH149" s="100">
        <f t="shared" si="126"/>
        <v>0</v>
      </c>
      <c r="AI149" s="100">
        <f t="shared" si="114"/>
        <v>0.2592958289963806</v>
      </c>
      <c r="AJ149" s="471">
        <f t="shared" si="115"/>
        <v>1</v>
      </c>
      <c r="AK149" s="1250">
        <f t="shared" si="116"/>
        <v>27871.282022494623</v>
      </c>
      <c r="AL149" s="1251">
        <f t="shared" si="117"/>
        <v>0</v>
      </c>
      <c r="AM149" s="1251">
        <f t="shared" si="118"/>
        <v>0</v>
      </c>
      <c r="AN149" s="1251">
        <f t="shared" si="119"/>
        <v>27871.282022494623</v>
      </c>
      <c r="AO149" s="1022">
        <f t="shared" si="120"/>
        <v>0</v>
      </c>
    </row>
    <row r="150" spans="1:41">
      <c r="A150" s="89">
        <f>'Input data'!A130</f>
        <v>2030</v>
      </c>
      <c r="B150" s="152">
        <f>'Input data'!B130</f>
        <v>66.183214701401099</v>
      </c>
      <c r="C150" s="204">
        <f>'Input data'!C130</f>
        <v>5234.6499999999996</v>
      </c>
      <c r="D150" s="205">
        <f>'Input data'!D130</f>
        <v>41257794.114847519</v>
      </c>
      <c r="E150" s="473">
        <f>'Input data'!J130*C150</f>
        <v>62978.312990397841</v>
      </c>
      <c r="F150" s="474">
        <f>'Input data'!L130</f>
        <v>104236.10710524536</v>
      </c>
      <c r="G150" s="474">
        <f t="shared" si="129"/>
        <v>17794.324170380001</v>
      </c>
      <c r="H150" s="474">
        <f t="shared" si="121"/>
        <v>57061.550400345179</v>
      </c>
      <c r="I150" s="475">
        <f t="shared" si="96"/>
        <v>41257.794114847522</v>
      </c>
      <c r="J150" s="579">
        <f>$H$19</f>
        <v>0.4</v>
      </c>
      <c r="K150" s="474">
        <f t="shared" si="123"/>
        <v>13963.793718745188</v>
      </c>
      <c r="L150" s="474">
        <f t="shared" si="97"/>
        <v>0</v>
      </c>
      <c r="M150" s="475">
        <f t="shared" si="124"/>
        <v>13963.793718745188</v>
      </c>
      <c r="N150" s="579">
        <f t="shared" si="130"/>
        <v>0.5</v>
      </c>
      <c r="O150" s="475">
        <f t="shared" si="98"/>
        <v>751.91700000000026</v>
      </c>
      <c r="P150" s="1234">
        <f t="shared" si="127"/>
        <v>14715.710718745187</v>
      </c>
      <c r="Q150" s="467">
        <f t="shared" si="99"/>
        <v>60140.163851979989</v>
      </c>
      <c r="R150" s="467">
        <f t="shared" si="125"/>
        <v>42345.839681599988</v>
      </c>
      <c r="S150" s="1255">
        <f t="shared" si="100"/>
        <v>1.1967007610543288</v>
      </c>
      <c r="T150" s="118" t="str">
        <f t="shared" si="101"/>
        <v>No</v>
      </c>
      <c r="U150" s="1255">
        <f t="shared" si="102"/>
        <v>1</v>
      </c>
      <c r="V150" s="1268">
        <f t="shared" si="95"/>
        <v>68850.619722173898</v>
      </c>
      <c r="W150" s="1269">
        <f t="shared" si="103"/>
        <v>0.33947437568196359</v>
      </c>
      <c r="X150" s="473">
        <f t="shared" si="104"/>
        <v>24754.676468908514</v>
      </c>
      <c r="Y150" s="474">
        <f t="shared" si="105"/>
        <v>21546.30388650671</v>
      </c>
      <c r="Z150" s="474">
        <f t="shared" si="106"/>
        <v>3597.8752829754594</v>
      </c>
      <c r="AA150" s="474">
        <f t="shared" si="107"/>
        <v>0</v>
      </c>
      <c r="AB150" s="474">
        <f t="shared" si="108"/>
        <v>18951.764083783208</v>
      </c>
      <c r="AC150" s="474">
        <f t="shared" si="109"/>
        <v>68850.619722173898</v>
      </c>
      <c r="AD150" s="475">
        <f t="shared" si="110"/>
        <v>6960.3522985285126</v>
      </c>
      <c r="AE150" s="100">
        <f t="shared" si="111"/>
        <v>0.35954181049928979</v>
      </c>
      <c r="AF150" s="100">
        <f t="shared" si="112"/>
        <v>0.31294277340495091</v>
      </c>
      <c r="AG150" s="100">
        <f t="shared" si="113"/>
        <v>5.2256251250803694E-2</v>
      </c>
      <c r="AH150" s="100">
        <f t="shared" si="126"/>
        <v>0</v>
      </c>
      <c r="AI150" s="100">
        <f t="shared" si="114"/>
        <v>0.2752591648449555</v>
      </c>
      <c r="AJ150" s="471">
        <f t="shared" si="115"/>
        <v>0.99999999999999989</v>
      </c>
      <c r="AK150" s="1250">
        <f t="shared" si="116"/>
        <v>24754.67646890851</v>
      </c>
      <c r="AL150" s="1251">
        <f t="shared" si="117"/>
        <v>0</v>
      </c>
      <c r="AM150" s="1251">
        <f t="shared" si="118"/>
        <v>0</v>
      </c>
      <c r="AN150" s="1251">
        <f t="shared" si="119"/>
        <v>24754.67646890851</v>
      </c>
      <c r="AO150" s="1022">
        <f t="shared" si="120"/>
        <v>0</v>
      </c>
    </row>
    <row r="151" spans="1:41">
      <c r="A151" s="89">
        <f>'Input data'!A131</f>
        <v>2031</v>
      </c>
      <c r="B151" s="152">
        <f>'Input data'!B131</f>
        <v>66.757007289602299</v>
      </c>
      <c r="C151" s="204">
        <f>'Input data'!C131</f>
        <v>5365.4400000000005</v>
      </c>
      <c r="D151" s="205">
        <f>'Input data'!D131</f>
        <v>39014257.111139439</v>
      </c>
      <c r="E151" s="473">
        <f>'Input data'!J131*C151</f>
        <v>64551.853447928748</v>
      </c>
      <c r="F151" s="474">
        <f>'Input data'!L131</f>
        <v>103566.11055906818</v>
      </c>
      <c r="G151" s="474">
        <f t="shared" si="129"/>
        <v>15741.132919951538</v>
      </c>
      <c r="H151" s="474">
        <f t="shared" si="121"/>
        <v>57912.197993827715</v>
      </c>
      <c r="I151" s="475">
        <f t="shared" si="96"/>
        <v>39014.257111139435</v>
      </c>
      <c r="J151" s="579">
        <f>J150</f>
        <v>0.4</v>
      </c>
      <c r="K151" s="474">
        <f t="shared" si="123"/>
        <v>13204.463546294763</v>
      </c>
      <c r="L151" s="474">
        <f t="shared" si="97"/>
        <v>0</v>
      </c>
      <c r="M151" s="475">
        <f t="shared" si="124"/>
        <v>13204.463546294763</v>
      </c>
      <c r="N151" s="579">
        <f t="shared" si="130"/>
        <v>0.5</v>
      </c>
      <c r="O151" s="475">
        <f t="shared" si="98"/>
        <v>751.91700000000026</v>
      </c>
      <c r="P151" s="1234">
        <f t="shared" si="127"/>
        <v>13956.380546294762</v>
      </c>
      <c r="Q151" s="467">
        <f t="shared" si="99"/>
        <v>59696.950367484489</v>
      </c>
      <c r="R151" s="467">
        <f t="shared" si="125"/>
        <v>43955.817447532951</v>
      </c>
      <c r="S151" s="1255">
        <f t="shared" si="100"/>
        <v>1.2112912713318544</v>
      </c>
      <c r="T151" s="118" t="str">
        <f t="shared" si="101"/>
        <v>No</v>
      </c>
      <c r="U151" s="1255">
        <f t="shared" si="102"/>
        <v>1</v>
      </c>
      <c r="V151" s="1268">
        <f t="shared" si="95"/>
        <v>67277.714458267365</v>
      </c>
      <c r="W151" s="1269">
        <f t="shared" si="103"/>
        <v>0.35038871214637335</v>
      </c>
      <c r="X151" s="473">
        <f t="shared" si="104"/>
        <v>23408.554266683659</v>
      </c>
      <c r="Y151" s="474">
        <f t="shared" si="105"/>
        <v>20774.895279975164</v>
      </c>
      <c r="Z151" s="474">
        <f t="shared" si="106"/>
        <v>3668.9827846862445</v>
      </c>
      <c r="AA151" s="474">
        <f t="shared" si="107"/>
        <v>0</v>
      </c>
      <c r="AB151" s="474">
        <f t="shared" si="108"/>
        <v>19425.282126922295</v>
      </c>
      <c r="AC151" s="474">
        <f t="shared" si="109"/>
        <v>67277.714458267365</v>
      </c>
      <c r="AD151" s="475">
        <f t="shared" si="110"/>
        <v>7667.4213467321206</v>
      </c>
      <c r="AE151" s="100">
        <f t="shared" si="111"/>
        <v>0.34793920178730325</v>
      </c>
      <c r="AF151" s="100">
        <f t="shared" si="112"/>
        <v>0.30879311889915517</v>
      </c>
      <c r="AG151" s="100">
        <f t="shared" si="113"/>
        <v>5.4534890405085461E-2</v>
      </c>
      <c r="AH151" s="100">
        <f t="shared" si="126"/>
        <v>0</v>
      </c>
      <c r="AI151" s="100">
        <f t="shared" si="114"/>
        <v>0.28873278890845611</v>
      </c>
      <c r="AJ151" s="471">
        <f t="shared" si="115"/>
        <v>0.99999999999999989</v>
      </c>
      <c r="AK151" s="1250">
        <f t="shared" si="116"/>
        <v>23408.554266683663</v>
      </c>
      <c r="AL151" s="1251">
        <f t="shared" si="117"/>
        <v>0</v>
      </c>
      <c r="AM151" s="1251">
        <f t="shared" si="118"/>
        <v>0</v>
      </c>
      <c r="AN151" s="1251">
        <f t="shared" si="119"/>
        <v>23408.554266683663</v>
      </c>
      <c r="AO151" s="1022">
        <f t="shared" si="120"/>
        <v>0</v>
      </c>
    </row>
    <row r="152" spans="1:41">
      <c r="A152" s="89">
        <f>'Input data'!A132</f>
        <v>2032</v>
      </c>
      <c r="B152" s="152">
        <f>'Input data'!B132</f>
        <v>67.318270994163854</v>
      </c>
      <c r="C152" s="204">
        <f>'Input data'!C132</f>
        <v>5502.3</v>
      </c>
      <c r="D152" s="205">
        <f>'Input data'!D132</f>
        <v>36334930.67697753</v>
      </c>
      <c r="E152" s="473">
        <f>'Input data'!J132*C152</f>
        <v>66198.422352414404</v>
      </c>
      <c r="F152" s="474">
        <f>'Input data'!L132</f>
        <v>102533.35302939193</v>
      </c>
      <c r="G152" s="474">
        <f>G137*(1-E6)</f>
        <v>13687.941669523079</v>
      </c>
      <c r="H152" s="474">
        <f t="shared" si="121"/>
        <v>58395.782253610683</v>
      </c>
      <c r="I152" s="475">
        <f t="shared" si="96"/>
        <v>36334.930676977528</v>
      </c>
      <c r="J152" s="579">
        <f t="shared" ref="J152:J170" si="131">J151</f>
        <v>0.4</v>
      </c>
      <c r="K152" s="474">
        <f t="shared" si="123"/>
        <v>12297.639455610915</v>
      </c>
      <c r="L152" s="474">
        <f t="shared" si="97"/>
        <v>0</v>
      </c>
      <c r="M152" s="475">
        <f t="shared" si="124"/>
        <v>12297.639455610915</v>
      </c>
      <c r="N152" s="579">
        <f t="shared" si="130"/>
        <v>0.5</v>
      </c>
      <c r="O152" s="475">
        <f t="shared" si="98"/>
        <v>751.91700000000026</v>
      </c>
      <c r="P152" s="1234">
        <f t="shared" si="127"/>
        <v>13049.556455610915</v>
      </c>
      <c r="Q152" s="467">
        <f t="shared" si="99"/>
        <v>59034.167467522842</v>
      </c>
      <c r="R152" s="467">
        <f t="shared" si="125"/>
        <v>45346.225797999767</v>
      </c>
      <c r="S152" s="1255">
        <f t="shared" si="100"/>
        <v>1.21789732717635</v>
      </c>
      <c r="T152" s="118" t="str">
        <f t="shared" si="101"/>
        <v>No</v>
      </c>
      <c r="U152" s="1255">
        <f t="shared" si="102"/>
        <v>1</v>
      </c>
      <c r="V152" s="1268">
        <f t="shared" si="95"/>
        <v>65300.143968055621</v>
      </c>
      <c r="W152" s="1269">
        <f t="shared" si="103"/>
        <v>0.36313265841080156</v>
      </c>
      <c r="X152" s="473">
        <f t="shared" si="104"/>
        <v>21800.958406186517</v>
      </c>
      <c r="Y152" s="474">
        <f t="shared" si="105"/>
        <v>19835.018883549397</v>
      </c>
      <c r="Z152" s="474">
        <f t="shared" si="106"/>
        <v>3743.3904051781628</v>
      </c>
      <c r="AA152" s="474">
        <f t="shared" si="107"/>
        <v>0</v>
      </c>
      <c r="AB152" s="474">
        <f t="shared" si="108"/>
        <v>19920.776273141539</v>
      </c>
      <c r="AC152" s="474">
        <f t="shared" si="109"/>
        <v>65300.143968055621</v>
      </c>
      <c r="AD152" s="475">
        <f t="shared" si="110"/>
        <v>8113.0167366634378</v>
      </c>
      <c r="AE152" s="100">
        <f t="shared" si="111"/>
        <v>0.33385773876473218</v>
      </c>
      <c r="AF152" s="100">
        <f t="shared" si="112"/>
        <v>0.30375153373708563</v>
      </c>
      <c r="AG152" s="100">
        <f t="shared" si="113"/>
        <v>5.7325913508083588E-2</v>
      </c>
      <c r="AH152" s="100">
        <f t="shared" si="126"/>
        <v>0</v>
      </c>
      <c r="AI152" s="100">
        <f t="shared" si="114"/>
        <v>0.30506481399009849</v>
      </c>
      <c r="AJ152" s="471">
        <f t="shared" si="115"/>
        <v>1</v>
      </c>
      <c r="AK152" s="1250">
        <f t="shared" si="116"/>
        <v>21800.958406186517</v>
      </c>
      <c r="AL152" s="1251">
        <f t="shared" si="117"/>
        <v>0</v>
      </c>
      <c r="AM152" s="1251">
        <f t="shared" si="118"/>
        <v>0</v>
      </c>
      <c r="AN152" s="1251">
        <f t="shared" si="119"/>
        <v>21800.958406186517</v>
      </c>
      <c r="AO152" s="1022">
        <f t="shared" si="120"/>
        <v>0</v>
      </c>
    </row>
    <row r="153" spans="1:41">
      <c r="A153" s="89">
        <f>'Input data'!A133</f>
        <v>2033</v>
      </c>
      <c r="B153" s="152">
        <f>'Input data'!B133</f>
        <v>67.86660286866902</v>
      </c>
      <c r="C153" s="204">
        <f>'Input data'!C133</f>
        <v>5663.260000000002</v>
      </c>
      <c r="D153" s="205">
        <f>'Input data'!D133</f>
        <v>35521966.003645025</v>
      </c>
      <c r="E153" s="473">
        <f>'Input data'!J133*C153</f>
        <v>68134.939456506283</v>
      </c>
      <c r="F153" s="474">
        <f>'Input data'!L133</f>
        <v>103656.90546015131</v>
      </c>
      <c r="G153" s="474">
        <f>G152</f>
        <v>13687.941669523079</v>
      </c>
      <c r="H153" s="474">
        <f t="shared" si="121"/>
        <v>58744.041019304743</v>
      </c>
      <c r="I153" s="475">
        <f t="shared" si="96"/>
        <v>35521.966003645022</v>
      </c>
      <c r="J153" s="579">
        <f t="shared" si="131"/>
        <v>0.4</v>
      </c>
      <c r="K153" s="474">
        <f t="shared" si="123"/>
        <v>12022.489723479288</v>
      </c>
      <c r="L153" s="474">
        <f t="shared" si="97"/>
        <v>0</v>
      </c>
      <c r="M153" s="475">
        <f t="shared" si="124"/>
        <v>12022.489723479288</v>
      </c>
      <c r="N153" s="579">
        <f t="shared" si="130"/>
        <v>0.5</v>
      </c>
      <c r="O153" s="475">
        <f t="shared" si="98"/>
        <v>751.91700000000026</v>
      </c>
      <c r="P153" s="1234">
        <f t="shared" si="127"/>
        <v>12774.406723479287</v>
      </c>
      <c r="Q153" s="467">
        <f t="shared" si="99"/>
        <v>59657.575965348529</v>
      </c>
      <c r="R153" s="467">
        <f t="shared" si="125"/>
        <v>45969.634295825454</v>
      </c>
      <c r="S153" s="1255">
        <f t="shared" si="100"/>
        <v>1.1988618587301507</v>
      </c>
      <c r="T153" s="118" t="str">
        <f t="shared" si="101"/>
        <v>No</v>
      </c>
      <c r="U153" s="1255">
        <f t="shared" si="102"/>
        <v>1</v>
      </c>
      <c r="V153" s="1268">
        <f t="shared" si="95"/>
        <v>65312.509096989794</v>
      </c>
      <c r="W153" s="1269">
        <f t="shared" si="103"/>
        <v>0.36991646811125578</v>
      </c>
      <c r="X153" s="473">
        <f t="shared" si="104"/>
        <v>21313.179602187014</v>
      </c>
      <c r="Y153" s="474">
        <f t="shared" si="105"/>
        <v>19664.905704325913</v>
      </c>
      <c r="Z153" s="474">
        <f t="shared" si="106"/>
        <v>3830.9006389526726</v>
      </c>
      <c r="AA153" s="474">
        <f t="shared" si="107"/>
        <v>0</v>
      </c>
      <c r="AB153" s="474">
        <f t="shared" si="108"/>
        <v>20503.523151524198</v>
      </c>
      <c r="AC153" s="474">
        <f t="shared" si="109"/>
        <v>65312.509096989794</v>
      </c>
      <c r="AD153" s="475">
        <f t="shared" si="110"/>
        <v>7625.2379326639348</v>
      </c>
      <c r="AE153" s="100">
        <f t="shared" si="111"/>
        <v>0.32632614941399218</v>
      </c>
      <c r="AF153" s="100">
        <f t="shared" si="112"/>
        <v>0.30108942339243638</v>
      </c>
      <c r="AG153" s="100">
        <f t="shared" si="113"/>
        <v>5.8654929842976065E-2</v>
      </c>
      <c r="AH153" s="100">
        <f t="shared" si="126"/>
        <v>0</v>
      </c>
      <c r="AI153" s="100">
        <f t="shared" si="114"/>
        <v>0.31392949735059544</v>
      </c>
      <c r="AJ153" s="471">
        <f t="shared" si="115"/>
        <v>1</v>
      </c>
      <c r="AK153" s="1250">
        <f t="shared" si="116"/>
        <v>21313.17960218701</v>
      </c>
      <c r="AL153" s="1251">
        <f t="shared" si="117"/>
        <v>0</v>
      </c>
      <c r="AM153" s="1251">
        <f t="shared" si="118"/>
        <v>0</v>
      </c>
      <c r="AN153" s="1251">
        <f t="shared" si="119"/>
        <v>21313.17960218701</v>
      </c>
      <c r="AO153" s="1022">
        <f t="shared" si="120"/>
        <v>0</v>
      </c>
    </row>
    <row r="154" spans="1:41">
      <c r="A154" s="89">
        <f>'Input data'!A134</f>
        <v>2034</v>
      </c>
      <c r="B154" s="152">
        <f>'Input data'!B134</f>
        <v>68.401606645337111</v>
      </c>
      <c r="C154" s="204">
        <f>'Input data'!C134</f>
        <v>5838.79</v>
      </c>
      <c r="D154" s="205">
        <f>'Input data'!D134</f>
        <v>32152713.47625063</v>
      </c>
      <c r="E154" s="473">
        <f>'Input data'!J134*C154</f>
        <v>70246.748895380792</v>
      </c>
      <c r="F154" s="474">
        <f>'Input data'!L134</f>
        <v>102399.46237163142</v>
      </c>
      <c r="G154" s="474">
        <f t="shared" ref="G154:G170" si="132">G153</f>
        <v>13687.941669523079</v>
      </c>
      <c r="H154" s="474">
        <f t="shared" si="121"/>
        <v>56793.929657286746</v>
      </c>
      <c r="I154" s="475">
        <f t="shared" si="96"/>
        <v>32152.713476250628</v>
      </c>
      <c r="J154" s="579">
        <f t="shared" si="131"/>
        <v>0.4</v>
      </c>
      <c r="K154" s="474">
        <f t="shared" si="123"/>
        <v>10882.158586338701</v>
      </c>
      <c r="L154" s="474">
        <f t="shared" si="97"/>
        <v>0</v>
      </c>
      <c r="M154" s="475">
        <f t="shared" si="124"/>
        <v>10882.158586338701</v>
      </c>
      <c r="N154" s="579">
        <f t="shared" si="130"/>
        <v>0.5</v>
      </c>
      <c r="O154" s="475">
        <f t="shared" si="98"/>
        <v>751.91700000000026</v>
      </c>
      <c r="P154" s="1234">
        <f t="shared" si="127"/>
        <v>11634.0755863387</v>
      </c>
      <c r="Q154" s="467">
        <f t="shared" si="99"/>
        <v>58847.79574047112</v>
      </c>
      <c r="R154" s="467">
        <f t="shared" si="125"/>
        <v>45159.854070948044</v>
      </c>
      <c r="S154" s="1255">
        <f t="shared" si="100"/>
        <v>1.1416640374553204</v>
      </c>
      <c r="T154" s="118" t="str">
        <f t="shared" si="101"/>
        <v>No</v>
      </c>
      <c r="U154" s="1255">
        <f t="shared" si="102"/>
        <v>1</v>
      </c>
      <c r="V154" s="1268">
        <f t="shared" si="95"/>
        <v>62843.294716910692</v>
      </c>
      <c r="W154" s="1269">
        <f t="shared" si="103"/>
        <v>0.38629272789697089</v>
      </c>
      <c r="X154" s="473">
        <f t="shared" si="104"/>
        <v>19291.628085750377</v>
      </c>
      <c r="Y154" s="474">
        <f t="shared" si="105"/>
        <v>18486.314467814744</v>
      </c>
      <c r="Z154" s="474">
        <f t="shared" si="106"/>
        <v>3926.3322451557001</v>
      </c>
      <c r="AA154" s="474">
        <f t="shared" si="107"/>
        <v>0</v>
      </c>
      <c r="AB154" s="474">
        <f t="shared" si="108"/>
        <v>21139.019918189864</v>
      </c>
      <c r="AC154" s="474">
        <f t="shared" si="109"/>
        <v>62843.294716910692</v>
      </c>
      <c r="AD154" s="475">
        <f t="shared" si="110"/>
        <v>5603.6864162272977</v>
      </c>
      <c r="AE154" s="100">
        <f t="shared" si="111"/>
        <v>0.30697989614728355</v>
      </c>
      <c r="AF154" s="100">
        <f t="shared" si="112"/>
        <v>0.29416526538097321</v>
      </c>
      <c r="AG154" s="100">
        <f t="shared" si="113"/>
        <v>6.2478141269368417E-2</v>
      </c>
      <c r="AH154" s="100">
        <f t="shared" si="126"/>
        <v>0</v>
      </c>
      <c r="AI154" s="100">
        <f t="shared" si="114"/>
        <v>0.33637669720237473</v>
      </c>
      <c r="AJ154" s="471">
        <f t="shared" si="115"/>
        <v>1</v>
      </c>
      <c r="AK154" s="1250">
        <f t="shared" si="116"/>
        <v>19291.628085750377</v>
      </c>
      <c r="AL154" s="1251">
        <f t="shared" si="117"/>
        <v>0</v>
      </c>
      <c r="AM154" s="1251">
        <f t="shared" si="118"/>
        <v>0</v>
      </c>
      <c r="AN154" s="1251">
        <f t="shared" si="119"/>
        <v>19291.628085750377</v>
      </c>
      <c r="AO154" s="1022">
        <f t="shared" si="120"/>
        <v>0</v>
      </c>
    </row>
    <row r="155" spans="1:41">
      <c r="A155" s="89">
        <f>'Input data'!A135</f>
        <v>2035</v>
      </c>
      <c r="B155" s="152">
        <f>'Input data'!B135</f>
        <v>68.922893208527455</v>
      </c>
      <c r="C155" s="204">
        <f>'Input data'!C135</f>
        <v>5978.8699999999981</v>
      </c>
      <c r="D155" s="205">
        <f>'Input data'!D135</f>
        <v>24779864.252695084</v>
      </c>
      <c r="E155" s="473">
        <f>'Input data'!J135*C155</f>
        <v>71932.057766784754</v>
      </c>
      <c r="F155" s="474">
        <f>'Input data'!L135</f>
        <v>96711.92201947984</v>
      </c>
      <c r="G155" s="474">
        <f t="shared" si="132"/>
        <v>13687.941669523079</v>
      </c>
      <c r="H155" s="474">
        <f t="shared" si="121"/>
        <v>50841.90485981587</v>
      </c>
      <c r="I155" s="475">
        <f t="shared" si="96"/>
        <v>24779.864252695083</v>
      </c>
      <c r="J155" s="579">
        <f t="shared" si="131"/>
        <v>0.4</v>
      </c>
      <c r="K155" s="474">
        <f t="shared" si="123"/>
        <v>8386.801093629454</v>
      </c>
      <c r="L155" s="474">
        <f t="shared" si="97"/>
        <v>0</v>
      </c>
      <c r="M155" s="475">
        <f t="shared" si="124"/>
        <v>8386.801093629454</v>
      </c>
      <c r="N155" s="579">
        <f t="shared" si="130"/>
        <v>0.5</v>
      </c>
      <c r="O155" s="475">
        <f t="shared" si="98"/>
        <v>751.91700000000026</v>
      </c>
      <c r="P155" s="1234">
        <f t="shared" si="127"/>
        <v>9138.7180936294535</v>
      </c>
      <c r="Q155" s="467">
        <f t="shared" si="99"/>
        <v>55391.128435709492</v>
      </c>
      <c r="R155" s="467">
        <f t="shared" si="125"/>
        <v>41703.186766186409</v>
      </c>
      <c r="S155" s="1255">
        <f t="shared" si="100"/>
        <v>1.029118544297676</v>
      </c>
      <c r="T155" s="118" t="str">
        <f t="shared" si="101"/>
        <v>No</v>
      </c>
      <c r="U155" s="1255">
        <f t="shared" si="102"/>
        <v>1</v>
      </c>
      <c r="V155" s="1268">
        <f t="shared" si="95"/>
        <v>56188.712135387403</v>
      </c>
      <c r="W155" s="1269">
        <f t="shared" si="103"/>
        <v>0.41900945651695554</v>
      </c>
      <c r="X155" s="473">
        <f t="shared" si="104"/>
        <v>14867.918551617049</v>
      </c>
      <c r="Y155" s="474">
        <f t="shared" si="105"/>
        <v>15672.131180172722</v>
      </c>
      <c r="Z155" s="474">
        <f t="shared" si="106"/>
        <v>4002.4905052646268</v>
      </c>
      <c r="AA155" s="474">
        <f t="shared" si="107"/>
        <v>0</v>
      </c>
      <c r="AB155" s="474">
        <f t="shared" si="108"/>
        <v>21646.171898333007</v>
      </c>
      <c r="AC155" s="474">
        <f t="shared" si="109"/>
        <v>56188.712135387403</v>
      </c>
      <c r="AD155" s="475">
        <f t="shared" si="110"/>
        <v>1179.9768820939698</v>
      </c>
      <c r="AE155" s="100">
        <f t="shared" si="111"/>
        <v>0.26460685761568292</v>
      </c>
      <c r="AF155" s="100">
        <f t="shared" si="112"/>
        <v>0.27891956559549769</v>
      </c>
      <c r="AG155" s="100">
        <f t="shared" si="113"/>
        <v>7.1232999532371846E-2</v>
      </c>
      <c r="AH155" s="100">
        <f t="shared" si="126"/>
        <v>0</v>
      </c>
      <c r="AI155" s="100">
        <f t="shared" si="114"/>
        <v>0.38524057725644761</v>
      </c>
      <c r="AJ155" s="471">
        <f t="shared" si="115"/>
        <v>1</v>
      </c>
      <c r="AK155" s="1250">
        <f t="shared" si="116"/>
        <v>14867.918551617049</v>
      </c>
      <c r="AL155" s="1251">
        <f t="shared" si="117"/>
        <v>0</v>
      </c>
      <c r="AM155" s="1251">
        <f t="shared" si="118"/>
        <v>0</v>
      </c>
      <c r="AN155" s="1251">
        <f t="shared" si="119"/>
        <v>14867.918551617049</v>
      </c>
      <c r="AO155" s="1022">
        <f t="shared" si="120"/>
        <v>0</v>
      </c>
    </row>
    <row r="156" spans="1:41">
      <c r="A156" s="89">
        <f>'Input data'!A136</f>
        <v>2036</v>
      </c>
      <c r="B156" s="152">
        <f>'Input data'!B136</f>
        <v>69.431445341664755</v>
      </c>
      <c r="C156" s="204">
        <f>'Input data'!C136</f>
        <v>6119.1299999999983</v>
      </c>
      <c r="D156" s="205">
        <f>'Input data'!D136</f>
        <v>11557949.273739366</v>
      </c>
      <c r="E156" s="473">
        <f>'Input data'!J136*C156</f>
        <v>73619.532226401585</v>
      </c>
      <c r="F156" s="474">
        <f>'Input data'!L136</f>
        <v>85177.481500140944</v>
      </c>
      <c r="G156" s="474">
        <f t="shared" si="132"/>
        <v>13687.941669523079</v>
      </c>
      <c r="H156" s="474">
        <f t="shared" si="121"/>
        <v>39402.053707019091</v>
      </c>
      <c r="I156" s="475">
        <f t="shared" si="96"/>
        <v>11557.949273739367</v>
      </c>
      <c r="J156" s="579">
        <f t="shared" si="131"/>
        <v>0.4</v>
      </c>
      <c r="K156" s="474">
        <f>(I156)*J156-(I156)*$J$137</f>
        <v>3911.8140688994454</v>
      </c>
      <c r="L156" s="474">
        <f t="shared" si="97"/>
        <v>0</v>
      </c>
      <c r="M156" s="475">
        <f t="shared" si="124"/>
        <v>3911.8140688994454</v>
      </c>
      <c r="N156" s="579">
        <f t="shared" si="130"/>
        <v>0.5</v>
      </c>
      <c r="O156" s="475">
        <f t="shared" si="98"/>
        <v>751.91700000000026</v>
      </c>
      <c r="P156" s="1234">
        <f t="shared" si="127"/>
        <v>4663.7310688994457</v>
      </c>
      <c r="Q156" s="467">
        <f t="shared" si="99"/>
        <v>48426.264307642719</v>
      </c>
      <c r="R156" s="467">
        <f t="shared" si="125"/>
        <v>34738.322638119644</v>
      </c>
      <c r="S156" s="1255">
        <f t="shared" si="100"/>
        <v>0.83723960423590627</v>
      </c>
      <c r="T156" s="118" t="str">
        <f t="shared" si="101"/>
        <v>Yes</v>
      </c>
      <c r="U156" s="1255">
        <f t="shared" si="102"/>
        <v>0.83723960423590627</v>
      </c>
      <c r="V156" s="1268">
        <f t="shared" si="95"/>
        <v>50439.158862021308</v>
      </c>
      <c r="W156" s="1269">
        <f t="shared" si="103"/>
        <v>0.40783458287695618</v>
      </c>
      <c r="X156" s="473">
        <f t="shared" si="104"/>
        <v>13687.941669523072</v>
      </c>
      <c r="Y156" s="474">
        <f t="shared" si="105"/>
        <v>10518.495006649337</v>
      </c>
      <c r="Z156" s="474">
        <f t="shared" si="106"/>
        <v>4078.7466272155002</v>
      </c>
      <c r="AA156" s="474">
        <f t="shared" si="107"/>
        <v>0</v>
      </c>
      <c r="AB156" s="474">
        <f t="shared" si="108"/>
        <v>22153.975558633399</v>
      </c>
      <c r="AC156" s="474">
        <f t="shared" si="109"/>
        <v>50439.158862021308</v>
      </c>
      <c r="AD156" s="475">
        <f t="shared" si="110"/>
        <v>0</v>
      </c>
      <c r="AE156" s="100">
        <f t="shared" si="111"/>
        <v>0.27137529606643679</v>
      </c>
      <c r="AF156" s="100">
        <f t="shared" si="112"/>
        <v>0.20853827153270288</v>
      </c>
      <c r="AG156" s="100">
        <f t="shared" si="113"/>
        <v>8.086468369492647E-2</v>
      </c>
      <c r="AH156" s="100">
        <f t="shared" si="126"/>
        <v>0</v>
      </c>
      <c r="AI156" s="100">
        <f t="shared" si="114"/>
        <v>0.43922174870593383</v>
      </c>
      <c r="AJ156" s="471">
        <f t="shared" si="115"/>
        <v>1</v>
      </c>
      <c r="AK156" s="1250">
        <f t="shared" si="116"/>
        <v>6934.7695642436202</v>
      </c>
      <c r="AL156" s="1251">
        <f t="shared" si="117"/>
        <v>6395.1242696024528</v>
      </c>
      <c r="AM156" s="1251">
        <f t="shared" si="118"/>
        <v>358.04783567699775</v>
      </c>
      <c r="AN156" s="1251">
        <f t="shared" si="119"/>
        <v>13687.94166952307</v>
      </c>
      <c r="AO156" s="1022">
        <f t="shared" si="120"/>
        <v>0</v>
      </c>
    </row>
    <row r="157" spans="1:41">
      <c r="A157" s="89">
        <f>'Input data'!A137</f>
        <v>2037</v>
      </c>
      <c r="B157" s="152">
        <f>'Input data'!B137</f>
        <v>69.92691944658003</v>
      </c>
      <c r="C157" s="204">
        <f>'Input data'!C137</f>
        <v>6283.2400000000007</v>
      </c>
      <c r="D157" s="205">
        <f>'Input data'!D137</f>
        <v>6514539.8947081817</v>
      </c>
      <c r="E157" s="473">
        <f>'Input data'!J137*C157</f>
        <v>75593.947124217928</v>
      </c>
      <c r="F157" s="474">
        <f>'Input data'!L137</f>
        <v>82108.487018926113</v>
      </c>
      <c r="G157" s="474">
        <f t="shared" si="132"/>
        <v>13687.941669523079</v>
      </c>
      <c r="H157" s="474">
        <f t="shared" si="121"/>
        <v>35801.988095763634</v>
      </c>
      <c r="I157" s="475">
        <f t="shared" si="96"/>
        <v>6514.5398947081821</v>
      </c>
      <c r="J157" s="579">
        <f t="shared" si="131"/>
        <v>0.4</v>
      </c>
      <c r="K157" s="474">
        <f t="shared" si="123"/>
        <v>2204.8607593759925</v>
      </c>
      <c r="L157" s="474">
        <f t="shared" si="97"/>
        <v>0</v>
      </c>
      <c r="M157" s="475">
        <f t="shared" si="124"/>
        <v>2204.8607593759925</v>
      </c>
      <c r="N157" s="579">
        <f t="shared" si="130"/>
        <v>0.5</v>
      </c>
      <c r="O157" s="475">
        <f t="shared" si="98"/>
        <v>751.91700000000026</v>
      </c>
      <c r="P157" s="1234">
        <f t="shared" si="127"/>
        <v>2956.7777593759929</v>
      </c>
      <c r="Q157" s="467">
        <f t="shared" si="99"/>
        <v>46533.152005910728</v>
      </c>
      <c r="R157" s="467">
        <f t="shared" si="125"/>
        <v>32845.210336387652</v>
      </c>
      <c r="S157" s="1255">
        <f t="shared" si="100"/>
        <v>0.77057245866506452</v>
      </c>
      <c r="T157" s="118" t="str">
        <f t="shared" si="101"/>
        <v>Yes</v>
      </c>
      <c r="U157" s="1255">
        <f t="shared" si="102"/>
        <v>0.77057245866506452</v>
      </c>
      <c r="V157" s="1268">
        <f t="shared" si="95"/>
        <v>49263.276682538475</v>
      </c>
      <c r="W157" s="1269">
        <f t="shared" si="103"/>
        <v>0.4000221113417517</v>
      </c>
      <c r="X157" s="473">
        <f t="shared" si="104"/>
        <v>13687.941669523079</v>
      </c>
      <c r="Y157" s="474">
        <f t="shared" si="105"/>
        <v>8659.2387300236496</v>
      </c>
      <c r="Z157" s="474">
        <f t="shared" si="106"/>
        <v>4167.9694432240412</v>
      </c>
      <c r="AA157" s="474">
        <f t="shared" si="107"/>
        <v>0</v>
      </c>
      <c r="AB157" s="474">
        <f t="shared" si="108"/>
        <v>22748.126839767705</v>
      </c>
      <c r="AC157" s="474">
        <f t="shared" si="109"/>
        <v>49263.276682538475</v>
      </c>
      <c r="AD157" s="475">
        <f t="shared" si="110"/>
        <v>0</v>
      </c>
      <c r="AE157" s="100">
        <f t="shared" si="111"/>
        <v>0.27785284681184869</v>
      </c>
      <c r="AF157" s="100">
        <f t="shared" si="112"/>
        <v>0.17577472131676017</v>
      </c>
      <c r="AG157" s="100">
        <f t="shared" si="113"/>
        <v>8.4606013320697185E-2</v>
      </c>
      <c r="AH157" s="100">
        <f t="shared" si="126"/>
        <v>0</v>
      </c>
      <c r="AI157" s="100">
        <f t="shared" si="114"/>
        <v>0.461766418550694</v>
      </c>
      <c r="AJ157" s="471">
        <f t="shared" si="115"/>
        <v>1</v>
      </c>
      <c r="AK157" s="1250">
        <f t="shared" si="116"/>
        <v>3908.7239368249093</v>
      </c>
      <c r="AL157" s="1251">
        <f t="shared" si="117"/>
        <v>9256.3500649536418</v>
      </c>
      <c r="AM157" s="1251">
        <f t="shared" si="118"/>
        <v>522.8676677445269</v>
      </c>
      <c r="AN157" s="1251">
        <f t="shared" si="119"/>
        <v>13687.941669523078</v>
      </c>
      <c r="AO157" s="1022">
        <f t="shared" si="120"/>
        <v>0</v>
      </c>
    </row>
    <row r="158" spans="1:41">
      <c r="A158" s="89">
        <f>'Input data'!A138</f>
        <v>2038</v>
      </c>
      <c r="B158" s="152">
        <f>'Input data'!B138</f>
        <v>70.408978817025954</v>
      </c>
      <c r="C158" s="204">
        <f>'Input data'!C138</f>
        <v>6443.4999999999982</v>
      </c>
      <c r="D158" s="205">
        <f>'Input data'!D138</f>
        <v>4950160.264487111</v>
      </c>
      <c r="E158" s="473">
        <f>'Input data'!J138*C158</f>
        <v>77522.042496370981</v>
      </c>
      <c r="F158" s="474">
        <f>'Input data'!L138</f>
        <v>82472.202760858097</v>
      </c>
      <c r="G158" s="474">
        <f t="shared" si="132"/>
        <v>13687.941669523079</v>
      </c>
      <c r="H158" s="474">
        <f t="shared" si="121"/>
        <v>35440.247346165168</v>
      </c>
      <c r="I158" s="475">
        <f t="shared" si="96"/>
        <v>4950.1602644871109</v>
      </c>
      <c r="J158" s="579">
        <f t="shared" si="131"/>
        <v>0.4</v>
      </c>
      <c r="K158" s="474">
        <f t="shared" si="123"/>
        <v>1675.3929358320131</v>
      </c>
      <c r="L158" s="474">
        <f t="shared" si="97"/>
        <v>0</v>
      </c>
      <c r="M158" s="475">
        <f t="shared" si="124"/>
        <v>1675.3929358320131</v>
      </c>
      <c r="N158" s="579">
        <f t="shared" si="130"/>
        <v>0.5</v>
      </c>
      <c r="O158" s="475">
        <f t="shared" si="98"/>
        <v>751.91700000000026</v>
      </c>
      <c r="P158" s="1234">
        <f t="shared" si="127"/>
        <v>2427.3099358320133</v>
      </c>
      <c r="Q158" s="467">
        <f t="shared" si="99"/>
        <v>46700.87907985624</v>
      </c>
      <c r="R158" s="467">
        <f t="shared" si="125"/>
        <v>33012.937410333165</v>
      </c>
      <c r="S158" s="1255">
        <f t="shared" si="100"/>
        <v>0.75491302019100603</v>
      </c>
      <c r="T158" s="118" t="str">
        <f t="shared" si="101"/>
        <v>Yes</v>
      </c>
      <c r="U158" s="1255">
        <f t="shared" si="102"/>
        <v>0.75491302019100603</v>
      </c>
      <c r="V158" s="1268">
        <f t="shared" si="95"/>
        <v>49459.26535052494</v>
      </c>
      <c r="W158" s="1269">
        <f t="shared" si="103"/>
        <v>0.40029168986864183</v>
      </c>
      <c r="X158" s="473">
        <f t="shared" si="104"/>
        <v>13687.941669523078</v>
      </c>
      <c r="Y158" s="474">
        <f t="shared" si="105"/>
        <v>8187.8851714053408</v>
      </c>
      <c r="Z158" s="474">
        <f t="shared" si="106"/>
        <v>4255.0991031687627</v>
      </c>
      <c r="AA158" s="474">
        <f t="shared" si="107"/>
        <v>0</v>
      </c>
      <c r="AB158" s="474">
        <f t="shared" si="108"/>
        <v>23328.33940642776</v>
      </c>
      <c r="AC158" s="474">
        <f t="shared" si="109"/>
        <v>49459.26535052494</v>
      </c>
      <c r="AD158" s="475">
        <f t="shared" si="110"/>
        <v>0</v>
      </c>
      <c r="AE158" s="100">
        <f t="shared" si="111"/>
        <v>0.27675181935102883</v>
      </c>
      <c r="AF158" s="100">
        <f t="shared" si="112"/>
        <v>0.16554805481595045</v>
      </c>
      <c r="AG158" s="100">
        <f t="shared" si="113"/>
        <v>8.6032396013411491E-2</v>
      </c>
      <c r="AH158" s="100">
        <f t="shared" si="126"/>
        <v>0</v>
      </c>
      <c r="AI158" s="100">
        <f t="shared" si="114"/>
        <v>0.47166772981960925</v>
      </c>
      <c r="AJ158" s="471">
        <f t="shared" si="115"/>
        <v>1</v>
      </c>
      <c r="AK158" s="1250">
        <f t="shared" si="116"/>
        <v>2970.0961586922667</v>
      </c>
      <c r="AL158" s="1251">
        <f t="shared" si="117"/>
        <v>10140.342967301336</v>
      </c>
      <c r="AM158" s="1251">
        <f t="shared" si="118"/>
        <v>577.50254352947616</v>
      </c>
      <c r="AN158" s="1251">
        <f t="shared" si="119"/>
        <v>13687.941669523078</v>
      </c>
      <c r="AO158" s="1022">
        <f t="shared" si="120"/>
        <v>0</v>
      </c>
    </row>
    <row r="159" spans="1:41">
      <c r="A159" s="89">
        <f>'Input data'!A139</f>
        <v>2039</v>
      </c>
      <c r="B159" s="152">
        <f>'Input data'!B139</f>
        <v>70.877294017675013</v>
      </c>
      <c r="C159" s="204">
        <f>'Input data'!C139</f>
        <v>6615.260000000002</v>
      </c>
      <c r="D159" s="205">
        <f>'Input data'!D139</f>
        <v>3385780.6342660398</v>
      </c>
      <c r="E159" s="473">
        <f>'Input data'!J139*C159</f>
        <v>79588.494893232477</v>
      </c>
      <c r="F159" s="474">
        <f>'Input data'!L139</f>
        <v>82974.27552749851</v>
      </c>
      <c r="G159" s="474">
        <f t="shared" si="132"/>
        <v>13687.941669523079</v>
      </c>
      <c r="H159" s="474">
        <f t="shared" si="121"/>
        <v>35157.89684241038</v>
      </c>
      <c r="I159" s="475">
        <f t="shared" si="96"/>
        <v>3385.7806342660397</v>
      </c>
      <c r="J159" s="579">
        <f t="shared" si="131"/>
        <v>0.4</v>
      </c>
      <c r="K159" s="474">
        <f t="shared" si="123"/>
        <v>1145.9251122880339</v>
      </c>
      <c r="L159" s="474">
        <f t="shared" si="97"/>
        <v>0</v>
      </c>
      <c r="M159" s="475">
        <f t="shared" si="124"/>
        <v>1145.9251122880339</v>
      </c>
      <c r="N159" s="579">
        <f t="shared" si="130"/>
        <v>0.5</v>
      </c>
      <c r="O159" s="475">
        <f t="shared" si="98"/>
        <v>751.91700000000026</v>
      </c>
      <c r="P159" s="1234">
        <f t="shared" si="127"/>
        <v>1897.8421122880341</v>
      </c>
      <c r="Q159" s="467">
        <f t="shared" si="99"/>
        <v>46947.996399645432</v>
      </c>
      <c r="R159" s="467">
        <f t="shared" si="125"/>
        <v>33260.054730122356</v>
      </c>
      <c r="S159" s="1255">
        <f t="shared" si="100"/>
        <v>0.74048587896173945</v>
      </c>
      <c r="T159" s="118" t="str">
        <f t="shared" si="101"/>
        <v>Yes</v>
      </c>
      <c r="U159" s="1255">
        <f t="shared" si="102"/>
        <v>0.74048587896173945</v>
      </c>
      <c r="V159" s="1268">
        <f t="shared" si="95"/>
        <v>49714.220797376176</v>
      </c>
      <c r="W159" s="1269">
        <f t="shared" si="103"/>
        <v>0.4008477870843189</v>
      </c>
      <c r="X159" s="473">
        <f t="shared" si="104"/>
        <v>13687.941669523078</v>
      </c>
      <c r="Y159" s="474">
        <f t="shared" si="105"/>
        <v>7727.6109861484929</v>
      </c>
      <c r="Z159" s="474">
        <f t="shared" si="106"/>
        <v>4348.4810474599535</v>
      </c>
      <c r="AA159" s="474">
        <f t="shared" si="107"/>
        <v>0</v>
      </c>
      <c r="AB159" s="474">
        <f t="shared" si="108"/>
        <v>23950.187094244651</v>
      </c>
      <c r="AC159" s="474">
        <f t="shared" si="109"/>
        <v>49714.220797376176</v>
      </c>
      <c r="AD159" s="475">
        <f t="shared" si="110"/>
        <v>0</v>
      </c>
      <c r="AE159" s="100">
        <f t="shared" si="111"/>
        <v>0.27533251954832011</v>
      </c>
      <c r="AF159" s="100">
        <f t="shared" si="112"/>
        <v>0.15544065384519395</v>
      </c>
      <c r="AG159" s="100">
        <f t="shared" si="113"/>
        <v>8.7469560574696931E-2</v>
      </c>
      <c r="AH159" s="100">
        <f t="shared" si="126"/>
        <v>0</v>
      </c>
      <c r="AI159" s="100">
        <f t="shared" si="114"/>
        <v>0.48175726603178898</v>
      </c>
      <c r="AJ159" s="471">
        <f t="shared" si="115"/>
        <v>1</v>
      </c>
      <c r="AK159" s="1250">
        <f t="shared" si="116"/>
        <v>2031.4683805596235</v>
      </c>
      <c r="AL159" s="1251">
        <f t="shared" si="117"/>
        <v>11023.47402965083</v>
      </c>
      <c r="AM159" s="1251">
        <f t="shared" si="118"/>
        <v>632.99925931262294</v>
      </c>
      <c r="AN159" s="1251">
        <f t="shared" si="119"/>
        <v>13687.941669523076</v>
      </c>
      <c r="AO159" s="1022">
        <f t="shared" si="120"/>
        <v>0</v>
      </c>
    </row>
    <row r="160" spans="1:41">
      <c r="A160" s="89">
        <f>'Input data'!A140</f>
        <v>2040</v>
      </c>
      <c r="B160" s="152">
        <f>'Input data'!B140</f>
        <v>71.331543257193218</v>
      </c>
      <c r="C160" s="204">
        <f>'Input data'!C140</f>
        <v>6787.6000000000013</v>
      </c>
      <c r="D160" s="205">
        <f>'Input data'!D140</f>
        <v>1821401.0040449696</v>
      </c>
      <c r="E160" s="473">
        <f>'Input data'!J140*C160</f>
        <v>81661.925296557456</v>
      </c>
      <c r="F160" s="474">
        <f>'Input data'!L140</f>
        <v>83483.326300602421</v>
      </c>
      <c r="G160" s="474">
        <f t="shared" si="132"/>
        <v>13687.941669523079</v>
      </c>
      <c r="H160" s="474">
        <f t="shared" si="121"/>
        <v>34879.55036844594</v>
      </c>
      <c r="I160" s="475">
        <f t="shared" si="96"/>
        <v>1821.4010040449696</v>
      </c>
      <c r="J160" s="579">
        <f t="shared" si="131"/>
        <v>0.4</v>
      </c>
      <c r="K160" s="474">
        <f t="shared" si="123"/>
        <v>616.45728874405495</v>
      </c>
      <c r="L160" s="474">
        <f t="shared" si="97"/>
        <v>0</v>
      </c>
      <c r="M160" s="475">
        <f t="shared" si="124"/>
        <v>616.45728874405495</v>
      </c>
      <c r="N160" s="579">
        <f t="shared" si="130"/>
        <v>0.5</v>
      </c>
      <c r="O160" s="475">
        <f t="shared" si="98"/>
        <v>751.91700000000026</v>
      </c>
      <c r="P160" s="1234">
        <f t="shared" si="127"/>
        <v>1368.3742887440553</v>
      </c>
      <c r="Q160" s="467">
        <f t="shared" si="99"/>
        <v>47199.117749224963</v>
      </c>
      <c r="R160" s="467">
        <f t="shared" si="125"/>
        <v>33511.17607970188</v>
      </c>
      <c r="S160" s="1255">
        <f t="shared" si="100"/>
        <v>0.72682459208331862</v>
      </c>
      <c r="T160" s="118" t="str">
        <f t="shared" si="101"/>
        <v>Yes</v>
      </c>
      <c r="U160" s="1255">
        <f t="shared" si="102"/>
        <v>0.72682459208331862</v>
      </c>
      <c r="V160" s="1268">
        <f t="shared" si="95"/>
        <v>49972.150220900563</v>
      </c>
      <c r="W160" s="1269">
        <f t="shared" si="103"/>
        <v>0.40141160594196446</v>
      </c>
      <c r="X160" s="473">
        <f t="shared" si="104"/>
        <v>13687.941669523083</v>
      </c>
      <c r="Y160" s="474">
        <f t="shared" si="105"/>
        <v>7267.8955866785645</v>
      </c>
      <c r="Z160" s="474">
        <f t="shared" si="106"/>
        <v>4442.1783243529617</v>
      </c>
      <c r="AA160" s="474">
        <f t="shared" si="107"/>
        <v>0</v>
      </c>
      <c r="AB160" s="474">
        <f t="shared" si="108"/>
        <v>24574.134640345954</v>
      </c>
      <c r="AC160" s="474">
        <f t="shared" si="109"/>
        <v>49972.150220900563</v>
      </c>
      <c r="AD160" s="475">
        <f t="shared" si="110"/>
        <v>0</v>
      </c>
      <c r="AE160" s="100">
        <f t="shared" si="111"/>
        <v>0.27391140083058063</v>
      </c>
      <c r="AF160" s="100">
        <f t="shared" si="112"/>
        <v>0.14543892056977786</v>
      </c>
      <c r="AG160" s="100">
        <f t="shared" si="113"/>
        <v>8.8893079539632186E-2</v>
      </c>
      <c r="AH160" s="100">
        <f t="shared" si="126"/>
        <v>0</v>
      </c>
      <c r="AI160" s="100">
        <f t="shared" si="114"/>
        <v>0.49175659906000929</v>
      </c>
      <c r="AJ160" s="471">
        <f t="shared" si="115"/>
        <v>1</v>
      </c>
      <c r="AK160" s="1250">
        <f t="shared" si="116"/>
        <v>1092.8406024269816</v>
      </c>
      <c r="AL160" s="1251">
        <f t="shared" si="117"/>
        <v>11906.069471300743</v>
      </c>
      <c r="AM160" s="1251">
        <f t="shared" si="118"/>
        <v>689.03159579535554</v>
      </c>
      <c r="AN160" s="1251">
        <f t="shared" si="119"/>
        <v>13687.941669523081</v>
      </c>
      <c r="AO160" s="1022">
        <f t="shared" si="120"/>
        <v>0</v>
      </c>
    </row>
    <row r="161" spans="1:41">
      <c r="A161" s="89">
        <f>'Input data'!A141</f>
        <v>2041</v>
      </c>
      <c r="B161" s="152">
        <f>'Input data'!B141</f>
        <v>71.772879261991122</v>
      </c>
      <c r="C161" s="204">
        <f>'Input data'!C141</f>
        <v>6981.3799999999992</v>
      </c>
      <c r="D161" s="205">
        <f>'Input data'!D141</f>
        <v>1694135.0775526946</v>
      </c>
      <c r="E161" s="473">
        <f>'Input data'!J141*C161</f>
        <v>83993.301318121303</v>
      </c>
      <c r="F161" s="474">
        <f>'Input data'!L141</f>
        <v>85687.436395673998</v>
      </c>
      <c r="G161" s="474">
        <f t="shared" si="132"/>
        <v>13687.941669523079</v>
      </c>
      <c r="H161" s="474">
        <f t="shared" si="121"/>
        <v>36097.877531892707</v>
      </c>
      <c r="I161" s="475">
        <f t="shared" si="96"/>
        <v>1694.1350775526946</v>
      </c>
      <c r="J161" s="579">
        <f t="shared" si="131"/>
        <v>0.4</v>
      </c>
      <c r="K161" s="474">
        <f t="shared" si="123"/>
        <v>573.38384812296317</v>
      </c>
      <c r="L161" s="474">
        <f t="shared" si="97"/>
        <v>0</v>
      </c>
      <c r="M161" s="475">
        <f t="shared" si="124"/>
        <v>573.38384812296317</v>
      </c>
      <c r="N161" s="579">
        <f t="shared" si="130"/>
        <v>0.5</v>
      </c>
      <c r="O161" s="475">
        <f t="shared" si="98"/>
        <v>751.91700000000026</v>
      </c>
      <c r="P161" s="1234">
        <f t="shared" si="127"/>
        <v>1325.3008481229635</v>
      </c>
      <c r="Q161" s="467">
        <f t="shared" si="99"/>
        <v>48460.518353292828</v>
      </c>
      <c r="R161" s="467">
        <f t="shared" si="125"/>
        <v>34772.576683769745</v>
      </c>
      <c r="S161" s="1255">
        <f t="shared" si="100"/>
        <v>0.73291774177941504</v>
      </c>
      <c r="T161" s="118" t="str">
        <f t="shared" si="101"/>
        <v>Yes</v>
      </c>
      <c r="U161" s="1255">
        <f t="shared" si="102"/>
        <v>0.73291774177941504</v>
      </c>
      <c r="V161" s="1268">
        <f t="shared" si="95"/>
        <v>50914.859711904268</v>
      </c>
      <c r="W161" s="1269">
        <f t="shared" si="103"/>
        <v>0.40580717718292303</v>
      </c>
      <c r="X161" s="473">
        <f t="shared" si="104"/>
        <v>13687.941669523079</v>
      </c>
      <c r="Y161" s="474">
        <f t="shared" si="105"/>
        <v>7403.681474340985</v>
      </c>
      <c r="Z161" s="474">
        <f t="shared" si="106"/>
        <v>4547.532033975378</v>
      </c>
      <c r="AA161" s="474">
        <f t="shared" si="107"/>
        <v>0</v>
      </c>
      <c r="AB161" s="474">
        <f t="shared" si="108"/>
        <v>25275.704534064822</v>
      </c>
      <c r="AC161" s="474">
        <f t="shared" si="109"/>
        <v>50914.859711904268</v>
      </c>
      <c r="AD161" s="475">
        <f t="shared" si="110"/>
        <v>0</v>
      </c>
      <c r="AE161" s="100">
        <f t="shared" si="111"/>
        <v>0.26883981900322784</v>
      </c>
      <c r="AF161" s="100">
        <f t="shared" si="112"/>
        <v>0.14541297994797284</v>
      </c>
      <c r="AG161" s="100">
        <f t="shared" si="113"/>
        <v>8.9316401139216572E-2</v>
      </c>
      <c r="AH161" s="100">
        <f t="shared" si="126"/>
        <v>0</v>
      </c>
      <c r="AI161" s="100">
        <f t="shared" si="114"/>
        <v>0.49643079990958272</v>
      </c>
      <c r="AJ161" s="471">
        <f t="shared" si="115"/>
        <v>1</v>
      </c>
      <c r="AK161" s="1250">
        <f t="shared" si="116"/>
        <v>1016.4810465316166</v>
      </c>
      <c r="AL161" s="1251">
        <f t="shared" si="117"/>
        <v>11972.831987555994</v>
      </c>
      <c r="AM161" s="1251">
        <f t="shared" si="118"/>
        <v>698.62863543546598</v>
      </c>
      <c r="AN161" s="1251">
        <f t="shared" si="119"/>
        <v>13687.941669523076</v>
      </c>
      <c r="AO161" s="1022">
        <f t="shared" si="120"/>
        <v>0</v>
      </c>
    </row>
    <row r="162" spans="1:41">
      <c r="A162" s="89">
        <f>'Input data'!A142</f>
        <v>2042</v>
      </c>
      <c r="B162" s="152">
        <f>'Input data'!B142</f>
        <v>72.201023455996193</v>
      </c>
      <c r="C162" s="204">
        <f>'Input data'!C142</f>
        <v>7178.2100000000019</v>
      </c>
      <c r="D162" s="205">
        <f>'Input data'!D142</f>
        <v>1566869.1510604194</v>
      </c>
      <c r="E162" s="473">
        <f>'Input data'!J142*C162</f>
        <v>86361.372028846978</v>
      </c>
      <c r="F162" s="474">
        <f>'Input data'!L142</f>
        <v>87928.241179907403</v>
      </c>
      <c r="G162" s="474">
        <f t="shared" si="132"/>
        <v>13687.941669523079</v>
      </c>
      <c r="H162" s="474">
        <f t="shared" si="121"/>
        <v>37337.260369237163</v>
      </c>
      <c r="I162" s="475">
        <f t="shared" si="96"/>
        <v>1566.8691510604194</v>
      </c>
      <c r="J162" s="579">
        <f t="shared" si="131"/>
        <v>0.4</v>
      </c>
      <c r="K162" s="474">
        <f t="shared" si="123"/>
        <v>530.31040750187128</v>
      </c>
      <c r="L162" s="474">
        <f t="shared" si="97"/>
        <v>0</v>
      </c>
      <c r="M162" s="475">
        <f t="shared" si="124"/>
        <v>530.31040750187128</v>
      </c>
      <c r="N162" s="579">
        <f t="shared" si="130"/>
        <v>0.5</v>
      </c>
      <c r="O162" s="475">
        <f t="shared" si="98"/>
        <v>751.91700000000026</v>
      </c>
      <c r="P162" s="1234">
        <f t="shared" si="127"/>
        <v>1282.2274075018715</v>
      </c>
      <c r="Q162" s="467">
        <f t="shared" si="99"/>
        <v>49742.974631258374</v>
      </c>
      <c r="R162" s="467">
        <f t="shared" si="125"/>
        <v>36055.032961735298</v>
      </c>
      <c r="S162" s="1255">
        <f t="shared" si="100"/>
        <v>0.73878944859730145</v>
      </c>
      <c r="T162" s="118" t="str">
        <f t="shared" si="101"/>
        <v>Yes</v>
      </c>
      <c r="U162" s="1255">
        <f t="shared" si="102"/>
        <v>0.73878944859730145</v>
      </c>
      <c r="V162" s="1268">
        <f t="shared" si="95"/>
        <v>51873.208218172105</v>
      </c>
      <c r="W162" s="1269">
        <f t="shared" si="103"/>
        <v>0.41005065582927047</v>
      </c>
      <c r="X162" s="473">
        <f t="shared" si="104"/>
        <v>13687.941669523074</v>
      </c>
      <c r="Y162" s="474">
        <f t="shared" si="105"/>
        <v>7542.4058045036199</v>
      </c>
      <c r="Z162" s="474">
        <f t="shared" si="106"/>
        <v>4654.5439581418577</v>
      </c>
      <c r="AA162" s="474">
        <f t="shared" si="107"/>
        <v>0</v>
      </c>
      <c r="AB162" s="474">
        <f t="shared" si="108"/>
        <v>25988.316786003554</v>
      </c>
      <c r="AC162" s="474">
        <f t="shared" si="109"/>
        <v>51873.208218172105</v>
      </c>
      <c r="AD162" s="475">
        <f t="shared" si="110"/>
        <v>0</v>
      </c>
      <c r="AE162" s="100">
        <f t="shared" si="111"/>
        <v>0.26387305007150003</v>
      </c>
      <c r="AF162" s="100">
        <f t="shared" si="112"/>
        <v>0.14540079674234185</v>
      </c>
      <c r="AG162" s="100">
        <f t="shared" si="113"/>
        <v>8.9729247872339782E-2</v>
      </c>
      <c r="AH162" s="100">
        <f t="shared" si="126"/>
        <v>0</v>
      </c>
      <c r="AI162" s="100">
        <f t="shared" si="114"/>
        <v>0.50099690531381835</v>
      </c>
      <c r="AJ162" s="471">
        <f t="shared" si="115"/>
        <v>1</v>
      </c>
      <c r="AK162" s="1250">
        <f t="shared" si="116"/>
        <v>940.12149063625145</v>
      </c>
      <c r="AL162" s="1251">
        <f t="shared" si="117"/>
        <v>12039.749375803829</v>
      </c>
      <c r="AM162" s="1251">
        <f t="shared" si="118"/>
        <v>708.07080308299203</v>
      </c>
      <c r="AN162" s="1251">
        <f t="shared" si="119"/>
        <v>13687.941669523072</v>
      </c>
      <c r="AO162" s="1022">
        <f t="shared" si="120"/>
        <v>0</v>
      </c>
    </row>
    <row r="163" spans="1:41">
      <c r="A163" s="89">
        <f>'Input data'!A143</f>
        <v>2043</v>
      </c>
      <c r="B163" s="152">
        <f>'Input data'!B143</f>
        <v>72.615704257339331</v>
      </c>
      <c r="C163" s="204">
        <f>'Input data'!C143</f>
        <v>7380.12</v>
      </c>
      <c r="D163" s="205">
        <f>'Input data'!D143</f>
        <v>1439603.2245681447</v>
      </c>
      <c r="E163" s="473">
        <f>'Input data'!J143*C163</f>
        <v>88790.560451356811</v>
      </c>
      <c r="F163" s="474">
        <f>'Input data'!L143</f>
        <v>90230.163675924952</v>
      </c>
      <c r="G163" s="474">
        <f t="shared" si="132"/>
        <v>13687.941669523079</v>
      </c>
      <c r="H163" s="474">
        <f t="shared" si="121"/>
        <v>38611.712984745565</v>
      </c>
      <c r="I163" s="475">
        <f t="shared" si="96"/>
        <v>1439.6032245681447</v>
      </c>
      <c r="J163" s="579">
        <f t="shared" si="131"/>
        <v>0.4</v>
      </c>
      <c r="K163" s="474">
        <f t="shared" si="123"/>
        <v>487.23696688077951</v>
      </c>
      <c r="L163" s="474">
        <f t="shared" si="97"/>
        <v>0</v>
      </c>
      <c r="M163" s="475">
        <f t="shared" si="124"/>
        <v>487.23696688077951</v>
      </c>
      <c r="N163" s="579">
        <f t="shared" si="130"/>
        <v>0.5</v>
      </c>
      <c r="O163" s="475">
        <f t="shared" si="98"/>
        <v>751.91700000000026</v>
      </c>
      <c r="P163" s="1234">
        <f t="shared" si="127"/>
        <v>1239.1539668807798</v>
      </c>
      <c r="Q163" s="467">
        <f t="shared" si="99"/>
        <v>51060.500687387859</v>
      </c>
      <c r="R163" s="467">
        <f t="shared" si="125"/>
        <v>37372.559017864784</v>
      </c>
      <c r="S163" s="1255">
        <f t="shared" si="100"/>
        <v>0.74452165512234703</v>
      </c>
      <c r="T163" s="118" t="str">
        <f t="shared" si="101"/>
        <v>Yes</v>
      </c>
      <c r="U163" s="1255">
        <f t="shared" si="102"/>
        <v>0.74452165512234703</v>
      </c>
      <c r="V163" s="1268">
        <f t="shared" si="95"/>
        <v>52857.604658060183</v>
      </c>
      <c r="W163" s="1269">
        <f t="shared" si="103"/>
        <v>0.41419141332929277</v>
      </c>
      <c r="X163" s="473">
        <f t="shared" si="104"/>
        <v>13687.941669523079</v>
      </c>
      <c r="Y163" s="474">
        <f t="shared" si="105"/>
        <v>7686.0243274207023</v>
      </c>
      <c r="Z163" s="474">
        <f t="shared" si="106"/>
        <v>4764.3177609587738</v>
      </c>
      <c r="AA163" s="474">
        <f t="shared" si="107"/>
        <v>0</v>
      </c>
      <c r="AB163" s="474">
        <f t="shared" si="108"/>
        <v>26719.320900157629</v>
      </c>
      <c r="AC163" s="474">
        <f t="shared" si="109"/>
        <v>52857.604658060183</v>
      </c>
      <c r="AD163" s="475">
        <f t="shared" si="110"/>
        <v>0</v>
      </c>
      <c r="AE163" s="100">
        <f t="shared" si="111"/>
        <v>0.25895879614809264</v>
      </c>
      <c r="AF163" s="100">
        <f t="shared" si="112"/>
        <v>0.14541000064498139</v>
      </c>
      <c r="AG163" s="100">
        <f t="shared" si="113"/>
        <v>9.0134953934812287E-2</v>
      </c>
      <c r="AH163" s="100">
        <f t="shared" si="126"/>
        <v>0</v>
      </c>
      <c r="AI163" s="100">
        <f t="shared" si="114"/>
        <v>0.50549624927211367</v>
      </c>
      <c r="AJ163" s="471">
        <f t="shared" si="115"/>
        <v>1</v>
      </c>
      <c r="AK163" s="1250">
        <f t="shared" si="116"/>
        <v>863.76193474088666</v>
      </c>
      <c r="AL163" s="1251">
        <f t="shared" si="117"/>
        <v>12106.764327308134</v>
      </c>
      <c r="AM163" s="1251">
        <f t="shared" si="118"/>
        <v>717.41540747405691</v>
      </c>
      <c r="AN163" s="1251">
        <f t="shared" si="119"/>
        <v>13687.941669523078</v>
      </c>
      <c r="AO163" s="1022">
        <f t="shared" si="120"/>
        <v>0</v>
      </c>
    </row>
    <row r="164" spans="1:41">
      <c r="A164" s="89">
        <f>'Input data'!A144</f>
        <v>2044</v>
      </c>
      <c r="B164" s="152">
        <f>'Input data'!B144</f>
        <v>73.016657364175842</v>
      </c>
      <c r="C164" s="204">
        <f>'Input data'!C144</f>
        <v>7589.87</v>
      </c>
      <c r="D164" s="205">
        <f>'Input data'!D144</f>
        <v>1312337.2980758694</v>
      </c>
      <c r="E164" s="473">
        <f>'Input data'!J144*C164</f>
        <v>91314.072271580881</v>
      </c>
      <c r="F164" s="474">
        <f>'Input data'!L144</f>
        <v>92626.409569656753</v>
      </c>
      <c r="G164" s="474">
        <f t="shared" si="132"/>
        <v>13687.941669523079</v>
      </c>
      <c r="H164" s="474">
        <f t="shared" si="121"/>
        <v>39940.2890374204</v>
      </c>
      <c r="I164" s="475">
        <f t="shared" si="96"/>
        <v>1312.3372980758695</v>
      </c>
      <c r="J164" s="579">
        <f t="shared" si="131"/>
        <v>0.4</v>
      </c>
      <c r="K164" s="474">
        <f t="shared" si="123"/>
        <v>444.16352625968761</v>
      </c>
      <c r="L164" s="474">
        <f t="shared" si="97"/>
        <v>0</v>
      </c>
      <c r="M164" s="475">
        <f t="shared" si="124"/>
        <v>444.16352625968761</v>
      </c>
      <c r="N164" s="579">
        <f t="shared" si="130"/>
        <v>0.5</v>
      </c>
      <c r="O164" s="475">
        <f t="shared" si="98"/>
        <v>751.91700000000026</v>
      </c>
      <c r="P164" s="1234">
        <f t="shared" si="127"/>
        <v>1196.0805262596878</v>
      </c>
      <c r="Q164" s="467">
        <f t="shared" si="99"/>
        <v>52432.150180683791</v>
      </c>
      <c r="R164" s="467">
        <f t="shared" si="125"/>
        <v>38744.208511160716</v>
      </c>
      <c r="S164" s="1255">
        <f t="shared" si="100"/>
        <v>0.75020617120298216</v>
      </c>
      <c r="T164" s="118" t="str">
        <f t="shared" si="101"/>
        <v>Yes</v>
      </c>
      <c r="U164" s="1255">
        <f t="shared" si="102"/>
        <v>0.75020617120298216</v>
      </c>
      <c r="V164" s="1268">
        <f t="shared" si="95"/>
        <v>53882.201058496052</v>
      </c>
      <c r="W164" s="1269">
        <f t="shared" si="103"/>
        <v>0.41828468458581836</v>
      </c>
      <c r="X164" s="473">
        <f t="shared" si="104"/>
        <v>13687.941669523076</v>
      </c>
      <c r="Y164" s="474">
        <f t="shared" si="105"/>
        <v>7837.1960926989841</v>
      </c>
      <c r="Z164" s="474">
        <f t="shared" si="106"/>
        <v>4878.3539906692804</v>
      </c>
      <c r="AA164" s="474">
        <f t="shared" si="107"/>
        <v>0</v>
      </c>
      <c r="AB164" s="474">
        <f t="shared" si="108"/>
        <v>27478.709305604705</v>
      </c>
      <c r="AC164" s="474">
        <f t="shared" si="109"/>
        <v>53882.201058496052</v>
      </c>
      <c r="AD164" s="475">
        <f t="shared" si="110"/>
        <v>0</v>
      </c>
      <c r="AE164" s="100">
        <f t="shared" si="111"/>
        <v>0.25403456801371305</v>
      </c>
      <c r="AF164" s="100">
        <f t="shared" si="112"/>
        <v>0.14545055581880742</v>
      </c>
      <c r="AG164" s="100">
        <f t="shared" si="113"/>
        <v>9.0537392586713381E-2</v>
      </c>
      <c r="AH164" s="100">
        <f t="shared" si="126"/>
        <v>0</v>
      </c>
      <c r="AI164" s="100">
        <f t="shared" si="114"/>
        <v>0.509977483580766</v>
      </c>
      <c r="AJ164" s="471">
        <f t="shared" si="115"/>
        <v>0.99999999999999978</v>
      </c>
      <c r="AK164" s="1250">
        <f t="shared" si="116"/>
        <v>787.40237884552153</v>
      </c>
      <c r="AL164" s="1251">
        <f t="shared" si="117"/>
        <v>12173.812632398749</v>
      </c>
      <c r="AM164" s="1251">
        <f t="shared" si="118"/>
        <v>726.72665827880212</v>
      </c>
      <c r="AN164" s="1251">
        <f t="shared" si="119"/>
        <v>13687.941669523072</v>
      </c>
      <c r="AO164" s="1022">
        <f t="shared" si="120"/>
        <v>0</v>
      </c>
    </row>
    <row r="165" spans="1:41">
      <c r="A165" s="89">
        <f>'Input data'!A145</f>
        <v>2045</v>
      </c>
      <c r="B165" s="152">
        <f>'Input data'!B145</f>
        <v>73.40362603426334</v>
      </c>
      <c r="C165" s="204">
        <f>'Input data'!C145</f>
        <v>7808.4800000000005</v>
      </c>
      <c r="D165" s="205">
        <f>'Input data'!D145</f>
        <v>1185071.3715835942</v>
      </c>
      <c r="E165" s="473">
        <f>'Input data'!J145*C165</f>
        <v>93944.179156058526</v>
      </c>
      <c r="F165" s="474">
        <f>'Input data'!L145</f>
        <v>95129.250527642114</v>
      </c>
      <c r="G165" s="474">
        <f t="shared" si="132"/>
        <v>13687.941669523079</v>
      </c>
      <c r="H165" s="474">
        <f t="shared" si="121"/>
        <v>41330.030096893039</v>
      </c>
      <c r="I165" s="475">
        <f t="shared" si="96"/>
        <v>1185.0713715835943</v>
      </c>
      <c r="J165" s="579">
        <f t="shared" si="131"/>
        <v>0.4</v>
      </c>
      <c r="K165" s="474">
        <f t="shared" si="123"/>
        <v>401.09008563859572</v>
      </c>
      <c r="L165" s="474">
        <f t="shared" si="97"/>
        <v>0</v>
      </c>
      <c r="M165" s="475">
        <f t="shared" si="124"/>
        <v>401.09008563859572</v>
      </c>
      <c r="N165" s="579">
        <f t="shared" si="130"/>
        <v>0.5</v>
      </c>
      <c r="O165" s="475">
        <f t="shared" si="98"/>
        <v>751.91700000000026</v>
      </c>
      <c r="P165" s="1234">
        <f t="shared" si="127"/>
        <v>1153.007085638596</v>
      </c>
      <c r="Q165" s="467">
        <f t="shared" si="99"/>
        <v>53864.964680777521</v>
      </c>
      <c r="R165" s="467">
        <f t="shared" si="125"/>
        <v>40177.023011254438</v>
      </c>
      <c r="S165" s="1255">
        <f t="shared" si="100"/>
        <v>0.75586187447686948</v>
      </c>
      <c r="T165" s="118" t="str">
        <f t="shared" si="101"/>
        <v>Yes</v>
      </c>
      <c r="U165" s="1255">
        <f t="shared" si="102"/>
        <v>0.75586187447686948</v>
      </c>
      <c r="V165" s="1268">
        <f t="shared" si="95"/>
        <v>54952.227516387698</v>
      </c>
      <c r="W165" s="1269">
        <f t="shared" si="103"/>
        <v>0.4223414227318022</v>
      </c>
      <c r="X165" s="473">
        <f t="shared" si="104"/>
        <v>13687.941669523083</v>
      </c>
      <c r="Y165" s="474">
        <f t="shared" si="105"/>
        <v>7996.9037925844377</v>
      </c>
      <c r="Z165" s="474">
        <f t="shared" si="106"/>
        <v>4997.2071977110627</v>
      </c>
      <c r="AA165" s="474">
        <f t="shared" si="107"/>
        <v>0</v>
      </c>
      <c r="AB165" s="474">
        <f t="shared" si="108"/>
        <v>28270.174856569116</v>
      </c>
      <c r="AC165" s="474">
        <f t="shared" si="109"/>
        <v>54952.227516387698</v>
      </c>
      <c r="AD165" s="475">
        <f t="shared" si="110"/>
        <v>0</v>
      </c>
      <c r="AE165" s="100">
        <f t="shared" si="111"/>
        <v>0.24908802223606138</v>
      </c>
      <c r="AF165" s="100">
        <f t="shared" si="112"/>
        <v>0.14552465212078297</v>
      </c>
      <c r="AG165" s="100">
        <f t="shared" si="113"/>
        <v>9.0937299970611923E-2</v>
      </c>
      <c r="AH165" s="100">
        <f t="shared" si="126"/>
        <v>0</v>
      </c>
      <c r="AI165" s="100">
        <f t="shared" si="114"/>
        <v>0.51445002567254372</v>
      </c>
      <c r="AJ165" s="471">
        <f t="shared" si="115"/>
        <v>1</v>
      </c>
      <c r="AK165" s="1250">
        <f t="shared" si="116"/>
        <v>711.04282295015662</v>
      </c>
      <c r="AL165" s="1251">
        <f t="shared" si="117"/>
        <v>12240.881088495491</v>
      </c>
      <c r="AM165" s="1251">
        <f t="shared" si="118"/>
        <v>736.01775807743343</v>
      </c>
      <c r="AN165" s="1251">
        <f t="shared" si="119"/>
        <v>13687.941669523079</v>
      </c>
      <c r="AO165" s="1022">
        <f t="shared" si="120"/>
        <v>0</v>
      </c>
    </row>
    <row r="166" spans="1:41">
      <c r="A166" s="89">
        <f>'Input data'!A146</f>
        <v>2046</v>
      </c>
      <c r="B166" s="152">
        <f>'Input data'!B146</f>
        <v>73.776422042674071</v>
      </c>
      <c r="C166" s="204">
        <f>'Input data'!C146</f>
        <v>8042.25</v>
      </c>
      <c r="D166" s="205">
        <f>'Input data'!D146</f>
        <v>990067.58809674683</v>
      </c>
      <c r="E166" s="473">
        <f>'Input data'!J146*C166</f>
        <v>96756.67669223866</v>
      </c>
      <c r="F166" s="474">
        <f>'Input data'!L146</f>
        <v>97746.744280335406</v>
      </c>
      <c r="G166" s="474">
        <f t="shared" si="132"/>
        <v>13687.941669523079</v>
      </c>
      <c r="H166" s="474">
        <f t="shared" si="121"/>
        <v>42760.859465807196</v>
      </c>
      <c r="I166" s="475">
        <f t="shared" si="96"/>
        <v>990.06758809674682</v>
      </c>
      <c r="J166" s="579">
        <f t="shared" si="131"/>
        <v>0.4</v>
      </c>
      <c r="K166" s="474">
        <f t="shared" si="123"/>
        <v>335.09061413497358</v>
      </c>
      <c r="L166" s="474">
        <f t="shared" si="97"/>
        <v>0</v>
      </c>
      <c r="M166" s="475">
        <f t="shared" si="124"/>
        <v>335.09061413497358</v>
      </c>
      <c r="N166" s="579">
        <f t="shared" si="130"/>
        <v>0.5</v>
      </c>
      <c r="O166" s="475">
        <f t="shared" si="98"/>
        <v>751.91700000000026</v>
      </c>
      <c r="P166" s="1234">
        <f t="shared" si="127"/>
        <v>1087.0076141349739</v>
      </c>
      <c r="Q166" s="467">
        <f t="shared" si="99"/>
        <v>55361.793521195308</v>
      </c>
      <c r="R166" s="467">
        <f t="shared" si="125"/>
        <v>41673.851851672225</v>
      </c>
      <c r="S166" s="1255">
        <f t="shared" si="100"/>
        <v>0.76091951181135764</v>
      </c>
      <c r="T166" s="118" t="str">
        <f t="shared" si="101"/>
        <v>Yes</v>
      </c>
      <c r="U166" s="1255">
        <f t="shared" si="102"/>
        <v>0.76091951181135764</v>
      </c>
      <c r="V166" s="1268">
        <f t="shared" si="95"/>
        <v>56072.892428663195</v>
      </c>
      <c r="W166" s="1269">
        <f t="shared" si="103"/>
        <v>0.42634516534026512</v>
      </c>
      <c r="X166" s="473">
        <f t="shared" si="104"/>
        <v>13687.941669523087</v>
      </c>
      <c r="Y166" s="474">
        <f t="shared" si="105"/>
        <v>8144.1218540337695</v>
      </c>
      <c r="Z166" s="474">
        <f t="shared" si="106"/>
        <v>5124.3025465521841</v>
      </c>
      <c r="AA166" s="474">
        <f t="shared" si="107"/>
        <v>0</v>
      </c>
      <c r="AB166" s="474">
        <f t="shared" si="108"/>
        <v>29116.526358554158</v>
      </c>
      <c r="AC166" s="474">
        <f t="shared" si="109"/>
        <v>56072.892428663195</v>
      </c>
      <c r="AD166" s="1240">
        <f t="shared" si="110"/>
        <v>0</v>
      </c>
      <c r="AE166" s="100">
        <f t="shared" si="111"/>
        <v>0.24410978418737894</v>
      </c>
      <c r="AF166" s="100">
        <f t="shared" si="112"/>
        <v>0.14524169346881557</v>
      </c>
      <c r="AG166" s="100">
        <f t="shared" si="113"/>
        <v>9.1386449398368402E-2</v>
      </c>
      <c r="AH166" s="100">
        <f t="shared" si="126"/>
        <v>0</v>
      </c>
      <c r="AI166" s="100">
        <f t="shared" si="114"/>
        <v>0.51926207294543714</v>
      </c>
      <c r="AJ166" s="471">
        <f t="shared" si="115"/>
        <v>1</v>
      </c>
      <c r="AK166" s="1250">
        <f t="shared" si="116"/>
        <v>594.04055285804793</v>
      </c>
      <c r="AL166" s="1251">
        <f t="shared" si="117"/>
        <v>12346.170617918286</v>
      </c>
      <c r="AM166" s="1251">
        <f t="shared" si="118"/>
        <v>747.73049874675053</v>
      </c>
      <c r="AN166" s="1251">
        <f t="shared" si="119"/>
        <v>13687.941669523085</v>
      </c>
      <c r="AO166" s="1022">
        <f t="shared" si="120"/>
        <v>0</v>
      </c>
    </row>
    <row r="167" spans="1:41">
      <c r="A167" s="89">
        <f>'Input data'!A147</f>
        <v>2047</v>
      </c>
      <c r="B167" s="152">
        <f>'Input data'!B147</f>
        <v>74.134805489166112</v>
      </c>
      <c r="C167" s="204">
        <f>'Input data'!C147</f>
        <v>8187.4100000000008</v>
      </c>
      <c r="D167" s="205">
        <f>'Input data'!D147</f>
        <v>795063.80460989953</v>
      </c>
      <c r="E167" s="473">
        <f>'Input data'!J147*C167</f>
        <v>98503.103275426867</v>
      </c>
      <c r="F167" s="474">
        <f>'Input data'!L147</f>
        <v>99298.167080036772</v>
      </c>
      <c r="G167" s="474">
        <f t="shared" si="132"/>
        <v>13687.941669523079</v>
      </c>
      <c r="H167" s="474">
        <f t="shared" si="121"/>
        <v>43579.969731747144</v>
      </c>
      <c r="I167" s="475">
        <f t="shared" si="96"/>
        <v>795.06380460989953</v>
      </c>
      <c r="J167" s="579">
        <f t="shared" si="131"/>
        <v>0.4</v>
      </c>
      <c r="K167" s="474">
        <f t="shared" si="123"/>
        <v>269.09114263135149</v>
      </c>
      <c r="L167" s="474">
        <f t="shared" si="97"/>
        <v>0</v>
      </c>
      <c r="M167" s="475">
        <f t="shared" si="124"/>
        <v>269.09114263135149</v>
      </c>
      <c r="N167" s="579">
        <f t="shared" si="130"/>
        <v>0.5</v>
      </c>
      <c r="O167" s="475">
        <f t="shared" si="98"/>
        <v>751.91700000000026</v>
      </c>
      <c r="P167" s="1234">
        <f t="shared" si="127"/>
        <v>1021.0081426313518</v>
      </c>
      <c r="Q167" s="467">
        <f t="shared" si="99"/>
        <v>56246.903258638878</v>
      </c>
      <c r="R167" s="467">
        <f t="shared" si="125"/>
        <v>42558.961589115803</v>
      </c>
      <c r="S167" s="1255">
        <f t="shared" si="100"/>
        <v>0.76311752964665747</v>
      </c>
      <c r="T167" s="118" t="str">
        <f t="shared" si="101"/>
        <v>Yes</v>
      </c>
      <c r="U167" s="1255">
        <f t="shared" si="102"/>
        <v>0.76311752964665747</v>
      </c>
      <c r="V167" s="1268">
        <f t="shared" si="95"/>
        <v>56739.205490920976</v>
      </c>
      <c r="W167" s="1269">
        <f t="shared" si="103"/>
        <v>0.42859765533045768</v>
      </c>
      <c r="X167" s="473">
        <f t="shared" si="104"/>
        <v>13687.941669523078</v>
      </c>
      <c r="Y167" s="474">
        <f t="shared" si="105"/>
        <v>8205.9709351736819</v>
      </c>
      <c r="Z167" s="474">
        <f t="shared" si="106"/>
        <v>5203.2226853115508</v>
      </c>
      <c r="AA167" s="474">
        <f t="shared" si="107"/>
        <v>0</v>
      </c>
      <c r="AB167" s="474">
        <f t="shared" si="108"/>
        <v>29642.070200912669</v>
      </c>
      <c r="AC167" s="474">
        <f t="shared" si="109"/>
        <v>56739.205490920976</v>
      </c>
      <c r="AD167" s="1240">
        <f t="shared" si="110"/>
        <v>0</v>
      </c>
      <c r="AE167" s="100">
        <f t="shared" si="111"/>
        <v>0.24124309727448209</v>
      </c>
      <c r="AF167" s="100">
        <f t="shared" si="112"/>
        <v>0.1446261163541803</v>
      </c>
      <c r="AG167" s="100">
        <f t="shared" si="113"/>
        <v>9.1704186554817643E-2</v>
      </c>
      <c r="AH167" s="100">
        <f t="shared" si="126"/>
        <v>0</v>
      </c>
      <c r="AI167" s="100">
        <f t="shared" si="114"/>
        <v>0.52242659981652007</v>
      </c>
      <c r="AJ167" s="471">
        <f t="shared" si="115"/>
        <v>1</v>
      </c>
      <c r="AK167" s="1250">
        <f t="shared" si="116"/>
        <v>477.03828276593964</v>
      </c>
      <c r="AL167" s="1251">
        <f t="shared" si="117"/>
        <v>12453.460098630778</v>
      </c>
      <c r="AM167" s="1251">
        <f t="shared" si="118"/>
        <v>757.44328812635797</v>
      </c>
      <c r="AN167" s="1251">
        <f t="shared" si="119"/>
        <v>13687.941669523076</v>
      </c>
      <c r="AO167" s="1022">
        <f t="shared" si="120"/>
        <v>0</v>
      </c>
    </row>
    <row r="168" spans="1:41">
      <c r="A168" s="89">
        <f>'Input data'!A148</f>
        <v>2048</v>
      </c>
      <c r="B168" s="152">
        <f>'Input data'!B148</f>
        <v>74.478544758379343</v>
      </c>
      <c r="C168" s="204">
        <f>'Input data'!C148</f>
        <v>8322.6399999999976</v>
      </c>
      <c r="D168" s="205">
        <f>'Input data'!D148</f>
        <v>600060.02112305223</v>
      </c>
      <c r="E168" s="473">
        <f>'Input data'!J148*C168</f>
        <v>100130.06157554078</v>
      </c>
      <c r="F168" s="474">
        <f>'Input data'!L148</f>
        <v>100730.12159666383</v>
      </c>
      <c r="G168" s="474">
        <f t="shared" si="132"/>
        <v>13687.941669523079</v>
      </c>
      <c r="H168" s="474">
        <f t="shared" si="121"/>
        <v>44330.528246276022</v>
      </c>
      <c r="I168" s="475">
        <f t="shared" si="96"/>
        <v>600.06002112305225</v>
      </c>
      <c r="J168" s="579">
        <f t="shared" si="131"/>
        <v>0.4</v>
      </c>
      <c r="K168" s="474">
        <f t="shared" si="123"/>
        <v>203.0916711277294</v>
      </c>
      <c r="L168" s="474">
        <f t="shared" si="97"/>
        <v>0</v>
      </c>
      <c r="M168" s="475">
        <f t="shared" si="124"/>
        <v>203.0916711277294</v>
      </c>
      <c r="N168" s="579">
        <f t="shared" si="130"/>
        <v>0.5</v>
      </c>
      <c r="O168" s="475">
        <f t="shared" si="98"/>
        <v>751.91700000000026</v>
      </c>
      <c r="P168" s="1234">
        <f t="shared" si="127"/>
        <v>955.00867112772971</v>
      </c>
      <c r="Q168" s="467">
        <f t="shared" si="99"/>
        <v>57063.461244671365</v>
      </c>
      <c r="R168" s="467">
        <f t="shared" si="125"/>
        <v>43375.519575148282</v>
      </c>
      <c r="S168" s="1255">
        <f t="shared" si="100"/>
        <v>0.76495413456384354</v>
      </c>
      <c r="T168" s="118" t="str">
        <f t="shared" si="101"/>
        <v>Yes</v>
      </c>
      <c r="U168" s="1255">
        <f t="shared" si="102"/>
        <v>0.76495413456384354</v>
      </c>
      <c r="V168" s="1268">
        <f t="shared" si="95"/>
        <v>57354.602021515551</v>
      </c>
      <c r="W168" s="1269">
        <f t="shared" si="103"/>
        <v>0.43061121030737315</v>
      </c>
      <c r="X168" s="473">
        <f t="shared" si="104"/>
        <v>13687.941669523083</v>
      </c>
      <c r="Y168" s="474">
        <f t="shared" si="105"/>
        <v>8258.2532182719169</v>
      </c>
      <c r="Z168" s="474">
        <f t="shared" si="106"/>
        <v>5276.7441124569687</v>
      </c>
      <c r="AA168" s="474">
        <f t="shared" si="107"/>
        <v>0</v>
      </c>
      <c r="AB168" s="474">
        <f t="shared" si="108"/>
        <v>30131.663021263586</v>
      </c>
      <c r="AC168" s="474">
        <f t="shared" si="109"/>
        <v>57354.602021515551</v>
      </c>
      <c r="AD168" s="1240">
        <f t="shared" si="110"/>
        <v>0</v>
      </c>
      <c r="AE168" s="100">
        <f t="shared" si="111"/>
        <v>0.23865463602011042</v>
      </c>
      <c r="AF168" s="100">
        <f t="shared" si="112"/>
        <v>0.14398588652352573</v>
      </c>
      <c r="AG168" s="100">
        <f t="shared" si="113"/>
        <v>9.2002104913525382E-2</v>
      </c>
      <c r="AH168" s="100">
        <f t="shared" si="126"/>
        <v>0</v>
      </c>
      <c r="AI168" s="100">
        <f t="shared" si="114"/>
        <v>0.52535737254283854</v>
      </c>
      <c r="AJ168" s="471">
        <f t="shared" si="115"/>
        <v>1</v>
      </c>
      <c r="AK168" s="1250">
        <f t="shared" si="116"/>
        <v>360.03601267383129</v>
      </c>
      <c r="AL168" s="1251">
        <f t="shared" si="117"/>
        <v>12561.002343122487</v>
      </c>
      <c r="AM168" s="1251">
        <f t="shared" si="118"/>
        <v>766.90331372676269</v>
      </c>
      <c r="AN168" s="1251">
        <f t="shared" si="119"/>
        <v>13687.941669523081</v>
      </c>
      <c r="AO168" s="1022">
        <f t="shared" si="120"/>
        <v>0</v>
      </c>
    </row>
    <row r="169" spans="1:41">
      <c r="A169" s="89">
        <f>'Input data'!A149</f>
        <v>2049</v>
      </c>
      <c r="B169" s="152">
        <f>'Input data'!B149</f>
        <v>74.807416768507309</v>
      </c>
      <c r="C169" s="204">
        <f>'Input data'!C149</f>
        <v>8457.3799999999992</v>
      </c>
      <c r="D169" s="205">
        <f>'Input data'!D149</f>
        <v>405056.23763620481</v>
      </c>
      <c r="E169" s="473">
        <f>'Input data'!J149*C169</f>
        <v>101751.12466329761</v>
      </c>
      <c r="F169" s="474">
        <f>'Input data'!L149</f>
        <v>102156.18090093382</v>
      </c>
      <c r="G169" s="474">
        <f t="shared" si="132"/>
        <v>13687.941669523079</v>
      </c>
      <c r="H169" s="474">
        <f t="shared" si="121"/>
        <v>45077.704045982013</v>
      </c>
      <c r="I169" s="475">
        <f t="shared" si="96"/>
        <v>405.0562376362048</v>
      </c>
      <c r="J169" s="579">
        <f t="shared" si="131"/>
        <v>0.4</v>
      </c>
      <c r="K169" s="474">
        <f t="shared" si="123"/>
        <v>137.09219962410731</v>
      </c>
      <c r="L169" s="474">
        <f t="shared" si="97"/>
        <v>0</v>
      </c>
      <c r="M169" s="475">
        <f t="shared" si="124"/>
        <v>137.09219962410731</v>
      </c>
      <c r="N169" s="579">
        <f t="shared" si="130"/>
        <v>0.5</v>
      </c>
      <c r="O169" s="475">
        <f t="shared" si="98"/>
        <v>751.91700000000026</v>
      </c>
      <c r="P169" s="1234">
        <f t="shared" si="127"/>
        <v>889.00919962410762</v>
      </c>
      <c r="Q169" s="467">
        <f t="shared" si="99"/>
        <v>57876.636515880986</v>
      </c>
      <c r="R169" s="467">
        <f t="shared" si="125"/>
        <v>44188.694846357903</v>
      </c>
      <c r="S169" s="1255">
        <f t="shared" si="100"/>
        <v>0.76671755226153981</v>
      </c>
      <c r="T169" s="118" t="str">
        <f t="shared" si="101"/>
        <v>Yes</v>
      </c>
      <c r="U169" s="1255">
        <f t="shared" si="102"/>
        <v>0.76671755226153981</v>
      </c>
      <c r="V169" s="1268">
        <f t="shared" si="95"/>
        <v>57967.486054575915</v>
      </c>
      <c r="W169" s="1269">
        <f t="shared" si="103"/>
        <v>0.43256016872057879</v>
      </c>
      <c r="X169" s="473">
        <f t="shared" si="104"/>
        <v>13687.941669523083</v>
      </c>
      <c r="Y169" s="474">
        <f t="shared" si="105"/>
        <v>8310.063423722584</v>
      </c>
      <c r="Z169" s="474">
        <f t="shared" si="106"/>
        <v>5349.9991379215398</v>
      </c>
      <c r="AA169" s="474">
        <f t="shared" si="107"/>
        <v>0</v>
      </c>
      <c r="AB169" s="474">
        <f t="shared" si="108"/>
        <v>30619.481823408714</v>
      </c>
      <c r="AC169" s="474">
        <f t="shared" si="109"/>
        <v>57967.486054575915</v>
      </c>
      <c r="AD169" s="1240">
        <f t="shared" si="110"/>
        <v>0</v>
      </c>
      <c r="AE169" s="100">
        <f t="shared" si="111"/>
        <v>0.23613136606676366</v>
      </c>
      <c r="AF169" s="100">
        <f t="shared" si="112"/>
        <v>0.14335731958254541</v>
      </c>
      <c r="AG169" s="100">
        <f t="shared" si="113"/>
        <v>9.2293102600388074E-2</v>
      </c>
      <c r="AH169" s="100">
        <f t="shared" si="126"/>
        <v>0</v>
      </c>
      <c r="AI169" s="100">
        <f t="shared" si="114"/>
        <v>0.52821821175030292</v>
      </c>
      <c r="AJ169" s="471">
        <f t="shared" si="115"/>
        <v>1</v>
      </c>
      <c r="AK169" s="1250">
        <f t="shared" si="116"/>
        <v>243.03374258172283</v>
      </c>
      <c r="AL169" s="1251">
        <f t="shared" si="117"/>
        <v>12668.595773051293</v>
      </c>
      <c r="AM169" s="1251">
        <f t="shared" si="118"/>
        <v>776.31215389006582</v>
      </c>
      <c r="AN169" s="1251">
        <f t="shared" si="119"/>
        <v>13687.941669523081</v>
      </c>
      <c r="AO169" s="1022">
        <f t="shared" si="120"/>
        <v>0</v>
      </c>
    </row>
    <row r="170" spans="1:41" ht="15.75" thickBot="1">
      <c r="A170" s="141">
        <f>'Input data'!A150</f>
        <v>2050</v>
      </c>
      <c r="B170" s="593">
        <f>'Input data'!B150</f>
        <v>75.121207211856714</v>
      </c>
      <c r="C170" s="207">
        <f>'Input data'!C150</f>
        <v>8589.119999999999</v>
      </c>
      <c r="D170" s="208">
        <f>'Input data'!D150</f>
        <v>210052.45414935748</v>
      </c>
      <c r="E170" s="598">
        <f>'Input data'!J150*C170</f>
        <v>103336.09461417398</v>
      </c>
      <c r="F170" s="595">
        <f>'Input data'!L150</f>
        <v>103546.14706832333</v>
      </c>
      <c r="G170" s="595">
        <f t="shared" si="132"/>
        <v>13687.941669523079</v>
      </c>
      <c r="H170" s="595">
        <f t="shared" si="121"/>
        <v>45804.16934677228</v>
      </c>
      <c r="I170" s="589">
        <f t="shared" si="96"/>
        <v>210.05245414935749</v>
      </c>
      <c r="J170" s="580">
        <f t="shared" si="131"/>
        <v>0.4</v>
      </c>
      <c r="K170" s="595">
        <f t="shared" si="123"/>
        <v>71.092728120485219</v>
      </c>
      <c r="L170" s="595">
        <f t="shared" si="97"/>
        <v>0</v>
      </c>
      <c r="M170" s="589">
        <f t="shared" si="124"/>
        <v>71.092728120485219</v>
      </c>
      <c r="N170" s="580">
        <f t="shared" si="130"/>
        <v>0.5</v>
      </c>
      <c r="O170" s="589">
        <f t="shared" si="98"/>
        <v>751.91700000000026</v>
      </c>
      <c r="P170" s="1235">
        <f t="shared" si="127"/>
        <v>823.00972812048553</v>
      </c>
      <c r="Q170" s="1238">
        <f t="shared" si="99"/>
        <v>58669.101288174876</v>
      </c>
      <c r="R170" s="1238">
        <f t="shared" si="125"/>
        <v>44981.1596186518</v>
      </c>
      <c r="S170" s="1256">
        <f t="shared" si="100"/>
        <v>0.76834302950406852</v>
      </c>
      <c r="T170" s="951" t="str">
        <f t="shared" si="101"/>
        <v>Yes</v>
      </c>
      <c r="U170" s="1256">
        <f t="shared" si="102"/>
        <v>0.76834302950406852</v>
      </c>
      <c r="V170" s="1270">
        <f t="shared" si="95"/>
        <v>58564.987449671549</v>
      </c>
      <c r="W170" s="1271">
        <f t="shared" si="103"/>
        <v>0.43440688902670288</v>
      </c>
      <c r="X170" s="598">
        <f t="shared" si="104"/>
        <v>13687.941669523072</v>
      </c>
      <c r="Y170" s="595">
        <f t="shared" si="105"/>
        <v>8358.9833578615653</v>
      </c>
      <c r="Z170" s="595">
        <f t="shared" si="106"/>
        <v>5421.623132687032</v>
      </c>
      <c r="AA170" s="595">
        <f t="shared" si="107"/>
        <v>0</v>
      </c>
      <c r="AB170" s="595">
        <f t="shared" si="108"/>
        <v>31096.439289599883</v>
      </c>
      <c r="AC170" s="595">
        <f t="shared" si="109"/>
        <v>58564.987449671549</v>
      </c>
      <c r="AD170" s="1241">
        <f t="shared" si="110"/>
        <v>0</v>
      </c>
      <c r="AE170" s="581">
        <f t="shared" si="111"/>
        <v>0.23372226761400661</v>
      </c>
      <c r="AF170" s="581">
        <f t="shared" si="112"/>
        <v>0.14273004608845768</v>
      </c>
      <c r="AG170" s="581">
        <f t="shared" si="113"/>
        <v>9.257447783705515E-2</v>
      </c>
      <c r="AH170" s="581">
        <f t="shared" si="126"/>
        <v>0</v>
      </c>
      <c r="AI170" s="581">
        <f>AB170/AC170</f>
        <v>0.53097320846048057</v>
      </c>
      <c r="AJ170" s="582">
        <f t="shared" si="115"/>
        <v>1</v>
      </c>
      <c r="AK170" s="1252">
        <f t="shared" si="116"/>
        <v>126.03147248961449</v>
      </c>
      <c r="AL170" s="1253">
        <f t="shared" si="117"/>
        <v>12776.285675322402</v>
      </c>
      <c r="AM170" s="1253">
        <f t="shared" si="118"/>
        <v>785.62452171105349</v>
      </c>
      <c r="AN170" s="1253">
        <f t="shared" si="119"/>
        <v>13687.94166952307</v>
      </c>
      <c r="AO170" s="1023">
        <f t="shared" si="120"/>
        <v>0</v>
      </c>
    </row>
    <row r="172" spans="1:41" ht="23.25">
      <c r="A172" s="610" t="s">
        <v>653</v>
      </c>
    </row>
    <row r="173" spans="1:41" ht="24" thickBot="1">
      <c r="A173" s="610"/>
    </row>
    <row r="174" spans="1:41" ht="21.6" customHeight="1" thickBot="1">
      <c r="A174" s="1570" t="s">
        <v>602</v>
      </c>
      <c r="B174" s="1571"/>
      <c r="C174" s="1571"/>
      <c r="D174" s="1572"/>
      <c r="E174" s="1619" t="s">
        <v>603</v>
      </c>
      <c r="F174" s="1620"/>
      <c r="G174" s="1620"/>
      <c r="H174" s="1620"/>
      <c r="I174" s="1621"/>
      <c r="J174" s="1520"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1" ht="43.15" customHeight="1">
      <c r="A175" s="1565"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66"/>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4436.7699999999986</v>
      </c>
      <c r="D179" s="204">
        <f>'Input data'!E119</f>
        <v>52992370.977903679</v>
      </c>
      <c r="E179" s="473">
        <f>'Input data'!J119*C179</f>
        <v>53378.982305676094</v>
      </c>
      <c r="F179" s="474">
        <f>'Input data'!L119</f>
        <v>106371.35328357978</v>
      </c>
      <c r="G179" s="489">
        <f>G177*0.89</f>
        <v>60911.340429377713</v>
      </c>
      <c r="H179" s="474">
        <f t="shared" ref="H179:H210" si="160">E179*$B$12+I179*$E$80-G179</f>
        <v>19448.710043484389</v>
      </c>
      <c r="I179" s="475">
        <f t="shared" si="135"/>
        <v>52992.37097790368</v>
      </c>
      <c r="J179" s="579">
        <f t="shared" ref="J179:J189" si="161">($J$190-$J$177)/($A$190-$A$177)+J178</f>
        <v>0.11361731727283289</v>
      </c>
      <c r="K179" s="474">
        <f t="shared" ref="K179:K210" si="162">(I179)*J179-(I179)*$J$137</f>
        <v>2759.2904299500592</v>
      </c>
      <c r="L179" s="474">
        <f t="shared" si="136"/>
        <v>0</v>
      </c>
      <c r="M179" s="475">
        <f t="shared" ref="M179:M210" si="163">L179+K179</f>
        <v>2759.2904299500592</v>
      </c>
      <c r="N179" s="579">
        <v>0.1</v>
      </c>
      <c r="O179" s="475">
        <f t="shared" si="137"/>
        <v>150.38340000000005</v>
      </c>
      <c r="P179" s="1234">
        <f>O179+M179</f>
        <v>2909.6738299500594</v>
      </c>
      <c r="Q179" s="467">
        <f t="shared" si="138"/>
        <v>77450.376642912044</v>
      </c>
      <c r="R179" s="467">
        <f t="shared" ref="R179:R210" si="164">Q179-G179</f>
        <v>16539.036213534331</v>
      </c>
      <c r="S179" s="1255">
        <f t="shared" si="139"/>
        <v>0.5426396528245393</v>
      </c>
      <c r="T179" s="118" t="str">
        <f t="shared" si="140"/>
        <v>Yes</v>
      </c>
      <c r="U179" s="1259">
        <f t="shared" si="141"/>
        <v>0.5426396528245393</v>
      </c>
      <c r="V179" s="1247">
        <f t="shared" si="142"/>
        <v>89832.31707004545</v>
      </c>
      <c r="W179" s="1244">
        <f t="shared" si="134"/>
        <v>0.15548393155666862</v>
      </c>
      <c r="X179" s="473">
        <f t="shared" si="143"/>
        <v>60911.340429377713</v>
      </c>
      <c r="Y179" s="474">
        <f t="shared" si="144"/>
        <v>10295.34070894855</v>
      </c>
      <c r="Z179" s="116">
        <f t="shared" si="145"/>
        <v>2562.5527582487894</v>
      </c>
      <c r="AA179" s="116">
        <f t="shared" si="146"/>
        <v>0</v>
      </c>
      <c r="AB179" s="116">
        <f t="shared" si="147"/>
        <v>16063.083173470395</v>
      </c>
      <c r="AC179" s="116">
        <f t="shared" si="148"/>
        <v>89832.31707004545</v>
      </c>
      <c r="AD179" s="1240">
        <f t="shared" si="149"/>
        <v>0</v>
      </c>
      <c r="AE179" s="579">
        <f t="shared" si="150"/>
        <v>0.67805598715530158</v>
      </c>
      <c r="AF179" s="100">
        <f t="shared" si="151"/>
        <v>0.11460620236390993</v>
      </c>
      <c r="AG179" s="100">
        <f t="shared" si="152"/>
        <v>2.8525956379937031E-2</v>
      </c>
      <c r="AH179" s="100">
        <f t="shared" ref="AH179:AH210" si="165">AA179/AC179</f>
        <v>0</v>
      </c>
      <c r="AI179" s="100">
        <f t="shared" si="153"/>
        <v>0.17881185410085146</v>
      </c>
      <c r="AJ179" s="100">
        <f t="shared" si="154"/>
        <v>1</v>
      </c>
      <c r="AK179" s="1250">
        <f t="shared" si="155"/>
        <v>46971.519951467533</v>
      </c>
      <c r="AL179" s="1251">
        <f t="shared" si="156"/>
        <v>13029.747376968175</v>
      </c>
      <c r="AM179" s="1251">
        <f t="shared" si="157"/>
        <v>910.07310094199636</v>
      </c>
      <c r="AN179" s="1251">
        <f t="shared" si="158"/>
        <v>60911.340429377706</v>
      </c>
      <c r="AO179" s="1022">
        <f t="shared" si="159"/>
        <v>0</v>
      </c>
    </row>
    <row r="180" spans="1:41">
      <c r="A180" s="89">
        <f>'Input data'!A120</f>
        <v>2020</v>
      </c>
      <c r="B180" s="152">
        <f>'Input data'!B120</f>
        <v>59.308690000000006</v>
      </c>
      <c r="C180" s="204">
        <f>'Input data'!C120</f>
        <v>4157.24</v>
      </c>
      <c r="D180" s="204">
        <f>'Input data'!E120</f>
        <v>50781625.743101723</v>
      </c>
      <c r="E180" s="473">
        <f>'Input data'!J120*C180</f>
        <v>50015.944121613007</v>
      </c>
      <c r="F180" s="474">
        <f>'Input data'!L120</f>
        <v>100797.56986471472</v>
      </c>
      <c r="G180" s="489">
        <f>G177*0.81</f>
        <v>55436.163761568481</v>
      </c>
      <c r="H180" s="474">
        <f t="shared" si="160"/>
        <v>20919.47259233264</v>
      </c>
      <c r="I180" s="475">
        <f t="shared" si="135"/>
        <v>50781.625743101722</v>
      </c>
      <c r="J180" s="579">
        <f t="shared" si="161"/>
        <v>0.13965210661166627</v>
      </c>
      <c r="K180" s="474">
        <f t="shared" si="162"/>
        <v>3966.2667855153936</v>
      </c>
      <c r="L180" s="474">
        <f t="shared" si="136"/>
        <v>0</v>
      </c>
      <c r="M180" s="475">
        <f t="shared" si="163"/>
        <v>3966.2667855153936</v>
      </c>
      <c r="N180" s="579">
        <f>($N$142-$N$137)/($A$102-$A$97)+N179</f>
        <v>0.2</v>
      </c>
      <c r="O180" s="475">
        <f t="shared" si="137"/>
        <v>300.7668000000001</v>
      </c>
      <c r="P180" s="1234">
        <f t="shared" ref="P180:P210" si="166">O180+M180</f>
        <v>4267.0335855153935</v>
      </c>
      <c r="Q180" s="467">
        <f t="shared" si="138"/>
        <v>72088.602768385725</v>
      </c>
      <c r="R180" s="467">
        <f t="shared" si="164"/>
        <v>16652.439006817243</v>
      </c>
      <c r="S180" s="1255">
        <f t="shared" si="139"/>
        <v>0.58637954210654075</v>
      </c>
      <c r="T180" s="118" t="str">
        <f t="shared" si="140"/>
        <v>Yes</v>
      </c>
      <c r="U180" s="1259">
        <f t="shared" si="141"/>
        <v>0.58637954210654075</v>
      </c>
      <c r="V180" s="1247">
        <f t="shared" si="142"/>
        <v>84145.130857897486</v>
      </c>
      <c r="W180" s="1244">
        <f t="shared" si="134"/>
        <v>0.16520675080924352</v>
      </c>
      <c r="X180" s="473">
        <f t="shared" si="143"/>
        <v>55436.163761568481</v>
      </c>
      <c r="Y180" s="474">
        <f t="shared" si="144"/>
        <v>11096.944848116838</v>
      </c>
      <c r="Z180" s="116">
        <f t="shared" si="145"/>
        <v>2560.9621544777392</v>
      </c>
      <c r="AA180" s="116">
        <f t="shared" si="146"/>
        <v>0</v>
      </c>
      <c r="AB180" s="116">
        <f t="shared" si="147"/>
        <v>15051.060093734426</v>
      </c>
      <c r="AC180" s="116">
        <f t="shared" si="148"/>
        <v>84145.130857897486</v>
      </c>
      <c r="AD180" s="1240">
        <f t="shared" si="149"/>
        <v>0</v>
      </c>
      <c r="AE180" s="579">
        <f t="shared" si="150"/>
        <v>0.65881606215798627</v>
      </c>
      <c r="AF180" s="100">
        <f t="shared" si="151"/>
        <v>0.13187863320168963</v>
      </c>
      <c r="AG180" s="100">
        <f t="shared" si="152"/>
        <v>3.0435060571747614E-2</v>
      </c>
      <c r="AH180" s="100">
        <f t="shared" si="165"/>
        <v>0</v>
      </c>
      <c r="AI180" s="100">
        <f t="shared" si="153"/>
        <v>0.17887024406857643</v>
      </c>
      <c r="AJ180" s="100">
        <f t="shared" si="154"/>
        <v>0.99999999999999989</v>
      </c>
      <c r="AK180" s="1250">
        <f t="shared" si="155"/>
        <v>43689.864730912348</v>
      </c>
      <c r="AL180" s="1251">
        <f t="shared" si="156"/>
        <v>11041.235660888884</v>
      </c>
      <c r="AM180" s="1251">
        <f t="shared" si="157"/>
        <v>705.06336976725561</v>
      </c>
      <c r="AN180" s="1251">
        <f t="shared" si="158"/>
        <v>55436.163761568481</v>
      </c>
      <c r="AO180" s="1022">
        <f t="shared" si="159"/>
        <v>0</v>
      </c>
    </row>
    <row r="181" spans="1:41">
      <c r="A181" s="89">
        <f>'Input data'!A121</f>
        <v>2021</v>
      </c>
      <c r="B181" s="152">
        <f>'Input data'!B121</f>
        <v>60.158036186957922</v>
      </c>
      <c r="C181" s="204">
        <f>'Input data'!C121</f>
        <v>4296.6100000000006</v>
      </c>
      <c r="D181" s="204">
        <f>'Input data'!E121</f>
        <v>50787753.059423499</v>
      </c>
      <c r="E181" s="473">
        <f>'Input data'!J121*C181</f>
        <v>51692.710950621971</v>
      </c>
      <c r="F181" s="474">
        <f>'Input data'!L121</f>
        <v>102480.46401004547</v>
      </c>
      <c r="G181" s="489">
        <f>G177*0.65</f>
        <v>44485.810425950018</v>
      </c>
      <c r="H181" s="474">
        <f t="shared" si="160"/>
        <v>32837.71686643795</v>
      </c>
      <c r="I181" s="475">
        <f t="shared" si="135"/>
        <v>50787.7530594235</v>
      </c>
      <c r="J181" s="579">
        <f t="shared" si="161"/>
        <v>0.16568689595049965</v>
      </c>
      <c r="K181" s="474">
        <f t="shared" si="162"/>
        <v>5288.9938075791251</v>
      </c>
      <c r="L181" s="474">
        <f t="shared" si="136"/>
        <v>0</v>
      </c>
      <c r="M181" s="475">
        <f t="shared" si="163"/>
        <v>5288.9938075791251</v>
      </c>
      <c r="N181" s="579">
        <v>0.4</v>
      </c>
      <c r="O181" s="475">
        <f t="shared" si="137"/>
        <v>601.53360000000021</v>
      </c>
      <c r="P181" s="1234">
        <f t="shared" si="166"/>
        <v>5890.5274075791258</v>
      </c>
      <c r="Q181" s="467">
        <f t="shared" si="138"/>
        <v>71432.999884808843</v>
      </c>
      <c r="R181" s="467">
        <f t="shared" si="164"/>
        <v>26947.189458858826</v>
      </c>
      <c r="S181" s="1255">
        <f t="shared" si="139"/>
        <v>0.92729131516959551</v>
      </c>
      <c r="T181" s="118" t="str">
        <f t="shared" si="140"/>
        <v>Yes</v>
      </c>
      <c r="U181" s="1259">
        <f t="shared" si="141"/>
        <v>0.92729131516959551</v>
      </c>
      <c r="V181" s="1247">
        <f t="shared" si="142"/>
        <v>75533.274551186652</v>
      </c>
      <c r="W181" s="1244">
        <f t="shared" si="134"/>
        <v>0.26294952622596801</v>
      </c>
      <c r="X181" s="473">
        <f t="shared" si="143"/>
        <v>44485.810425950018</v>
      </c>
      <c r="Y181" s="474">
        <f t="shared" si="144"/>
        <v>12554.321363546935</v>
      </c>
      <c r="Z181" s="116">
        <f t="shared" si="145"/>
        <v>2937.5012039878866</v>
      </c>
      <c r="AA181" s="116">
        <f t="shared" si="146"/>
        <v>0</v>
      </c>
      <c r="AB181" s="116">
        <f t="shared" si="147"/>
        <v>15555.641557701811</v>
      </c>
      <c r="AC181" s="116">
        <f t="shared" si="148"/>
        <v>75533.274551186652</v>
      </c>
      <c r="AD181" s="475">
        <f t="shared" si="149"/>
        <v>0</v>
      </c>
      <c r="AE181" s="579">
        <f t="shared" si="150"/>
        <v>0.58895646574680549</v>
      </c>
      <c r="AF181" s="100">
        <f t="shared" si="151"/>
        <v>0.16620915004868808</v>
      </c>
      <c r="AG181" s="100">
        <f t="shared" si="152"/>
        <v>3.8890160944859205E-2</v>
      </c>
      <c r="AH181" s="100">
        <f t="shared" si="165"/>
        <v>0</v>
      </c>
      <c r="AI181" s="100">
        <f t="shared" si="153"/>
        <v>0.20594422325964717</v>
      </c>
      <c r="AJ181" s="100">
        <f t="shared" si="154"/>
        <v>1</v>
      </c>
      <c r="AK181" s="1250">
        <f t="shared" si="155"/>
        <v>42372.887902707123</v>
      </c>
      <c r="AL181" s="1251">
        <f t="shared" si="156"/>
        <v>2005.9624312614219</v>
      </c>
      <c r="AM181" s="1251">
        <f t="shared" si="157"/>
        <v>106.96009198147247</v>
      </c>
      <c r="AN181" s="1251">
        <f t="shared" si="158"/>
        <v>44485.810425950018</v>
      </c>
      <c r="AO181" s="1022">
        <f t="shared" si="159"/>
        <v>0</v>
      </c>
    </row>
    <row r="182" spans="1:41">
      <c r="A182" s="89">
        <f>'Input data'!A122</f>
        <v>2022</v>
      </c>
      <c r="B182" s="152">
        <f>'Input data'!B122</f>
        <v>60.963559588769527</v>
      </c>
      <c r="C182" s="204">
        <f>'Input data'!C122</f>
        <v>4408.5100000000011</v>
      </c>
      <c r="D182" s="204">
        <f>'Input data'!E122</f>
        <v>50359792.847133145</v>
      </c>
      <c r="E182" s="473">
        <f>'Input data'!J122*C182</f>
        <v>53038.984956262379</v>
      </c>
      <c r="F182" s="474">
        <f>'Input data'!L122</f>
        <v>103398.77780339553</v>
      </c>
      <c r="G182" s="489">
        <f>G177*(1-E4)</f>
        <v>34219.854173807704</v>
      </c>
      <c r="H182" s="474">
        <f t="shared" si="160"/>
        <v>43474.554499121747</v>
      </c>
      <c r="I182" s="475">
        <f t="shared" si="135"/>
        <v>50359.792847133147</v>
      </c>
      <c r="J182" s="579">
        <f t="shared" si="161"/>
        <v>0.19172168528933303</v>
      </c>
      <c r="K182" s="474">
        <f t="shared" si="162"/>
        <v>6555.5329896119965</v>
      </c>
      <c r="L182" s="474">
        <f t="shared" si="136"/>
        <v>0</v>
      </c>
      <c r="M182" s="475">
        <f t="shared" si="163"/>
        <v>6555.5329896119965</v>
      </c>
      <c r="N182" s="579">
        <f>$E$26</f>
        <v>0.5</v>
      </c>
      <c r="O182" s="475">
        <f t="shared" si="137"/>
        <v>751.91700000000026</v>
      </c>
      <c r="P182" s="1234">
        <f t="shared" si="166"/>
        <v>7307.4499896119969</v>
      </c>
      <c r="Q182" s="467">
        <f t="shared" si="138"/>
        <v>70386.958683317454</v>
      </c>
      <c r="R182" s="467">
        <f t="shared" si="164"/>
        <v>36167.104509509751</v>
      </c>
      <c r="S182" s="1255">
        <f t="shared" si="139"/>
        <v>1.2184766534043601</v>
      </c>
      <c r="T182" s="118" t="str">
        <f t="shared" si="140"/>
        <v>No</v>
      </c>
      <c r="U182" s="1259">
        <f t="shared" si="141"/>
        <v>1</v>
      </c>
      <c r="V182" s="1247">
        <f t="shared" si="142"/>
        <v>73716.547611737158</v>
      </c>
      <c r="W182" s="1244">
        <f>(1-V182/F182)</f>
        <v>0.28706558067926824</v>
      </c>
      <c r="X182" s="473">
        <f t="shared" si="143"/>
        <v>40704.72849165908</v>
      </c>
      <c r="Y182" s="474">
        <f t="shared" si="144"/>
        <v>13902.327682230418</v>
      </c>
      <c r="Z182" s="116">
        <f t="shared" si="145"/>
        <v>3148.72204906348</v>
      </c>
      <c r="AA182" s="116">
        <f t="shared" si="146"/>
        <v>0</v>
      </c>
      <c r="AB182" s="116">
        <f t="shared" si="147"/>
        <v>15960.769388784185</v>
      </c>
      <c r="AC182" s="116">
        <f t="shared" si="148"/>
        <v>73716.547611737158</v>
      </c>
      <c r="AD182" s="475">
        <f t="shared" si="149"/>
        <v>6484.874317851376</v>
      </c>
      <c r="AE182" s="579">
        <f t="shared" si="150"/>
        <v>0.55217898572854585</v>
      </c>
      <c r="AF182" s="100">
        <f t="shared" si="151"/>
        <v>0.18859168168663515</v>
      </c>
      <c r="AG182" s="100">
        <f t="shared" si="152"/>
        <v>4.2713910934186777E-2</v>
      </c>
      <c r="AH182" s="100">
        <f t="shared" si="165"/>
        <v>0</v>
      </c>
      <c r="AI182" s="100">
        <f t="shared" si="153"/>
        <v>0.21651542165063234</v>
      </c>
      <c r="AJ182" s="100">
        <f t="shared" si="154"/>
        <v>1.0000000000000002</v>
      </c>
      <c r="AK182" s="1250">
        <f t="shared" si="155"/>
        <v>40704.72849165908</v>
      </c>
      <c r="AL182" s="1251">
        <f t="shared" si="156"/>
        <v>0</v>
      </c>
      <c r="AM182" s="1251">
        <f t="shared" si="157"/>
        <v>0</v>
      </c>
      <c r="AN182" s="1251">
        <f t="shared" si="158"/>
        <v>40704.72849165908</v>
      </c>
      <c r="AO182" s="1022">
        <f t="shared" si="159"/>
        <v>0</v>
      </c>
    </row>
    <row r="183" spans="1:41">
      <c r="A183" s="89">
        <f>'Input data'!A123</f>
        <v>2023</v>
      </c>
      <c r="B183" s="152">
        <f>'Input data'!B123</f>
        <v>61.723133308607778</v>
      </c>
      <c r="C183" s="204">
        <f>'Input data'!C123</f>
        <v>4511.7199999999984</v>
      </c>
      <c r="D183" s="204">
        <f>'Input data'!E123</f>
        <v>49422822.449545562</v>
      </c>
      <c r="E183" s="473">
        <f>'Input data'!J123*C183</f>
        <v>54280.70917540574</v>
      </c>
      <c r="F183" s="474">
        <f>'Input data'!L123</f>
        <v>103703.53162495131</v>
      </c>
      <c r="G183" s="489">
        <f>($G$147-$G$142)/($A$147-$A$142)+G182</f>
        <v>32166.662923379241</v>
      </c>
      <c r="H183" s="474">
        <f t="shared" si="160"/>
        <v>45360.953958762148</v>
      </c>
      <c r="I183" s="475">
        <f t="shared" si="135"/>
        <v>49422.822449545565</v>
      </c>
      <c r="J183" s="579">
        <f t="shared" si="161"/>
        <v>0.21775647462816641</v>
      </c>
      <c r="K183" s="474">
        <f t="shared" si="162"/>
        <v>7720.2766260269018</v>
      </c>
      <c r="L183" s="474">
        <f t="shared" si="136"/>
        <v>0</v>
      </c>
      <c r="M183" s="475">
        <f t="shared" si="163"/>
        <v>7720.2766260269018</v>
      </c>
      <c r="N183" s="579">
        <f>($N$147-$N$142)/($A$107-$A$102)+N182</f>
        <v>0.5</v>
      </c>
      <c r="O183" s="475">
        <f t="shared" si="137"/>
        <v>751.91700000000026</v>
      </c>
      <c r="P183" s="1234">
        <f t="shared" si="166"/>
        <v>8472.1936260269013</v>
      </c>
      <c r="Q183" s="467">
        <f t="shared" si="138"/>
        <v>69055.423256114489</v>
      </c>
      <c r="R183" s="467">
        <f t="shared" si="164"/>
        <v>36888.760332735248</v>
      </c>
      <c r="S183" s="1255">
        <f t="shared" si="139"/>
        <v>1.2136560424662712</v>
      </c>
      <c r="T183" s="118" t="str">
        <f t="shared" si="140"/>
        <v>No</v>
      </c>
      <c r="U183" s="1259">
        <f t="shared" si="141"/>
        <v>1</v>
      </c>
      <c r="V183" s="1247">
        <f t="shared" si="142"/>
        <v>73308.791235595549</v>
      </c>
      <c r="W183" s="1244">
        <f t="shared" si="134"/>
        <v>0.29309262580641682</v>
      </c>
      <c r="X183" s="473">
        <f t="shared" si="143"/>
        <v>38660.682866758725</v>
      </c>
      <c r="Y183" s="474">
        <f t="shared" si="144"/>
        <v>15108.837876902802</v>
      </c>
      <c r="Z183" s="116">
        <f t="shared" si="145"/>
        <v>3204.8349418807438</v>
      </c>
      <c r="AA183" s="116">
        <f t="shared" si="146"/>
        <v>0</v>
      </c>
      <c r="AB183" s="116">
        <f t="shared" si="147"/>
        <v>16334.435550053271</v>
      </c>
      <c r="AC183" s="116">
        <f t="shared" si="148"/>
        <v>73308.791235595549</v>
      </c>
      <c r="AD183" s="475">
        <f t="shared" si="149"/>
        <v>6494.0199433794842</v>
      </c>
      <c r="AE183" s="579">
        <f t="shared" si="150"/>
        <v>0.52736762147002614</v>
      </c>
      <c r="AF183" s="100">
        <f t="shared" si="151"/>
        <v>0.20609858138769324</v>
      </c>
      <c r="AG183" s="100">
        <f t="shared" si="152"/>
        <v>4.3716925185428725E-2</v>
      </c>
      <c r="AH183" s="100">
        <f t="shared" si="165"/>
        <v>0</v>
      </c>
      <c r="AI183" s="100">
        <f t="shared" si="153"/>
        <v>0.22281687195685176</v>
      </c>
      <c r="AJ183" s="100">
        <f t="shared" si="154"/>
        <v>0.99999999999999978</v>
      </c>
      <c r="AK183" s="1250">
        <f t="shared" si="155"/>
        <v>38660.682866758725</v>
      </c>
      <c r="AL183" s="1251">
        <f t="shared" si="156"/>
        <v>0</v>
      </c>
      <c r="AM183" s="1251">
        <f t="shared" si="157"/>
        <v>0</v>
      </c>
      <c r="AN183" s="1251">
        <f t="shared" si="158"/>
        <v>38660.682866758725</v>
      </c>
      <c r="AO183" s="1022">
        <f t="shared" si="159"/>
        <v>0</v>
      </c>
    </row>
    <row r="184" spans="1:41">
      <c r="A184" s="89">
        <f>'Input data'!A124</f>
        <v>2024</v>
      </c>
      <c r="B184" s="152">
        <f>'Input data'!B124</f>
        <v>62.434728280060035</v>
      </c>
      <c r="C184" s="204">
        <f>'Input data'!C124</f>
        <v>4622.4800000000005</v>
      </c>
      <c r="D184" s="204">
        <f>'Input data'!E124</f>
        <v>49894033.579494402</v>
      </c>
      <c r="E184" s="473">
        <f>'Input data'!J124*C184</f>
        <v>55613.267789031597</v>
      </c>
      <c r="F184" s="474">
        <f>'Input data'!L124</f>
        <v>105507.30136852601</v>
      </c>
      <c r="G184" s="489">
        <f t="shared" ref="G184:G186" si="167">($G$147-$G$142)/($A$147-$A$142)+G183</f>
        <v>30113.471672950778</v>
      </c>
      <c r="H184" s="474">
        <f t="shared" si="160"/>
        <v>48620.985979658915</v>
      </c>
      <c r="I184" s="475">
        <f t="shared" si="135"/>
        <v>49894.033579494404</v>
      </c>
      <c r="J184" s="579">
        <f t="shared" si="161"/>
        <v>0.24379126396699979</v>
      </c>
      <c r="K184" s="474">
        <f t="shared" si="162"/>
        <v>9092.8645745477079</v>
      </c>
      <c r="L184" s="474">
        <f t="shared" si="136"/>
        <v>0</v>
      </c>
      <c r="M184" s="475">
        <f t="shared" si="163"/>
        <v>9092.8645745477079</v>
      </c>
      <c r="N184" s="579">
        <f>($N$147-$N$142)/($A$107-$A$102)+N183</f>
        <v>0.5</v>
      </c>
      <c r="O184" s="475">
        <f t="shared" si="137"/>
        <v>751.91700000000026</v>
      </c>
      <c r="P184" s="1234">
        <f t="shared" si="166"/>
        <v>9844.7815745477074</v>
      </c>
      <c r="Q184" s="467">
        <f t="shared" si="138"/>
        <v>68889.676078061981</v>
      </c>
      <c r="R184" s="467">
        <f t="shared" si="164"/>
        <v>38776.204405111203</v>
      </c>
      <c r="S184" s="1255">
        <f t="shared" si="139"/>
        <v>1.2444475579773371</v>
      </c>
      <c r="T184" s="118" t="str">
        <f t="shared" si="140"/>
        <v>No</v>
      </c>
      <c r="U184" s="1259">
        <f t="shared" si="141"/>
        <v>1</v>
      </c>
      <c r="V184" s="1247">
        <f t="shared" si="142"/>
        <v>74347.929359201546</v>
      </c>
      <c r="W184" s="1244">
        <f t="shared" si="134"/>
        <v>0.29532905879649052</v>
      </c>
      <c r="X184" s="473">
        <f t="shared" si="143"/>
        <v>37730.304068737532</v>
      </c>
      <c r="Y184" s="474">
        <f t="shared" si="144"/>
        <v>16617.136621700181</v>
      </c>
      <c r="Z184" s="116">
        <f t="shared" si="145"/>
        <v>3265.0525952906887</v>
      </c>
      <c r="AA184" s="116">
        <f t="shared" si="146"/>
        <v>0</v>
      </c>
      <c r="AB184" s="116">
        <f t="shared" si="147"/>
        <v>16735.436073473149</v>
      </c>
      <c r="AC184" s="116">
        <f t="shared" si="148"/>
        <v>74347.929359201546</v>
      </c>
      <c r="AD184" s="475">
        <f t="shared" si="149"/>
        <v>7616.8323957867542</v>
      </c>
      <c r="AE184" s="579">
        <f t="shared" si="150"/>
        <v>0.5074829170621401</v>
      </c>
      <c r="AF184" s="100">
        <f t="shared" si="151"/>
        <v>0.22350503591588713</v>
      </c>
      <c r="AG184" s="100">
        <f t="shared" si="152"/>
        <v>4.3915851099444167E-2</v>
      </c>
      <c r="AH184" s="100">
        <f t="shared" si="165"/>
        <v>0</v>
      </c>
      <c r="AI184" s="100">
        <f t="shared" si="153"/>
        <v>0.22509619592252864</v>
      </c>
      <c r="AJ184" s="100">
        <f t="shared" si="154"/>
        <v>1</v>
      </c>
      <c r="AK184" s="1250">
        <f t="shared" si="155"/>
        <v>37730.304068737532</v>
      </c>
      <c r="AL184" s="1251">
        <f t="shared" si="156"/>
        <v>0</v>
      </c>
      <c r="AM184" s="1251">
        <f t="shared" si="157"/>
        <v>0</v>
      </c>
      <c r="AN184" s="1251">
        <f t="shared" si="158"/>
        <v>37730.304068737532</v>
      </c>
      <c r="AO184" s="1022">
        <f t="shared" si="159"/>
        <v>0</v>
      </c>
    </row>
    <row r="185" spans="1:41">
      <c r="A185" s="89">
        <f>'Input data'!A125</f>
        <v>2025</v>
      </c>
      <c r="B185" s="152">
        <f>'Input data'!B125</f>
        <v>63.096422221537942</v>
      </c>
      <c r="C185" s="204">
        <f>'Input data'!C125</f>
        <v>4727.3100000000004</v>
      </c>
      <c r="D185" s="204">
        <f>'Input data'!E125</f>
        <v>49409698.226927206</v>
      </c>
      <c r="E185" s="473">
        <f>'Input data'!J125*C185</f>
        <v>56874.48230209043</v>
      </c>
      <c r="F185" s="474">
        <f>'Input data'!L125</f>
        <v>106284.18052901764</v>
      </c>
      <c r="G185" s="489">
        <f t="shared" si="167"/>
        <v>28060.280422522315</v>
      </c>
      <c r="H185" s="474">
        <f t="shared" si="160"/>
        <v>50943.345490304309</v>
      </c>
      <c r="I185" s="475">
        <f t="shared" si="135"/>
        <v>49409.698226927205</v>
      </c>
      <c r="J185" s="579">
        <f t="shared" si="161"/>
        <v>0.26982605330583315</v>
      </c>
      <c r="K185" s="474">
        <f t="shared" si="162"/>
        <v>10290.968677067031</v>
      </c>
      <c r="L185" s="474">
        <f t="shared" si="136"/>
        <v>0</v>
      </c>
      <c r="M185" s="475">
        <f t="shared" si="163"/>
        <v>10290.968677067031</v>
      </c>
      <c r="N185" s="579">
        <f>($N$147-$N$142)/($A$107-$A$102)+N184</f>
        <v>0.5</v>
      </c>
      <c r="O185" s="475">
        <f t="shared" si="137"/>
        <v>751.91700000000026</v>
      </c>
      <c r="P185" s="1234">
        <f t="shared" si="166"/>
        <v>11042.88567706703</v>
      </c>
      <c r="Q185" s="467">
        <f t="shared" si="138"/>
        <v>67960.7402357596</v>
      </c>
      <c r="R185" s="467">
        <f t="shared" si="164"/>
        <v>39900.459813237285</v>
      </c>
      <c r="S185" s="1255">
        <f t="shared" si="139"/>
        <v>1.2514624524464648</v>
      </c>
      <c r="T185" s="118" t="str">
        <f t="shared" si="140"/>
        <v>No</v>
      </c>
      <c r="U185" s="1259">
        <f t="shared" si="141"/>
        <v>1</v>
      </c>
      <c r="V185" s="1247">
        <f t="shared" si="142"/>
        <v>74401.114652581266</v>
      </c>
      <c r="W185" s="1244">
        <f t="shared" si="134"/>
        <v>0.29997941102562931</v>
      </c>
      <c r="X185" s="473">
        <f t="shared" si="143"/>
        <v>36077.67435932321</v>
      </c>
      <c r="Y185" s="474">
        <f t="shared" si="144"/>
        <v>17886.426692415222</v>
      </c>
      <c r="Z185" s="116">
        <f t="shared" si="145"/>
        <v>3322.0462446854558</v>
      </c>
      <c r="AA185" s="116">
        <f t="shared" si="146"/>
        <v>0</v>
      </c>
      <c r="AB185" s="116">
        <f t="shared" si="147"/>
        <v>17114.967356157376</v>
      </c>
      <c r="AC185" s="116">
        <f t="shared" si="148"/>
        <v>74401.114652581266</v>
      </c>
      <c r="AD185" s="475">
        <f t="shared" si="149"/>
        <v>8017.3939368008942</v>
      </c>
      <c r="AE185" s="579">
        <f t="shared" si="150"/>
        <v>0.48490771311410097</v>
      </c>
      <c r="AF185" s="100">
        <f t="shared" si="151"/>
        <v>0.24040535919302483</v>
      </c>
      <c r="AG185" s="100">
        <f t="shared" si="152"/>
        <v>4.4650490254048915E-2</v>
      </c>
      <c r="AH185" s="100">
        <f t="shared" si="165"/>
        <v>0</v>
      </c>
      <c r="AI185" s="100">
        <f t="shared" si="153"/>
        <v>0.23003643743882526</v>
      </c>
      <c r="AJ185" s="100">
        <f t="shared" si="154"/>
        <v>1</v>
      </c>
      <c r="AK185" s="1250">
        <f t="shared" si="155"/>
        <v>36077.674359323217</v>
      </c>
      <c r="AL185" s="1251">
        <f t="shared" si="156"/>
        <v>0</v>
      </c>
      <c r="AM185" s="1251">
        <f t="shared" si="157"/>
        <v>0</v>
      </c>
      <c r="AN185" s="1251">
        <f t="shared" si="158"/>
        <v>36077.674359323217</v>
      </c>
      <c r="AO185" s="1022">
        <f t="shared" si="159"/>
        <v>0</v>
      </c>
    </row>
    <row r="186" spans="1:41">
      <c r="A186" s="89">
        <f>'Input data'!A126</f>
        <v>2026</v>
      </c>
      <c r="B186" s="152">
        <f>'Input data'!B126</f>
        <v>63.744102485123491</v>
      </c>
      <c r="C186" s="204">
        <f>'Input data'!C126</f>
        <v>4818.42</v>
      </c>
      <c r="D186" s="204">
        <f>'Input data'!E126</f>
        <v>47599010.514277697</v>
      </c>
      <c r="E186" s="473">
        <f>'Input data'!J126*C186</f>
        <v>57970.630869149376</v>
      </c>
      <c r="F186" s="474">
        <f>'Input data'!L126</f>
        <v>105569.64138342708</v>
      </c>
      <c r="G186" s="489">
        <f t="shared" si="167"/>
        <v>26007.089172093853</v>
      </c>
      <c r="H186" s="474">
        <f t="shared" si="160"/>
        <v>51926.270614169538</v>
      </c>
      <c r="I186" s="475">
        <f t="shared" si="135"/>
        <v>47599.010514277696</v>
      </c>
      <c r="J186" s="579">
        <f t="shared" si="161"/>
        <v>0.2958608426446665</v>
      </c>
      <c r="K186" s="474">
        <f t="shared" si="162"/>
        <v>11153.07190328521</v>
      </c>
      <c r="L186" s="474">
        <f t="shared" si="136"/>
        <v>0</v>
      </c>
      <c r="M186" s="475">
        <f t="shared" si="163"/>
        <v>11153.07190328521</v>
      </c>
      <c r="N186" s="579">
        <f>($N$147-$N$142)/($A$107-$A$102)+N185</f>
        <v>0.5</v>
      </c>
      <c r="O186" s="475">
        <f t="shared" si="137"/>
        <v>751.91700000000026</v>
      </c>
      <c r="P186" s="1234">
        <f t="shared" si="166"/>
        <v>11904.98890328521</v>
      </c>
      <c r="Q186" s="467">
        <f t="shared" si="138"/>
        <v>66028.370882978183</v>
      </c>
      <c r="R186" s="467">
        <f t="shared" si="164"/>
        <v>40021.28171088433</v>
      </c>
      <c r="S186" s="1255">
        <f t="shared" si="139"/>
        <v>1.23096788516537</v>
      </c>
      <c r="T186" s="118" t="str">
        <f t="shared" si="140"/>
        <v>No</v>
      </c>
      <c r="U186" s="1259">
        <f t="shared" si="141"/>
        <v>1</v>
      </c>
      <c r="V186" s="1247">
        <f t="shared" si="142"/>
        <v>73057.597654920057</v>
      </c>
      <c r="W186" s="1244">
        <f t="shared" si="134"/>
        <v>0.30796773866479143</v>
      </c>
      <c r="X186" s="473">
        <f t="shared" si="143"/>
        <v>33516.327154471153</v>
      </c>
      <c r="Y186" s="474">
        <f t="shared" si="144"/>
        <v>18724.863724353592</v>
      </c>
      <c r="Z186" s="116">
        <f t="shared" si="145"/>
        <v>3371.5806470164412</v>
      </c>
      <c r="AA186" s="116">
        <f t="shared" si="146"/>
        <v>0</v>
      </c>
      <c r="AB186" s="116">
        <f t="shared" si="147"/>
        <v>17444.826129078869</v>
      </c>
      <c r="AC186" s="116">
        <f t="shared" si="148"/>
        <v>73057.597654920057</v>
      </c>
      <c r="AD186" s="475">
        <f t="shared" si="149"/>
        <v>7509.2379823773008</v>
      </c>
      <c r="AE186" s="579">
        <f t="shared" si="150"/>
        <v>0.45876579890817143</v>
      </c>
      <c r="AF186" s="100">
        <f t="shared" si="151"/>
        <v>0.25630275735042007</v>
      </c>
      <c r="AG186" s="100">
        <f t="shared" si="152"/>
        <v>4.6149623793294584E-2</v>
      </c>
      <c r="AH186" s="100">
        <f t="shared" si="165"/>
        <v>0</v>
      </c>
      <c r="AI186" s="100">
        <f t="shared" si="153"/>
        <v>0.2387818199481139</v>
      </c>
      <c r="AJ186" s="100">
        <f t="shared" si="154"/>
        <v>0.99999999999999989</v>
      </c>
      <c r="AK186" s="1250">
        <f t="shared" si="155"/>
        <v>33516.327154471161</v>
      </c>
      <c r="AL186" s="1251">
        <f t="shared" si="156"/>
        <v>0</v>
      </c>
      <c r="AM186" s="1251">
        <f t="shared" si="157"/>
        <v>0</v>
      </c>
      <c r="AN186" s="1251">
        <f t="shared" si="158"/>
        <v>33516.327154471161</v>
      </c>
      <c r="AO186" s="1022">
        <f t="shared" si="159"/>
        <v>0</v>
      </c>
    </row>
    <row r="187" spans="1:41">
      <c r="A187" s="89">
        <f>'Input data'!A127</f>
        <v>2027</v>
      </c>
      <c r="B187" s="152">
        <f>'Input data'!B127</f>
        <v>64.377188881988602</v>
      </c>
      <c r="C187" s="204">
        <f>'Input data'!C127</f>
        <v>4908.8799999999992</v>
      </c>
      <c r="D187" s="204">
        <f>'Input data'!E127</f>
        <v>46599596.269564167</v>
      </c>
      <c r="E187" s="473">
        <f>'Input data'!J127*C187</f>
        <v>59058.959256550894</v>
      </c>
      <c r="F187" s="474">
        <f>'Input data'!L127</f>
        <v>105658.55552611506</v>
      </c>
      <c r="G187" s="489">
        <f>G177*(1-E5)</f>
        <v>23953.89792166539</v>
      </c>
      <c r="H187" s="474">
        <f t="shared" si="160"/>
        <v>53666.049883871958</v>
      </c>
      <c r="I187" s="475">
        <f t="shared" si="135"/>
        <v>46599.596269564165</v>
      </c>
      <c r="J187" s="579">
        <f t="shared" si="161"/>
        <v>0.32189563198349985</v>
      </c>
      <c r="K187" s="474">
        <f t="shared" si="162"/>
        <v>12132.106721527884</v>
      </c>
      <c r="L187" s="474">
        <f t="shared" si="136"/>
        <v>0</v>
      </c>
      <c r="M187" s="475">
        <f t="shared" si="163"/>
        <v>12132.106721527884</v>
      </c>
      <c r="N187" s="579">
        <f>$C$27</f>
        <v>0.5</v>
      </c>
      <c r="O187" s="475">
        <f t="shared" si="137"/>
        <v>751.91700000000026</v>
      </c>
      <c r="P187" s="1234">
        <f t="shared" si="166"/>
        <v>12884.023721527883</v>
      </c>
      <c r="Q187" s="467">
        <f t="shared" si="138"/>
        <v>64735.924084009464</v>
      </c>
      <c r="R187" s="467">
        <f t="shared" si="164"/>
        <v>40782.026162344075</v>
      </c>
      <c r="S187" s="1255">
        <f t="shared" si="139"/>
        <v>1.2307269609420306</v>
      </c>
      <c r="T187" s="118" t="str">
        <f t="shared" si="140"/>
        <v>No</v>
      </c>
      <c r="U187" s="1259">
        <f t="shared" si="141"/>
        <v>1</v>
      </c>
      <c r="V187" s="1247">
        <f t="shared" si="142"/>
        <v>72522.021220302471</v>
      </c>
      <c r="W187" s="1244">
        <f t="shared" si="134"/>
        <v>0.31361903577815242</v>
      </c>
      <c r="X187" s="473">
        <f t="shared" si="143"/>
        <v>31599.38977819687</v>
      </c>
      <c r="Y187" s="474">
        <f t="shared" si="144"/>
        <v>19729.53817019931</v>
      </c>
      <c r="Z187" s="116">
        <f t="shared" si="145"/>
        <v>3420.7616593626267</v>
      </c>
      <c r="AA187" s="116">
        <f t="shared" si="146"/>
        <v>0</v>
      </c>
      <c r="AB187" s="116">
        <f t="shared" si="147"/>
        <v>17772.331612543669</v>
      </c>
      <c r="AC187" s="116">
        <f t="shared" si="148"/>
        <v>72522.021220302471</v>
      </c>
      <c r="AD187" s="475">
        <f t="shared" si="149"/>
        <v>7645.4918565314802</v>
      </c>
      <c r="AE187" s="579">
        <f t="shared" si="150"/>
        <v>0.43572130570115236</v>
      </c>
      <c r="AF187" s="100">
        <f t="shared" si="151"/>
        <v>0.27204892856290175</v>
      </c>
      <c r="AG187" s="100">
        <f t="shared" si="152"/>
        <v>4.7168592405488388E-2</v>
      </c>
      <c r="AH187" s="100">
        <f t="shared" si="165"/>
        <v>0</v>
      </c>
      <c r="AI187" s="100">
        <f t="shared" si="153"/>
        <v>0.2450611733304576</v>
      </c>
      <c r="AJ187" s="100">
        <f t="shared" si="154"/>
        <v>1.0000000000000002</v>
      </c>
      <c r="AK187" s="1250">
        <f t="shared" si="155"/>
        <v>31599.38977819687</v>
      </c>
      <c r="AL187" s="1251">
        <f t="shared" si="156"/>
        <v>0</v>
      </c>
      <c r="AM187" s="1251">
        <f t="shared" si="157"/>
        <v>0</v>
      </c>
      <c r="AN187" s="1251">
        <f t="shared" si="158"/>
        <v>31599.38977819687</v>
      </c>
      <c r="AO187" s="1022">
        <f t="shared" si="159"/>
        <v>0</v>
      </c>
    </row>
    <row r="188" spans="1:41">
      <c r="A188" s="89">
        <f>'Input data'!A128</f>
        <v>2028</v>
      </c>
      <c r="B188" s="152">
        <f>'Input data'!B128</f>
        <v>64.995109664264291</v>
      </c>
      <c r="C188" s="204">
        <f>'Input data'!C128</f>
        <v>5001.3400000000011</v>
      </c>
      <c r="D188" s="204">
        <f>'Input data'!E128</f>
        <v>45314646.034956604</v>
      </c>
      <c r="E188" s="473">
        <f>'Input data'!J128*C188</f>
        <v>60171.349735206066</v>
      </c>
      <c r="F188" s="474">
        <f>'Input data'!L128</f>
        <v>105485.99577016267</v>
      </c>
      <c r="G188" s="489">
        <f>($G$152-$G$147)/($A$152-$A$147)+G187</f>
        <v>21900.706671236927</v>
      </c>
      <c r="H188" s="474">
        <f t="shared" si="160"/>
        <v>55151.67425742303</v>
      </c>
      <c r="I188" s="475">
        <f t="shared" si="135"/>
        <v>45314.646034956604</v>
      </c>
      <c r="J188" s="579">
        <f t="shared" si="161"/>
        <v>0.34793042132233321</v>
      </c>
      <c r="K188" s="474">
        <f t="shared" si="162"/>
        <v>12977.329898322856</v>
      </c>
      <c r="L188" s="474">
        <f t="shared" si="136"/>
        <v>0</v>
      </c>
      <c r="M188" s="475">
        <f t="shared" si="163"/>
        <v>12977.329898322856</v>
      </c>
      <c r="N188" s="579">
        <f>N187</f>
        <v>0.5</v>
      </c>
      <c r="O188" s="475">
        <f t="shared" si="137"/>
        <v>751.91700000000026</v>
      </c>
      <c r="P188" s="1234">
        <f t="shared" si="166"/>
        <v>13729.246898322855</v>
      </c>
      <c r="Q188" s="467">
        <f t="shared" si="138"/>
        <v>63323.134030337103</v>
      </c>
      <c r="R188" s="467">
        <f t="shared" si="164"/>
        <v>41422.427359100177</v>
      </c>
      <c r="S188" s="1255">
        <f t="shared" si="139"/>
        <v>1.2264288243782802</v>
      </c>
      <c r="T188" s="118" t="str">
        <f t="shared" si="140"/>
        <v>No</v>
      </c>
      <c r="U188" s="1259">
        <f t="shared" si="141"/>
        <v>1</v>
      </c>
      <c r="V188" s="1247">
        <f t="shared" si="142"/>
        <v>71711.163887767339</v>
      </c>
      <c r="W188" s="1244">
        <f t="shared" si="134"/>
        <v>0.32018308815120211</v>
      </c>
      <c r="X188" s="473">
        <f t="shared" si="143"/>
        <v>29548.302147941758</v>
      </c>
      <c r="Y188" s="474">
        <f t="shared" si="144"/>
        <v>20584.753727672942</v>
      </c>
      <c r="Z188" s="116">
        <f t="shared" si="145"/>
        <v>3471.0300255081979</v>
      </c>
      <c r="AA188" s="116">
        <f t="shared" si="146"/>
        <v>0</v>
      </c>
      <c r="AB188" s="116">
        <f t="shared" si="147"/>
        <v>18107.077986644446</v>
      </c>
      <c r="AC188" s="116">
        <f t="shared" si="148"/>
        <v>71711.163887767339</v>
      </c>
      <c r="AD188" s="475">
        <f t="shared" si="149"/>
        <v>7647.5954767048315</v>
      </c>
      <c r="AE188" s="579">
        <f t="shared" si="150"/>
        <v>0.41204605456113896</v>
      </c>
      <c r="AF188" s="100">
        <f t="shared" si="151"/>
        <v>0.28705089433340431</v>
      </c>
      <c r="AG188" s="100">
        <f t="shared" si="152"/>
        <v>4.8402924138012692E-2</v>
      </c>
      <c r="AH188" s="100">
        <f t="shared" si="165"/>
        <v>0</v>
      </c>
      <c r="AI188" s="100">
        <f t="shared" si="153"/>
        <v>0.25250012696744412</v>
      </c>
      <c r="AJ188" s="100">
        <f t="shared" si="154"/>
        <v>1.0000000000000002</v>
      </c>
      <c r="AK188" s="1250">
        <f t="shared" si="155"/>
        <v>29548.302147941755</v>
      </c>
      <c r="AL188" s="1251">
        <f t="shared" si="156"/>
        <v>0</v>
      </c>
      <c r="AM188" s="1251">
        <f t="shared" si="157"/>
        <v>0</v>
      </c>
      <c r="AN188" s="1251">
        <f t="shared" si="158"/>
        <v>29548.302147941755</v>
      </c>
      <c r="AO188" s="1022">
        <f t="shared" si="159"/>
        <v>0</v>
      </c>
    </row>
    <row r="189" spans="1:41">
      <c r="A189" s="89">
        <f>'Input data'!A129</f>
        <v>2029</v>
      </c>
      <c r="B189" s="152">
        <f>'Input data'!B129</f>
        <v>65.59730237662275</v>
      </c>
      <c r="C189" s="204">
        <f>'Input data'!C129</f>
        <v>5124.16</v>
      </c>
      <c r="D189" s="204">
        <f>'Input data'!E129</f>
        <v>44520340.557958424</v>
      </c>
      <c r="E189" s="473">
        <f>'Input data'!J129*C189</f>
        <v>61649.00275909125</v>
      </c>
      <c r="F189" s="474">
        <f>'Input data'!L129</f>
        <v>106169.34331704967</v>
      </c>
      <c r="G189" s="489">
        <f t="shared" ref="G189:G191" si="168">($G$152-$G$147)/($A$152-$A$147)+G188</f>
        <v>19847.515420808464</v>
      </c>
      <c r="H189" s="474">
        <f t="shared" si="160"/>
        <v>57307.335562326181</v>
      </c>
      <c r="I189" s="475">
        <f t="shared" si="135"/>
        <v>44520.340557958421</v>
      </c>
      <c r="J189" s="579">
        <f t="shared" si="161"/>
        <v>0.37396521066116656</v>
      </c>
      <c r="K189" s="474">
        <f t="shared" si="162"/>
        <v>13908.932252634801</v>
      </c>
      <c r="L189" s="474">
        <f t="shared" si="136"/>
        <v>0</v>
      </c>
      <c r="M189" s="475">
        <f t="shared" si="163"/>
        <v>13908.932252634801</v>
      </c>
      <c r="N189" s="579">
        <f t="shared" ref="N189:N210" si="169">N188</f>
        <v>0.5</v>
      </c>
      <c r="O189" s="475">
        <f t="shared" si="137"/>
        <v>751.91700000000026</v>
      </c>
      <c r="P189" s="1234">
        <f t="shared" si="166"/>
        <v>14660.8492526348</v>
      </c>
      <c r="Q189" s="467">
        <f t="shared" si="138"/>
        <v>62494.001730499847</v>
      </c>
      <c r="R189" s="467">
        <f t="shared" si="164"/>
        <v>42646.486309691383</v>
      </c>
      <c r="S189" s="1255">
        <f t="shared" si="139"/>
        <v>1.231748593679397</v>
      </c>
      <c r="T189" s="118" t="str">
        <f t="shared" si="140"/>
        <v>No</v>
      </c>
      <c r="U189" s="1259">
        <f t="shared" si="141"/>
        <v>1</v>
      </c>
      <c r="V189" s="1247">
        <f t="shared" si="142"/>
        <v>71546.623609044444</v>
      </c>
      <c r="W189" s="1244">
        <f t="shared" si="134"/>
        <v>0.32610844737555411</v>
      </c>
      <c r="X189" s="473">
        <f t="shared" si="143"/>
        <v>27871.282022494619</v>
      </c>
      <c r="Y189" s="474">
        <f t="shared" si="144"/>
        <v>21585.796083622205</v>
      </c>
      <c r="Z189" s="116">
        <f t="shared" si="145"/>
        <v>3537.8044223284328</v>
      </c>
      <c r="AA189" s="116">
        <f t="shared" si="146"/>
        <v>0</v>
      </c>
      <c r="AB189" s="116">
        <f t="shared" si="147"/>
        <v>18551.741080599193</v>
      </c>
      <c r="AC189" s="116">
        <f t="shared" si="148"/>
        <v>71546.623609044444</v>
      </c>
      <c r="AD189" s="475">
        <f t="shared" si="149"/>
        <v>8023.7666016861549</v>
      </c>
      <c r="AE189" s="579">
        <f t="shared" si="150"/>
        <v>0.3895541203284863</v>
      </c>
      <c r="AF189" s="100">
        <f t="shared" si="151"/>
        <v>0.30170251221880823</v>
      </c>
      <c r="AG189" s="100">
        <f t="shared" si="152"/>
        <v>4.9447538456324963E-2</v>
      </c>
      <c r="AH189" s="100">
        <f t="shared" si="165"/>
        <v>0</v>
      </c>
      <c r="AI189" s="100">
        <f t="shared" si="153"/>
        <v>0.2592958289963806</v>
      </c>
      <c r="AJ189" s="100">
        <f t="shared" si="154"/>
        <v>1</v>
      </c>
      <c r="AK189" s="1250">
        <f t="shared" si="155"/>
        <v>27871.282022494623</v>
      </c>
      <c r="AL189" s="1251">
        <f t="shared" si="156"/>
        <v>0</v>
      </c>
      <c r="AM189" s="1251">
        <f t="shared" si="157"/>
        <v>0</v>
      </c>
      <c r="AN189" s="1251">
        <f t="shared" si="158"/>
        <v>27871.282022494623</v>
      </c>
      <c r="AO189" s="1022">
        <f t="shared" si="159"/>
        <v>0</v>
      </c>
    </row>
    <row r="190" spans="1:41">
      <c r="A190" s="89">
        <f>'Input data'!A130</f>
        <v>2030</v>
      </c>
      <c r="B190" s="152">
        <f>'Input data'!B130</f>
        <v>66.183214701401099</v>
      </c>
      <c r="C190" s="204">
        <f>'Input data'!C130</f>
        <v>5234.6499999999996</v>
      </c>
      <c r="D190" s="204">
        <f>'Input data'!E130</f>
        <v>41257794.114847519</v>
      </c>
      <c r="E190" s="473">
        <f>'Input data'!J130*C190</f>
        <v>62978.312990397841</v>
      </c>
      <c r="F190" s="474">
        <f>'Input data'!L130</f>
        <v>104236.10710524536</v>
      </c>
      <c r="G190" s="489">
        <f t="shared" si="168"/>
        <v>17794.324170380001</v>
      </c>
      <c r="H190" s="474">
        <f t="shared" si="160"/>
        <v>57061.550400345179</v>
      </c>
      <c r="I190" s="475">
        <f t="shared" si="135"/>
        <v>41257.794114847522</v>
      </c>
      <c r="J190" s="100">
        <f>$H$19</f>
        <v>0.4</v>
      </c>
      <c r="K190" s="474">
        <f t="shared" si="162"/>
        <v>13963.793718745188</v>
      </c>
      <c r="L190" s="474">
        <f t="shared" si="136"/>
        <v>0</v>
      </c>
      <c r="M190" s="475">
        <f t="shared" si="163"/>
        <v>13963.793718745188</v>
      </c>
      <c r="N190" s="579">
        <f t="shared" si="169"/>
        <v>0.5</v>
      </c>
      <c r="O190" s="475">
        <f t="shared" si="137"/>
        <v>751.91700000000026</v>
      </c>
      <c r="P190" s="1234">
        <f t="shared" si="166"/>
        <v>14715.710718745187</v>
      </c>
      <c r="Q190" s="467">
        <f t="shared" si="138"/>
        <v>60140.163851979989</v>
      </c>
      <c r="R190" s="467">
        <f t="shared" si="164"/>
        <v>42345.839681599988</v>
      </c>
      <c r="S190" s="1255">
        <f t="shared" si="139"/>
        <v>1.1967007610543288</v>
      </c>
      <c r="T190" s="118" t="str">
        <f t="shared" si="140"/>
        <v>No</v>
      </c>
      <c r="U190" s="1259">
        <f t="shared" si="141"/>
        <v>1</v>
      </c>
      <c r="V190" s="1247">
        <f t="shared" si="142"/>
        <v>68850.619722173898</v>
      </c>
      <c r="W190" s="1244">
        <f t="shared" si="134"/>
        <v>0.33947437568196359</v>
      </c>
      <c r="X190" s="473">
        <f t="shared" si="143"/>
        <v>24754.676468908514</v>
      </c>
      <c r="Y190" s="474">
        <f t="shared" si="144"/>
        <v>21546.30388650671</v>
      </c>
      <c r="Z190" s="116">
        <f t="shared" si="145"/>
        <v>3597.8752829754594</v>
      </c>
      <c r="AA190" s="116">
        <f t="shared" si="146"/>
        <v>0</v>
      </c>
      <c r="AB190" s="116">
        <f t="shared" si="147"/>
        <v>18951.764083783208</v>
      </c>
      <c r="AC190" s="116">
        <f t="shared" si="148"/>
        <v>68850.619722173898</v>
      </c>
      <c r="AD190" s="475">
        <f t="shared" si="149"/>
        <v>6960.3522985285126</v>
      </c>
      <c r="AE190" s="579">
        <f t="shared" si="150"/>
        <v>0.35954181049928979</v>
      </c>
      <c r="AF190" s="100">
        <f t="shared" si="151"/>
        <v>0.31294277340495091</v>
      </c>
      <c r="AG190" s="100">
        <f t="shared" si="152"/>
        <v>5.2256251250803694E-2</v>
      </c>
      <c r="AH190" s="100">
        <f t="shared" si="165"/>
        <v>0</v>
      </c>
      <c r="AI190" s="100">
        <f t="shared" si="153"/>
        <v>0.2752591648449555</v>
      </c>
      <c r="AJ190" s="100">
        <f t="shared" si="154"/>
        <v>0.99999999999999989</v>
      </c>
      <c r="AK190" s="1250">
        <f t="shared" si="155"/>
        <v>24754.67646890851</v>
      </c>
      <c r="AL190" s="1251">
        <f t="shared" si="156"/>
        <v>0</v>
      </c>
      <c r="AM190" s="1251">
        <f t="shared" si="157"/>
        <v>0</v>
      </c>
      <c r="AN190" s="1251">
        <f t="shared" si="158"/>
        <v>24754.67646890851</v>
      </c>
      <c r="AO190" s="1022">
        <f t="shared" si="159"/>
        <v>0</v>
      </c>
    </row>
    <row r="191" spans="1:41">
      <c r="A191" s="89">
        <f>'Input data'!A131</f>
        <v>2031</v>
      </c>
      <c r="B191" s="152">
        <f>'Input data'!B131</f>
        <v>66.757007289602299</v>
      </c>
      <c r="C191" s="204">
        <f>'Input data'!C131</f>
        <v>5365.4400000000005</v>
      </c>
      <c r="D191" s="204">
        <f>'Input data'!E131</f>
        <v>39014257.111139439</v>
      </c>
      <c r="E191" s="473">
        <f>'Input data'!J131*C191</f>
        <v>64551.853447928748</v>
      </c>
      <c r="F191" s="474">
        <f>'Input data'!L131</f>
        <v>103566.11055906818</v>
      </c>
      <c r="G191" s="489">
        <f t="shared" si="168"/>
        <v>15741.132919951538</v>
      </c>
      <c r="H191" s="474">
        <f t="shared" si="160"/>
        <v>57912.197993827715</v>
      </c>
      <c r="I191" s="475">
        <f t="shared" si="135"/>
        <v>39014.257111139435</v>
      </c>
      <c r="J191" s="100">
        <f>J190</f>
        <v>0.4</v>
      </c>
      <c r="K191" s="474">
        <f t="shared" si="162"/>
        <v>13204.463546294763</v>
      </c>
      <c r="L191" s="474">
        <f t="shared" si="136"/>
        <v>0</v>
      </c>
      <c r="M191" s="475">
        <f t="shared" si="163"/>
        <v>13204.463546294763</v>
      </c>
      <c r="N191" s="579">
        <f t="shared" si="169"/>
        <v>0.5</v>
      </c>
      <c r="O191" s="475">
        <f t="shared" si="137"/>
        <v>751.91700000000026</v>
      </c>
      <c r="P191" s="1234">
        <f t="shared" si="166"/>
        <v>13956.380546294762</v>
      </c>
      <c r="Q191" s="467">
        <f t="shared" si="138"/>
        <v>59696.950367484489</v>
      </c>
      <c r="R191" s="467">
        <f t="shared" si="164"/>
        <v>43955.817447532951</v>
      </c>
      <c r="S191" s="1255">
        <f t="shared" si="139"/>
        <v>1.2112912713318544</v>
      </c>
      <c r="T191" s="118" t="str">
        <f t="shared" si="140"/>
        <v>No</v>
      </c>
      <c r="U191" s="1259">
        <f t="shared" si="141"/>
        <v>1</v>
      </c>
      <c r="V191" s="1247">
        <f t="shared" si="142"/>
        <v>67277.714458267365</v>
      </c>
      <c r="W191" s="1244">
        <f t="shared" si="134"/>
        <v>0.35038871214637335</v>
      </c>
      <c r="X191" s="473">
        <f t="shared" si="143"/>
        <v>23408.554266683659</v>
      </c>
      <c r="Y191" s="474">
        <f t="shared" si="144"/>
        <v>20774.895279975164</v>
      </c>
      <c r="Z191" s="116">
        <f t="shared" si="145"/>
        <v>3668.9827846862445</v>
      </c>
      <c r="AA191" s="116">
        <f t="shared" si="146"/>
        <v>0</v>
      </c>
      <c r="AB191" s="116">
        <f t="shared" si="147"/>
        <v>19425.282126922295</v>
      </c>
      <c r="AC191" s="116">
        <f t="shared" si="148"/>
        <v>67277.714458267365</v>
      </c>
      <c r="AD191" s="475">
        <f t="shared" si="149"/>
        <v>7667.4213467321206</v>
      </c>
      <c r="AE191" s="579">
        <f t="shared" si="150"/>
        <v>0.34793920178730325</v>
      </c>
      <c r="AF191" s="100">
        <f t="shared" si="151"/>
        <v>0.30879311889915517</v>
      </c>
      <c r="AG191" s="100">
        <f t="shared" si="152"/>
        <v>5.4534890405085461E-2</v>
      </c>
      <c r="AH191" s="100">
        <f t="shared" si="165"/>
        <v>0</v>
      </c>
      <c r="AI191" s="100">
        <f t="shared" si="153"/>
        <v>0.28873278890845611</v>
      </c>
      <c r="AJ191" s="100">
        <f t="shared" si="154"/>
        <v>0.99999999999999989</v>
      </c>
      <c r="AK191" s="1250">
        <f t="shared" si="155"/>
        <v>23408.554266683663</v>
      </c>
      <c r="AL191" s="1251">
        <f t="shared" si="156"/>
        <v>0</v>
      </c>
      <c r="AM191" s="1251">
        <f t="shared" si="157"/>
        <v>0</v>
      </c>
      <c r="AN191" s="1251">
        <f t="shared" si="158"/>
        <v>23408.554266683663</v>
      </c>
      <c r="AO191" s="1022">
        <f t="shared" si="159"/>
        <v>0</v>
      </c>
    </row>
    <row r="192" spans="1:41">
      <c r="A192" s="89">
        <f>'Input data'!A132</f>
        <v>2032</v>
      </c>
      <c r="B192" s="152">
        <f>'Input data'!B132</f>
        <v>67.318270994163854</v>
      </c>
      <c r="C192" s="204">
        <f>'Input data'!C132</f>
        <v>5502.3</v>
      </c>
      <c r="D192" s="204">
        <f>'Input data'!E132</f>
        <v>36334930.67697753</v>
      </c>
      <c r="E192" s="473">
        <f>'Input data'!J132*C192</f>
        <v>66198.422352414404</v>
      </c>
      <c r="F192" s="474">
        <f>'Input data'!L132</f>
        <v>102533.35302939193</v>
      </c>
      <c r="G192" s="489">
        <f>G177*(1-E6)</f>
        <v>13687.941669523079</v>
      </c>
      <c r="H192" s="474">
        <f t="shared" si="160"/>
        <v>58395.782253610683</v>
      </c>
      <c r="I192" s="475">
        <f t="shared" si="135"/>
        <v>36334.930676977528</v>
      </c>
      <c r="J192" s="100">
        <f t="shared" ref="J192:J210" si="170">J191</f>
        <v>0.4</v>
      </c>
      <c r="K192" s="474">
        <f t="shared" si="162"/>
        <v>12297.639455610915</v>
      </c>
      <c r="L192" s="474">
        <f t="shared" si="136"/>
        <v>0</v>
      </c>
      <c r="M192" s="475">
        <f t="shared" si="163"/>
        <v>12297.639455610915</v>
      </c>
      <c r="N192" s="579">
        <f t="shared" si="169"/>
        <v>0.5</v>
      </c>
      <c r="O192" s="475">
        <f t="shared" si="137"/>
        <v>751.91700000000026</v>
      </c>
      <c r="P192" s="1234">
        <f t="shared" si="166"/>
        <v>13049.556455610915</v>
      </c>
      <c r="Q192" s="467">
        <f t="shared" si="138"/>
        <v>59034.167467522842</v>
      </c>
      <c r="R192" s="467">
        <f t="shared" si="164"/>
        <v>45346.225797999767</v>
      </c>
      <c r="S192" s="1255">
        <f t="shared" si="139"/>
        <v>1.21789732717635</v>
      </c>
      <c r="T192" s="118" t="str">
        <f t="shared" si="140"/>
        <v>No</v>
      </c>
      <c r="U192" s="1259">
        <f t="shared" si="141"/>
        <v>1</v>
      </c>
      <c r="V192" s="1247">
        <f t="shared" si="142"/>
        <v>65300.143968055621</v>
      </c>
      <c r="W192" s="1244">
        <f t="shared" si="134"/>
        <v>0.36313265841080156</v>
      </c>
      <c r="X192" s="473">
        <f t="shared" si="143"/>
        <v>21800.958406186517</v>
      </c>
      <c r="Y192" s="474">
        <f t="shared" si="144"/>
        <v>19835.018883549397</v>
      </c>
      <c r="Z192" s="116">
        <f t="shared" si="145"/>
        <v>3743.3904051781628</v>
      </c>
      <c r="AA192" s="116">
        <f t="shared" si="146"/>
        <v>0</v>
      </c>
      <c r="AB192" s="116">
        <f t="shared" si="147"/>
        <v>19920.776273141539</v>
      </c>
      <c r="AC192" s="116">
        <f t="shared" si="148"/>
        <v>65300.143968055621</v>
      </c>
      <c r="AD192" s="475">
        <f t="shared" si="149"/>
        <v>8113.0167366634378</v>
      </c>
      <c r="AE192" s="579">
        <f t="shared" si="150"/>
        <v>0.33385773876473218</v>
      </c>
      <c r="AF192" s="100">
        <f t="shared" si="151"/>
        <v>0.30375153373708563</v>
      </c>
      <c r="AG192" s="100">
        <f t="shared" si="152"/>
        <v>5.7325913508083588E-2</v>
      </c>
      <c r="AH192" s="100">
        <f t="shared" si="165"/>
        <v>0</v>
      </c>
      <c r="AI192" s="100">
        <f t="shared" si="153"/>
        <v>0.30506481399009849</v>
      </c>
      <c r="AJ192" s="100">
        <f t="shared" si="154"/>
        <v>1</v>
      </c>
      <c r="AK192" s="1250">
        <f t="shared" si="155"/>
        <v>21800.958406186517</v>
      </c>
      <c r="AL192" s="1251">
        <f t="shared" si="156"/>
        <v>0</v>
      </c>
      <c r="AM192" s="1251">
        <f t="shared" si="157"/>
        <v>0</v>
      </c>
      <c r="AN192" s="1251">
        <f t="shared" si="158"/>
        <v>21800.958406186517</v>
      </c>
      <c r="AO192" s="1022">
        <f t="shared" si="159"/>
        <v>0</v>
      </c>
    </row>
    <row r="193" spans="1:41">
      <c r="A193" s="89">
        <f>'Input data'!A133</f>
        <v>2033</v>
      </c>
      <c r="B193" s="152">
        <f>'Input data'!B133</f>
        <v>67.86660286866902</v>
      </c>
      <c r="C193" s="204">
        <f>'Input data'!C133</f>
        <v>5663.260000000002</v>
      </c>
      <c r="D193" s="204">
        <f>'Input data'!E133</f>
        <v>35521966.003645025</v>
      </c>
      <c r="E193" s="473">
        <f>'Input data'!J133*C193</f>
        <v>68134.939456506283</v>
      </c>
      <c r="F193" s="474">
        <f>'Input data'!L133</f>
        <v>103656.90546015131</v>
      </c>
      <c r="G193" s="489">
        <f>G192</f>
        <v>13687.941669523079</v>
      </c>
      <c r="H193" s="474">
        <f t="shared" si="160"/>
        <v>58744.041019304743</v>
      </c>
      <c r="I193" s="475">
        <f t="shared" si="135"/>
        <v>35521.966003645022</v>
      </c>
      <c r="J193" s="100">
        <f t="shared" si="170"/>
        <v>0.4</v>
      </c>
      <c r="K193" s="474">
        <f t="shared" si="162"/>
        <v>12022.489723479288</v>
      </c>
      <c r="L193" s="474">
        <f t="shared" si="136"/>
        <v>0</v>
      </c>
      <c r="M193" s="475">
        <f t="shared" si="163"/>
        <v>12022.489723479288</v>
      </c>
      <c r="N193" s="579">
        <f t="shared" si="169"/>
        <v>0.5</v>
      </c>
      <c r="O193" s="475">
        <f t="shared" si="137"/>
        <v>751.91700000000026</v>
      </c>
      <c r="P193" s="1234">
        <f t="shared" si="166"/>
        <v>12774.406723479287</v>
      </c>
      <c r="Q193" s="467">
        <f t="shared" si="138"/>
        <v>59657.575965348529</v>
      </c>
      <c r="R193" s="467">
        <f t="shared" si="164"/>
        <v>45969.634295825454</v>
      </c>
      <c r="S193" s="1255">
        <f t="shared" si="139"/>
        <v>1.1988618587301507</v>
      </c>
      <c r="T193" s="118" t="str">
        <f t="shared" si="140"/>
        <v>No</v>
      </c>
      <c r="U193" s="1259">
        <f t="shared" si="141"/>
        <v>1</v>
      </c>
      <c r="V193" s="1247">
        <f t="shared" si="142"/>
        <v>65312.509096989794</v>
      </c>
      <c r="W193" s="1244">
        <f t="shared" si="134"/>
        <v>0.36991646811125578</v>
      </c>
      <c r="X193" s="473">
        <f t="shared" si="143"/>
        <v>21313.179602187014</v>
      </c>
      <c r="Y193" s="474">
        <f t="shared" si="144"/>
        <v>19664.905704325913</v>
      </c>
      <c r="Z193" s="116">
        <f t="shared" si="145"/>
        <v>3830.9006389526726</v>
      </c>
      <c r="AA193" s="116">
        <f t="shared" si="146"/>
        <v>0</v>
      </c>
      <c r="AB193" s="116">
        <f t="shared" si="147"/>
        <v>20503.523151524198</v>
      </c>
      <c r="AC193" s="116">
        <f t="shared" si="148"/>
        <v>65312.509096989794</v>
      </c>
      <c r="AD193" s="475">
        <f t="shared" si="149"/>
        <v>7625.2379326639348</v>
      </c>
      <c r="AE193" s="579">
        <f t="shared" si="150"/>
        <v>0.32632614941399218</v>
      </c>
      <c r="AF193" s="100">
        <f t="shared" si="151"/>
        <v>0.30108942339243638</v>
      </c>
      <c r="AG193" s="100">
        <f t="shared" si="152"/>
        <v>5.8654929842976065E-2</v>
      </c>
      <c r="AH193" s="100">
        <f t="shared" si="165"/>
        <v>0</v>
      </c>
      <c r="AI193" s="100">
        <f t="shared" si="153"/>
        <v>0.31392949735059544</v>
      </c>
      <c r="AJ193" s="100">
        <f t="shared" si="154"/>
        <v>1</v>
      </c>
      <c r="AK193" s="1250">
        <f t="shared" si="155"/>
        <v>21313.17960218701</v>
      </c>
      <c r="AL193" s="1251">
        <f t="shared" si="156"/>
        <v>0</v>
      </c>
      <c r="AM193" s="1251">
        <f t="shared" si="157"/>
        <v>0</v>
      </c>
      <c r="AN193" s="1251">
        <f t="shared" si="158"/>
        <v>21313.17960218701</v>
      </c>
      <c r="AO193" s="1022">
        <f t="shared" si="159"/>
        <v>0</v>
      </c>
    </row>
    <row r="194" spans="1:41">
      <c r="A194" s="89">
        <f>'Input data'!A134</f>
        <v>2034</v>
      </c>
      <c r="B194" s="152">
        <f>'Input data'!B134</f>
        <v>68.401606645337111</v>
      </c>
      <c r="C194" s="204">
        <f>'Input data'!C134</f>
        <v>5838.79</v>
      </c>
      <c r="D194" s="204">
        <f>'Input data'!E134</f>
        <v>32152713.47625063</v>
      </c>
      <c r="E194" s="473">
        <f>'Input data'!J134*C194</f>
        <v>70246.748895380792</v>
      </c>
      <c r="F194" s="474">
        <f>'Input data'!L134</f>
        <v>102399.46237163142</v>
      </c>
      <c r="G194" s="489">
        <f t="shared" ref="G194:G210" si="171">G193</f>
        <v>13687.941669523079</v>
      </c>
      <c r="H194" s="474">
        <f t="shared" si="160"/>
        <v>56793.929657286746</v>
      </c>
      <c r="I194" s="475">
        <f t="shared" si="135"/>
        <v>32152.713476250628</v>
      </c>
      <c r="J194" s="100">
        <f t="shared" si="170"/>
        <v>0.4</v>
      </c>
      <c r="K194" s="474">
        <f t="shared" si="162"/>
        <v>10882.158586338701</v>
      </c>
      <c r="L194" s="474">
        <f t="shared" si="136"/>
        <v>0</v>
      </c>
      <c r="M194" s="475">
        <f t="shared" si="163"/>
        <v>10882.158586338701</v>
      </c>
      <c r="N194" s="579">
        <f t="shared" si="169"/>
        <v>0.5</v>
      </c>
      <c r="O194" s="475">
        <f t="shared" si="137"/>
        <v>751.91700000000026</v>
      </c>
      <c r="P194" s="1234">
        <f t="shared" si="166"/>
        <v>11634.0755863387</v>
      </c>
      <c r="Q194" s="467">
        <f t="shared" si="138"/>
        <v>58847.79574047112</v>
      </c>
      <c r="R194" s="467">
        <f t="shared" si="164"/>
        <v>45159.854070948044</v>
      </c>
      <c r="S194" s="1255">
        <f t="shared" si="139"/>
        <v>1.1416640374553204</v>
      </c>
      <c r="T194" s="118" t="str">
        <f t="shared" si="140"/>
        <v>No</v>
      </c>
      <c r="U194" s="1259">
        <f t="shared" si="141"/>
        <v>1</v>
      </c>
      <c r="V194" s="1247">
        <f t="shared" si="142"/>
        <v>62843.294716910692</v>
      </c>
      <c r="W194" s="1244">
        <f t="shared" si="134"/>
        <v>0.38629272789697089</v>
      </c>
      <c r="X194" s="473">
        <f t="shared" si="143"/>
        <v>19291.628085750377</v>
      </c>
      <c r="Y194" s="474">
        <f t="shared" si="144"/>
        <v>18486.314467814744</v>
      </c>
      <c r="Z194" s="116">
        <f t="shared" si="145"/>
        <v>3926.3322451557001</v>
      </c>
      <c r="AA194" s="116">
        <f t="shared" si="146"/>
        <v>0</v>
      </c>
      <c r="AB194" s="116">
        <f t="shared" si="147"/>
        <v>21139.019918189864</v>
      </c>
      <c r="AC194" s="116">
        <f t="shared" si="148"/>
        <v>62843.294716910692</v>
      </c>
      <c r="AD194" s="475">
        <f t="shared" si="149"/>
        <v>5603.6864162272977</v>
      </c>
      <c r="AE194" s="579">
        <f t="shared" si="150"/>
        <v>0.30697989614728355</v>
      </c>
      <c r="AF194" s="100">
        <f t="shared" si="151"/>
        <v>0.29416526538097321</v>
      </c>
      <c r="AG194" s="100">
        <f t="shared" si="152"/>
        <v>6.2478141269368417E-2</v>
      </c>
      <c r="AH194" s="100">
        <f t="shared" si="165"/>
        <v>0</v>
      </c>
      <c r="AI194" s="100">
        <f t="shared" si="153"/>
        <v>0.33637669720237473</v>
      </c>
      <c r="AJ194" s="100">
        <f t="shared" si="154"/>
        <v>1</v>
      </c>
      <c r="AK194" s="1250">
        <f t="shared" si="155"/>
        <v>19291.628085750377</v>
      </c>
      <c r="AL194" s="1251">
        <f t="shared" si="156"/>
        <v>0</v>
      </c>
      <c r="AM194" s="1251">
        <f t="shared" si="157"/>
        <v>0</v>
      </c>
      <c r="AN194" s="1251">
        <f t="shared" si="158"/>
        <v>19291.628085750377</v>
      </c>
      <c r="AO194" s="1022">
        <f t="shared" si="159"/>
        <v>0</v>
      </c>
    </row>
    <row r="195" spans="1:41">
      <c r="A195" s="89">
        <f>'Input data'!A135</f>
        <v>2035</v>
      </c>
      <c r="B195" s="152">
        <f>'Input data'!B135</f>
        <v>68.922893208527455</v>
      </c>
      <c r="C195" s="204">
        <f>'Input data'!C135</f>
        <v>5978.8699999999981</v>
      </c>
      <c r="D195" s="204">
        <f>'Input data'!E135</f>
        <v>24779864.252695084</v>
      </c>
      <c r="E195" s="473">
        <f>'Input data'!J135*C195</f>
        <v>71932.057766784754</v>
      </c>
      <c r="F195" s="474">
        <f>'Input data'!L135</f>
        <v>96711.92201947984</v>
      </c>
      <c r="G195" s="489">
        <f t="shared" si="171"/>
        <v>13687.941669523079</v>
      </c>
      <c r="H195" s="474">
        <f t="shared" si="160"/>
        <v>50841.90485981587</v>
      </c>
      <c r="I195" s="475">
        <f t="shared" si="135"/>
        <v>24779.864252695083</v>
      </c>
      <c r="J195" s="100">
        <f t="shared" si="170"/>
        <v>0.4</v>
      </c>
      <c r="K195" s="474">
        <f t="shared" si="162"/>
        <v>8386.801093629454</v>
      </c>
      <c r="L195" s="474">
        <f t="shared" si="136"/>
        <v>0</v>
      </c>
      <c r="M195" s="475">
        <f t="shared" si="163"/>
        <v>8386.801093629454</v>
      </c>
      <c r="N195" s="579">
        <f t="shared" si="169"/>
        <v>0.5</v>
      </c>
      <c r="O195" s="475">
        <f t="shared" si="137"/>
        <v>751.91700000000026</v>
      </c>
      <c r="P195" s="1234">
        <f t="shared" si="166"/>
        <v>9138.7180936294535</v>
      </c>
      <c r="Q195" s="467">
        <f t="shared" si="138"/>
        <v>55391.128435709492</v>
      </c>
      <c r="R195" s="467">
        <f t="shared" si="164"/>
        <v>41703.186766186409</v>
      </c>
      <c r="S195" s="1255">
        <f t="shared" si="139"/>
        <v>1.029118544297676</v>
      </c>
      <c r="T195" s="118" t="str">
        <f t="shared" si="140"/>
        <v>No</v>
      </c>
      <c r="U195" s="1259">
        <f t="shared" si="141"/>
        <v>1</v>
      </c>
      <c r="V195" s="1247">
        <f t="shared" si="142"/>
        <v>56188.712135387403</v>
      </c>
      <c r="W195" s="1244">
        <f t="shared" si="134"/>
        <v>0.41900945651695554</v>
      </c>
      <c r="X195" s="473">
        <f t="shared" si="143"/>
        <v>14867.918551617049</v>
      </c>
      <c r="Y195" s="474">
        <f t="shared" si="144"/>
        <v>15672.131180172722</v>
      </c>
      <c r="Z195" s="116">
        <f t="shared" si="145"/>
        <v>4002.4905052646268</v>
      </c>
      <c r="AA195" s="116">
        <f t="shared" si="146"/>
        <v>0</v>
      </c>
      <c r="AB195" s="116">
        <f t="shared" si="147"/>
        <v>21646.171898333007</v>
      </c>
      <c r="AC195" s="116">
        <f t="shared" si="148"/>
        <v>56188.712135387403</v>
      </c>
      <c r="AD195" s="475">
        <f t="shared" si="149"/>
        <v>1179.9768820939698</v>
      </c>
      <c r="AE195" s="579">
        <f t="shared" si="150"/>
        <v>0.26460685761568292</v>
      </c>
      <c r="AF195" s="100">
        <f t="shared" si="151"/>
        <v>0.27891956559549769</v>
      </c>
      <c r="AG195" s="100">
        <f t="shared" si="152"/>
        <v>7.1232999532371846E-2</v>
      </c>
      <c r="AH195" s="100">
        <f t="shared" si="165"/>
        <v>0</v>
      </c>
      <c r="AI195" s="100">
        <f t="shared" si="153"/>
        <v>0.38524057725644761</v>
      </c>
      <c r="AJ195" s="100">
        <f t="shared" si="154"/>
        <v>1</v>
      </c>
      <c r="AK195" s="1250">
        <f t="shared" si="155"/>
        <v>14867.918551617049</v>
      </c>
      <c r="AL195" s="1251">
        <f t="shared" si="156"/>
        <v>0</v>
      </c>
      <c r="AM195" s="1251">
        <f t="shared" si="157"/>
        <v>0</v>
      </c>
      <c r="AN195" s="1251">
        <f t="shared" si="158"/>
        <v>14867.918551617049</v>
      </c>
      <c r="AO195" s="1022">
        <f t="shared" si="159"/>
        <v>0</v>
      </c>
    </row>
    <row r="196" spans="1:41">
      <c r="A196" s="89">
        <f>'Input data'!A136</f>
        <v>2036</v>
      </c>
      <c r="B196" s="152">
        <f>'Input data'!B136</f>
        <v>69.431445341664755</v>
      </c>
      <c r="C196" s="204">
        <f>'Input data'!C136</f>
        <v>6119.1299999999983</v>
      </c>
      <c r="D196" s="204">
        <f>'Input data'!E136</f>
        <v>11557949.273739366</v>
      </c>
      <c r="E196" s="473">
        <f>'Input data'!J136*C196</f>
        <v>73619.532226401585</v>
      </c>
      <c r="F196" s="474">
        <f>'Input data'!L136</f>
        <v>85177.481500140944</v>
      </c>
      <c r="G196" s="489">
        <f t="shared" si="171"/>
        <v>13687.941669523079</v>
      </c>
      <c r="H196" s="474">
        <f t="shared" si="160"/>
        <v>39402.053707019091</v>
      </c>
      <c r="I196" s="475">
        <f t="shared" si="135"/>
        <v>11557.949273739367</v>
      </c>
      <c r="J196" s="100">
        <f t="shared" si="170"/>
        <v>0.4</v>
      </c>
      <c r="K196" s="474">
        <f t="shared" si="162"/>
        <v>3911.8140688994454</v>
      </c>
      <c r="L196" s="474">
        <f t="shared" si="136"/>
        <v>0</v>
      </c>
      <c r="M196" s="475">
        <f t="shared" si="163"/>
        <v>3911.8140688994454</v>
      </c>
      <c r="N196" s="579">
        <f t="shared" si="169"/>
        <v>0.5</v>
      </c>
      <c r="O196" s="475">
        <f t="shared" si="137"/>
        <v>751.91700000000026</v>
      </c>
      <c r="P196" s="1234">
        <f t="shared" si="166"/>
        <v>4663.7310688994457</v>
      </c>
      <c r="Q196" s="467">
        <f t="shared" si="138"/>
        <v>48426.264307642719</v>
      </c>
      <c r="R196" s="467">
        <f t="shared" si="164"/>
        <v>34738.322638119644</v>
      </c>
      <c r="S196" s="1255">
        <f t="shared" si="139"/>
        <v>0.83723960423590627</v>
      </c>
      <c r="T196" s="118" t="str">
        <f t="shared" si="140"/>
        <v>Yes</v>
      </c>
      <c r="U196" s="1259">
        <f t="shared" si="141"/>
        <v>0.83723960423590627</v>
      </c>
      <c r="V196" s="1247">
        <f t="shared" si="142"/>
        <v>50439.158862021308</v>
      </c>
      <c r="W196" s="1244">
        <f t="shared" si="134"/>
        <v>0.40783458287695618</v>
      </c>
      <c r="X196" s="473">
        <f t="shared" si="143"/>
        <v>13687.941669523072</v>
      </c>
      <c r="Y196" s="474">
        <f t="shared" si="144"/>
        <v>10518.495006649337</v>
      </c>
      <c r="Z196" s="116">
        <f t="shared" si="145"/>
        <v>4078.7466272155002</v>
      </c>
      <c r="AA196" s="116">
        <f t="shared" si="146"/>
        <v>0</v>
      </c>
      <c r="AB196" s="116">
        <f t="shared" si="147"/>
        <v>22153.975558633399</v>
      </c>
      <c r="AC196" s="116">
        <f t="shared" si="148"/>
        <v>50439.158862021308</v>
      </c>
      <c r="AD196" s="475">
        <f t="shared" si="149"/>
        <v>0</v>
      </c>
      <c r="AE196" s="579">
        <f t="shared" si="150"/>
        <v>0.27137529606643679</v>
      </c>
      <c r="AF196" s="100">
        <f t="shared" si="151"/>
        <v>0.20853827153270288</v>
      </c>
      <c r="AG196" s="100">
        <f t="shared" si="152"/>
        <v>8.086468369492647E-2</v>
      </c>
      <c r="AH196" s="100">
        <f t="shared" si="165"/>
        <v>0</v>
      </c>
      <c r="AI196" s="100">
        <f t="shared" si="153"/>
        <v>0.43922174870593383</v>
      </c>
      <c r="AJ196" s="100">
        <f t="shared" si="154"/>
        <v>1</v>
      </c>
      <c r="AK196" s="1250">
        <f t="shared" si="155"/>
        <v>6934.7695642436202</v>
      </c>
      <c r="AL196" s="1251">
        <f t="shared" si="156"/>
        <v>6395.1242696024528</v>
      </c>
      <c r="AM196" s="1251">
        <f t="shared" si="157"/>
        <v>358.04783567699775</v>
      </c>
      <c r="AN196" s="1251">
        <f t="shared" si="158"/>
        <v>13687.94166952307</v>
      </c>
      <c r="AO196" s="1022">
        <f t="shared" si="159"/>
        <v>0</v>
      </c>
    </row>
    <row r="197" spans="1:41">
      <c r="A197" s="89">
        <f>'Input data'!A137</f>
        <v>2037</v>
      </c>
      <c r="B197" s="152">
        <f>'Input data'!B137</f>
        <v>69.92691944658003</v>
      </c>
      <c r="C197" s="204">
        <f>'Input data'!C137</f>
        <v>6283.2400000000007</v>
      </c>
      <c r="D197" s="204">
        <f>'Input data'!E137</f>
        <v>6514539.8947081817</v>
      </c>
      <c r="E197" s="473">
        <f>'Input data'!J137*C197</f>
        <v>75593.947124217928</v>
      </c>
      <c r="F197" s="474">
        <f>'Input data'!L137</f>
        <v>82108.487018926113</v>
      </c>
      <c r="G197" s="489">
        <f t="shared" si="171"/>
        <v>13687.941669523079</v>
      </c>
      <c r="H197" s="474">
        <f t="shared" si="160"/>
        <v>35801.988095763634</v>
      </c>
      <c r="I197" s="475">
        <f t="shared" si="135"/>
        <v>6514.5398947081821</v>
      </c>
      <c r="J197" s="100">
        <f t="shared" si="170"/>
        <v>0.4</v>
      </c>
      <c r="K197" s="474">
        <f t="shared" si="162"/>
        <v>2204.8607593759925</v>
      </c>
      <c r="L197" s="474">
        <f t="shared" si="136"/>
        <v>0</v>
      </c>
      <c r="M197" s="475">
        <f t="shared" si="163"/>
        <v>2204.8607593759925</v>
      </c>
      <c r="N197" s="579">
        <f t="shared" si="169"/>
        <v>0.5</v>
      </c>
      <c r="O197" s="475">
        <f t="shared" si="137"/>
        <v>751.91700000000026</v>
      </c>
      <c r="P197" s="1234">
        <f t="shared" si="166"/>
        <v>2956.7777593759929</v>
      </c>
      <c r="Q197" s="467">
        <f t="shared" si="138"/>
        <v>46533.152005910728</v>
      </c>
      <c r="R197" s="467">
        <f t="shared" si="164"/>
        <v>32845.210336387652</v>
      </c>
      <c r="S197" s="1255">
        <f t="shared" si="139"/>
        <v>0.77057245866506452</v>
      </c>
      <c r="T197" s="118" t="str">
        <f t="shared" si="140"/>
        <v>Yes</v>
      </c>
      <c r="U197" s="1259">
        <f t="shared" si="141"/>
        <v>0.77057245866506452</v>
      </c>
      <c r="V197" s="1247">
        <f t="shared" si="142"/>
        <v>49263.276682538475</v>
      </c>
      <c r="W197" s="1244">
        <f t="shared" si="134"/>
        <v>0.4000221113417517</v>
      </c>
      <c r="X197" s="473">
        <f t="shared" si="143"/>
        <v>13687.941669523079</v>
      </c>
      <c r="Y197" s="474">
        <f t="shared" si="144"/>
        <v>8659.2387300236496</v>
      </c>
      <c r="Z197" s="116">
        <f t="shared" si="145"/>
        <v>4167.9694432240412</v>
      </c>
      <c r="AA197" s="116">
        <f t="shared" si="146"/>
        <v>0</v>
      </c>
      <c r="AB197" s="116">
        <f t="shared" si="147"/>
        <v>22748.126839767705</v>
      </c>
      <c r="AC197" s="116">
        <f t="shared" si="148"/>
        <v>49263.276682538475</v>
      </c>
      <c r="AD197" s="475">
        <f t="shared" si="149"/>
        <v>0</v>
      </c>
      <c r="AE197" s="579">
        <f t="shared" si="150"/>
        <v>0.27785284681184869</v>
      </c>
      <c r="AF197" s="100">
        <f t="shared" si="151"/>
        <v>0.17577472131676017</v>
      </c>
      <c r="AG197" s="100">
        <f t="shared" si="152"/>
        <v>8.4606013320697185E-2</v>
      </c>
      <c r="AH197" s="100">
        <f t="shared" si="165"/>
        <v>0</v>
      </c>
      <c r="AI197" s="100">
        <f t="shared" si="153"/>
        <v>0.461766418550694</v>
      </c>
      <c r="AJ197" s="100">
        <f t="shared" si="154"/>
        <v>1</v>
      </c>
      <c r="AK197" s="1250">
        <f t="shared" si="155"/>
        <v>3908.7239368249093</v>
      </c>
      <c r="AL197" s="1251">
        <f t="shared" si="156"/>
        <v>9256.3500649536418</v>
      </c>
      <c r="AM197" s="1251">
        <f t="shared" si="157"/>
        <v>522.8676677445269</v>
      </c>
      <c r="AN197" s="1251">
        <f t="shared" si="158"/>
        <v>13687.941669523078</v>
      </c>
      <c r="AO197" s="1022">
        <f t="shared" si="159"/>
        <v>0</v>
      </c>
    </row>
    <row r="198" spans="1:41">
      <c r="A198" s="89">
        <f>'Input data'!A138</f>
        <v>2038</v>
      </c>
      <c r="B198" s="152">
        <f>'Input data'!B138</f>
        <v>70.408978817025954</v>
      </c>
      <c r="C198" s="204">
        <f>'Input data'!C138</f>
        <v>6443.4999999999982</v>
      </c>
      <c r="D198" s="204">
        <f>'Input data'!E138</f>
        <v>4950160.264487111</v>
      </c>
      <c r="E198" s="473">
        <f>'Input data'!J138*C198</f>
        <v>77522.042496370981</v>
      </c>
      <c r="F198" s="474">
        <f>'Input data'!L138</f>
        <v>82472.202760858097</v>
      </c>
      <c r="G198" s="489">
        <f t="shared" si="171"/>
        <v>13687.941669523079</v>
      </c>
      <c r="H198" s="474">
        <f t="shared" si="160"/>
        <v>35440.247346165168</v>
      </c>
      <c r="I198" s="475">
        <f t="shared" si="135"/>
        <v>4950.1602644871109</v>
      </c>
      <c r="J198" s="100">
        <f t="shared" si="170"/>
        <v>0.4</v>
      </c>
      <c r="K198" s="474">
        <f t="shared" si="162"/>
        <v>1675.3929358320131</v>
      </c>
      <c r="L198" s="474">
        <f t="shared" si="136"/>
        <v>0</v>
      </c>
      <c r="M198" s="475">
        <f t="shared" si="163"/>
        <v>1675.3929358320131</v>
      </c>
      <c r="N198" s="579">
        <f t="shared" si="169"/>
        <v>0.5</v>
      </c>
      <c r="O198" s="475">
        <f t="shared" si="137"/>
        <v>751.91700000000026</v>
      </c>
      <c r="P198" s="1234">
        <f t="shared" si="166"/>
        <v>2427.3099358320133</v>
      </c>
      <c r="Q198" s="467">
        <f t="shared" si="138"/>
        <v>46700.87907985624</v>
      </c>
      <c r="R198" s="467">
        <f t="shared" si="164"/>
        <v>33012.937410333165</v>
      </c>
      <c r="S198" s="1255">
        <f t="shared" si="139"/>
        <v>0.75491302019100603</v>
      </c>
      <c r="T198" s="118" t="str">
        <f t="shared" si="140"/>
        <v>Yes</v>
      </c>
      <c r="U198" s="1259">
        <f t="shared" si="141"/>
        <v>0.75491302019100603</v>
      </c>
      <c r="V198" s="1247">
        <f t="shared" si="142"/>
        <v>49459.26535052494</v>
      </c>
      <c r="W198" s="1244">
        <f t="shared" si="134"/>
        <v>0.40029168986864183</v>
      </c>
      <c r="X198" s="473">
        <f t="shared" si="143"/>
        <v>13687.941669523078</v>
      </c>
      <c r="Y198" s="474">
        <f t="shared" si="144"/>
        <v>8187.8851714053408</v>
      </c>
      <c r="Z198" s="116">
        <f t="shared" si="145"/>
        <v>4255.0991031687627</v>
      </c>
      <c r="AA198" s="116">
        <f t="shared" si="146"/>
        <v>0</v>
      </c>
      <c r="AB198" s="116">
        <f t="shared" si="147"/>
        <v>23328.33940642776</v>
      </c>
      <c r="AC198" s="116">
        <f t="shared" si="148"/>
        <v>49459.26535052494</v>
      </c>
      <c r="AD198" s="475">
        <f t="shared" si="149"/>
        <v>0</v>
      </c>
      <c r="AE198" s="579">
        <f t="shared" si="150"/>
        <v>0.27675181935102883</v>
      </c>
      <c r="AF198" s="100">
        <f t="shared" si="151"/>
        <v>0.16554805481595045</v>
      </c>
      <c r="AG198" s="100">
        <f t="shared" si="152"/>
        <v>8.6032396013411491E-2</v>
      </c>
      <c r="AH198" s="100">
        <f t="shared" si="165"/>
        <v>0</v>
      </c>
      <c r="AI198" s="100">
        <f t="shared" si="153"/>
        <v>0.47166772981960925</v>
      </c>
      <c r="AJ198" s="100">
        <f t="shared" si="154"/>
        <v>1</v>
      </c>
      <c r="AK198" s="1250">
        <f t="shared" si="155"/>
        <v>2970.0961586922667</v>
      </c>
      <c r="AL198" s="1251">
        <f t="shared" si="156"/>
        <v>10140.342967301336</v>
      </c>
      <c r="AM198" s="1251">
        <f t="shared" si="157"/>
        <v>577.50254352947616</v>
      </c>
      <c r="AN198" s="1251">
        <f t="shared" si="158"/>
        <v>13687.941669523078</v>
      </c>
      <c r="AO198" s="1022">
        <f t="shared" si="159"/>
        <v>0</v>
      </c>
    </row>
    <row r="199" spans="1:41">
      <c r="A199" s="89">
        <f>'Input data'!A139</f>
        <v>2039</v>
      </c>
      <c r="B199" s="152">
        <f>'Input data'!B139</f>
        <v>70.877294017675013</v>
      </c>
      <c r="C199" s="204">
        <f>'Input data'!C139</f>
        <v>6615.260000000002</v>
      </c>
      <c r="D199" s="204">
        <f>'Input data'!E139</f>
        <v>3385780.6342660398</v>
      </c>
      <c r="E199" s="473">
        <f>'Input data'!J139*C199</f>
        <v>79588.494893232477</v>
      </c>
      <c r="F199" s="474">
        <f>'Input data'!L139</f>
        <v>82974.27552749851</v>
      </c>
      <c r="G199" s="489">
        <f t="shared" si="171"/>
        <v>13687.941669523079</v>
      </c>
      <c r="H199" s="474">
        <f t="shared" si="160"/>
        <v>35157.89684241038</v>
      </c>
      <c r="I199" s="475">
        <f t="shared" si="135"/>
        <v>3385.7806342660397</v>
      </c>
      <c r="J199" s="100">
        <f t="shared" si="170"/>
        <v>0.4</v>
      </c>
      <c r="K199" s="474">
        <f t="shared" si="162"/>
        <v>1145.9251122880339</v>
      </c>
      <c r="L199" s="474">
        <f t="shared" si="136"/>
        <v>0</v>
      </c>
      <c r="M199" s="475">
        <f t="shared" si="163"/>
        <v>1145.9251122880339</v>
      </c>
      <c r="N199" s="579">
        <f t="shared" si="169"/>
        <v>0.5</v>
      </c>
      <c r="O199" s="475">
        <f t="shared" si="137"/>
        <v>751.91700000000026</v>
      </c>
      <c r="P199" s="1234">
        <f t="shared" si="166"/>
        <v>1897.8421122880341</v>
      </c>
      <c r="Q199" s="467">
        <f t="shared" si="138"/>
        <v>46947.996399645432</v>
      </c>
      <c r="R199" s="467">
        <f t="shared" si="164"/>
        <v>33260.054730122356</v>
      </c>
      <c r="S199" s="1255">
        <f t="shared" si="139"/>
        <v>0.74048587896173945</v>
      </c>
      <c r="T199" s="118" t="str">
        <f t="shared" si="140"/>
        <v>Yes</v>
      </c>
      <c r="U199" s="1259">
        <f t="shared" si="141"/>
        <v>0.74048587896173945</v>
      </c>
      <c r="V199" s="1247">
        <f t="shared" si="142"/>
        <v>49714.220797376176</v>
      </c>
      <c r="W199" s="1244">
        <f t="shared" si="134"/>
        <v>0.4008477870843189</v>
      </c>
      <c r="X199" s="473">
        <f t="shared" si="143"/>
        <v>13687.941669523078</v>
      </c>
      <c r="Y199" s="474">
        <f t="shared" si="144"/>
        <v>7727.6109861484929</v>
      </c>
      <c r="Z199" s="116">
        <f t="shared" si="145"/>
        <v>4348.4810474599535</v>
      </c>
      <c r="AA199" s="116">
        <f t="shared" si="146"/>
        <v>0</v>
      </c>
      <c r="AB199" s="116">
        <f t="shared" si="147"/>
        <v>23950.187094244651</v>
      </c>
      <c r="AC199" s="116">
        <f t="shared" si="148"/>
        <v>49714.220797376176</v>
      </c>
      <c r="AD199" s="475">
        <f t="shared" si="149"/>
        <v>0</v>
      </c>
      <c r="AE199" s="579">
        <f t="shared" si="150"/>
        <v>0.27533251954832011</v>
      </c>
      <c r="AF199" s="100">
        <f t="shared" si="151"/>
        <v>0.15544065384519395</v>
      </c>
      <c r="AG199" s="100">
        <f t="shared" si="152"/>
        <v>8.7469560574696931E-2</v>
      </c>
      <c r="AH199" s="100">
        <f t="shared" si="165"/>
        <v>0</v>
      </c>
      <c r="AI199" s="100">
        <f t="shared" si="153"/>
        <v>0.48175726603178898</v>
      </c>
      <c r="AJ199" s="100">
        <f t="shared" si="154"/>
        <v>1</v>
      </c>
      <c r="AK199" s="1250">
        <f t="shared" si="155"/>
        <v>2031.4683805596235</v>
      </c>
      <c r="AL199" s="1251">
        <f t="shared" si="156"/>
        <v>11023.47402965083</v>
      </c>
      <c r="AM199" s="1251">
        <f t="shared" si="157"/>
        <v>632.99925931262294</v>
      </c>
      <c r="AN199" s="1251">
        <f t="shared" si="158"/>
        <v>13687.941669523076</v>
      </c>
      <c r="AO199" s="1022">
        <f t="shared" si="159"/>
        <v>0</v>
      </c>
    </row>
    <row r="200" spans="1:41">
      <c r="A200" s="89">
        <f>'Input data'!A140</f>
        <v>2040</v>
      </c>
      <c r="B200" s="152">
        <f>'Input data'!B140</f>
        <v>71.331543257193218</v>
      </c>
      <c r="C200" s="204">
        <f>'Input data'!C140</f>
        <v>6787.6000000000013</v>
      </c>
      <c r="D200" s="204">
        <f>'Input data'!E140</f>
        <v>1821401.0040449696</v>
      </c>
      <c r="E200" s="473">
        <f>'Input data'!J140*C200</f>
        <v>81661.925296557456</v>
      </c>
      <c r="F200" s="474">
        <f>'Input data'!L140</f>
        <v>83483.326300602421</v>
      </c>
      <c r="G200" s="489">
        <f t="shared" si="171"/>
        <v>13687.941669523079</v>
      </c>
      <c r="H200" s="474">
        <f t="shared" si="160"/>
        <v>34879.55036844594</v>
      </c>
      <c r="I200" s="475">
        <f t="shared" si="135"/>
        <v>1821.4010040449696</v>
      </c>
      <c r="J200" s="100">
        <f t="shared" si="170"/>
        <v>0.4</v>
      </c>
      <c r="K200" s="474">
        <f t="shared" si="162"/>
        <v>616.45728874405495</v>
      </c>
      <c r="L200" s="474">
        <f t="shared" si="136"/>
        <v>0</v>
      </c>
      <c r="M200" s="475">
        <f t="shared" si="163"/>
        <v>616.45728874405495</v>
      </c>
      <c r="N200" s="579">
        <f t="shared" si="169"/>
        <v>0.5</v>
      </c>
      <c r="O200" s="475">
        <f t="shared" si="137"/>
        <v>751.91700000000026</v>
      </c>
      <c r="P200" s="1234">
        <f t="shared" si="166"/>
        <v>1368.3742887440553</v>
      </c>
      <c r="Q200" s="467">
        <f t="shared" si="138"/>
        <v>47199.117749224963</v>
      </c>
      <c r="R200" s="467">
        <f t="shared" si="164"/>
        <v>33511.17607970188</v>
      </c>
      <c r="S200" s="1255">
        <f t="shared" si="139"/>
        <v>0.72682459208331862</v>
      </c>
      <c r="T200" s="118" t="str">
        <f t="shared" si="140"/>
        <v>Yes</v>
      </c>
      <c r="U200" s="1259">
        <f t="shared" si="141"/>
        <v>0.72682459208331862</v>
      </c>
      <c r="V200" s="1247">
        <f t="shared" si="142"/>
        <v>49972.150220900563</v>
      </c>
      <c r="W200" s="1244">
        <f t="shared" si="134"/>
        <v>0.40141160594196446</v>
      </c>
      <c r="X200" s="473">
        <f t="shared" si="143"/>
        <v>13687.941669523083</v>
      </c>
      <c r="Y200" s="474">
        <f t="shared" si="144"/>
        <v>7267.8955866785645</v>
      </c>
      <c r="Z200" s="116">
        <f t="shared" si="145"/>
        <v>4442.1783243529617</v>
      </c>
      <c r="AA200" s="116">
        <f t="shared" si="146"/>
        <v>0</v>
      </c>
      <c r="AB200" s="116">
        <f t="shared" si="147"/>
        <v>24574.134640345954</v>
      </c>
      <c r="AC200" s="116">
        <f t="shared" si="148"/>
        <v>49972.150220900563</v>
      </c>
      <c r="AD200" s="475">
        <f t="shared" si="149"/>
        <v>0</v>
      </c>
      <c r="AE200" s="579">
        <f t="shared" si="150"/>
        <v>0.27391140083058063</v>
      </c>
      <c r="AF200" s="100">
        <f t="shared" si="151"/>
        <v>0.14543892056977786</v>
      </c>
      <c r="AG200" s="100">
        <f t="shared" si="152"/>
        <v>8.8893079539632186E-2</v>
      </c>
      <c r="AH200" s="100">
        <f t="shared" si="165"/>
        <v>0</v>
      </c>
      <c r="AI200" s="100">
        <f t="shared" si="153"/>
        <v>0.49175659906000929</v>
      </c>
      <c r="AJ200" s="100">
        <f t="shared" si="154"/>
        <v>1</v>
      </c>
      <c r="AK200" s="1250">
        <f t="shared" si="155"/>
        <v>1092.8406024269816</v>
      </c>
      <c r="AL200" s="1251">
        <f t="shared" si="156"/>
        <v>11906.069471300743</v>
      </c>
      <c r="AM200" s="1251">
        <f t="shared" si="157"/>
        <v>689.03159579535554</v>
      </c>
      <c r="AN200" s="1251">
        <f t="shared" si="158"/>
        <v>13687.941669523081</v>
      </c>
      <c r="AO200" s="1022">
        <f t="shared" si="159"/>
        <v>0</v>
      </c>
    </row>
    <row r="201" spans="1:41">
      <c r="A201" s="89">
        <f>'Input data'!A141</f>
        <v>2041</v>
      </c>
      <c r="B201" s="152">
        <f>'Input data'!B141</f>
        <v>71.772879261991122</v>
      </c>
      <c r="C201" s="204">
        <f>'Input data'!C141</f>
        <v>6981.3799999999992</v>
      </c>
      <c r="D201" s="204">
        <f>'Input data'!E141</f>
        <v>1694135.0775526946</v>
      </c>
      <c r="E201" s="473">
        <f>'Input data'!J141*C201</f>
        <v>83993.301318121303</v>
      </c>
      <c r="F201" s="474">
        <f>'Input data'!L141</f>
        <v>85687.436395673998</v>
      </c>
      <c r="G201" s="489">
        <f t="shared" si="171"/>
        <v>13687.941669523079</v>
      </c>
      <c r="H201" s="474">
        <f t="shared" si="160"/>
        <v>36097.877531892707</v>
      </c>
      <c r="I201" s="475">
        <f t="shared" si="135"/>
        <v>1694.1350775526946</v>
      </c>
      <c r="J201" s="100">
        <f t="shared" si="170"/>
        <v>0.4</v>
      </c>
      <c r="K201" s="474">
        <f t="shared" si="162"/>
        <v>573.38384812296317</v>
      </c>
      <c r="L201" s="474">
        <f t="shared" si="136"/>
        <v>0</v>
      </c>
      <c r="M201" s="475">
        <f t="shared" si="163"/>
        <v>573.38384812296317</v>
      </c>
      <c r="N201" s="579">
        <f t="shared" si="169"/>
        <v>0.5</v>
      </c>
      <c r="O201" s="475">
        <f t="shared" si="137"/>
        <v>751.91700000000026</v>
      </c>
      <c r="P201" s="1234">
        <f t="shared" si="166"/>
        <v>1325.3008481229635</v>
      </c>
      <c r="Q201" s="467">
        <f t="shared" si="138"/>
        <v>48460.518353292828</v>
      </c>
      <c r="R201" s="467">
        <f t="shared" si="164"/>
        <v>34772.576683769745</v>
      </c>
      <c r="S201" s="1255">
        <f t="shared" si="139"/>
        <v>0.73291774177941504</v>
      </c>
      <c r="T201" s="118" t="str">
        <f t="shared" si="140"/>
        <v>Yes</v>
      </c>
      <c r="U201" s="1259">
        <f t="shared" si="141"/>
        <v>0.73291774177941504</v>
      </c>
      <c r="V201" s="1247">
        <f t="shared" si="142"/>
        <v>50914.859711904268</v>
      </c>
      <c r="W201" s="1244">
        <f t="shared" si="134"/>
        <v>0.40580717718292303</v>
      </c>
      <c r="X201" s="473">
        <f t="shared" si="143"/>
        <v>13687.941669523079</v>
      </c>
      <c r="Y201" s="474">
        <f t="shared" si="144"/>
        <v>7403.681474340985</v>
      </c>
      <c r="Z201" s="116">
        <f t="shared" si="145"/>
        <v>4547.532033975378</v>
      </c>
      <c r="AA201" s="116">
        <f t="shared" si="146"/>
        <v>0</v>
      </c>
      <c r="AB201" s="116">
        <f t="shared" si="147"/>
        <v>25275.704534064822</v>
      </c>
      <c r="AC201" s="116">
        <f t="shared" si="148"/>
        <v>50914.859711904268</v>
      </c>
      <c r="AD201" s="475">
        <f t="shared" si="149"/>
        <v>0</v>
      </c>
      <c r="AE201" s="579">
        <f t="shared" si="150"/>
        <v>0.26883981900322784</v>
      </c>
      <c r="AF201" s="100">
        <f t="shared" si="151"/>
        <v>0.14541297994797284</v>
      </c>
      <c r="AG201" s="100">
        <f t="shared" si="152"/>
        <v>8.9316401139216572E-2</v>
      </c>
      <c r="AH201" s="100">
        <f t="shared" si="165"/>
        <v>0</v>
      </c>
      <c r="AI201" s="100">
        <f t="shared" si="153"/>
        <v>0.49643079990958272</v>
      </c>
      <c r="AJ201" s="100">
        <f t="shared" si="154"/>
        <v>1</v>
      </c>
      <c r="AK201" s="1250">
        <f t="shared" si="155"/>
        <v>1016.4810465316166</v>
      </c>
      <c r="AL201" s="1251">
        <f t="shared" si="156"/>
        <v>11972.831987555994</v>
      </c>
      <c r="AM201" s="1251">
        <f t="shared" si="157"/>
        <v>698.62863543546598</v>
      </c>
      <c r="AN201" s="1251">
        <f t="shared" si="158"/>
        <v>13687.941669523076</v>
      </c>
      <c r="AO201" s="1022">
        <f t="shared" si="159"/>
        <v>0</v>
      </c>
    </row>
    <row r="202" spans="1:41">
      <c r="A202" s="89">
        <f>'Input data'!A142</f>
        <v>2042</v>
      </c>
      <c r="B202" s="152">
        <f>'Input data'!B142</f>
        <v>72.201023455996193</v>
      </c>
      <c r="C202" s="204">
        <f>'Input data'!C142</f>
        <v>7178.2100000000019</v>
      </c>
      <c r="D202" s="204">
        <f>'Input data'!E142</f>
        <v>1566869.1510604194</v>
      </c>
      <c r="E202" s="473">
        <f>'Input data'!J142*C202</f>
        <v>86361.372028846978</v>
      </c>
      <c r="F202" s="474">
        <f>'Input data'!L142</f>
        <v>87928.241179907403</v>
      </c>
      <c r="G202" s="489">
        <f t="shared" si="171"/>
        <v>13687.941669523079</v>
      </c>
      <c r="H202" s="474">
        <f t="shared" si="160"/>
        <v>37337.260369237163</v>
      </c>
      <c r="I202" s="475">
        <f t="shared" si="135"/>
        <v>1566.8691510604194</v>
      </c>
      <c r="J202" s="100">
        <f t="shared" si="170"/>
        <v>0.4</v>
      </c>
      <c r="K202" s="474">
        <f t="shared" si="162"/>
        <v>530.31040750187128</v>
      </c>
      <c r="L202" s="474">
        <f t="shared" si="136"/>
        <v>0</v>
      </c>
      <c r="M202" s="475">
        <f t="shared" si="163"/>
        <v>530.31040750187128</v>
      </c>
      <c r="N202" s="579">
        <f t="shared" si="169"/>
        <v>0.5</v>
      </c>
      <c r="O202" s="475">
        <f t="shared" si="137"/>
        <v>751.91700000000026</v>
      </c>
      <c r="P202" s="1234">
        <f t="shared" si="166"/>
        <v>1282.2274075018715</v>
      </c>
      <c r="Q202" s="467">
        <f t="shared" si="138"/>
        <v>49742.974631258374</v>
      </c>
      <c r="R202" s="467">
        <f t="shared" si="164"/>
        <v>36055.032961735298</v>
      </c>
      <c r="S202" s="1255">
        <f t="shared" si="139"/>
        <v>0.73878944859730145</v>
      </c>
      <c r="T202" s="118" t="str">
        <f t="shared" si="140"/>
        <v>Yes</v>
      </c>
      <c r="U202" s="1259">
        <f t="shared" si="141"/>
        <v>0.73878944859730145</v>
      </c>
      <c r="V202" s="1247">
        <f t="shared" si="142"/>
        <v>51873.208218172105</v>
      </c>
      <c r="W202" s="1244">
        <f t="shared" si="134"/>
        <v>0.41005065582927047</v>
      </c>
      <c r="X202" s="473">
        <f t="shared" si="143"/>
        <v>13687.941669523074</v>
      </c>
      <c r="Y202" s="474">
        <f t="shared" si="144"/>
        <v>7542.4058045036199</v>
      </c>
      <c r="Z202" s="116">
        <f t="shared" si="145"/>
        <v>4654.5439581418577</v>
      </c>
      <c r="AA202" s="116">
        <f t="shared" si="146"/>
        <v>0</v>
      </c>
      <c r="AB202" s="116">
        <f t="shared" si="147"/>
        <v>25988.316786003554</v>
      </c>
      <c r="AC202" s="116">
        <f t="shared" si="148"/>
        <v>51873.208218172105</v>
      </c>
      <c r="AD202" s="475">
        <f t="shared" si="149"/>
        <v>0</v>
      </c>
      <c r="AE202" s="579">
        <f t="shared" si="150"/>
        <v>0.26387305007150003</v>
      </c>
      <c r="AF202" s="100">
        <f t="shared" si="151"/>
        <v>0.14540079674234185</v>
      </c>
      <c r="AG202" s="100">
        <f t="shared" si="152"/>
        <v>8.9729247872339782E-2</v>
      </c>
      <c r="AH202" s="100">
        <f t="shared" si="165"/>
        <v>0</v>
      </c>
      <c r="AI202" s="100">
        <f t="shared" si="153"/>
        <v>0.50099690531381835</v>
      </c>
      <c r="AJ202" s="100">
        <f t="shared" si="154"/>
        <v>1</v>
      </c>
      <c r="AK202" s="1250">
        <f t="shared" si="155"/>
        <v>940.12149063625145</v>
      </c>
      <c r="AL202" s="1251">
        <f t="shared" si="156"/>
        <v>12039.749375803829</v>
      </c>
      <c r="AM202" s="1251">
        <f t="shared" si="157"/>
        <v>708.07080308299203</v>
      </c>
      <c r="AN202" s="1251">
        <f t="shared" si="158"/>
        <v>13687.941669523072</v>
      </c>
      <c r="AO202" s="1022">
        <f t="shared" si="159"/>
        <v>0</v>
      </c>
    </row>
    <row r="203" spans="1:41">
      <c r="A203" s="89">
        <f>'Input data'!A143</f>
        <v>2043</v>
      </c>
      <c r="B203" s="152">
        <f>'Input data'!B143</f>
        <v>72.615704257339331</v>
      </c>
      <c r="C203" s="204">
        <f>'Input data'!C143</f>
        <v>7380.12</v>
      </c>
      <c r="D203" s="204">
        <f>'Input data'!E143</f>
        <v>1439603.2245681447</v>
      </c>
      <c r="E203" s="473">
        <f>'Input data'!J143*C203</f>
        <v>88790.560451356811</v>
      </c>
      <c r="F203" s="474">
        <f>'Input data'!L143</f>
        <v>90230.163675924952</v>
      </c>
      <c r="G203" s="489">
        <f t="shared" si="171"/>
        <v>13687.941669523079</v>
      </c>
      <c r="H203" s="474">
        <f t="shared" si="160"/>
        <v>38611.712984745565</v>
      </c>
      <c r="I203" s="475">
        <f t="shared" si="135"/>
        <v>1439.6032245681447</v>
      </c>
      <c r="J203" s="100">
        <f t="shared" si="170"/>
        <v>0.4</v>
      </c>
      <c r="K203" s="474">
        <f t="shared" si="162"/>
        <v>487.23696688077951</v>
      </c>
      <c r="L203" s="474">
        <f t="shared" si="136"/>
        <v>0</v>
      </c>
      <c r="M203" s="475">
        <f t="shared" si="163"/>
        <v>487.23696688077951</v>
      </c>
      <c r="N203" s="579">
        <f t="shared" si="169"/>
        <v>0.5</v>
      </c>
      <c r="O203" s="475">
        <f t="shared" si="137"/>
        <v>751.91700000000026</v>
      </c>
      <c r="P203" s="1234">
        <f t="shared" si="166"/>
        <v>1239.1539668807798</v>
      </c>
      <c r="Q203" s="467">
        <f t="shared" si="138"/>
        <v>51060.500687387859</v>
      </c>
      <c r="R203" s="467">
        <f t="shared" si="164"/>
        <v>37372.559017864784</v>
      </c>
      <c r="S203" s="1255">
        <f t="shared" si="139"/>
        <v>0.74452165512234703</v>
      </c>
      <c r="T203" s="118" t="str">
        <f t="shared" si="140"/>
        <v>Yes</v>
      </c>
      <c r="U203" s="1259">
        <f t="shared" si="141"/>
        <v>0.74452165512234703</v>
      </c>
      <c r="V203" s="1247">
        <f t="shared" si="142"/>
        <v>52857.604658060183</v>
      </c>
      <c r="W203" s="1244">
        <f t="shared" si="134"/>
        <v>0.41419141332929277</v>
      </c>
      <c r="X203" s="473">
        <f t="shared" si="143"/>
        <v>13687.941669523079</v>
      </c>
      <c r="Y203" s="474">
        <f t="shared" si="144"/>
        <v>7686.0243274207023</v>
      </c>
      <c r="Z203" s="116">
        <f t="shared" si="145"/>
        <v>4764.3177609587738</v>
      </c>
      <c r="AA203" s="116">
        <f t="shared" si="146"/>
        <v>0</v>
      </c>
      <c r="AB203" s="116">
        <f t="shared" si="147"/>
        <v>26719.320900157629</v>
      </c>
      <c r="AC203" s="116">
        <f t="shared" si="148"/>
        <v>52857.604658060183</v>
      </c>
      <c r="AD203" s="475">
        <f t="shared" si="149"/>
        <v>0</v>
      </c>
      <c r="AE203" s="579">
        <f t="shared" si="150"/>
        <v>0.25895879614809264</v>
      </c>
      <c r="AF203" s="100">
        <f t="shared" si="151"/>
        <v>0.14541000064498139</v>
      </c>
      <c r="AG203" s="100">
        <f t="shared" si="152"/>
        <v>9.0134953934812287E-2</v>
      </c>
      <c r="AH203" s="100">
        <f t="shared" si="165"/>
        <v>0</v>
      </c>
      <c r="AI203" s="100">
        <f t="shared" si="153"/>
        <v>0.50549624927211367</v>
      </c>
      <c r="AJ203" s="100">
        <f t="shared" si="154"/>
        <v>1</v>
      </c>
      <c r="AK203" s="1250">
        <f t="shared" si="155"/>
        <v>863.76193474088666</v>
      </c>
      <c r="AL203" s="1251">
        <f t="shared" si="156"/>
        <v>12106.764327308134</v>
      </c>
      <c r="AM203" s="1251">
        <f t="shared" si="157"/>
        <v>717.41540747405691</v>
      </c>
      <c r="AN203" s="1251">
        <f t="shared" si="158"/>
        <v>13687.941669523078</v>
      </c>
      <c r="AO203" s="1022">
        <f t="shared" si="159"/>
        <v>0</v>
      </c>
    </row>
    <row r="204" spans="1:41">
      <c r="A204" s="89">
        <f>'Input data'!A144</f>
        <v>2044</v>
      </c>
      <c r="B204" s="152">
        <f>'Input data'!B144</f>
        <v>73.016657364175842</v>
      </c>
      <c r="C204" s="204">
        <f>'Input data'!C144</f>
        <v>7589.87</v>
      </c>
      <c r="D204" s="204">
        <f>'Input data'!E144</f>
        <v>1312337.2980758694</v>
      </c>
      <c r="E204" s="473">
        <f>'Input data'!J144*C204</f>
        <v>91314.072271580881</v>
      </c>
      <c r="F204" s="474">
        <f>'Input data'!L144</f>
        <v>92626.409569656753</v>
      </c>
      <c r="G204" s="489">
        <f t="shared" si="171"/>
        <v>13687.941669523079</v>
      </c>
      <c r="H204" s="474">
        <f t="shared" si="160"/>
        <v>39940.2890374204</v>
      </c>
      <c r="I204" s="475">
        <f t="shared" si="135"/>
        <v>1312.3372980758695</v>
      </c>
      <c r="J204" s="100">
        <f t="shared" si="170"/>
        <v>0.4</v>
      </c>
      <c r="K204" s="474">
        <f t="shared" si="162"/>
        <v>444.16352625968761</v>
      </c>
      <c r="L204" s="474">
        <f t="shared" si="136"/>
        <v>0</v>
      </c>
      <c r="M204" s="475">
        <f t="shared" si="163"/>
        <v>444.16352625968761</v>
      </c>
      <c r="N204" s="579">
        <f t="shared" si="169"/>
        <v>0.5</v>
      </c>
      <c r="O204" s="475">
        <f t="shared" si="137"/>
        <v>751.91700000000026</v>
      </c>
      <c r="P204" s="1234">
        <f t="shared" si="166"/>
        <v>1196.0805262596878</v>
      </c>
      <c r="Q204" s="467">
        <f t="shared" si="138"/>
        <v>52432.150180683791</v>
      </c>
      <c r="R204" s="467">
        <f t="shared" si="164"/>
        <v>38744.208511160716</v>
      </c>
      <c r="S204" s="1255">
        <f t="shared" si="139"/>
        <v>0.75020617120298216</v>
      </c>
      <c r="T204" s="118" t="str">
        <f t="shared" si="140"/>
        <v>Yes</v>
      </c>
      <c r="U204" s="1259">
        <f t="shared" si="141"/>
        <v>0.75020617120298216</v>
      </c>
      <c r="V204" s="1247">
        <f t="shared" si="142"/>
        <v>53882.201058496052</v>
      </c>
      <c r="W204" s="1244">
        <f>(1-V204/F204)</f>
        <v>0.41828468458581836</v>
      </c>
      <c r="X204" s="473">
        <f t="shared" si="143"/>
        <v>13687.941669523076</v>
      </c>
      <c r="Y204" s="474">
        <f t="shared" si="144"/>
        <v>7837.1960926989841</v>
      </c>
      <c r="Z204" s="116">
        <f t="shared" si="145"/>
        <v>4878.3539906692804</v>
      </c>
      <c r="AA204" s="116">
        <f t="shared" si="146"/>
        <v>0</v>
      </c>
      <c r="AB204" s="116">
        <f t="shared" si="147"/>
        <v>27478.709305604705</v>
      </c>
      <c r="AC204" s="116">
        <f t="shared" si="148"/>
        <v>53882.201058496052</v>
      </c>
      <c r="AD204" s="475">
        <f t="shared" si="149"/>
        <v>0</v>
      </c>
      <c r="AE204" s="579">
        <f t="shared" si="150"/>
        <v>0.25403456801371305</v>
      </c>
      <c r="AF204" s="100">
        <f t="shared" si="151"/>
        <v>0.14545055581880742</v>
      </c>
      <c r="AG204" s="100">
        <f t="shared" si="152"/>
        <v>9.0537392586713381E-2</v>
      </c>
      <c r="AH204" s="100">
        <f t="shared" si="165"/>
        <v>0</v>
      </c>
      <c r="AI204" s="100">
        <f t="shared" si="153"/>
        <v>0.509977483580766</v>
      </c>
      <c r="AJ204" s="100">
        <f t="shared" si="154"/>
        <v>0.99999999999999978</v>
      </c>
      <c r="AK204" s="1250">
        <f t="shared" si="155"/>
        <v>787.40237884552153</v>
      </c>
      <c r="AL204" s="1251">
        <f t="shared" si="156"/>
        <v>12173.812632398749</v>
      </c>
      <c r="AM204" s="1251">
        <f t="shared" si="157"/>
        <v>726.72665827880212</v>
      </c>
      <c r="AN204" s="1251">
        <f t="shared" si="158"/>
        <v>13687.941669523072</v>
      </c>
      <c r="AO204" s="1022">
        <f t="shared" si="159"/>
        <v>0</v>
      </c>
    </row>
    <row r="205" spans="1:41">
      <c r="A205" s="89">
        <f>'Input data'!A145</f>
        <v>2045</v>
      </c>
      <c r="B205" s="152">
        <f>'Input data'!B145</f>
        <v>73.40362603426334</v>
      </c>
      <c r="C205" s="204">
        <f>'Input data'!C145</f>
        <v>7808.4800000000005</v>
      </c>
      <c r="D205" s="204">
        <f>'Input data'!E145</f>
        <v>1185071.3715835942</v>
      </c>
      <c r="E205" s="473">
        <f>'Input data'!J145*C205</f>
        <v>93944.179156058526</v>
      </c>
      <c r="F205" s="474">
        <f>'Input data'!L145</f>
        <v>95129.250527642114</v>
      </c>
      <c r="G205" s="489">
        <f t="shared" si="171"/>
        <v>13687.941669523079</v>
      </c>
      <c r="H205" s="474">
        <f t="shared" si="160"/>
        <v>41330.030096893039</v>
      </c>
      <c r="I205" s="475">
        <f t="shared" si="135"/>
        <v>1185.0713715835943</v>
      </c>
      <c r="J205" s="100">
        <f t="shared" si="170"/>
        <v>0.4</v>
      </c>
      <c r="K205" s="474">
        <f t="shared" si="162"/>
        <v>401.09008563859572</v>
      </c>
      <c r="L205" s="474">
        <f t="shared" si="136"/>
        <v>0</v>
      </c>
      <c r="M205" s="475">
        <f t="shared" si="163"/>
        <v>401.09008563859572</v>
      </c>
      <c r="N205" s="579">
        <f t="shared" si="169"/>
        <v>0.5</v>
      </c>
      <c r="O205" s="475">
        <f t="shared" si="137"/>
        <v>751.91700000000026</v>
      </c>
      <c r="P205" s="1234">
        <f t="shared" si="166"/>
        <v>1153.007085638596</v>
      </c>
      <c r="Q205" s="467">
        <f t="shared" si="138"/>
        <v>53864.964680777521</v>
      </c>
      <c r="R205" s="467">
        <f t="shared" si="164"/>
        <v>40177.023011254438</v>
      </c>
      <c r="S205" s="1255">
        <f t="shared" si="139"/>
        <v>0.75586187447686948</v>
      </c>
      <c r="T205" s="118" t="str">
        <f t="shared" si="140"/>
        <v>Yes</v>
      </c>
      <c r="U205" s="1259">
        <f t="shared" si="141"/>
        <v>0.75586187447686948</v>
      </c>
      <c r="V205" s="1247">
        <f t="shared" si="142"/>
        <v>54952.227516387698</v>
      </c>
      <c r="W205" s="1244">
        <f t="shared" si="134"/>
        <v>0.4223414227318022</v>
      </c>
      <c r="X205" s="473">
        <f t="shared" si="143"/>
        <v>13687.941669523083</v>
      </c>
      <c r="Y205" s="474">
        <f t="shared" si="144"/>
        <v>7996.9037925844377</v>
      </c>
      <c r="Z205" s="116">
        <f t="shared" si="145"/>
        <v>4997.2071977110627</v>
      </c>
      <c r="AA205" s="116">
        <f t="shared" si="146"/>
        <v>0</v>
      </c>
      <c r="AB205" s="116">
        <f t="shared" si="147"/>
        <v>28270.174856569116</v>
      </c>
      <c r="AC205" s="116">
        <f t="shared" si="148"/>
        <v>54952.227516387698</v>
      </c>
      <c r="AD205" s="475">
        <f t="shared" si="149"/>
        <v>0</v>
      </c>
      <c r="AE205" s="579">
        <f t="shared" si="150"/>
        <v>0.24908802223606138</v>
      </c>
      <c r="AF205" s="100">
        <f t="shared" si="151"/>
        <v>0.14552465212078297</v>
      </c>
      <c r="AG205" s="100">
        <f t="shared" si="152"/>
        <v>9.0937299970611923E-2</v>
      </c>
      <c r="AH205" s="100">
        <f t="shared" si="165"/>
        <v>0</v>
      </c>
      <c r="AI205" s="100">
        <f t="shared" si="153"/>
        <v>0.51445002567254372</v>
      </c>
      <c r="AJ205" s="100">
        <f t="shared" si="154"/>
        <v>1</v>
      </c>
      <c r="AK205" s="1250">
        <f t="shared" si="155"/>
        <v>711.04282295015662</v>
      </c>
      <c r="AL205" s="1251">
        <f t="shared" si="156"/>
        <v>12240.881088495491</v>
      </c>
      <c r="AM205" s="1251">
        <f t="shared" si="157"/>
        <v>736.01775807743343</v>
      </c>
      <c r="AN205" s="1251">
        <f t="shared" si="158"/>
        <v>13687.941669523079</v>
      </c>
      <c r="AO205" s="1022">
        <f t="shared" si="159"/>
        <v>0</v>
      </c>
    </row>
    <row r="206" spans="1:41">
      <c r="A206" s="89">
        <f>'Input data'!A146</f>
        <v>2046</v>
      </c>
      <c r="B206" s="152">
        <f>'Input data'!B146</f>
        <v>73.776422042674071</v>
      </c>
      <c r="C206" s="204">
        <f>'Input data'!C146</f>
        <v>8042.25</v>
      </c>
      <c r="D206" s="204">
        <f>'Input data'!E146</f>
        <v>990067.58809674683</v>
      </c>
      <c r="E206" s="473">
        <f>'Input data'!J146*C206</f>
        <v>96756.67669223866</v>
      </c>
      <c r="F206" s="474">
        <f>'Input data'!L146</f>
        <v>97746.744280335406</v>
      </c>
      <c r="G206" s="489">
        <f t="shared" si="171"/>
        <v>13687.941669523079</v>
      </c>
      <c r="H206" s="474">
        <f t="shared" si="160"/>
        <v>42760.859465807196</v>
      </c>
      <c r="I206" s="475">
        <f t="shared" si="135"/>
        <v>990.06758809674682</v>
      </c>
      <c r="J206" s="100">
        <f t="shared" si="170"/>
        <v>0.4</v>
      </c>
      <c r="K206" s="474">
        <f t="shared" si="162"/>
        <v>335.09061413497358</v>
      </c>
      <c r="L206" s="474">
        <f t="shared" si="136"/>
        <v>0</v>
      </c>
      <c r="M206" s="475">
        <f t="shared" si="163"/>
        <v>335.09061413497358</v>
      </c>
      <c r="N206" s="579">
        <f t="shared" si="169"/>
        <v>0.5</v>
      </c>
      <c r="O206" s="475">
        <f t="shared" si="137"/>
        <v>751.91700000000026</v>
      </c>
      <c r="P206" s="1234">
        <f t="shared" si="166"/>
        <v>1087.0076141349739</v>
      </c>
      <c r="Q206" s="467">
        <f t="shared" si="138"/>
        <v>55361.793521195308</v>
      </c>
      <c r="R206" s="467">
        <f t="shared" si="164"/>
        <v>41673.851851672225</v>
      </c>
      <c r="S206" s="1255">
        <f t="shared" si="139"/>
        <v>0.76091951181135764</v>
      </c>
      <c r="T206" s="118" t="str">
        <f t="shared" si="140"/>
        <v>Yes</v>
      </c>
      <c r="U206" s="1259">
        <f t="shared" si="141"/>
        <v>0.76091951181135764</v>
      </c>
      <c r="V206" s="1247">
        <f t="shared" si="142"/>
        <v>56072.892428663195</v>
      </c>
      <c r="W206" s="1244">
        <f t="shared" si="134"/>
        <v>0.42634516534026512</v>
      </c>
      <c r="X206" s="473">
        <f t="shared" si="143"/>
        <v>13687.941669523087</v>
      </c>
      <c r="Y206" s="474">
        <f t="shared" si="144"/>
        <v>8144.1218540337695</v>
      </c>
      <c r="Z206" s="116">
        <f t="shared" si="145"/>
        <v>5124.3025465521841</v>
      </c>
      <c r="AA206" s="116">
        <f t="shared" si="146"/>
        <v>0</v>
      </c>
      <c r="AB206" s="116">
        <f t="shared" si="147"/>
        <v>29116.526358554158</v>
      </c>
      <c r="AC206" s="116">
        <f t="shared" si="148"/>
        <v>56072.892428663195</v>
      </c>
      <c r="AD206" s="475">
        <f t="shared" si="149"/>
        <v>0</v>
      </c>
      <c r="AE206" s="579">
        <f t="shared" si="150"/>
        <v>0.24410978418737894</v>
      </c>
      <c r="AF206" s="100">
        <f t="shared" si="151"/>
        <v>0.14524169346881557</v>
      </c>
      <c r="AG206" s="100">
        <f t="shared" si="152"/>
        <v>9.1386449398368402E-2</v>
      </c>
      <c r="AH206" s="100">
        <f t="shared" si="165"/>
        <v>0</v>
      </c>
      <c r="AI206" s="100">
        <f t="shared" si="153"/>
        <v>0.51926207294543714</v>
      </c>
      <c r="AJ206" s="100">
        <f t="shared" si="154"/>
        <v>1</v>
      </c>
      <c r="AK206" s="1250">
        <f t="shared" si="155"/>
        <v>594.04055285804793</v>
      </c>
      <c r="AL206" s="1251">
        <f t="shared" si="156"/>
        <v>12346.170617918286</v>
      </c>
      <c r="AM206" s="1251">
        <f t="shared" si="157"/>
        <v>747.73049874675053</v>
      </c>
      <c r="AN206" s="1251">
        <f t="shared" si="158"/>
        <v>13687.941669523085</v>
      </c>
      <c r="AO206" s="1022">
        <f t="shared" si="159"/>
        <v>0</v>
      </c>
    </row>
    <row r="207" spans="1:41">
      <c r="A207" s="89">
        <f>'Input data'!A147</f>
        <v>2047</v>
      </c>
      <c r="B207" s="152">
        <f>'Input data'!B147</f>
        <v>74.134805489166112</v>
      </c>
      <c r="C207" s="204">
        <f>'Input data'!C147</f>
        <v>8187.4100000000008</v>
      </c>
      <c r="D207" s="204">
        <f>'Input data'!E147</f>
        <v>795063.80460989953</v>
      </c>
      <c r="E207" s="473">
        <f>'Input data'!J147*C207</f>
        <v>98503.103275426867</v>
      </c>
      <c r="F207" s="474">
        <f>'Input data'!L147</f>
        <v>99298.167080036772</v>
      </c>
      <c r="G207" s="489">
        <f t="shared" si="171"/>
        <v>13687.941669523079</v>
      </c>
      <c r="H207" s="474">
        <f t="shared" si="160"/>
        <v>43579.969731747144</v>
      </c>
      <c r="I207" s="475">
        <f t="shared" si="135"/>
        <v>795.06380460989953</v>
      </c>
      <c r="J207" s="100">
        <f t="shared" si="170"/>
        <v>0.4</v>
      </c>
      <c r="K207" s="474">
        <f t="shared" si="162"/>
        <v>269.09114263135149</v>
      </c>
      <c r="L207" s="474">
        <f t="shared" si="136"/>
        <v>0</v>
      </c>
      <c r="M207" s="475">
        <f t="shared" si="163"/>
        <v>269.09114263135149</v>
      </c>
      <c r="N207" s="579">
        <f t="shared" si="169"/>
        <v>0.5</v>
      </c>
      <c r="O207" s="475">
        <f t="shared" si="137"/>
        <v>751.91700000000026</v>
      </c>
      <c r="P207" s="1234">
        <f t="shared" si="166"/>
        <v>1021.0081426313518</v>
      </c>
      <c r="Q207" s="467">
        <f t="shared" si="138"/>
        <v>56246.903258638878</v>
      </c>
      <c r="R207" s="467">
        <f t="shared" si="164"/>
        <v>42558.961589115803</v>
      </c>
      <c r="S207" s="1255">
        <f t="shared" si="139"/>
        <v>0.76311752964665747</v>
      </c>
      <c r="T207" s="118" t="str">
        <f t="shared" si="140"/>
        <v>Yes</v>
      </c>
      <c r="U207" s="1259">
        <f t="shared" si="141"/>
        <v>0.76311752964665747</v>
      </c>
      <c r="V207" s="1247">
        <f t="shared" si="142"/>
        <v>56739.205490920976</v>
      </c>
      <c r="W207" s="1244">
        <f t="shared" si="134"/>
        <v>0.42859765533045768</v>
      </c>
      <c r="X207" s="473">
        <f t="shared" si="143"/>
        <v>13687.941669523078</v>
      </c>
      <c r="Y207" s="474">
        <f t="shared" si="144"/>
        <v>8205.9709351736819</v>
      </c>
      <c r="Z207" s="116">
        <f t="shared" si="145"/>
        <v>5203.2226853115508</v>
      </c>
      <c r="AA207" s="116">
        <f t="shared" si="146"/>
        <v>0</v>
      </c>
      <c r="AB207" s="116">
        <f t="shared" si="147"/>
        <v>29642.070200912669</v>
      </c>
      <c r="AC207" s="116">
        <f t="shared" si="148"/>
        <v>56739.205490920976</v>
      </c>
      <c r="AD207" s="1240">
        <f t="shared" si="149"/>
        <v>0</v>
      </c>
      <c r="AE207" s="579">
        <f t="shared" si="150"/>
        <v>0.24124309727448209</v>
      </c>
      <c r="AF207" s="100">
        <f t="shared" si="151"/>
        <v>0.1446261163541803</v>
      </c>
      <c r="AG207" s="100">
        <f t="shared" si="152"/>
        <v>9.1704186554817643E-2</v>
      </c>
      <c r="AH207" s="100">
        <f t="shared" si="165"/>
        <v>0</v>
      </c>
      <c r="AI207" s="100">
        <f t="shared" si="153"/>
        <v>0.52242659981652007</v>
      </c>
      <c r="AJ207" s="100">
        <f t="shared" si="154"/>
        <v>1</v>
      </c>
      <c r="AK207" s="1250">
        <f t="shared" si="155"/>
        <v>477.03828276593964</v>
      </c>
      <c r="AL207" s="1251">
        <f t="shared" si="156"/>
        <v>12453.460098630778</v>
      </c>
      <c r="AM207" s="1251">
        <f t="shared" si="157"/>
        <v>757.44328812635797</v>
      </c>
      <c r="AN207" s="1251">
        <f t="shared" si="158"/>
        <v>13687.941669523076</v>
      </c>
      <c r="AO207" s="1022">
        <f t="shared" si="159"/>
        <v>0</v>
      </c>
    </row>
    <row r="208" spans="1:41">
      <c r="A208" s="89">
        <f>'Input data'!A148</f>
        <v>2048</v>
      </c>
      <c r="B208" s="152">
        <f>'Input data'!B148</f>
        <v>74.478544758379343</v>
      </c>
      <c r="C208" s="204">
        <f>'Input data'!C148</f>
        <v>8322.6399999999976</v>
      </c>
      <c r="D208" s="204">
        <f>'Input data'!E148</f>
        <v>600060.02112305223</v>
      </c>
      <c r="E208" s="473">
        <f>'Input data'!J148*C208</f>
        <v>100130.06157554078</v>
      </c>
      <c r="F208" s="474">
        <f>'Input data'!L148</f>
        <v>100730.12159666383</v>
      </c>
      <c r="G208" s="489">
        <f t="shared" si="171"/>
        <v>13687.941669523079</v>
      </c>
      <c r="H208" s="474">
        <f t="shared" si="160"/>
        <v>44330.528246276022</v>
      </c>
      <c r="I208" s="475">
        <f t="shared" si="135"/>
        <v>600.06002112305225</v>
      </c>
      <c r="J208" s="100">
        <f t="shared" si="170"/>
        <v>0.4</v>
      </c>
      <c r="K208" s="474">
        <f t="shared" si="162"/>
        <v>203.0916711277294</v>
      </c>
      <c r="L208" s="474">
        <f t="shared" si="136"/>
        <v>0</v>
      </c>
      <c r="M208" s="475">
        <f t="shared" si="163"/>
        <v>203.0916711277294</v>
      </c>
      <c r="N208" s="579">
        <f t="shared" si="169"/>
        <v>0.5</v>
      </c>
      <c r="O208" s="475">
        <f t="shared" si="137"/>
        <v>751.91700000000026</v>
      </c>
      <c r="P208" s="1234">
        <f t="shared" si="166"/>
        <v>955.00867112772971</v>
      </c>
      <c r="Q208" s="467">
        <f t="shared" si="138"/>
        <v>57063.461244671365</v>
      </c>
      <c r="R208" s="467">
        <f t="shared" si="164"/>
        <v>43375.519575148282</v>
      </c>
      <c r="S208" s="1255">
        <f t="shared" si="139"/>
        <v>0.76495413456384354</v>
      </c>
      <c r="T208" s="118" t="str">
        <f t="shared" si="140"/>
        <v>Yes</v>
      </c>
      <c r="U208" s="1259">
        <f t="shared" si="141"/>
        <v>0.76495413456384354</v>
      </c>
      <c r="V208" s="1247">
        <f t="shared" si="142"/>
        <v>57354.602021515551</v>
      </c>
      <c r="W208" s="1244">
        <f t="shared" si="134"/>
        <v>0.43061121030737315</v>
      </c>
      <c r="X208" s="473">
        <f t="shared" si="143"/>
        <v>13687.941669523083</v>
      </c>
      <c r="Y208" s="474">
        <f t="shared" si="144"/>
        <v>8258.2532182719169</v>
      </c>
      <c r="Z208" s="116">
        <f t="shared" si="145"/>
        <v>5276.7441124569687</v>
      </c>
      <c r="AA208" s="116">
        <f t="shared" si="146"/>
        <v>0</v>
      </c>
      <c r="AB208" s="116">
        <f t="shared" si="147"/>
        <v>30131.663021263586</v>
      </c>
      <c r="AC208" s="116">
        <f t="shared" si="148"/>
        <v>57354.602021515551</v>
      </c>
      <c r="AD208" s="1240">
        <f t="shared" si="149"/>
        <v>0</v>
      </c>
      <c r="AE208" s="579">
        <f t="shared" si="150"/>
        <v>0.23865463602011042</v>
      </c>
      <c r="AF208" s="100">
        <f t="shared" si="151"/>
        <v>0.14398588652352573</v>
      </c>
      <c r="AG208" s="100">
        <f t="shared" si="152"/>
        <v>9.2002104913525382E-2</v>
      </c>
      <c r="AH208" s="100">
        <f t="shared" si="165"/>
        <v>0</v>
      </c>
      <c r="AI208" s="100">
        <f t="shared" si="153"/>
        <v>0.52535737254283854</v>
      </c>
      <c r="AJ208" s="100">
        <f t="shared" si="154"/>
        <v>1</v>
      </c>
      <c r="AK208" s="1250">
        <f t="shared" si="155"/>
        <v>360.03601267383129</v>
      </c>
      <c r="AL208" s="1251">
        <f t="shared" si="156"/>
        <v>12561.002343122487</v>
      </c>
      <c r="AM208" s="1251">
        <f t="shared" si="157"/>
        <v>766.90331372676269</v>
      </c>
      <c r="AN208" s="1251">
        <f t="shared" si="158"/>
        <v>13687.941669523081</v>
      </c>
      <c r="AO208" s="1022">
        <f t="shared" si="159"/>
        <v>0</v>
      </c>
    </row>
    <row r="209" spans="1:41">
      <c r="A209" s="89">
        <f>'Input data'!A149</f>
        <v>2049</v>
      </c>
      <c r="B209" s="152">
        <f>'Input data'!B149</f>
        <v>74.807416768507309</v>
      </c>
      <c r="C209" s="204">
        <f>'Input data'!C149</f>
        <v>8457.3799999999992</v>
      </c>
      <c r="D209" s="204">
        <f>'Input data'!E149</f>
        <v>405056.23763620481</v>
      </c>
      <c r="E209" s="473">
        <f>'Input data'!J149*C209</f>
        <v>101751.12466329761</v>
      </c>
      <c r="F209" s="474">
        <f>'Input data'!L149</f>
        <v>102156.18090093382</v>
      </c>
      <c r="G209" s="489">
        <f t="shared" si="171"/>
        <v>13687.941669523079</v>
      </c>
      <c r="H209" s="474">
        <f t="shared" si="160"/>
        <v>45077.704045982013</v>
      </c>
      <c r="I209" s="475">
        <f t="shared" si="135"/>
        <v>405.0562376362048</v>
      </c>
      <c r="J209" s="100">
        <f t="shared" si="170"/>
        <v>0.4</v>
      </c>
      <c r="K209" s="474">
        <f t="shared" si="162"/>
        <v>137.09219962410731</v>
      </c>
      <c r="L209" s="474">
        <f t="shared" si="136"/>
        <v>0</v>
      </c>
      <c r="M209" s="475">
        <f t="shared" si="163"/>
        <v>137.09219962410731</v>
      </c>
      <c r="N209" s="579">
        <f t="shared" si="169"/>
        <v>0.5</v>
      </c>
      <c r="O209" s="475">
        <f t="shared" si="137"/>
        <v>751.91700000000026</v>
      </c>
      <c r="P209" s="1234">
        <f t="shared" si="166"/>
        <v>889.00919962410762</v>
      </c>
      <c r="Q209" s="467">
        <f t="shared" si="138"/>
        <v>57876.636515880986</v>
      </c>
      <c r="R209" s="467">
        <f t="shared" si="164"/>
        <v>44188.694846357903</v>
      </c>
      <c r="S209" s="1255">
        <f t="shared" si="139"/>
        <v>0.76671755226153981</v>
      </c>
      <c r="T209" s="118" t="str">
        <f t="shared" si="140"/>
        <v>Yes</v>
      </c>
      <c r="U209" s="1259">
        <f t="shared" si="141"/>
        <v>0.76671755226153981</v>
      </c>
      <c r="V209" s="1247">
        <f t="shared" si="142"/>
        <v>57967.486054575915</v>
      </c>
      <c r="W209" s="1244">
        <f t="shared" si="134"/>
        <v>0.43256016872057879</v>
      </c>
      <c r="X209" s="473">
        <f t="shared" si="143"/>
        <v>13687.941669523083</v>
      </c>
      <c r="Y209" s="474">
        <f t="shared" si="144"/>
        <v>8310.063423722584</v>
      </c>
      <c r="Z209" s="116">
        <f t="shared" si="145"/>
        <v>5349.9991379215398</v>
      </c>
      <c r="AA209" s="116">
        <f t="shared" si="146"/>
        <v>0</v>
      </c>
      <c r="AB209" s="116">
        <f t="shared" si="147"/>
        <v>30619.481823408714</v>
      </c>
      <c r="AC209" s="116">
        <f t="shared" si="148"/>
        <v>57967.486054575915</v>
      </c>
      <c r="AD209" s="1240">
        <f t="shared" si="149"/>
        <v>0</v>
      </c>
      <c r="AE209" s="579">
        <f t="shared" si="150"/>
        <v>0.23613136606676366</v>
      </c>
      <c r="AF209" s="100">
        <f t="shared" si="151"/>
        <v>0.14335731958254541</v>
      </c>
      <c r="AG209" s="100">
        <f t="shared" si="152"/>
        <v>9.2293102600388074E-2</v>
      </c>
      <c r="AH209" s="100">
        <f t="shared" si="165"/>
        <v>0</v>
      </c>
      <c r="AI209" s="100">
        <f t="shared" si="153"/>
        <v>0.52821821175030292</v>
      </c>
      <c r="AJ209" s="100">
        <f t="shared" si="154"/>
        <v>1</v>
      </c>
      <c r="AK209" s="1250">
        <f t="shared" si="155"/>
        <v>243.03374258172283</v>
      </c>
      <c r="AL209" s="1251">
        <f t="shared" si="156"/>
        <v>12668.595773051293</v>
      </c>
      <c r="AM209" s="1251">
        <f t="shared" si="157"/>
        <v>776.31215389006582</v>
      </c>
      <c r="AN209" s="1251">
        <f t="shared" si="158"/>
        <v>13687.941669523081</v>
      </c>
      <c r="AO209" s="1022">
        <f t="shared" si="159"/>
        <v>0</v>
      </c>
    </row>
    <row r="210" spans="1:41" ht="15.75" thickBot="1">
      <c r="A210" s="141">
        <f>'Input data'!A150</f>
        <v>2050</v>
      </c>
      <c r="B210" s="593">
        <f>'Input data'!B150</f>
        <v>75.121207211856714</v>
      </c>
      <c r="C210" s="207">
        <f>'Input data'!C150</f>
        <v>8589.119999999999</v>
      </c>
      <c r="D210" s="207">
        <f>'Input data'!E150</f>
        <v>210052.45414935748</v>
      </c>
      <c r="E210" s="598">
        <f>'Input data'!J150*C210</f>
        <v>103336.09461417398</v>
      </c>
      <c r="F210" s="595">
        <f>'Input data'!L150</f>
        <v>103546.14706832333</v>
      </c>
      <c r="G210" s="602">
        <f t="shared" si="171"/>
        <v>13687.941669523079</v>
      </c>
      <c r="H210" s="595">
        <f t="shared" si="160"/>
        <v>45804.16934677228</v>
      </c>
      <c r="I210" s="589">
        <f t="shared" si="135"/>
        <v>210.05245414935749</v>
      </c>
      <c r="J210" s="581">
        <f t="shared" si="170"/>
        <v>0.4</v>
      </c>
      <c r="K210" s="595">
        <f t="shared" si="162"/>
        <v>71.092728120485219</v>
      </c>
      <c r="L210" s="595">
        <f t="shared" si="136"/>
        <v>0</v>
      </c>
      <c r="M210" s="589">
        <f t="shared" si="163"/>
        <v>71.092728120485219</v>
      </c>
      <c r="N210" s="580">
        <f t="shared" si="169"/>
        <v>0.5</v>
      </c>
      <c r="O210" s="589">
        <f t="shared" si="137"/>
        <v>751.91700000000026</v>
      </c>
      <c r="P210" s="1235">
        <f t="shared" si="166"/>
        <v>823.00972812048553</v>
      </c>
      <c r="Q210" s="1238">
        <f t="shared" si="138"/>
        <v>58669.101288174876</v>
      </c>
      <c r="R210" s="1238">
        <f t="shared" si="164"/>
        <v>44981.1596186518</v>
      </c>
      <c r="S210" s="1256">
        <f t="shared" si="139"/>
        <v>0.76834302950406852</v>
      </c>
      <c r="T210" s="951" t="str">
        <f t="shared" si="140"/>
        <v>Yes</v>
      </c>
      <c r="U210" s="1261">
        <f t="shared" si="141"/>
        <v>0.76834302950406852</v>
      </c>
      <c r="V210" s="1248">
        <f t="shared" si="142"/>
        <v>58564.987449671549</v>
      </c>
      <c r="W210" s="1245">
        <f t="shared" si="134"/>
        <v>0.43440688902670288</v>
      </c>
      <c r="X210" s="598">
        <f t="shared" si="143"/>
        <v>13687.941669523072</v>
      </c>
      <c r="Y210" s="595">
        <f t="shared" si="144"/>
        <v>8358.9833578615653</v>
      </c>
      <c r="Z210" s="1264">
        <f t="shared" si="145"/>
        <v>5421.623132687032</v>
      </c>
      <c r="AA210" s="1264">
        <f t="shared" si="146"/>
        <v>0</v>
      </c>
      <c r="AB210" s="1264">
        <f t="shared" si="147"/>
        <v>31096.439289599883</v>
      </c>
      <c r="AC210" s="1264">
        <f t="shared" si="148"/>
        <v>58564.987449671549</v>
      </c>
      <c r="AD210" s="1241">
        <f t="shared" si="149"/>
        <v>0</v>
      </c>
      <c r="AE210" s="580">
        <f t="shared" si="150"/>
        <v>0.23372226761400661</v>
      </c>
      <c r="AF210" s="581">
        <f t="shared" si="151"/>
        <v>0.14273004608845768</v>
      </c>
      <c r="AG210" s="581">
        <f t="shared" si="152"/>
        <v>9.257447783705515E-2</v>
      </c>
      <c r="AH210" s="581">
        <f t="shared" si="165"/>
        <v>0</v>
      </c>
      <c r="AI210" s="581">
        <f>AB210/AC210</f>
        <v>0.53097320846048057</v>
      </c>
      <c r="AJ210" s="581">
        <f t="shared" si="154"/>
        <v>1</v>
      </c>
      <c r="AK210" s="1252">
        <f t="shared" si="155"/>
        <v>126.03147248961449</v>
      </c>
      <c r="AL210" s="1253">
        <f t="shared" si="156"/>
        <v>12776.285675322402</v>
      </c>
      <c r="AM210" s="1253">
        <f t="shared" si="157"/>
        <v>785.62452171105349</v>
      </c>
      <c r="AN210" s="1253">
        <f t="shared" si="158"/>
        <v>13687.94166952307</v>
      </c>
      <c r="AO210" s="1023">
        <f t="shared" si="159"/>
        <v>0</v>
      </c>
    </row>
    <row r="211" spans="1:41">
      <c r="I211" s="93"/>
    </row>
    <row r="212" spans="1:41">
      <c r="I212" s="93"/>
    </row>
  </sheetData>
  <mergeCells count="78">
    <mergeCell ref="CG94:CM94"/>
    <mergeCell ref="CM95:CM96"/>
    <mergeCell ref="AR94:BB94"/>
    <mergeCell ref="CB94:CC94"/>
    <mergeCell ref="CD94:CE94"/>
    <mergeCell ref="BD94:BD96"/>
    <mergeCell ref="BE94:BL94"/>
    <mergeCell ref="BV94:BX94"/>
    <mergeCell ref="BY94:CA94"/>
    <mergeCell ref="BM94:BT94"/>
    <mergeCell ref="AF94:AF95"/>
    <mergeCell ref="AG94:AQ94"/>
    <mergeCell ref="AC94:AC96"/>
    <mergeCell ref="AD94:AD96"/>
    <mergeCell ref="AE94:AE95"/>
    <mergeCell ref="U134:U135"/>
    <mergeCell ref="V134:V135"/>
    <mergeCell ref="V174:V175"/>
    <mergeCell ref="X174:AJ174"/>
    <mergeCell ref="X134:AJ134"/>
    <mergeCell ref="AB94:AB96"/>
    <mergeCell ref="Y94:Y95"/>
    <mergeCell ref="V94:V95"/>
    <mergeCell ref="W94:X94"/>
    <mergeCell ref="Z94:Z95"/>
    <mergeCell ref="AA94:AA95"/>
    <mergeCell ref="R174:R175"/>
    <mergeCell ref="S174:S175"/>
    <mergeCell ref="T174:T176"/>
    <mergeCell ref="W174:W175"/>
    <mergeCell ref="U174:U175"/>
    <mergeCell ref="P134:P135"/>
    <mergeCell ref="Q134:Q135"/>
    <mergeCell ref="A174:D174"/>
    <mergeCell ref="A175:A176"/>
    <mergeCell ref="E174:I174"/>
    <mergeCell ref="J174:L174"/>
    <mergeCell ref="M174:M175"/>
    <mergeCell ref="N174:O174"/>
    <mergeCell ref="P174:P175"/>
    <mergeCell ref="Q174:Q175"/>
    <mergeCell ref="A4:A6"/>
    <mergeCell ref="B4:B6"/>
    <mergeCell ref="A8:A9"/>
    <mergeCell ref="B8:F8"/>
    <mergeCell ref="G8:I8"/>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5.7109375" customWidth="1"/>
    <col min="8" max="8" width="19.7109375" customWidth="1"/>
    <col min="9" max="9" width="30.28515625" customWidth="1"/>
    <col min="10" max="10" width="25.28515625" customWidth="1"/>
    <col min="11" max="12" width="24.7109375" customWidth="1"/>
    <col min="13" max="13" width="26.7109375" customWidth="1"/>
    <col min="14" max="14" width="25.85546875" customWidth="1"/>
    <col min="15" max="15" width="29.28515625" customWidth="1"/>
    <col min="16" max="16" width="28.42578125" customWidth="1"/>
    <col min="17" max="17" width="30.85546875" customWidth="1"/>
    <col min="18" max="18" width="28.28515625" customWidth="1"/>
    <col min="19" max="19" width="23.140625" customWidth="1"/>
    <col min="20" max="20" width="20.28515625" customWidth="1"/>
    <col min="21" max="21" width="30" customWidth="1"/>
    <col min="22" max="22" width="20" customWidth="1"/>
    <col min="23" max="23" width="27.5703125" customWidth="1"/>
    <col min="24" max="24" width="20.28515625" customWidth="1"/>
    <col min="25" max="25" width="21.85546875" customWidth="1"/>
    <col min="26" max="26" width="17.28515625" customWidth="1"/>
    <col min="27" max="28" width="21.42578125" customWidth="1"/>
    <col min="29" max="29" width="21.140625" customWidth="1"/>
    <col min="30" max="30" width="25.28515625" customWidth="1"/>
    <col min="31" max="31" width="24.42578125" customWidth="1"/>
    <col min="32" max="32" width="29.42578125" customWidth="1"/>
    <col min="33" max="33" width="25.7109375" customWidth="1"/>
    <col min="34" max="34" width="22.7109375" customWidth="1"/>
    <col min="35" max="37" width="29.140625" customWidth="1"/>
    <col min="38" max="38" width="22.570312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8" max="68" width="9.85546875" customWidth="1"/>
    <col min="69" max="69" width="16" customWidth="1"/>
    <col min="71" max="71" width="18.7109375" customWidth="1"/>
    <col min="72" max="72" width="15.140625" customWidth="1"/>
    <col min="73" max="73" width="18.7109375" customWidth="1"/>
    <col min="74" max="74" width="23.5703125" customWidth="1"/>
    <col min="75" max="75" width="20.5703125" customWidth="1"/>
    <col min="76" max="76" width="21.7109375" customWidth="1"/>
    <col min="77" max="77" width="16.140625" customWidth="1"/>
    <col min="78" max="78" width="17.7109375" customWidth="1"/>
    <col min="79" max="79" width="18.5703125" customWidth="1"/>
    <col min="80" max="81" width="21.7109375" customWidth="1"/>
    <col min="82" max="82" width="20.28515625" customWidth="1"/>
    <col min="83" max="83" width="19" customWidth="1"/>
    <col min="85" max="85" width="17.28515625" customWidth="1"/>
    <col min="86" max="86" width="15.85546875" customWidth="1"/>
    <col min="88" max="88" width="11.140625" customWidth="1"/>
    <col min="89" max="89" width="12.28515625" customWidth="1"/>
    <col min="90" max="90" width="13.425781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f>2017+10</f>
        <v>2027</v>
      </c>
      <c r="E4" s="521">
        <f>C4</f>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75" thickBot="1">
      <c r="A6" s="1515"/>
      <c r="B6" s="1501"/>
      <c r="C6" s="519">
        <v>0.8</v>
      </c>
      <c r="D6" s="123">
        <f>2017+30</f>
        <v>2047</v>
      </c>
      <c r="E6" s="519">
        <f t="shared" si="0"/>
        <v>0.8</v>
      </c>
      <c r="F6" s="123">
        <f>15+2017</f>
        <v>2032</v>
      </c>
      <c r="G6" s="519">
        <f t="shared" si="1"/>
        <v>0.8</v>
      </c>
      <c r="H6" s="123">
        <f t="shared" si="1"/>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837"/>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7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7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75">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75" thickBot="1">
      <c r="A53" s="567" t="s">
        <v>553</v>
      </c>
      <c r="B53" s="867">
        <v>2030</v>
      </c>
      <c r="C53" s="574">
        <v>1</v>
      </c>
      <c r="D53" s="860">
        <v>0.37</v>
      </c>
      <c r="E53" s="3"/>
      <c r="F53" s="3"/>
      <c r="G53" s="3"/>
      <c r="H53" s="3"/>
      <c r="I53" s="3"/>
    </row>
    <row r="54" spans="1:28">
      <c r="A54" s="2"/>
    </row>
    <row r="55" spans="1:28">
      <c r="A55" s="2"/>
    </row>
    <row r="56" spans="1:28" ht="15.75">
      <c r="A56" s="297" t="s">
        <v>550</v>
      </c>
      <c r="B56" s="351"/>
      <c r="C56" s="351"/>
      <c r="D56" s="351"/>
      <c r="E56" s="351"/>
      <c r="F56" s="351"/>
      <c r="G56" s="351"/>
      <c r="H56" s="351"/>
      <c r="I56" s="1130"/>
      <c r="J56" s="3"/>
      <c r="K56" s="3"/>
      <c r="L56" s="3"/>
      <c r="M56" s="3"/>
      <c r="N56" s="3"/>
      <c r="O56" s="3"/>
      <c r="P56" s="3"/>
      <c r="W56" s="277"/>
      <c r="Y56" s="266"/>
      <c r="Z56" s="266"/>
      <c r="AA56" s="266"/>
    </row>
    <row r="57" spans="1:28" ht="16.5"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75">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75">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75">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75">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75">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5"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5"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75">
      <c r="C81" s="299"/>
      <c r="D81" s="299"/>
      <c r="E81" s="299"/>
      <c r="F81" s="299"/>
      <c r="G81" s="299"/>
      <c r="H81" s="299"/>
      <c r="L81" s="299"/>
      <c r="M81" s="299"/>
      <c r="N81" s="299"/>
      <c r="O81" s="299"/>
      <c r="P81" s="299"/>
      <c r="R81" s="298"/>
      <c r="S81" s="298"/>
      <c r="Y81" s="664"/>
    </row>
    <row r="82" spans="1:91" ht="16.5" thickBot="1">
      <c r="C82" s="299"/>
      <c r="D82" s="299"/>
      <c r="E82" s="299"/>
      <c r="F82" s="299"/>
      <c r="G82" s="299"/>
      <c r="H82" s="299"/>
      <c r="L82" s="299"/>
      <c r="M82" s="299"/>
      <c r="N82" s="299"/>
      <c r="O82" s="299"/>
      <c r="P82" s="299"/>
      <c r="R82" s="298"/>
      <c r="S82" s="298"/>
      <c r="Y82" s="664"/>
    </row>
    <row r="83" spans="1:91" ht="15.75">
      <c r="A83" s="586" t="s">
        <v>613</v>
      </c>
      <c r="B83" s="101"/>
      <c r="C83" s="102"/>
      <c r="D83" s="112"/>
      <c r="E83" s="112"/>
      <c r="F83" s="112"/>
      <c r="G83" s="112"/>
      <c r="H83" s="299"/>
      <c r="L83" s="299"/>
      <c r="M83" s="299"/>
      <c r="N83" s="299"/>
      <c r="O83" s="299"/>
      <c r="P83" s="299"/>
      <c r="R83" s="298"/>
      <c r="S83" s="298"/>
      <c r="Y83" s="664"/>
    </row>
    <row r="84" spans="1:91" ht="15.75">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75">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5"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75">
      <c r="A87" s="112"/>
      <c r="B87" s="561"/>
      <c r="C87" s="561"/>
      <c r="D87" s="561"/>
      <c r="E87" s="561"/>
      <c r="F87" s="561"/>
      <c r="G87" s="561"/>
      <c r="H87" s="562"/>
      <c r="L87" s="299"/>
      <c r="M87" s="299"/>
      <c r="N87" s="299"/>
      <c r="O87" s="299"/>
      <c r="P87" s="299"/>
      <c r="R87" s="298"/>
      <c r="S87" s="298"/>
      <c r="Y87" s="664"/>
    </row>
    <row r="88" spans="1:91" ht="28.5">
      <c r="A88" s="609" t="s">
        <v>620</v>
      </c>
      <c r="B88" s="561"/>
      <c r="C88" s="561"/>
      <c r="D88" s="561"/>
      <c r="E88" s="561"/>
      <c r="F88" s="561"/>
      <c r="G88" s="561"/>
      <c r="H88" s="562"/>
      <c r="L88" s="299"/>
      <c r="M88" s="299"/>
      <c r="N88" s="299"/>
      <c r="O88" s="299"/>
      <c r="P88" s="299"/>
      <c r="R88" s="298"/>
      <c r="S88" s="298"/>
      <c r="Y88" s="664"/>
    </row>
    <row r="89" spans="1:91" ht="15.75">
      <c r="A89" s="112"/>
      <c r="B89" s="561"/>
      <c r="C89" s="561"/>
      <c r="D89" s="561"/>
      <c r="E89" s="561"/>
      <c r="F89" s="561"/>
      <c r="G89" s="561"/>
      <c r="H89" s="562"/>
      <c r="L89" s="299"/>
      <c r="M89" s="299"/>
      <c r="N89" s="299"/>
      <c r="O89" s="299"/>
      <c r="P89" s="299"/>
      <c r="R89" s="298"/>
      <c r="S89" s="298"/>
      <c r="X89" s="301"/>
      <c r="Y89" s="664"/>
    </row>
    <row r="90" spans="1:91" ht="23.25">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V93" s="659"/>
      <c r="CG93" s="1" t="s">
        <v>553</v>
      </c>
    </row>
    <row r="94" spans="1:91" ht="34.9"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660</v>
      </c>
      <c r="BW94" s="1491"/>
      <c r="BX94" s="1606"/>
      <c r="BY94" s="1490" t="s">
        <v>656</v>
      </c>
      <c r="BZ94" s="1491"/>
      <c r="CA94" s="1492"/>
      <c r="CB94" s="1605" t="s">
        <v>661</v>
      </c>
      <c r="CC94" s="1604"/>
      <c r="CD94" s="1605" t="s">
        <v>657</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98" t="s">
        <v>736</v>
      </c>
    </row>
    <row r="96" spans="1:91" ht="32.25"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4436.7699999999986</v>
      </c>
      <c r="D99" s="204">
        <f>'Input data'!D119</f>
        <v>52992370.977903679</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113.54788737648573</v>
      </c>
      <c r="BW99" s="100">
        <f t="shared" si="63"/>
        <v>0.37621447580546824</v>
      </c>
      <c r="BX99" s="1385">
        <f t="shared" si="24"/>
        <v>52.992370977903676</v>
      </c>
      <c r="BY99" s="473">
        <f t="shared" si="64"/>
        <v>113.54788737648573</v>
      </c>
      <c r="BZ99" s="100">
        <f t="shared" si="65"/>
        <v>0.37621447580546824</v>
      </c>
      <c r="CA99" s="489">
        <f t="shared" si="25"/>
        <v>52.992370977903676</v>
      </c>
      <c r="CB99" s="579">
        <f t="shared" si="26"/>
        <v>4.2261345922522509E-2</v>
      </c>
      <c r="CC99" s="471">
        <f t="shared" si="66"/>
        <v>0.15548393155666862</v>
      </c>
      <c r="CD99" s="100">
        <f t="shared" si="27"/>
        <v>4.2261345922522509E-2</v>
      </c>
      <c r="CE99" s="471">
        <f t="shared" si="67"/>
        <v>0.15548393155666862</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59.308690000000006</v>
      </c>
      <c r="C100" s="204">
        <f>'Input data'!C120</f>
        <v>4157.24</v>
      </c>
      <c r="D100" s="204">
        <f>'Input data'!D120</f>
        <v>50781625.743101723</v>
      </c>
      <c r="E100" s="579">
        <f t="shared" si="75"/>
        <v>0.78061538461538471</v>
      </c>
      <c r="F100" s="100">
        <f t="shared" si="76"/>
        <v>0.30815384615384617</v>
      </c>
      <c r="G100" s="475">
        <f>B100*F100*'Input data'!$C$9</f>
        <v>559.3813349254624</v>
      </c>
      <c r="H100" s="301">
        <f>'Input data'!I120</f>
        <v>424.26313389388866</v>
      </c>
      <c r="I100" s="474">
        <f>'Input data'!K120</f>
        <v>25162.490686541139</v>
      </c>
      <c r="J100" s="474">
        <f>J97*0.81</f>
        <v>9026.6655003882443</v>
      </c>
      <c r="K100" s="475">
        <f t="shared" si="77"/>
        <v>2666.8081220502918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62.174809501571872</v>
      </c>
      <c r="R100" s="474">
        <f t="shared" si="34"/>
        <v>43.387514496329516</v>
      </c>
      <c r="S100" s="474">
        <f t="shared" si="35"/>
        <v>127.05661046635623</v>
      </c>
      <c r="T100" s="474">
        <f t="shared" si="36"/>
        <v>85.551967685751606</v>
      </c>
      <c r="U100" s="475">
        <f t="shared" si="37"/>
        <v>0</v>
      </c>
      <c r="V100" s="474">
        <f t="shared" si="38"/>
        <v>318.17090215000923</v>
      </c>
      <c r="W100" s="579">
        <f>($N$142-$N$137)/($A$102-$A$97)+W99</f>
        <v>0.2</v>
      </c>
      <c r="X100" s="475">
        <f t="shared" si="39"/>
        <v>1213.3941881208284</v>
      </c>
      <c r="Y100" s="473">
        <f t="shared" si="78"/>
        <v>1531.5650902708376</v>
      </c>
      <c r="Z100" s="474">
        <f t="shared" si="79"/>
        <v>10161.908532167698</v>
      </c>
      <c r="AA100" s="475">
        <f t="shared" si="80"/>
        <v>1135.2430317794533</v>
      </c>
      <c r="AB100" s="938">
        <f t="shared" si="40"/>
        <v>0.11171553337503697</v>
      </c>
      <c r="AC100" s="118" t="str">
        <f t="shared" si="41"/>
        <v>Yes</v>
      </c>
      <c r="AD100" s="938">
        <f t="shared" si="42"/>
        <v>0.11171553337503697</v>
      </c>
      <c r="AE100" s="579">
        <f t="shared" si="10"/>
        <v>6.3097402659273327E-2</v>
      </c>
      <c r="AF100" s="475">
        <f t="shared" si="43"/>
        <v>397.49323210110077</v>
      </c>
      <c r="AG100" s="474">
        <f t="shared" si="44"/>
        <v>9026.6655003882443</v>
      </c>
      <c r="AH100" s="474">
        <f t="shared" si="81"/>
        <v>7215.5760361663397</v>
      </c>
      <c r="AI100" s="474">
        <f t="shared" si="82"/>
        <v>4617.5691834333375</v>
      </c>
      <c r="AJ100" s="474">
        <f t="shared" si="11"/>
        <v>2714.9921597943135</v>
      </c>
      <c r="AK100" s="474">
        <f t="shared" si="45"/>
        <v>23574.802879782237</v>
      </c>
      <c r="AL100" s="640">
        <f t="shared" si="12"/>
        <v>0</v>
      </c>
      <c r="AM100" s="100">
        <f t="shared" si="46"/>
        <v>0.38289463315638228</v>
      </c>
      <c r="AN100" s="100">
        <f t="shared" si="47"/>
        <v>0.30607153209134236</v>
      </c>
      <c r="AO100" s="100">
        <f t="shared" si="48"/>
        <v>0.19586883534001326</v>
      </c>
      <c r="AP100" s="100">
        <f t="shared" si="49"/>
        <v>0.11516499941226198</v>
      </c>
      <c r="AQ100" s="100">
        <f t="shared" si="50"/>
        <v>0.99999999999999989</v>
      </c>
      <c r="AR100" s="473">
        <f t="shared" si="13"/>
        <v>2017.8652163457427</v>
      </c>
      <c r="AS100" s="474">
        <f t="shared" si="14"/>
        <v>2559.1990007498525</v>
      </c>
      <c r="AT100" s="474">
        <f t="shared" si="15"/>
        <v>557.59353532799946</v>
      </c>
      <c r="AU100" s="474">
        <f t="shared" si="16"/>
        <v>0</v>
      </c>
      <c r="AV100" s="474">
        <f t="shared" si="17"/>
        <v>0</v>
      </c>
      <c r="AW100" s="474">
        <f t="shared" si="18"/>
        <v>0</v>
      </c>
      <c r="AX100" s="474">
        <f t="shared" si="19"/>
        <v>2608.3793991678872</v>
      </c>
      <c r="AY100" s="474">
        <f t="shared" si="20"/>
        <v>338.57173496576468</v>
      </c>
      <c r="AZ100" s="474">
        <f t="shared" si="21"/>
        <v>435.26820826636424</v>
      </c>
      <c r="BA100" s="474">
        <f t="shared" si="22"/>
        <v>405.8558446188876</v>
      </c>
      <c r="BB100" s="474">
        <f t="shared" si="23"/>
        <v>103.93256094574485</v>
      </c>
      <c r="BC100" s="475">
        <f t="shared" si="51"/>
        <v>9026.6655003882424</v>
      </c>
      <c r="BD100" s="647">
        <f t="shared" si="52"/>
        <v>0</v>
      </c>
      <c r="BE100" s="383">
        <f t="shared" si="53"/>
        <v>0.22354491991078579</v>
      </c>
      <c r="BF100" s="383">
        <f t="shared" si="54"/>
        <v>0.28351543553262054</v>
      </c>
      <c r="BG100" s="383">
        <f t="shared" si="55"/>
        <v>6.1771817655591317E-2</v>
      </c>
      <c r="BH100" s="383">
        <f t="shared" si="56"/>
        <v>0</v>
      </c>
      <c r="BI100" s="383">
        <f t="shared" si="57"/>
        <v>0</v>
      </c>
      <c r="BJ100" s="383">
        <f t="shared" si="58"/>
        <v>0</v>
      </c>
      <c r="BK100" s="383">
        <f t="shared" si="59"/>
        <v>0.43116782690100253</v>
      </c>
      <c r="BL100" s="383">
        <f t="shared" si="60"/>
        <v>1.0000000000000002</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107.71993373767972</v>
      </c>
      <c r="BW100" s="100">
        <f t="shared" si="63"/>
        <v>0.40157009918946829</v>
      </c>
      <c r="BX100" s="1385">
        <f t="shared" si="24"/>
        <v>50.781625743101721</v>
      </c>
      <c r="BY100" s="473">
        <f t="shared" si="64"/>
        <v>107.71993373767972</v>
      </c>
      <c r="BZ100" s="100">
        <f t="shared" si="65"/>
        <v>0.40157009918946829</v>
      </c>
      <c r="CA100" s="489">
        <f t="shared" si="25"/>
        <v>50.781625743101721</v>
      </c>
      <c r="CB100" s="579">
        <f t="shared" si="26"/>
        <v>6.3097402659273327E-2</v>
      </c>
      <c r="CC100" s="471">
        <f t="shared" si="66"/>
        <v>0.16520675080924352</v>
      </c>
      <c r="CD100" s="100">
        <f t="shared" si="27"/>
        <v>6.3097402659273327E-2</v>
      </c>
      <c r="CE100" s="471">
        <f t="shared" si="67"/>
        <v>0.16520675080924352</v>
      </c>
      <c r="CG100" s="473">
        <f t="shared" si="68"/>
        <v>1364.3916529511498</v>
      </c>
      <c r="CH100" s="474">
        <f t="shared" si="69"/>
        <v>547.44573505593632</v>
      </c>
      <c r="CI100" s="474">
        <f t="shared" si="70"/>
        <v>2212.2267992546454</v>
      </c>
      <c r="CJ100" s="474">
        <f t="shared" si="71"/>
        <v>3051.3535141251637</v>
      </c>
      <c r="CK100" s="474">
        <f t="shared" si="72"/>
        <v>40.158334779443209</v>
      </c>
      <c r="CL100" s="474">
        <f t="shared" si="73"/>
        <v>7215.5760361663388</v>
      </c>
      <c r="CM100" s="576">
        <f t="shared" si="74"/>
        <v>0</v>
      </c>
    </row>
    <row r="101" spans="1:91">
      <c r="A101" s="89">
        <f>'Input data'!A121</f>
        <v>2021</v>
      </c>
      <c r="B101" s="152">
        <f>'Input data'!B121</f>
        <v>60.158036186957922</v>
      </c>
      <c r="C101" s="204">
        <f>'Input data'!C121</f>
        <v>4296.6100000000006</v>
      </c>
      <c r="D101" s="204">
        <f>'Input data'!D121</f>
        <v>50787753.059423499</v>
      </c>
      <c r="E101" s="579">
        <f t="shared" si="75"/>
        <v>0.80255384615384628</v>
      </c>
      <c r="F101" s="100">
        <f t="shared" si="76"/>
        <v>0.31433846153846157</v>
      </c>
      <c r="G101" s="475">
        <f>B101*F101*'Input data'!$C$9</f>
        <v>578.77960720795852</v>
      </c>
      <c r="H101" s="301">
        <f>'Input data'!I121</f>
        <v>424.26313389388866</v>
      </c>
      <c r="I101" s="474">
        <f>'Input data'!K121</f>
        <v>25522.836961580728</v>
      </c>
      <c r="J101" s="474">
        <f>J97*0.65</f>
        <v>7243.6204632745166</v>
      </c>
      <c r="K101" s="475">
        <f t="shared" si="77"/>
        <v>4617.3127208827345</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84.086934307327965</v>
      </c>
      <c r="R101" s="474">
        <f t="shared" si="34"/>
        <v>58.678476226274199</v>
      </c>
      <c r="S101" s="474">
        <f t="shared" si="35"/>
        <v>171.8348788398971</v>
      </c>
      <c r="T101" s="474">
        <f t="shared" si="36"/>
        <v>115.70285046828531</v>
      </c>
      <c r="U101" s="475">
        <f t="shared" si="37"/>
        <v>0</v>
      </c>
      <c r="V101" s="474">
        <f t="shared" si="38"/>
        <v>430.30313984178457</v>
      </c>
      <c r="W101" s="579">
        <v>0.4</v>
      </c>
      <c r="X101" s="475">
        <f t="shared" si="39"/>
        <v>2426.7883762416568</v>
      </c>
      <c r="Y101" s="473">
        <f t="shared" si="78"/>
        <v>2857.0915160834415</v>
      </c>
      <c r="Z101" s="474">
        <f t="shared" si="79"/>
        <v>9003.8416680738101</v>
      </c>
      <c r="AA101" s="475">
        <f t="shared" si="80"/>
        <v>1760.2212047992934</v>
      </c>
      <c r="AB101" s="938">
        <f t="shared" si="40"/>
        <v>0.19549668571369461</v>
      </c>
      <c r="AC101" s="118" t="str">
        <f t="shared" si="41"/>
        <v>Yes</v>
      </c>
      <c r="AD101" s="938">
        <f t="shared" si="42"/>
        <v>0.19549668571369461</v>
      </c>
      <c r="AE101" s="579">
        <f t="shared" si="10"/>
        <v>9.9034262897181091E-2</v>
      </c>
      <c r="AF101" s="475">
        <f t="shared" si="43"/>
        <v>382.24654715425936</v>
      </c>
      <c r="AG101" s="474">
        <f t="shared" si="44"/>
        <v>7243.6204632745166</v>
      </c>
      <c r="AH101" s="474">
        <f t="shared" si="81"/>
        <v>7426.4844355045898</v>
      </c>
      <c r="AI101" s="474">
        <f t="shared" si="82"/>
        <v>5830.9633715541659</v>
      </c>
      <c r="AJ101" s="474">
        <f t="shared" si="11"/>
        <v>2494.1333457123815</v>
      </c>
      <c r="AK101" s="474">
        <f t="shared" si="45"/>
        <v>22995.201616045651</v>
      </c>
      <c r="AL101" s="640">
        <f t="shared" si="12"/>
        <v>0</v>
      </c>
      <c r="AM101" s="100">
        <f t="shared" si="46"/>
        <v>0.31500573833716877</v>
      </c>
      <c r="AN101" s="100">
        <f t="shared" si="47"/>
        <v>0.32295800487013421</v>
      </c>
      <c r="AO101" s="100">
        <f t="shared" si="48"/>
        <v>0.25357304836524769</v>
      </c>
      <c r="AP101" s="100">
        <f t="shared" si="49"/>
        <v>0.10846320842744943</v>
      </c>
      <c r="AQ101" s="100">
        <f t="shared" si="50"/>
        <v>1.0000000000000002</v>
      </c>
      <c r="AR101" s="473">
        <f t="shared" si="13"/>
        <v>1429.5163495883612</v>
      </c>
      <c r="AS101" s="474">
        <f t="shared" si="14"/>
        <v>1813.013467791139</v>
      </c>
      <c r="AT101" s="474">
        <f t="shared" si="15"/>
        <v>495.32243768712476</v>
      </c>
      <c r="AU101" s="474">
        <f t="shared" si="16"/>
        <v>0</v>
      </c>
      <c r="AV101" s="474">
        <f t="shared" si="17"/>
        <v>0</v>
      </c>
      <c r="AW101" s="474">
        <f t="shared" si="18"/>
        <v>0</v>
      </c>
      <c r="AX101" s="474">
        <f t="shared" si="19"/>
        <v>2396.1933054814863</v>
      </c>
      <c r="AY101" s="474">
        <f t="shared" si="20"/>
        <v>299.2278902272858</v>
      </c>
      <c r="AZ101" s="474">
        <f t="shared" si="21"/>
        <v>365.29963669531679</v>
      </c>
      <c r="BA101" s="474">
        <f t="shared" si="22"/>
        <v>349.56950673337764</v>
      </c>
      <c r="BB101" s="474">
        <f t="shared" si="23"/>
        <v>95.477869070423097</v>
      </c>
      <c r="BC101" s="475">
        <f t="shared" si="51"/>
        <v>7243.6204632745139</v>
      </c>
      <c r="BD101" s="647">
        <f t="shared" si="52"/>
        <v>0</v>
      </c>
      <c r="BE101" s="383">
        <f t="shared" si="53"/>
        <v>0.19734832282227849</v>
      </c>
      <c r="BF101" s="383">
        <f t="shared" si="54"/>
        <v>0.25029106328571465</v>
      </c>
      <c r="BG101" s="383">
        <f t="shared" si="55"/>
        <v>6.8380506709101077E-2</v>
      </c>
      <c r="BH101" s="383">
        <f t="shared" si="56"/>
        <v>0</v>
      </c>
      <c r="BI101" s="383">
        <f t="shared" si="57"/>
        <v>0</v>
      </c>
      <c r="BJ101" s="383">
        <f t="shared" si="58"/>
        <v>0</v>
      </c>
      <c r="BK101" s="383">
        <f t="shared" si="59"/>
        <v>0.48398010718290579</v>
      </c>
      <c r="BL101" s="383">
        <f t="shared" si="60"/>
        <v>1</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98.528476167232299</v>
      </c>
      <c r="BW101" s="100">
        <f t="shared" si="63"/>
        <v>0.47497989513788669</v>
      </c>
      <c r="BX101" s="1385">
        <f t="shared" si="24"/>
        <v>50.787753059423501</v>
      </c>
      <c r="BY101" s="473">
        <f t="shared" si="64"/>
        <v>98.528476167232299</v>
      </c>
      <c r="BZ101" s="100">
        <f t="shared" si="65"/>
        <v>0.47497989513788669</v>
      </c>
      <c r="CA101" s="489">
        <f t="shared" si="25"/>
        <v>50.787753059423501</v>
      </c>
      <c r="CB101" s="579">
        <f t="shared" si="26"/>
        <v>9.9034262897181091E-2</v>
      </c>
      <c r="CC101" s="471">
        <f t="shared" si="66"/>
        <v>0.26294952622596801</v>
      </c>
      <c r="CD101" s="100">
        <f t="shared" si="27"/>
        <v>9.9034262897181091E-2</v>
      </c>
      <c r="CE101" s="471">
        <f t="shared" si="67"/>
        <v>0.26294952622596801</v>
      </c>
      <c r="CG101" s="473">
        <f t="shared" si="68"/>
        <v>1404.9525273849333</v>
      </c>
      <c r="CH101" s="474">
        <f t="shared" si="69"/>
        <v>569.9551992960038</v>
      </c>
      <c r="CI101" s="474">
        <f t="shared" si="70"/>
        <v>2286.8663130714031</v>
      </c>
      <c r="CJ101" s="474">
        <f t="shared" si="71"/>
        <v>3123.9769626437169</v>
      </c>
      <c r="CK101" s="474">
        <f t="shared" si="72"/>
        <v>40.733433108532914</v>
      </c>
      <c r="CL101" s="474">
        <f t="shared" si="73"/>
        <v>7426.4844355045898</v>
      </c>
      <c r="CM101" s="576">
        <f t="shared" si="74"/>
        <v>0</v>
      </c>
    </row>
    <row r="102" spans="1:91" s="1" customFormat="1">
      <c r="A102" s="89">
        <f>'Input data'!A122</f>
        <v>2022</v>
      </c>
      <c r="B102" s="152">
        <f>'Input data'!B122</f>
        <v>60.963559588769527</v>
      </c>
      <c r="C102" s="204">
        <f>'Input data'!C122</f>
        <v>4408.5100000000011</v>
      </c>
      <c r="D102" s="204">
        <f>'Input data'!D122</f>
        <v>50359792.847133145</v>
      </c>
      <c r="E102" s="579">
        <f t="shared" si="75"/>
        <v>0.82449230769230786</v>
      </c>
      <c r="F102" s="100">
        <f t="shared" si="76"/>
        <v>0.32052307692307697</v>
      </c>
      <c r="G102" s="475">
        <f>B102*F102*'Input data'!$C$9</f>
        <v>598.06951646574612</v>
      </c>
      <c r="H102" s="301">
        <f>'Input data'!I122</f>
        <v>424.26313389388866</v>
      </c>
      <c r="I102" s="474">
        <f>'Input data'!K122</f>
        <v>25864.590844458187</v>
      </c>
      <c r="J102" s="474">
        <f>J97*(1-$G$4)</f>
        <v>5572.0157409803969</v>
      </c>
      <c r="K102" s="475">
        <f t="shared" si="77"/>
        <v>6447.736777263327</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106.51608569698215</v>
      </c>
      <c r="R102" s="474">
        <f t="shared" si="34"/>
        <v>74.330235175924031</v>
      </c>
      <c r="S102" s="474">
        <f t="shared" si="35"/>
        <v>217.66971088926903</v>
      </c>
      <c r="T102" s="474">
        <f t="shared" si="36"/>
        <v>146.56515708875077</v>
      </c>
      <c r="U102" s="475">
        <f t="shared" si="37"/>
        <v>0</v>
      </c>
      <c r="V102" s="474">
        <f t="shared" si="38"/>
        <v>545.08118885092597</v>
      </c>
      <c r="W102" s="579">
        <f>$E$26</f>
        <v>0.5</v>
      </c>
      <c r="X102" s="475">
        <f t="shared" si="39"/>
        <v>3033.4854703020706</v>
      </c>
      <c r="Y102" s="473">
        <f t="shared" si="78"/>
        <v>3578.5666591529966</v>
      </c>
      <c r="Z102" s="474">
        <f t="shared" si="79"/>
        <v>8441.1858590907268</v>
      </c>
      <c r="AA102" s="475">
        <f t="shared" si="80"/>
        <v>2869.1701181103299</v>
      </c>
      <c r="AB102" s="938">
        <f t="shared" si="40"/>
        <v>0.3399013084186957</v>
      </c>
      <c r="AC102" s="118" t="str">
        <f t="shared" si="41"/>
        <v>Yes</v>
      </c>
      <c r="AD102" s="938">
        <f t="shared" si="42"/>
        <v>0.3399013084186957</v>
      </c>
      <c r="AE102" s="579">
        <f t="shared" si="10"/>
        <v>0.1603010975891157</v>
      </c>
      <c r="AF102" s="475">
        <f t="shared" si="43"/>
        <v>356.25328786410034</v>
      </c>
      <c r="AG102" s="474">
        <f t="shared" si="44"/>
        <v>5572.0157409803969</v>
      </c>
      <c r="AH102" s="474">
        <f t="shared" si="81"/>
        <v>7634.9422007108979</v>
      </c>
      <c r="AI102" s="474">
        <f t="shared" si="82"/>
        <v>6437.6604656145792</v>
      </c>
      <c r="AJ102" s="474">
        <f t="shared" si="11"/>
        <v>2073.8501360922724</v>
      </c>
      <c r="AK102" s="474">
        <f t="shared" si="45"/>
        <v>21718.468543398147</v>
      </c>
      <c r="AL102" s="640">
        <f t="shared" si="12"/>
        <v>0</v>
      </c>
      <c r="AM102" s="100">
        <f t="shared" si="46"/>
        <v>0.25655656750596006</v>
      </c>
      <c r="AN102" s="100">
        <f t="shared" si="47"/>
        <v>0.35154146276265519</v>
      </c>
      <c r="AO102" s="100">
        <f t="shared" si="48"/>
        <v>0.29641410731842149</v>
      </c>
      <c r="AP102" s="100">
        <f t="shared" si="49"/>
        <v>9.548786241296324E-2</v>
      </c>
      <c r="AQ102" s="100">
        <f t="shared" si="50"/>
        <v>0.99999999999999989</v>
      </c>
      <c r="AR102" s="473">
        <f t="shared" si="13"/>
        <v>1021.5294799037745</v>
      </c>
      <c r="AS102" s="474">
        <f t="shared" si="14"/>
        <v>1295.5757416447391</v>
      </c>
      <c r="AT102" s="474">
        <f t="shared" si="15"/>
        <v>397.79406354883503</v>
      </c>
      <c r="AU102" s="474">
        <f t="shared" si="16"/>
        <v>0</v>
      </c>
      <c r="AV102" s="474">
        <f t="shared" si="17"/>
        <v>0</v>
      </c>
      <c r="AW102" s="474">
        <f t="shared" si="18"/>
        <v>0</v>
      </c>
      <c r="AX102" s="474">
        <f t="shared" si="19"/>
        <v>1992.4138463642621</v>
      </c>
      <c r="AY102" s="474">
        <f t="shared" si="20"/>
        <v>238.99232421668012</v>
      </c>
      <c r="AZ102" s="474">
        <f t="shared" si="21"/>
        <v>275.00676539642296</v>
      </c>
      <c r="BA102" s="474">
        <f t="shared" si="22"/>
        <v>271.31450403534438</v>
      </c>
      <c r="BB102" s="474">
        <f t="shared" si="23"/>
        <v>79.389015870337047</v>
      </c>
      <c r="BC102" s="475">
        <f t="shared" si="51"/>
        <v>5572.0157409803951</v>
      </c>
      <c r="BD102" s="647">
        <f t="shared" si="52"/>
        <v>0</v>
      </c>
      <c r="BE102" s="383">
        <f t="shared" si="53"/>
        <v>0.18333212384716568</v>
      </c>
      <c r="BF102" s="383">
        <f t="shared" si="54"/>
        <v>0.23251473109025761</v>
      </c>
      <c r="BG102" s="383">
        <f t="shared" si="55"/>
        <v>7.1391410584716555E-2</v>
      </c>
      <c r="BH102" s="383">
        <f t="shared" si="56"/>
        <v>0</v>
      </c>
      <c r="BI102" s="383">
        <f t="shared" si="57"/>
        <v>0</v>
      </c>
      <c r="BJ102" s="383">
        <f t="shared" si="58"/>
        <v>0</v>
      </c>
      <c r="BK102" s="383">
        <f t="shared" si="59"/>
        <v>0.51276173447786011</v>
      </c>
      <c r="BL102" s="383">
        <f t="shared" si="60"/>
        <v>1</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95.435016155135301</v>
      </c>
      <c r="BW102" s="100">
        <f t="shared" si="63"/>
        <v>0.51509680516620993</v>
      </c>
      <c r="BX102" s="1385">
        <f t="shared" si="24"/>
        <v>50.359792847133143</v>
      </c>
      <c r="BY102" s="473">
        <f t="shared" si="64"/>
        <v>95.435016155135301</v>
      </c>
      <c r="BZ102" s="100">
        <f t="shared" si="65"/>
        <v>0.51509680516620993</v>
      </c>
      <c r="CA102" s="489">
        <f t="shared" si="25"/>
        <v>50.359792847133143</v>
      </c>
      <c r="CB102" s="579">
        <f t="shared" si="26"/>
        <v>0.1603010975891157</v>
      </c>
      <c r="CC102" s="471">
        <f t="shared" si="66"/>
        <v>0.28706558067926824</v>
      </c>
      <c r="CD102" s="100">
        <f t="shared" si="27"/>
        <v>0.1603010975891157</v>
      </c>
      <c r="CE102" s="471">
        <f t="shared" si="67"/>
        <v>0.28706558067926824</v>
      </c>
      <c r="CG102" s="473">
        <f t="shared" si="68"/>
        <v>1445.0682292890549</v>
      </c>
      <c r="CH102" s="474">
        <f t="shared" si="69"/>
        <v>592.45301558626056</v>
      </c>
      <c r="CI102" s="474">
        <f t="shared" si="70"/>
        <v>2361.0216725819091</v>
      </c>
      <c r="CJ102" s="474">
        <f t="shared" si="71"/>
        <v>3195.1204245347844</v>
      </c>
      <c r="CK102" s="474">
        <f t="shared" si="72"/>
        <v>41.278858718888266</v>
      </c>
      <c r="CL102" s="474">
        <f t="shared" si="73"/>
        <v>7634.9422007108969</v>
      </c>
      <c r="CM102" s="576">
        <f t="shared" si="74"/>
        <v>0</v>
      </c>
    </row>
    <row r="103" spans="1:91">
      <c r="A103" s="89">
        <f>'Input data'!A123</f>
        <v>2023</v>
      </c>
      <c r="B103" s="152">
        <f>'Input data'!B123</f>
        <v>61.723133308607778</v>
      </c>
      <c r="C103" s="204">
        <f>'Input data'!C123</f>
        <v>4511.7199999999984</v>
      </c>
      <c r="D103" s="204">
        <f>'Input data'!D123</f>
        <v>49422822.449545562</v>
      </c>
      <c r="E103" s="579">
        <f t="shared" si="75"/>
        <v>0.84643076923076943</v>
      </c>
      <c r="F103" s="100">
        <f t="shared" si="76"/>
        <v>0.32670769230769237</v>
      </c>
      <c r="G103" s="475">
        <f>B103*F103*'Input data'!$C$9</f>
        <v>617.20490859086499</v>
      </c>
      <c r="H103" s="301">
        <f>'Input data'!I123</f>
        <v>424.26313389388866</v>
      </c>
      <c r="I103" s="474">
        <f>'Input data'!K123</f>
        <v>26186.849971260202</v>
      </c>
      <c r="J103" s="474">
        <f>($J$107-$J$102)/($A$107-$A$102)+J102</f>
        <v>5237.6947965215732</v>
      </c>
      <c r="K103" s="475">
        <f t="shared" si="77"/>
        <v>6931.8174830189528</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129.4118637691306</v>
      </c>
      <c r="R103" s="474">
        <f t="shared" si="34"/>
        <v>90.307620727623316</v>
      </c>
      <c r="S103" s="474">
        <f t="shared" si="35"/>
        <v>264.45811248081009</v>
      </c>
      <c r="T103" s="474">
        <f t="shared" si="36"/>
        <v>178.06953774502108</v>
      </c>
      <c r="U103" s="475">
        <f t="shared" si="37"/>
        <v>0</v>
      </c>
      <c r="V103" s="474">
        <f t="shared" si="38"/>
        <v>662.24713472258509</v>
      </c>
      <c r="W103" s="579">
        <f>($N$147-$N$142)/($A$107-$A$102)+W102</f>
        <v>0.5</v>
      </c>
      <c r="X103" s="475">
        <f t="shared" si="39"/>
        <v>3033.4854703020706</v>
      </c>
      <c r="Y103" s="473">
        <f t="shared" si="78"/>
        <v>3695.7326050246556</v>
      </c>
      <c r="Z103" s="474">
        <f t="shared" si="79"/>
        <v>8473.7796745158703</v>
      </c>
      <c r="AA103" s="475">
        <f t="shared" si="80"/>
        <v>3236.0848779942971</v>
      </c>
      <c r="AB103" s="938">
        <f t="shared" si="40"/>
        <v>0.38189391302284281</v>
      </c>
      <c r="AC103" s="118" t="str">
        <f t="shared" si="41"/>
        <v>Yes</v>
      </c>
      <c r="AD103" s="938">
        <f t="shared" si="42"/>
        <v>0.38189391302284281</v>
      </c>
      <c r="AE103" s="579">
        <f t="shared" si="10"/>
        <v>0.17966783027035704</v>
      </c>
      <c r="AF103" s="475">
        <f t="shared" si="43"/>
        <v>348.03669716347173</v>
      </c>
      <c r="AG103" s="474">
        <f t="shared" si="44"/>
        <v>5237.6947965215732</v>
      </c>
      <c r="AH103" s="474">
        <f t="shared" si="81"/>
        <v>7840.4440662408088</v>
      </c>
      <c r="AI103" s="474">
        <f t="shared" si="82"/>
        <v>6437.6604656145792</v>
      </c>
      <c r="AJ103" s="474">
        <f t="shared" si="11"/>
        <v>1966.1161269315601</v>
      </c>
      <c r="AK103" s="474">
        <f t="shared" si="45"/>
        <v>21481.915455308521</v>
      </c>
      <c r="AL103" s="640">
        <f t="shared" si="12"/>
        <v>0</v>
      </c>
      <c r="AM103" s="100">
        <f t="shared" si="46"/>
        <v>0.243818797602951</v>
      </c>
      <c r="AN103" s="100">
        <f t="shared" si="47"/>
        <v>0.36497881590458037</v>
      </c>
      <c r="AO103" s="100">
        <f t="shared" si="48"/>
        <v>0.29967813992228198</v>
      </c>
      <c r="AP103" s="100">
        <f t="shared" si="49"/>
        <v>9.1524246570186638E-2</v>
      </c>
      <c r="AQ103" s="100">
        <f t="shared" si="50"/>
        <v>1</v>
      </c>
      <c r="AR103" s="473">
        <f t="shared" si="13"/>
        <v>978.76160478670909</v>
      </c>
      <c r="AS103" s="474">
        <f t="shared" si="14"/>
        <v>1241.3345057201709</v>
      </c>
      <c r="AT103" s="474">
        <f t="shared" si="15"/>
        <v>363.79743240028193</v>
      </c>
      <c r="AU103" s="474">
        <f t="shared" si="16"/>
        <v>0</v>
      </c>
      <c r="AV103" s="474">
        <f t="shared" si="17"/>
        <v>0</v>
      </c>
      <c r="AW103" s="474">
        <f t="shared" si="18"/>
        <v>0</v>
      </c>
      <c r="AX103" s="474">
        <f t="shared" si="19"/>
        <v>1888.9103540720944</v>
      </c>
      <c r="AY103" s="474">
        <f t="shared" si="20"/>
        <v>217.27368002051082</v>
      </c>
      <c r="AZ103" s="474">
        <f t="shared" si="21"/>
        <v>233.47663465606965</v>
      </c>
      <c r="BA103" s="474">
        <f t="shared" si="22"/>
        <v>238.87573246033949</v>
      </c>
      <c r="BB103" s="474">
        <f t="shared" si="23"/>
        <v>75.26485240539597</v>
      </c>
      <c r="BC103" s="475">
        <f t="shared" si="51"/>
        <v>5237.6947965215722</v>
      </c>
      <c r="BD103" s="647">
        <f t="shared" si="52"/>
        <v>0</v>
      </c>
      <c r="BE103" s="383">
        <f t="shared" si="53"/>
        <v>0.18686877391877027</v>
      </c>
      <c r="BF103" s="383">
        <f t="shared" si="54"/>
        <v>0.23700016017438794</v>
      </c>
      <c r="BG103" s="383">
        <f t="shared" si="55"/>
        <v>6.9457546980760509E-2</v>
      </c>
      <c r="BH103" s="383">
        <f t="shared" si="56"/>
        <v>0</v>
      </c>
      <c r="BI103" s="383">
        <f t="shared" si="57"/>
        <v>0</v>
      </c>
      <c r="BJ103" s="383">
        <f t="shared" si="58"/>
        <v>0</v>
      </c>
      <c r="BK103" s="383">
        <f t="shared" si="59"/>
        <v>0.50667351892608126</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94.790706690904059</v>
      </c>
      <c r="BW103" s="100">
        <f t="shared" si="63"/>
        <v>0.53689154564038388</v>
      </c>
      <c r="BX103" s="1385">
        <f t="shared" si="24"/>
        <v>49.422822449545563</v>
      </c>
      <c r="BY103" s="473">
        <f t="shared" si="64"/>
        <v>94.790706690904059</v>
      </c>
      <c r="BZ103" s="100">
        <f t="shared" si="65"/>
        <v>0.53689154564038388</v>
      </c>
      <c r="CA103" s="489">
        <f t="shared" si="25"/>
        <v>49.422822449545563</v>
      </c>
      <c r="CB103" s="579">
        <f t="shared" si="26"/>
        <v>0.17966783027035704</v>
      </c>
      <c r="CC103" s="471">
        <f t="shared" si="66"/>
        <v>0.29309262580641682</v>
      </c>
      <c r="CD103" s="100">
        <f t="shared" si="27"/>
        <v>0.17966783027035704</v>
      </c>
      <c r="CE103" s="471">
        <f t="shared" si="67"/>
        <v>0.29309262580641682</v>
      </c>
      <c r="CG103" s="473">
        <f t="shared" si="68"/>
        <v>1484.6416593514095</v>
      </c>
      <c r="CH103" s="474">
        <f t="shared" si="69"/>
        <v>614.88593704012726</v>
      </c>
      <c r="CI103" s="474">
        <f t="shared" si="70"/>
        <v>2434.5151063836329</v>
      </c>
      <c r="CJ103" s="474">
        <f t="shared" si="71"/>
        <v>3264.6081919920612</v>
      </c>
      <c r="CK103" s="474">
        <f t="shared" si="72"/>
        <v>41.793171473577871</v>
      </c>
      <c r="CL103" s="474">
        <f t="shared" si="73"/>
        <v>7840.4440662408097</v>
      </c>
      <c r="CM103" s="576">
        <f t="shared" si="74"/>
        <v>0</v>
      </c>
    </row>
    <row r="104" spans="1:91">
      <c r="A104" s="89">
        <f>'Input data'!A124</f>
        <v>2024</v>
      </c>
      <c r="B104" s="152">
        <f>'Input data'!B124</f>
        <v>62.434728280060035</v>
      </c>
      <c r="C104" s="204">
        <f>'Input data'!C124</f>
        <v>4622.4800000000005</v>
      </c>
      <c r="D104" s="204">
        <f>'Input data'!D124</f>
        <v>49894033.579494402</v>
      </c>
      <c r="E104" s="579">
        <f t="shared" si="75"/>
        <v>0.868369230769231</v>
      </c>
      <c r="F104" s="100">
        <f t="shared" si="76"/>
        <v>0.33289230769230777</v>
      </c>
      <c r="G104" s="475">
        <f>B104*F104*'Input data'!$C$9</f>
        <v>636.13901582881124</v>
      </c>
      <c r="H104" s="301">
        <f>'Input data'!I124</f>
        <v>424.26313389388866</v>
      </c>
      <c r="I104" s="474">
        <f>'Input data'!K124</f>
        <v>26488.753483911667</v>
      </c>
      <c r="J104" s="474">
        <f t="shared" ref="J104:J106" si="85">($J$107-$J$102)/($A$107-$A$102)+J103</f>
        <v>4903.3738520627494</v>
      </c>
      <c r="K104" s="475">
        <f t="shared" si="77"/>
        <v>7406.4385593562047</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152.72113501785225</v>
      </c>
      <c r="R104" s="474">
        <f t="shared" si="34"/>
        <v>106.57355466952356</v>
      </c>
      <c r="S104" s="474">
        <f t="shared" si="35"/>
        <v>312.09150325506835</v>
      </c>
      <c r="T104" s="474">
        <f t="shared" si="36"/>
        <v>210.14288122022117</v>
      </c>
      <c r="U104" s="475">
        <f t="shared" si="37"/>
        <v>0</v>
      </c>
      <c r="V104" s="474">
        <f t="shared" si="38"/>
        <v>781.52907416266532</v>
      </c>
      <c r="W104" s="579">
        <f>($N$147-$N$142)/($A$107-$A$102)+W103</f>
        <v>0.5</v>
      </c>
      <c r="X104" s="475">
        <f t="shared" si="39"/>
        <v>3033.4854703020706</v>
      </c>
      <c r="Y104" s="473">
        <f t="shared" si="78"/>
        <v>3815.014544464736</v>
      </c>
      <c r="Z104" s="474">
        <f t="shared" si="79"/>
        <v>8494.7978669542172</v>
      </c>
      <c r="AA104" s="475">
        <f t="shared" si="80"/>
        <v>3591.4240148914678</v>
      </c>
      <c r="AB104" s="938">
        <f t="shared" si="40"/>
        <v>0.42277921984024341</v>
      </c>
      <c r="AC104" s="118" t="str">
        <f t="shared" si="41"/>
        <v>Yes</v>
      </c>
      <c r="AD104" s="938">
        <f t="shared" si="42"/>
        <v>0.42277921984024341</v>
      </c>
      <c r="AE104" s="579">
        <f t="shared" si="10"/>
        <v>0.19812197402919685</v>
      </c>
      <c r="AF104" s="475">
        <f t="shared" si="43"/>
        <v>340.207284299018</v>
      </c>
      <c r="AG104" s="474">
        <f t="shared" si="44"/>
        <v>4903.3738520627494</v>
      </c>
      <c r="AH104" s="474">
        <f t="shared" si="81"/>
        <v>8042.4821550653214</v>
      </c>
      <c r="AI104" s="474">
        <f t="shared" si="82"/>
        <v>6437.6604656145792</v>
      </c>
      <c r="AJ104" s="474">
        <f t="shared" si="11"/>
        <v>1857.2328813636757</v>
      </c>
      <c r="AK104" s="474">
        <f t="shared" si="45"/>
        <v>21240.749354106323</v>
      </c>
      <c r="AL104" s="640">
        <f t="shared" si="12"/>
        <v>0</v>
      </c>
      <c r="AM104" s="100">
        <f t="shared" si="46"/>
        <v>0.23084749837767918</v>
      </c>
      <c r="AN104" s="100">
        <f t="shared" si="47"/>
        <v>0.378634577386533</v>
      </c>
      <c r="AO104" s="100">
        <f t="shared" si="48"/>
        <v>0.30308066623694857</v>
      </c>
      <c r="AP104" s="100">
        <f t="shared" si="49"/>
        <v>8.7437257998839391E-2</v>
      </c>
      <c r="AQ104" s="100">
        <f t="shared" si="50"/>
        <v>1.0000000000000002</v>
      </c>
      <c r="AR104" s="473">
        <f t="shared" si="13"/>
        <v>933.45758987123816</v>
      </c>
      <c r="AS104" s="474">
        <f t="shared" si="14"/>
        <v>1183.8767584125512</v>
      </c>
      <c r="AT104" s="474">
        <f t="shared" si="15"/>
        <v>331.05697791349917</v>
      </c>
      <c r="AU104" s="474">
        <f t="shared" si="16"/>
        <v>0</v>
      </c>
      <c r="AV104" s="474">
        <f t="shared" si="17"/>
        <v>0</v>
      </c>
      <c r="AW104" s="474">
        <f t="shared" si="18"/>
        <v>0</v>
      </c>
      <c r="AX104" s="474">
        <f t="shared" si="19"/>
        <v>1784.3027537778362</v>
      </c>
      <c r="AY104" s="474">
        <f t="shared" si="20"/>
        <v>196.4530257699104</v>
      </c>
      <c r="AZ104" s="474">
        <f t="shared" si="21"/>
        <v>194.81163002048061</v>
      </c>
      <c r="BA104" s="474">
        <f t="shared" si="22"/>
        <v>208.31842125285596</v>
      </c>
      <c r="BB104" s="474">
        <f t="shared" si="23"/>
        <v>71.096695044377299</v>
      </c>
      <c r="BC104" s="475">
        <f t="shared" si="51"/>
        <v>4903.3738520627494</v>
      </c>
      <c r="BD104" s="647">
        <f t="shared" si="52"/>
        <v>0</v>
      </c>
      <c r="BE104" s="383">
        <f t="shared" si="53"/>
        <v>0.19037047103364382</v>
      </c>
      <c r="BF104" s="383">
        <f t="shared" si="54"/>
        <v>0.24144125945332895</v>
      </c>
      <c r="BG104" s="383">
        <f t="shared" si="55"/>
        <v>6.7516160892816743E-2</v>
      </c>
      <c r="BH104" s="383">
        <f t="shared" si="56"/>
        <v>0</v>
      </c>
      <c r="BI104" s="383">
        <f t="shared" si="57"/>
        <v>0</v>
      </c>
      <c r="BJ104" s="383">
        <f t="shared" si="58"/>
        <v>0</v>
      </c>
      <c r="BK104" s="383">
        <f t="shared" si="59"/>
        <v>0.50067210862021039</v>
      </c>
      <c r="BL104" s="383">
        <f t="shared" si="60"/>
        <v>0.99999999999999989</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95.588678713307857</v>
      </c>
      <c r="BW104" s="100">
        <f t="shared" si="63"/>
        <v>0.5539882076551309</v>
      </c>
      <c r="BX104" s="1385">
        <f t="shared" si="24"/>
        <v>49.894033579494405</v>
      </c>
      <c r="BY104" s="473">
        <f t="shared" si="64"/>
        <v>95.588678713307857</v>
      </c>
      <c r="BZ104" s="100">
        <f t="shared" si="65"/>
        <v>0.5539882076551309</v>
      </c>
      <c r="CA104" s="489">
        <f t="shared" si="25"/>
        <v>49.894033579494405</v>
      </c>
      <c r="CB104" s="579">
        <f t="shared" si="26"/>
        <v>0.19812197402919685</v>
      </c>
      <c r="CC104" s="471">
        <f t="shared" si="66"/>
        <v>0.29532905879649052</v>
      </c>
      <c r="CD104" s="100">
        <f t="shared" si="27"/>
        <v>0.19812197402919685</v>
      </c>
      <c r="CE104" s="471">
        <f t="shared" si="67"/>
        <v>0.29532905879649052</v>
      </c>
      <c r="CG104" s="473">
        <f t="shared" si="68"/>
        <v>1523.5751326780919</v>
      </c>
      <c r="CH104" s="474">
        <f t="shared" si="69"/>
        <v>637.19964062707231</v>
      </c>
      <c r="CI104" s="474">
        <f t="shared" si="70"/>
        <v>2507.1666963621547</v>
      </c>
      <c r="CJ104" s="474">
        <f t="shared" si="71"/>
        <v>3332.2656879206647</v>
      </c>
      <c r="CK104" s="474">
        <f t="shared" si="72"/>
        <v>42.27499747733799</v>
      </c>
      <c r="CL104" s="474">
        <f t="shared" si="73"/>
        <v>8042.4821550653214</v>
      </c>
      <c r="CM104" s="576">
        <f t="shared" si="74"/>
        <v>0</v>
      </c>
    </row>
    <row r="105" spans="1:91">
      <c r="A105" s="89">
        <f>'Input data'!A125</f>
        <v>2025</v>
      </c>
      <c r="B105" s="152">
        <f>'Input data'!B125</f>
        <v>63.096422221537942</v>
      </c>
      <c r="C105" s="204">
        <f>'Input data'!C125</f>
        <v>4727.3100000000004</v>
      </c>
      <c r="D105" s="204">
        <f>'Input data'!D125</f>
        <v>49409698.226927206</v>
      </c>
      <c r="E105" s="579">
        <f t="shared" si="75"/>
        <v>0.89030769230769258</v>
      </c>
      <c r="F105" s="100">
        <f t="shared" si="76"/>
        <v>0.33907692307692316</v>
      </c>
      <c r="G105" s="475">
        <f>B105*F105*'Input data'!$C$9</f>
        <v>654.82464230192238</v>
      </c>
      <c r="H105" s="301">
        <f>'Input data'!I125</f>
        <v>424.26313389388866</v>
      </c>
      <c r="I105" s="474">
        <f>'Input data'!K125</f>
        <v>26769.485829201683</v>
      </c>
      <c r="J105" s="474">
        <f t="shared" si="85"/>
        <v>4569.0529076039256</v>
      </c>
      <c r="K105" s="475">
        <f t="shared" si="77"/>
        <v>7871.2210036525612</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176.38822829526225</v>
      </c>
      <c r="R105" s="474">
        <f t="shared" si="34"/>
        <v>123.08918794434112</v>
      </c>
      <c r="S105" s="474">
        <f t="shared" si="35"/>
        <v>360.45611708380557</v>
      </c>
      <c r="T105" s="474">
        <f t="shared" si="36"/>
        <v>242.70858452540733</v>
      </c>
      <c r="U105" s="475">
        <f t="shared" si="37"/>
        <v>0</v>
      </c>
      <c r="V105" s="474">
        <f t="shared" si="38"/>
        <v>902.64211784881627</v>
      </c>
      <c r="W105" s="579">
        <f>($N$147-$N$142)/($A$107-$A$102)+W104</f>
        <v>0.5</v>
      </c>
      <c r="X105" s="475">
        <f t="shared" si="39"/>
        <v>3033.4854703020706</v>
      </c>
      <c r="Y105" s="473">
        <f t="shared" si="78"/>
        <v>3936.1275881508868</v>
      </c>
      <c r="Z105" s="474">
        <f t="shared" si="79"/>
        <v>8504.1463231056005</v>
      </c>
      <c r="AA105" s="475">
        <f t="shared" si="80"/>
        <v>3935.0934155016748</v>
      </c>
      <c r="AB105" s="938">
        <f t="shared" si="40"/>
        <v>0.46272644731077855</v>
      </c>
      <c r="AC105" s="118" t="str">
        <f t="shared" si="41"/>
        <v>Yes</v>
      </c>
      <c r="AD105" s="938">
        <f t="shared" si="42"/>
        <v>0.46272644731077855</v>
      </c>
      <c r="AE105" s="579">
        <f t="shared" si="10"/>
        <v>0.2157382646789352</v>
      </c>
      <c r="AF105" s="475">
        <f t="shared" si="43"/>
        <v>332.7333416203744</v>
      </c>
      <c r="AG105" s="474">
        <f t="shared" si="44"/>
        <v>4569.0529076039256</v>
      </c>
      <c r="AH105" s="474">
        <f t="shared" si="81"/>
        <v>8240.548022850222</v>
      </c>
      <c r="AI105" s="474">
        <f t="shared" si="82"/>
        <v>6437.6604656145792</v>
      </c>
      <c r="AJ105" s="474">
        <f t="shared" si="11"/>
        <v>1747.0220139936384</v>
      </c>
      <c r="AK105" s="474">
        <f t="shared" si="45"/>
        <v>20994.283410062366</v>
      </c>
      <c r="AL105" s="640">
        <f t="shared" si="12"/>
        <v>0</v>
      </c>
      <c r="AM105" s="100">
        <f t="shared" si="46"/>
        <v>0.21763319177705398</v>
      </c>
      <c r="AN105" s="100">
        <f t="shared" si="47"/>
        <v>0.39251389827864303</v>
      </c>
      <c r="AO105" s="100">
        <f t="shared" si="48"/>
        <v>0.30663873302429878</v>
      </c>
      <c r="AP105" s="100">
        <f t="shared" si="49"/>
        <v>8.3214176920004185E-2</v>
      </c>
      <c r="AQ105" s="100">
        <f t="shared" si="50"/>
        <v>1</v>
      </c>
      <c r="AR105" s="473">
        <f t="shared" si="13"/>
        <v>885.67993777277832</v>
      </c>
      <c r="AS105" s="474">
        <f t="shared" si="14"/>
        <v>1123.2817699474731</v>
      </c>
      <c r="AT105" s="474">
        <f t="shared" si="15"/>
        <v>299.5654899731706</v>
      </c>
      <c r="AU105" s="474">
        <f t="shared" si="16"/>
        <v>0</v>
      </c>
      <c r="AV105" s="474">
        <f t="shared" si="17"/>
        <v>0</v>
      </c>
      <c r="AW105" s="474">
        <f t="shared" si="18"/>
        <v>0</v>
      </c>
      <c r="AX105" s="474">
        <f t="shared" si="19"/>
        <v>1678.419664953665</v>
      </c>
      <c r="AY105" s="474">
        <f t="shared" si="20"/>
        <v>176.52865032381524</v>
      </c>
      <c r="AZ105" s="474">
        <f t="shared" si="21"/>
        <v>159.04328569255298</v>
      </c>
      <c r="BA105" s="474">
        <f t="shared" si="22"/>
        <v>179.65639392094974</v>
      </c>
      <c r="BB105" s="474">
        <f t="shared" si="23"/>
        <v>66.877715019518732</v>
      </c>
      <c r="BC105" s="475">
        <f t="shared" si="51"/>
        <v>4569.0529076039229</v>
      </c>
      <c r="BD105" s="647">
        <f t="shared" si="52"/>
        <v>0</v>
      </c>
      <c r="BE105" s="383">
        <f t="shared" si="53"/>
        <v>0.19384322214759417</v>
      </c>
      <c r="BF105" s="383">
        <f t="shared" si="54"/>
        <v>0.24584564737214615</v>
      </c>
      <c r="BG105" s="383">
        <f t="shared" si="55"/>
        <v>6.5564023011120492E-2</v>
      </c>
      <c r="BH105" s="383">
        <f t="shared" si="56"/>
        <v>0</v>
      </c>
      <c r="BI105" s="383">
        <f t="shared" si="57"/>
        <v>0</v>
      </c>
      <c r="BJ105" s="383">
        <f t="shared" si="58"/>
        <v>0</v>
      </c>
      <c r="BK105" s="383">
        <f t="shared" si="59"/>
        <v>0.4947471074691393</v>
      </c>
      <c r="BL105" s="383">
        <f t="shared" si="60"/>
        <v>1</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95.395398062643622</v>
      </c>
      <c r="BW105" s="100">
        <f t="shared" si="63"/>
        <v>0.57391312272489814</v>
      </c>
      <c r="BX105" s="1385">
        <f t="shared" si="24"/>
        <v>49.409698226927205</v>
      </c>
      <c r="BY105" s="473">
        <f t="shared" si="64"/>
        <v>95.395398062643622</v>
      </c>
      <c r="BZ105" s="100">
        <f t="shared" si="65"/>
        <v>0.57391312272489814</v>
      </c>
      <c r="CA105" s="489">
        <f t="shared" si="25"/>
        <v>49.409698226927205</v>
      </c>
      <c r="CB105" s="579">
        <f t="shared" si="26"/>
        <v>0.2157382646789352</v>
      </c>
      <c r="CC105" s="471">
        <f t="shared" si="66"/>
        <v>0.29997941102562931</v>
      </c>
      <c r="CD105" s="100">
        <f t="shared" si="27"/>
        <v>0.2157382646789352</v>
      </c>
      <c r="CE105" s="471">
        <f t="shared" si="67"/>
        <v>0.29997941102562931</v>
      </c>
      <c r="CG105" s="473">
        <f t="shared" si="68"/>
        <v>1561.7707713642956</v>
      </c>
      <c r="CH105" s="474">
        <f t="shared" si="69"/>
        <v>659.33894002394447</v>
      </c>
      <c r="CI105" s="474">
        <f t="shared" si="70"/>
        <v>2578.7950929665958</v>
      </c>
      <c r="CJ105" s="474">
        <f t="shared" si="71"/>
        <v>3397.9201833557186</v>
      </c>
      <c r="CK105" s="474">
        <f t="shared" si="72"/>
        <v>42.723035139667047</v>
      </c>
      <c r="CL105" s="474">
        <f t="shared" si="73"/>
        <v>8240.5480228502201</v>
      </c>
      <c r="CM105" s="576">
        <f t="shared" si="74"/>
        <v>0</v>
      </c>
    </row>
    <row r="106" spans="1:91">
      <c r="A106" s="89">
        <f>'Input data'!A126</f>
        <v>2026</v>
      </c>
      <c r="B106" s="152">
        <f>'Input data'!B126</f>
        <v>63.744102485123491</v>
      </c>
      <c r="C106" s="204">
        <f>'Input data'!C126</f>
        <v>4818.42</v>
      </c>
      <c r="D106" s="204">
        <f>'Input data'!D126</f>
        <v>47599010.514277697</v>
      </c>
      <c r="E106" s="579">
        <f t="shared" si="75"/>
        <v>0.91224615384615415</v>
      </c>
      <c r="F106" s="100">
        <f t="shared" si="76"/>
        <v>0.34526153846153856</v>
      </c>
      <c r="G106" s="475">
        <f>B106*F106*'Input data'!$C$9</f>
        <v>673.61268809031185</v>
      </c>
      <c r="H106" s="301">
        <f>'Input data'!I126</f>
        <v>424.26313389388866</v>
      </c>
      <c r="I106" s="474">
        <f>'Input data'!K126</f>
        <v>27044.272687591711</v>
      </c>
      <c r="J106" s="474">
        <f t="shared" si="85"/>
        <v>4234.7319631451019</v>
      </c>
      <c r="K106" s="475">
        <f t="shared" si="77"/>
        <v>8333.2404705034969</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200.47369595557802</v>
      </c>
      <c r="R106" s="474">
        <f t="shared" si="34"/>
        <v>139.89677586684877</v>
      </c>
      <c r="S106" s="474">
        <f t="shared" si="35"/>
        <v>409.67569502781862</v>
      </c>
      <c r="T106" s="474">
        <f t="shared" si="36"/>
        <v>275.84996714467343</v>
      </c>
      <c r="U106" s="475">
        <f t="shared" si="37"/>
        <v>0</v>
      </c>
      <c r="V106" s="474">
        <f t="shared" si="38"/>
        <v>1025.8961339949187</v>
      </c>
      <c r="W106" s="579">
        <f>($N$147-$N$142)/($A$107-$A$102)+W105</f>
        <v>0.5</v>
      </c>
      <c r="X106" s="475">
        <f t="shared" si="39"/>
        <v>3033.4854703020706</v>
      </c>
      <c r="Y106" s="473">
        <f t="shared" si="78"/>
        <v>4059.3816042969893</v>
      </c>
      <c r="Z106" s="474">
        <f t="shared" si="79"/>
        <v>8508.5908293516077</v>
      </c>
      <c r="AA106" s="475">
        <f t="shared" si="80"/>
        <v>4273.8588662065058</v>
      </c>
      <c r="AB106" s="938">
        <f t="shared" si="40"/>
        <v>0.50229925870488623</v>
      </c>
      <c r="AC106" s="118" t="str">
        <f t="shared" si="41"/>
        <v>Yes</v>
      </c>
      <c r="AD106" s="938">
        <f t="shared" si="42"/>
        <v>0.50229925870488623</v>
      </c>
      <c r="AE106" s="579">
        <f t="shared" si="10"/>
        <v>0.23286991932417733</v>
      </c>
      <c r="AF106" s="475">
        <f t="shared" si="43"/>
        <v>325.46501213179619</v>
      </c>
      <c r="AG106" s="474">
        <f t="shared" si="44"/>
        <v>4234.7319631451019</v>
      </c>
      <c r="AH106" s="474">
        <f t="shared" si="81"/>
        <v>8439.1251185527271</v>
      </c>
      <c r="AI106" s="474">
        <f t="shared" si="82"/>
        <v>6437.6604656145792</v>
      </c>
      <c r="AJ106" s="474">
        <f t="shared" si="11"/>
        <v>1634.9575413387672</v>
      </c>
      <c r="AK106" s="474">
        <f t="shared" si="45"/>
        <v>20746.475088651176</v>
      </c>
      <c r="AL106" s="640">
        <f t="shared" si="12"/>
        <v>0</v>
      </c>
      <c r="AM106" s="100">
        <f t="shared" si="46"/>
        <v>0.20411814272303072</v>
      </c>
      <c r="AN106" s="100">
        <f t="shared" si="47"/>
        <v>0.40677392581109517</v>
      </c>
      <c r="AO106" s="100">
        <f t="shared" si="48"/>
        <v>0.31030140966626835</v>
      </c>
      <c r="AP106" s="100">
        <f t="shared" si="49"/>
        <v>7.8806521799605789E-2</v>
      </c>
      <c r="AQ106" s="100">
        <f t="shared" si="50"/>
        <v>1</v>
      </c>
      <c r="AR106" s="473">
        <f t="shared" si="13"/>
        <v>835.69948176283526</v>
      </c>
      <c r="AS106" s="474">
        <f t="shared" si="14"/>
        <v>1059.8930301835221</v>
      </c>
      <c r="AT106" s="474">
        <f t="shared" si="15"/>
        <v>269.26335040421844</v>
      </c>
      <c r="AU106" s="474">
        <f t="shared" si="16"/>
        <v>0</v>
      </c>
      <c r="AV106" s="474">
        <f t="shared" si="17"/>
        <v>0</v>
      </c>
      <c r="AW106" s="474">
        <f t="shared" si="18"/>
        <v>0</v>
      </c>
      <c r="AX106" s="474">
        <f t="shared" si="19"/>
        <v>1570.7557585231862</v>
      </c>
      <c r="AY106" s="474">
        <f t="shared" si="20"/>
        <v>157.46874043894923</v>
      </c>
      <c r="AZ106" s="474">
        <f t="shared" si="21"/>
        <v>126.18619554251815</v>
      </c>
      <c r="BA106" s="474">
        <f t="shared" si="22"/>
        <v>152.87762912230528</v>
      </c>
      <c r="BB106" s="474">
        <f t="shared" si="23"/>
        <v>62.587777167566493</v>
      </c>
      <c r="BC106" s="475">
        <f t="shared" si="51"/>
        <v>4234.7319631451019</v>
      </c>
      <c r="BD106" s="647">
        <f t="shared" si="52"/>
        <v>0</v>
      </c>
      <c r="BE106" s="383">
        <f t="shared" si="53"/>
        <v>0.19734412686232161</v>
      </c>
      <c r="BF106" s="383">
        <f t="shared" si="54"/>
        <v>0.25028574167332845</v>
      </c>
      <c r="BG106" s="383">
        <f t="shared" si="55"/>
        <v>6.3584508476007218E-2</v>
      </c>
      <c r="BH106" s="383">
        <f t="shared" si="56"/>
        <v>0</v>
      </c>
      <c r="BI106" s="383">
        <f t="shared" si="57"/>
        <v>0</v>
      </c>
      <c r="BJ106" s="383">
        <f t="shared" si="58"/>
        <v>0</v>
      </c>
      <c r="BK106" s="383">
        <f t="shared" si="59"/>
        <v>0.48878562298834255</v>
      </c>
      <c r="BL106" s="383">
        <f t="shared" si="60"/>
        <v>0.99999999999999978</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93.80407274357124</v>
      </c>
      <c r="BW106" s="100">
        <f t="shared" si="63"/>
        <v>0.59755415715461579</v>
      </c>
      <c r="BX106" s="1385">
        <f t="shared" si="24"/>
        <v>47.599010514277694</v>
      </c>
      <c r="BY106" s="473">
        <f t="shared" si="64"/>
        <v>93.80407274357124</v>
      </c>
      <c r="BZ106" s="100">
        <f t="shared" si="65"/>
        <v>0.59755415715461579</v>
      </c>
      <c r="CA106" s="489">
        <f t="shared" si="25"/>
        <v>47.599010514277694</v>
      </c>
      <c r="CB106" s="579">
        <f t="shared" si="26"/>
        <v>0.23286991932417733</v>
      </c>
      <c r="CC106" s="471">
        <f t="shared" si="66"/>
        <v>0.30796773866479143</v>
      </c>
      <c r="CD106" s="100">
        <f t="shared" si="27"/>
        <v>0.23286991932417733</v>
      </c>
      <c r="CE106" s="471">
        <f t="shared" si="67"/>
        <v>0.30796773866479143</v>
      </c>
      <c r="CG106" s="473">
        <f t="shared" si="68"/>
        <v>1600.0770917935895</v>
      </c>
      <c r="CH106" s="474">
        <f t="shared" si="69"/>
        <v>681.65109331713393</v>
      </c>
      <c r="CI106" s="474">
        <f t="shared" si="70"/>
        <v>2650.7857619175948</v>
      </c>
      <c r="CJ106" s="474">
        <f t="shared" si="71"/>
        <v>3463.4495874831368</v>
      </c>
      <c r="CK106" s="474">
        <f t="shared" si="72"/>
        <v>43.161584041271631</v>
      </c>
      <c r="CL106" s="474">
        <f t="shared" si="73"/>
        <v>8439.1251185527271</v>
      </c>
      <c r="CM106" s="576">
        <f t="shared" si="74"/>
        <v>0</v>
      </c>
    </row>
    <row r="107" spans="1:91" s="1" customFormat="1">
      <c r="A107" s="89">
        <f>'Input data'!A127</f>
        <v>2027</v>
      </c>
      <c r="B107" s="152">
        <f>'Input data'!B127</f>
        <v>64.377188881988602</v>
      </c>
      <c r="C107" s="204">
        <f>'Input data'!C127</f>
        <v>4908.8799999999992</v>
      </c>
      <c r="D107" s="204">
        <f>'Input data'!D127</f>
        <v>46599596.269564167</v>
      </c>
      <c r="E107" s="579">
        <f t="shared" si="75"/>
        <v>0.93418461538461572</v>
      </c>
      <c r="F107" s="100">
        <f t="shared" si="76"/>
        <v>0.35144615384615396</v>
      </c>
      <c r="G107" s="475">
        <f>B107*F107*'Input data'!$C$9</f>
        <v>692.48895417430549</v>
      </c>
      <c r="H107" s="301">
        <f>'Input data'!I127</f>
        <v>424.26313389388866</v>
      </c>
      <c r="I107" s="474">
        <f>'Input data'!K127</f>
        <v>27312.86790635129</v>
      </c>
      <c r="J107" s="474">
        <f>J97*(1-$G$5)</f>
        <v>3900.4110186862777</v>
      </c>
      <c r="K107" s="475">
        <f t="shared" si="77"/>
        <v>8792.3825681941107</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224.96081968113708</v>
      </c>
      <c r="R107" s="474">
        <f t="shared" si="34"/>
        <v>156.98465187536692</v>
      </c>
      <c r="S107" s="474">
        <f t="shared" si="35"/>
        <v>459.71607256305106</v>
      </c>
      <c r="T107" s="474">
        <f t="shared" si="36"/>
        <v>309.54402482623482</v>
      </c>
      <c r="U107" s="475">
        <f t="shared" si="37"/>
        <v>0</v>
      </c>
      <c r="V107" s="474">
        <f t="shared" si="38"/>
        <v>1151.2055689457898</v>
      </c>
      <c r="W107" s="579">
        <f>$C$27</f>
        <v>0.5</v>
      </c>
      <c r="X107" s="475">
        <f t="shared" si="39"/>
        <v>3033.4854703020706</v>
      </c>
      <c r="Y107" s="473">
        <f t="shared" si="78"/>
        <v>4184.6910392478603</v>
      </c>
      <c r="Z107" s="474">
        <f t="shared" si="79"/>
        <v>8508.1025476325285</v>
      </c>
      <c r="AA107" s="475">
        <f t="shared" si="80"/>
        <v>4607.6915289462504</v>
      </c>
      <c r="AB107" s="938">
        <f t="shared" si="40"/>
        <v>0.54156511433073762</v>
      </c>
      <c r="AC107" s="118" t="str">
        <f t="shared" si="41"/>
        <v>Yes</v>
      </c>
      <c r="AD107" s="938">
        <f t="shared" si="42"/>
        <v>0.54156511433073762</v>
      </c>
      <c r="AE107" s="579">
        <f t="shared" si="10"/>
        <v>0.24954577664502264</v>
      </c>
      <c r="AF107" s="475">
        <f t="shared" si="43"/>
        <v>318.39006064448699</v>
      </c>
      <c r="AG107" s="474">
        <f t="shared" si="44"/>
        <v>3900.4110186862777</v>
      </c>
      <c r="AH107" s="474">
        <f t="shared" si="81"/>
        <v>8638.060414469559</v>
      </c>
      <c r="AI107" s="474">
        <f t="shared" si="82"/>
        <v>6437.6604656145792</v>
      </c>
      <c r="AJ107" s="474">
        <f t="shared" si="11"/>
        <v>1520.9251734875288</v>
      </c>
      <c r="AK107" s="474">
        <f t="shared" si="45"/>
        <v>20497.057072257943</v>
      </c>
      <c r="AL107" s="640">
        <f t="shared" si="12"/>
        <v>0</v>
      </c>
      <c r="AM107" s="100">
        <f t="shared" si="46"/>
        <v>0.19029126986065473</v>
      </c>
      <c r="AN107" s="100">
        <f t="shared" si="47"/>
        <v>0.4214293000218492</v>
      </c>
      <c r="AO107" s="100">
        <f t="shared" si="48"/>
        <v>0.31407730597226707</v>
      </c>
      <c r="AP107" s="100">
        <f t="shared" si="49"/>
        <v>7.4202124145229045E-2</v>
      </c>
      <c r="AQ107" s="100">
        <f t="shared" si="50"/>
        <v>1</v>
      </c>
      <c r="AR107" s="473">
        <f t="shared" si="13"/>
        <v>783.50149338659014</v>
      </c>
      <c r="AS107" s="474">
        <f t="shared" si="14"/>
        <v>993.69185945540244</v>
      </c>
      <c r="AT107" s="474">
        <f t="shared" si="15"/>
        <v>240.17021802943134</v>
      </c>
      <c r="AU107" s="474">
        <f t="shared" si="16"/>
        <v>0</v>
      </c>
      <c r="AV107" s="474">
        <f t="shared" si="17"/>
        <v>0</v>
      </c>
      <c r="AW107" s="474">
        <f t="shared" si="18"/>
        <v>0</v>
      </c>
      <c r="AX107" s="474">
        <f t="shared" si="19"/>
        <v>1461.201232529992</v>
      </c>
      <c r="AY107" s="474">
        <f t="shared" si="20"/>
        <v>139.28914194004449</v>
      </c>
      <c r="AZ107" s="474">
        <f t="shared" si="21"/>
        <v>96.310176843793855</v>
      </c>
      <c r="BA107" s="474">
        <f t="shared" si="22"/>
        <v>128.02439014233536</v>
      </c>
      <c r="BB107" s="474">
        <f t="shared" si="23"/>
        <v>58.222506358687156</v>
      </c>
      <c r="BC107" s="475">
        <f t="shared" si="51"/>
        <v>3900.4110186862767</v>
      </c>
      <c r="BD107" s="647">
        <f t="shared" si="52"/>
        <v>0</v>
      </c>
      <c r="BE107" s="383">
        <f t="shared" si="53"/>
        <v>0.20087664854625667</v>
      </c>
      <c r="BF107" s="383">
        <f t="shared" si="54"/>
        <v>0.25476593484501392</v>
      </c>
      <c r="BG107" s="383">
        <f t="shared" si="55"/>
        <v>6.1575617769207475E-2</v>
      </c>
      <c r="BH107" s="383">
        <f t="shared" si="56"/>
        <v>0</v>
      </c>
      <c r="BI107" s="383">
        <f t="shared" si="57"/>
        <v>0</v>
      </c>
      <c r="BJ107" s="383">
        <f t="shared" si="58"/>
        <v>0</v>
      </c>
      <c r="BK107" s="383">
        <f t="shared" si="59"/>
        <v>0.48278179883952188</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93.019078292560408</v>
      </c>
      <c r="BW107" s="100">
        <f t="shared" si="63"/>
        <v>0.61836000260903046</v>
      </c>
      <c r="BX107" s="1385">
        <f t="shared" si="24"/>
        <v>46.599596269564167</v>
      </c>
      <c r="BY107" s="473">
        <f t="shared" si="64"/>
        <v>93.019078292560408</v>
      </c>
      <c r="BZ107" s="100">
        <f t="shared" si="65"/>
        <v>0.61836000260903046</v>
      </c>
      <c r="CA107" s="489">
        <f t="shared" si="25"/>
        <v>46.599596269564167</v>
      </c>
      <c r="CB107" s="579">
        <f t="shared" si="26"/>
        <v>0.24954577664502264</v>
      </c>
      <c r="CC107" s="471">
        <f t="shared" si="66"/>
        <v>0.31361903577815242</v>
      </c>
      <c r="CD107" s="100">
        <f t="shared" si="27"/>
        <v>0.24954577664502264</v>
      </c>
      <c r="CE107" s="471">
        <f t="shared" si="67"/>
        <v>0.31361903577815242</v>
      </c>
      <c r="CG107" s="473">
        <f t="shared" si="68"/>
        <v>1638.4646366776085</v>
      </c>
      <c r="CH107" s="474">
        <f t="shared" si="69"/>
        <v>704.11950298209138</v>
      </c>
      <c r="CI107" s="474">
        <f t="shared" si="70"/>
        <v>2723.0841404585908</v>
      </c>
      <c r="CJ107" s="474">
        <f t="shared" si="71"/>
        <v>3528.8018830190877</v>
      </c>
      <c r="CK107" s="474">
        <f t="shared" si="72"/>
        <v>43.590251332179939</v>
      </c>
      <c r="CL107" s="474">
        <f t="shared" si="73"/>
        <v>8638.060414469559</v>
      </c>
      <c r="CM107" s="576">
        <f t="shared" si="74"/>
        <v>0</v>
      </c>
    </row>
    <row r="108" spans="1:91">
      <c r="A108" s="89">
        <f>'Input data'!A128</f>
        <v>2028</v>
      </c>
      <c r="B108" s="152">
        <f>'Input data'!B128</f>
        <v>64.995109664264291</v>
      </c>
      <c r="C108" s="204">
        <f>'Input data'!C128</f>
        <v>5001.3400000000011</v>
      </c>
      <c r="D108" s="204">
        <f>'Input data'!D128</f>
        <v>45314646.034956604</v>
      </c>
      <c r="E108" s="579">
        <f t="shared" si="75"/>
        <v>0.9561230769230773</v>
      </c>
      <c r="F108" s="100">
        <f t="shared" si="76"/>
        <v>0.35763076923076936</v>
      </c>
      <c r="G108" s="475">
        <f>B108*F108*'Input data'!$C$9</f>
        <v>711.43889462635582</v>
      </c>
      <c r="H108" s="301">
        <f>'Input data'!I128</f>
        <v>424.26313389388866</v>
      </c>
      <c r="I108" s="474">
        <f>'Input data'!K128</f>
        <v>27575.028913937738</v>
      </c>
      <c r="J108" s="474">
        <f>($J$112-$J$107)/($A$112-$A$107)+J107</f>
        <v>3566.0900742274539</v>
      </c>
      <c r="K108" s="475">
        <f t="shared" si="77"/>
        <v>9248.5345692535338</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249.83210263118417</v>
      </c>
      <c r="R108" s="474">
        <f t="shared" si="34"/>
        <v>174.34060613060615</v>
      </c>
      <c r="S108" s="474">
        <f t="shared" si="35"/>
        <v>510.54149422361616</v>
      </c>
      <c r="T108" s="474">
        <f t="shared" si="36"/>
        <v>343.76668207767125</v>
      </c>
      <c r="U108" s="475">
        <f t="shared" si="37"/>
        <v>0</v>
      </c>
      <c r="V108" s="474">
        <f t="shared" si="38"/>
        <v>1278.4808850630777</v>
      </c>
      <c r="W108" s="579">
        <f>W107</f>
        <v>0.5</v>
      </c>
      <c r="X108" s="475">
        <f t="shared" si="39"/>
        <v>3033.4854703020706</v>
      </c>
      <c r="Y108" s="473">
        <f t="shared" si="78"/>
        <v>4311.966355365148</v>
      </c>
      <c r="Z108" s="474">
        <f t="shared" si="79"/>
        <v>8502.6582881158392</v>
      </c>
      <c r="AA108" s="475">
        <f t="shared" si="80"/>
        <v>4936.5682138883858</v>
      </c>
      <c r="AB108" s="938">
        <f t="shared" si="40"/>
        <v>0.58059115709591957</v>
      </c>
      <c r="AC108" s="118" t="str">
        <f t="shared" si="41"/>
        <v>Yes</v>
      </c>
      <c r="AD108" s="938">
        <f t="shared" si="42"/>
        <v>0.58059115709591957</v>
      </c>
      <c r="AE108" s="579">
        <f t="shared" si="10"/>
        <v>0.26579388990510533</v>
      </c>
      <c r="AF108" s="475">
        <f t="shared" si="43"/>
        <v>311.49658519290148</v>
      </c>
      <c r="AG108" s="474">
        <f t="shared" si="44"/>
        <v>3566.0900742274539</v>
      </c>
      <c r="AH108" s="474">
        <f t="shared" si="81"/>
        <v>8837.1978805699891</v>
      </c>
      <c r="AI108" s="474">
        <f t="shared" si="82"/>
        <v>6437.6604656145792</v>
      </c>
      <c r="AJ108" s="474">
        <f t="shared" si="11"/>
        <v>1404.8062942444512</v>
      </c>
      <c r="AK108" s="474">
        <f t="shared" si="45"/>
        <v>20245.754714656476</v>
      </c>
      <c r="AL108" s="640">
        <f t="shared" si="12"/>
        <v>0</v>
      </c>
      <c r="AM108" s="100">
        <f t="shared" si="46"/>
        <v>0.17614014021645041</v>
      </c>
      <c r="AN108" s="100">
        <f t="shared" si="47"/>
        <v>0.43649634232565759</v>
      </c>
      <c r="AO108" s="100">
        <f t="shared" si="48"/>
        <v>0.317975820429859</v>
      </c>
      <c r="AP108" s="100">
        <f t="shared" si="49"/>
        <v>6.9387697028032852E-2</v>
      </c>
      <c r="AQ108" s="100">
        <f t="shared" si="50"/>
        <v>0.99999999999999989</v>
      </c>
      <c r="AR108" s="473">
        <f t="shared" si="13"/>
        <v>729.06684709384683</v>
      </c>
      <c r="AS108" s="474">
        <f t="shared" si="14"/>
        <v>924.65400139130315</v>
      </c>
      <c r="AT108" s="474">
        <f t="shared" si="15"/>
        <v>212.30819771872788</v>
      </c>
      <c r="AU108" s="474">
        <f t="shared" si="16"/>
        <v>0</v>
      </c>
      <c r="AV108" s="474">
        <f t="shared" si="17"/>
        <v>0</v>
      </c>
      <c r="AW108" s="474">
        <f t="shared" si="18"/>
        <v>0</v>
      </c>
      <c r="AX108" s="474">
        <f t="shared" si="19"/>
        <v>1349.6421286189686</v>
      </c>
      <c r="AY108" s="474">
        <f t="shared" si="20"/>
        <v>122.00748810501022</v>
      </c>
      <c r="AZ108" s="474">
        <f t="shared" si="21"/>
        <v>69.491167582156024</v>
      </c>
      <c r="BA108" s="474">
        <f t="shared" si="22"/>
        <v>105.14288186878203</v>
      </c>
      <c r="BB108" s="474">
        <f t="shared" si="23"/>
        <v>53.777361848657684</v>
      </c>
      <c r="BC108" s="475">
        <f t="shared" si="51"/>
        <v>3566.0900742274521</v>
      </c>
      <c r="BD108" s="647">
        <f t="shared" si="52"/>
        <v>0</v>
      </c>
      <c r="BE108" s="383">
        <f t="shared" si="53"/>
        <v>0.20444431630117751</v>
      </c>
      <c r="BF108" s="383">
        <f t="shared" si="54"/>
        <v>0.25929070274300842</v>
      </c>
      <c r="BG108" s="383">
        <f t="shared" si="55"/>
        <v>5.953528747159359E-2</v>
      </c>
      <c r="BH108" s="383">
        <f t="shared" si="56"/>
        <v>0</v>
      </c>
      <c r="BI108" s="383">
        <f t="shared" si="57"/>
        <v>0</v>
      </c>
      <c r="BJ108" s="383">
        <f t="shared" si="58"/>
        <v>0</v>
      </c>
      <c r="BK108" s="383">
        <f t="shared" si="59"/>
        <v>0.47672969348422056</v>
      </c>
      <c r="BL108" s="383">
        <f t="shared" si="60"/>
        <v>1</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91.956918602423812</v>
      </c>
      <c r="BW108" s="100">
        <f t="shared" si="63"/>
        <v>0.6398923243030854</v>
      </c>
      <c r="BX108" s="1385">
        <f t="shared" si="24"/>
        <v>45.314646034956603</v>
      </c>
      <c r="BY108" s="473">
        <f t="shared" si="64"/>
        <v>91.956918602423812</v>
      </c>
      <c r="BZ108" s="100">
        <f t="shared" si="65"/>
        <v>0.6398923243030854</v>
      </c>
      <c r="CA108" s="489">
        <f t="shared" si="25"/>
        <v>45.314646034956603</v>
      </c>
      <c r="CB108" s="579">
        <f t="shared" si="26"/>
        <v>0.26579388990510533</v>
      </c>
      <c r="CC108" s="471">
        <f t="shared" si="66"/>
        <v>0.32018308815120211</v>
      </c>
      <c r="CD108" s="100">
        <f t="shared" si="27"/>
        <v>0.26579388990510533</v>
      </c>
      <c r="CE108" s="471">
        <f t="shared" si="67"/>
        <v>0.32018308815120211</v>
      </c>
      <c r="CG108" s="473">
        <f t="shared" si="68"/>
        <v>1676.9033555396099</v>
      </c>
      <c r="CH108" s="474">
        <f t="shared" si="69"/>
        <v>726.72709995546654</v>
      </c>
      <c r="CI108" s="474">
        <f t="shared" si="70"/>
        <v>2795.634371657758</v>
      </c>
      <c r="CJ108" s="474">
        <f t="shared" si="71"/>
        <v>3593.9244035393012</v>
      </c>
      <c r="CK108" s="474">
        <f t="shared" si="72"/>
        <v>44.008649877853472</v>
      </c>
      <c r="CL108" s="474">
        <f t="shared" si="73"/>
        <v>8837.1978805699891</v>
      </c>
      <c r="CM108" s="576">
        <f t="shared" si="74"/>
        <v>0</v>
      </c>
    </row>
    <row r="109" spans="1:91">
      <c r="A109" s="89">
        <f>'Input data'!A129</f>
        <v>2029</v>
      </c>
      <c r="B109" s="152">
        <f>'Input data'!B129</f>
        <v>65.59730237662275</v>
      </c>
      <c r="C109" s="204">
        <f>'Input data'!C129</f>
        <v>5124.16</v>
      </c>
      <c r="D109" s="204">
        <f>'Input data'!D129</f>
        <v>44520340.557958424</v>
      </c>
      <c r="E109" s="579">
        <f t="shared" si="75"/>
        <v>0.97806153846153887</v>
      </c>
      <c r="F109" s="100">
        <f t="shared" si="76"/>
        <v>0.36381538461538476</v>
      </c>
      <c r="G109" s="475">
        <f>B109*F109*'Input data'!$C$9</f>
        <v>730.44763408276515</v>
      </c>
      <c r="H109" s="301">
        <f>'Input data'!I129</f>
        <v>424.26313389388866</v>
      </c>
      <c r="I109" s="474">
        <f>'Input data'!K129</f>
        <v>27830.517081291</v>
      </c>
      <c r="J109" s="474">
        <f t="shared" ref="J109:J111" si="86">($J$112-$J$107)/($A$112-$A$107)+J108</f>
        <v>3231.7691297686301</v>
      </c>
      <c r="K109" s="475">
        <f t="shared" si="77"/>
        <v>9701.5855783553015</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275.06928776093423</v>
      </c>
      <c r="R109" s="474">
        <f t="shared" si="34"/>
        <v>191.95189829927608</v>
      </c>
      <c r="S109" s="474">
        <f t="shared" si="35"/>
        <v>562.11465103750106</v>
      </c>
      <c r="T109" s="474">
        <f t="shared" si="36"/>
        <v>378.49281737278807</v>
      </c>
      <c r="U109" s="475">
        <f t="shared" si="37"/>
        <v>0</v>
      </c>
      <c r="V109" s="474">
        <f t="shared" si="38"/>
        <v>1407.6286544704994</v>
      </c>
      <c r="W109" s="579">
        <f t="shared" ref="W109:W130" si="87">W108</f>
        <v>0.5</v>
      </c>
      <c r="X109" s="475">
        <f t="shared" si="39"/>
        <v>3033.4854703020706</v>
      </c>
      <c r="Y109" s="473">
        <f t="shared" si="78"/>
        <v>4441.11412477257</v>
      </c>
      <c r="Z109" s="474">
        <f t="shared" si="79"/>
        <v>8492.2405833513621</v>
      </c>
      <c r="AA109" s="475">
        <f t="shared" si="80"/>
        <v>5260.4714535827316</v>
      </c>
      <c r="AB109" s="938">
        <f t="shared" si="40"/>
        <v>0.61944446838866507</v>
      </c>
      <c r="AC109" s="118" t="str">
        <f t="shared" si="41"/>
        <v>Yes</v>
      </c>
      <c r="AD109" s="938">
        <f t="shared" si="42"/>
        <v>0.61944446838866507</v>
      </c>
      <c r="AE109" s="579">
        <f t="shared" si="10"/>
        <v>0.28164159769015185</v>
      </c>
      <c r="AF109" s="475">
        <f t="shared" si="43"/>
        <v>304.77298702298305</v>
      </c>
      <c r="AG109" s="474">
        <f t="shared" si="44"/>
        <v>3231.7691297686301</v>
      </c>
      <c r="AH109" s="474">
        <f t="shared" si="81"/>
        <v>9036.3786772772637</v>
      </c>
      <c r="AI109" s="474">
        <f t="shared" si="82"/>
        <v>6437.6604656145792</v>
      </c>
      <c r="AJ109" s="474">
        <f t="shared" si="11"/>
        <v>1286.4775133126673</v>
      </c>
      <c r="AK109" s="474">
        <f t="shared" si="45"/>
        <v>19992.285785973141</v>
      </c>
      <c r="AL109" s="640">
        <f t="shared" si="12"/>
        <v>0</v>
      </c>
      <c r="AM109" s="100">
        <f t="shared" si="46"/>
        <v>0.16165080693454689</v>
      </c>
      <c r="AN109" s="100">
        <f t="shared" si="47"/>
        <v>0.45199327250600374</v>
      </c>
      <c r="AO109" s="100">
        <f t="shared" si="48"/>
        <v>0.32200722491328776</v>
      </c>
      <c r="AP109" s="100">
        <f t="shared" si="49"/>
        <v>6.4348695646161552E-2</v>
      </c>
      <c r="AQ109" s="100">
        <f t="shared" si="50"/>
        <v>0.99999999999999989</v>
      </c>
      <c r="AR109" s="473">
        <f t="shared" si="13"/>
        <v>672.37195123420065</v>
      </c>
      <c r="AS109" s="474">
        <f t="shared" si="14"/>
        <v>852.74953539610613</v>
      </c>
      <c r="AT109" s="474">
        <f t="shared" si="15"/>
        <v>185.70192242399085</v>
      </c>
      <c r="AU109" s="474">
        <f t="shared" si="16"/>
        <v>0</v>
      </c>
      <c r="AV109" s="474">
        <f t="shared" si="17"/>
        <v>0</v>
      </c>
      <c r="AW109" s="474">
        <f t="shared" si="18"/>
        <v>0</v>
      </c>
      <c r="AX109" s="474">
        <f t="shared" si="19"/>
        <v>1235.9599018038095</v>
      </c>
      <c r="AY109" s="474">
        <f t="shared" si="20"/>
        <v>105.64326524665248</v>
      </c>
      <c r="AZ109" s="474">
        <f t="shared" si="21"/>
        <v>45.811510248818678</v>
      </c>
      <c r="BA109" s="474">
        <f t="shared" si="22"/>
        <v>84.283423279076644</v>
      </c>
      <c r="BB109" s="474">
        <f t="shared" si="23"/>
        <v>49.247620135974401</v>
      </c>
      <c r="BC109" s="475">
        <f t="shared" si="51"/>
        <v>3231.7691297686292</v>
      </c>
      <c r="BD109" s="647">
        <f t="shared" si="52"/>
        <v>0</v>
      </c>
      <c r="BE109" s="383">
        <f t="shared" si="53"/>
        <v>0.20805073761018861</v>
      </c>
      <c r="BF109" s="383">
        <f t="shared" si="54"/>
        <v>0.26386462063184468</v>
      </c>
      <c r="BG109" s="383">
        <f t="shared" si="55"/>
        <v>5.7461382594890288E-2</v>
      </c>
      <c r="BH109" s="383">
        <f t="shared" si="56"/>
        <v>0</v>
      </c>
      <c r="BI109" s="383">
        <f t="shared" si="57"/>
        <v>0</v>
      </c>
      <c r="BJ109" s="383">
        <f t="shared" si="58"/>
        <v>0</v>
      </c>
      <c r="BK109" s="383">
        <f t="shared" si="59"/>
        <v>0.47062325916307646</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91.538909395017598</v>
      </c>
      <c r="BW109" s="100">
        <f t="shared" si="63"/>
        <v>0.66022043131359209</v>
      </c>
      <c r="BX109" s="1385">
        <f t="shared" si="24"/>
        <v>44.520340557958427</v>
      </c>
      <c r="BY109" s="473">
        <f t="shared" si="64"/>
        <v>91.538909395017598</v>
      </c>
      <c r="BZ109" s="100">
        <f t="shared" si="65"/>
        <v>0.66022043131359209</v>
      </c>
      <c r="CA109" s="489">
        <f t="shared" si="25"/>
        <v>44.520340557958427</v>
      </c>
      <c r="CB109" s="579">
        <f t="shared" si="26"/>
        <v>0.28164159769015185</v>
      </c>
      <c r="CC109" s="471">
        <f t="shared" si="66"/>
        <v>0.32610844737555411</v>
      </c>
      <c r="CD109" s="100">
        <f t="shared" si="27"/>
        <v>0.28164159769015185</v>
      </c>
      <c r="CE109" s="471">
        <f t="shared" si="67"/>
        <v>0.32610844737555411</v>
      </c>
      <c r="CG109" s="473">
        <f t="shared" si="68"/>
        <v>1715.3626417313758</v>
      </c>
      <c r="CH109" s="474">
        <f t="shared" si="69"/>
        <v>749.45636365622329</v>
      </c>
      <c r="CI109" s="474">
        <f t="shared" si="70"/>
        <v>2868.3793717835661</v>
      </c>
      <c r="CJ109" s="474">
        <f t="shared" si="71"/>
        <v>3658.7639012702984</v>
      </c>
      <c r="CK109" s="474">
        <f t="shared" si="72"/>
        <v>44.416398835799306</v>
      </c>
      <c r="CL109" s="474">
        <f t="shared" si="73"/>
        <v>9036.3786772772637</v>
      </c>
      <c r="CM109" s="576">
        <f t="shared" si="74"/>
        <v>0</v>
      </c>
    </row>
    <row r="110" spans="1:91" s="1" customFormat="1">
      <c r="A110" s="89">
        <f>'Input data'!A130</f>
        <v>2030</v>
      </c>
      <c r="B110" s="152">
        <f>'Input data'!B130</f>
        <v>66.183214701401099</v>
      </c>
      <c r="C110" s="204">
        <f>'Input data'!C130</f>
        <v>5234.6499999999996</v>
      </c>
      <c r="D110" s="204">
        <f>'Input data'!D130</f>
        <v>41257794.114847519</v>
      </c>
      <c r="E110" s="579">
        <f>C53</f>
        <v>1</v>
      </c>
      <c r="F110" s="100">
        <f>D53</f>
        <v>0.37</v>
      </c>
      <c r="G110" s="475">
        <f>B110*F110*'Input data'!$C$9</f>
        <v>749.49998610946295</v>
      </c>
      <c r="H110" s="301">
        <f>'Input data'!I130</f>
        <v>424.26313389388866</v>
      </c>
      <c r="I110" s="474">
        <f>'Input data'!K130</f>
        <v>28079.098080388514</v>
      </c>
      <c r="J110" s="474">
        <f t="shared" si="86"/>
        <v>2897.4481853098064</v>
      </c>
      <c r="K110" s="475">
        <f t="shared" si="77"/>
        <v>10151.426698944424</v>
      </c>
      <c r="L110" s="100">
        <f>C19</f>
        <v>0.7</v>
      </c>
      <c r="M110" s="100">
        <f>D19</f>
        <v>0.6</v>
      </c>
      <c r="N110" s="100">
        <f>E19</f>
        <v>0.9</v>
      </c>
      <c r="O110" s="100">
        <f>F19</f>
        <v>0.9</v>
      </c>
      <c r="P110" s="100">
        <f>G19</f>
        <v>0.23600000000000002</v>
      </c>
      <c r="Q110" s="473">
        <f t="shared" si="33"/>
        <v>300.65337789676232</v>
      </c>
      <c r="R110" s="474">
        <f t="shared" si="34"/>
        <v>209.80527156318033</v>
      </c>
      <c r="S110" s="474">
        <f t="shared" si="35"/>
        <v>614.39672155099515</v>
      </c>
      <c r="T110" s="474">
        <f t="shared" si="36"/>
        <v>413.69629077489935</v>
      </c>
      <c r="U110" s="475">
        <f t="shared" si="37"/>
        <v>0</v>
      </c>
      <c r="V110" s="474">
        <f t="shared" si="38"/>
        <v>1538.551661785837</v>
      </c>
      <c r="W110" s="579">
        <f t="shared" si="87"/>
        <v>0.5</v>
      </c>
      <c r="X110" s="475">
        <f t="shared" si="39"/>
        <v>3033.4854703020706</v>
      </c>
      <c r="Y110" s="473">
        <f t="shared" si="78"/>
        <v>4572.0371320879076</v>
      </c>
      <c r="Z110" s="474">
        <f t="shared" si="79"/>
        <v>8476.8377521663224</v>
      </c>
      <c r="AA110" s="475">
        <f t="shared" si="80"/>
        <v>5579.3895668565165</v>
      </c>
      <c r="AB110" s="938">
        <f t="shared" si="40"/>
        <v>0.65819232713645603</v>
      </c>
      <c r="AC110" s="118" t="str">
        <f t="shared" si="41"/>
        <v>Yes</v>
      </c>
      <c r="AD110" s="938">
        <f t="shared" si="42"/>
        <v>0.65819232713645603</v>
      </c>
      <c r="AE110" s="579">
        <f t="shared" si="10"/>
        <v>0.29711559328224646</v>
      </c>
      <c r="AF110" s="475">
        <f t="shared" si="43"/>
        <v>298.20794115922075</v>
      </c>
      <c r="AG110" s="474">
        <f t="shared" si="44"/>
        <v>2897.4481853098064</v>
      </c>
      <c r="AH110" s="474">
        <f t="shared" si="81"/>
        <v>9235.4413564857023</v>
      </c>
      <c r="AI110" s="474">
        <f t="shared" si="82"/>
        <v>6437.6604656145792</v>
      </c>
      <c r="AJ110" s="474">
        <f t="shared" si="11"/>
        <v>1165.8101879934081</v>
      </c>
      <c r="AK110" s="474">
        <f t="shared" si="45"/>
        <v>19736.360195403493</v>
      </c>
      <c r="AL110" s="640">
        <f t="shared" si="12"/>
        <v>0</v>
      </c>
      <c r="AM110" s="100">
        <f t="shared" si="46"/>
        <v>0.14680762595651292</v>
      </c>
      <c r="AN110" s="100">
        <f t="shared" si="47"/>
        <v>0.46794045432128839</v>
      </c>
      <c r="AO110" s="100">
        <f t="shared" si="48"/>
        <v>0.32618276125269952</v>
      </c>
      <c r="AP110" s="100">
        <f t="shared" si="49"/>
        <v>5.9069158469499353E-2</v>
      </c>
      <c r="AQ110" s="100">
        <f t="shared" si="50"/>
        <v>1.0000000000000002</v>
      </c>
      <c r="AR110" s="473">
        <f t="shared" si="13"/>
        <v>613.38865531037209</v>
      </c>
      <c r="AS110" s="474">
        <f t="shared" si="14"/>
        <v>777.94275902352047</v>
      </c>
      <c r="AT110" s="474">
        <f t="shared" si="15"/>
        <v>160.37864923958358</v>
      </c>
      <c r="AU110" s="474">
        <f t="shared" si="16"/>
        <v>0</v>
      </c>
      <c r="AV110" s="474">
        <f t="shared" si="17"/>
        <v>0</v>
      </c>
      <c r="AW110" s="474">
        <f t="shared" si="18"/>
        <v>0</v>
      </c>
      <c r="AX110" s="474">
        <f t="shared" si="19"/>
        <v>1120.0309609484925</v>
      </c>
      <c r="AY110" s="474">
        <f t="shared" si="20"/>
        <v>90.217888649332252</v>
      </c>
      <c r="AZ110" s="474">
        <f t="shared" si="21"/>
        <v>25.360272202010762</v>
      </c>
      <c r="BA110" s="474">
        <f t="shared" si="22"/>
        <v>65.500643284452153</v>
      </c>
      <c r="BB110" s="474">
        <f t="shared" si="23"/>
        <v>44.6283566520408</v>
      </c>
      <c r="BC110" s="475">
        <f t="shared" si="51"/>
        <v>2897.448185309805</v>
      </c>
      <c r="BD110" s="647">
        <f t="shared" si="52"/>
        <v>0</v>
      </c>
      <c r="BE110" s="383">
        <f t="shared" si="53"/>
        <v>0.21169961154794092</v>
      </c>
      <c r="BF110" s="383">
        <f t="shared" si="54"/>
        <v>0.26849237993891517</v>
      </c>
      <c r="BG110" s="383">
        <f t="shared" si="55"/>
        <v>5.5351688445270802E-2</v>
      </c>
      <c r="BH110" s="383">
        <f t="shared" si="56"/>
        <v>0</v>
      </c>
      <c r="BI110" s="383">
        <f t="shared" si="57"/>
        <v>0</v>
      </c>
      <c r="BJ110" s="383">
        <f t="shared" si="58"/>
        <v>0</v>
      </c>
      <c r="BK110" s="383">
        <f t="shared" si="59"/>
        <v>0.46445632006787291</v>
      </c>
      <c r="BL110" s="383">
        <f t="shared" si="60"/>
        <v>0.99999999999999978</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88.586979917577395</v>
      </c>
      <c r="BW110" s="100">
        <f t="shared" si="63"/>
        <v>0.68785339922473643</v>
      </c>
      <c r="BX110" s="1385">
        <f t="shared" si="24"/>
        <v>41.25779411484752</v>
      </c>
      <c r="BY110" s="473">
        <f t="shared" si="64"/>
        <v>88.586979917577395</v>
      </c>
      <c r="BZ110" s="100">
        <f t="shared" si="65"/>
        <v>0.68785339922473643</v>
      </c>
      <c r="CA110" s="489">
        <f t="shared" si="25"/>
        <v>41.25779411484752</v>
      </c>
      <c r="CB110" s="579">
        <f t="shared" si="26"/>
        <v>0.29711559328224646</v>
      </c>
      <c r="CC110" s="471">
        <f t="shared" si="66"/>
        <v>0.33947437568196359</v>
      </c>
      <c r="CD110" s="100">
        <f t="shared" si="27"/>
        <v>0.29711559328224646</v>
      </c>
      <c r="CE110" s="471">
        <f t="shared" si="67"/>
        <v>0.33947437568196359</v>
      </c>
      <c r="CG110" s="473">
        <f t="shared" si="68"/>
        <v>1753.8113710644452</v>
      </c>
      <c r="CH110" s="474">
        <f t="shared" si="69"/>
        <v>772.28934317735082</v>
      </c>
      <c r="CI110" s="474">
        <f t="shared" si="70"/>
        <v>2941.260901042001</v>
      </c>
      <c r="CJ110" s="474">
        <f t="shared" si="71"/>
        <v>3723.2666169740951</v>
      </c>
      <c r="CK110" s="474">
        <f t="shared" si="72"/>
        <v>44.813124227809318</v>
      </c>
      <c r="CL110" s="474">
        <f t="shared" si="73"/>
        <v>9235.4413564857005</v>
      </c>
      <c r="CM110" s="576">
        <f t="shared" si="74"/>
        <v>0</v>
      </c>
    </row>
    <row r="111" spans="1:91">
      <c r="A111" s="89">
        <f>'Input data'!A131</f>
        <v>2031</v>
      </c>
      <c r="B111" s="152">
        <f>'Input data'!B131</f>
        <v>66.757007289602299</v>
      </c>
      <c r="C111" s="204">
        <f>'Input data'!C131</f>
        <v>5365.4400000000005</v>
      </c>
      <c r="D111" s="204">
        <f>'Input data'!D131</f>
        <v>39014257.111139439</v>
      </c>
      <c r="E111" s="579">
        <f>E110</f>
        <v>1</v>
      </c>
      <c r="F111" s="100">
        <f>F110</f>
        <v>0.37</v>
      </c>
      <c r="G111" s="475">
        <f>B111*F111*'Input data'!$C$9</f>
        <v>755.9979711170937</v>
      </c>
      <c r="H111" s="301">
        <f>'Input data'!I131</f>
        <v>424.26313389388866</v>
      </c>
      <c r="I111" s="474">
        <f>'Input data'!K131</f>
        <v>28322.537122063841</v>
      </c>
      <c r="J111" s="474">
        <f t="shared" si="86"/>
        <v>2563.1272408509826</v>
      </c>
      <c r="K111" s="475">
        <f t="shared" si="77"/>
        <v>10598.878257060056</v>
      </c>
      <c r="L111" s="100">
        <f>L110</f>
        <v>0.7</v>
      </c>
      <c r="M111" s="100">
        <f t="shared" ref="M111:P126" si="88">M110</f>
        <v>0.6</v>
      </c>
      <c r="N111" s="100">
        <f t="shared" si="88"/>
        <v>0.9</v>
      </c>
      <c r="O111" s="100">
        <f t="shared" si="88"/>
        <v>0.9</v>
      </c>
      <c r="P111" s="100">
        <f t="shared" si="88"/>
        <v>0.23600000000000002</v>
      </c>
      <c r="Q111" s="473">
        <f t="shared" si="33"/>
        <v>303.25997052954881</v>
      </c>
      <c r="R111" s="474">
        <f t="shared" si="34"/>
        <v>211.62423291662367</v>
      </c>
      <c r="S111" s="474">
        <f t="shared" si="35"/>
        <v>619.72339367823497</v>
      </c>
      <c r="T111" s="474">
        <f t="shared" si="36"/>
        <v>417.28293833325552</v>
      </c>
      <c r="U111" s="475">
        <f t="shared" si="37"/>
        <v>0</v>
      </c>
      <c r="V111" s="474">
        <f t="shared" si="38"/>
        <v>1551.890535457663</v>
      </c>
      <c r="W111" s="579">
        <f t="shared" si="87"/>
        <v>0.5</v>
      </c>
      <c r="X111" s="475">
        <f t="shared" si="39"/>
        <v>3033.4854703020706</v>
      </c>
      <c r="Y111" s="473">
        <f t="shared" si="78"/>
        <v>4585.3760057597337</v>
      </c>
      <c r="Z111" s="474">
        <f t="shared" si="79"/>
        <v>8576.6294921513054</v>
      </c>
      <c r="AA111" s="475">
        <f t="shared" si="80"/>
        <v>6013.5022513003223</v>
      </c>
      <c r="AB111" s="938">
        <f t="shared" si="40"/>
        <v>0.70114982310981644</v>
      </c>
      <c r="AC111" s="118" t="str">
        <f t="shared" si="41"/>
        <v>Yes</v>
      </c>
      <c r="AD111" s="938">
        <f t="shared" si="42"/>
        <v>0.70114982310981644</v>
      </c>
      <c r="AE111" s="579">
        <f t="shared" si="10"/>
        <v>0.31699518009206651</v>
      </c>
      <c r="AF111" s="475">
        <f t="shared" si="43"/>
        <v>289.7737653587709</v>
      </c>
      <c r="AG111" s="474">
        <f t="shared" si="44"/>
        <v>2563.1272408509826</v>
      </c>
      <c r="AH111" s="474">
        <f t="shared" si="81"/>
        <v>9315.5104166398032</v>
      </c>
      <c r="AI111" s="474">
        <f t="shared" si="82"/>
        <v>6437.6604656145792</v>
      </c>
      <c r="AJ111" s="474">
        <f t="shared" si="11"/>
        <v>1028.1312432856109</v>
      </c>
      <c r="AK111" s="474">
        <f t="shared" si="45"/>
        <v>19344.429366390974</v>
      </c>
      <c r="AL111" s="640">
        <f t="shared" si="12"/>
        <v>0</v>
      </c>
      <c r="AM111" s="100">
        <f t="shared" si="46"/>
        <v>0.13249950113825337</v>
      </c>
      <c r="AN111" s="100">
        <f t="shared" si="47"/>
        <v>0.48156036242788208</v>
      </c>
      <c r="AO111" s="100">
        <f t="shared" si="48"/>
        <v>0.33279143797332039</v>
      </c>
      <c r="AP111" s="100">
        <f t="shared" si="49"/>
        <v>5.314869846054425E-2</v>
      </c>
      <c r="AQ111" s="100">
        <f t="shared" si="50"/>
        <v>1</v>
      </c>
      <c r="AR111" s="473">
        <f t="shared" si="13"/>
        <v>544.41419432341388</v>
      </c>
      <c r="AS111" s="474">
        <f t="shared" si="14"/>
        <v>690.46448237491904</v>
      </c>
      <c r="AT111" s="474">
        <f t="shared" si="15"/>
        <v>141.43837627887706</v>
      </c>
      <c r="AU111" s="474">
        <f t="shared" si="16"/>
        <v>0</v>
      </c>
      <c r="AV111" s="474">
        <f t="shared" si="17"/>
        <v>0</v>
      </c>
      <c r="AW111" s="474">
        <f t="shared" si="18"/>
        <v>0</v>
      </c>
      <c r="AX111" s="474">
        <f t="shared" si="19"/>
        <v>987.75841578497352</v>
      </c>
      <c r="AY111" s="474">
        <f t="shared" si="20"/>
        <v>79.563406615353102</v>
      </c>
      <c r="AZ111" s="474">
        <f t="shared" si="21"/>
        <v>22.36529450303815</v>
      </c>
      <c r="BA111" s="474">
        <f t="shared" si="22"/>
        <v>57.765199266239385</v>
      </c>
      <c r="BB111" s="474">
        <f t="shared" si="23"/>
        <v>39.357871704167856</v>
      </c>
      <c r="BC111" s="475">
        <f t="shared" si="51"/>
        <v>2563.1272408509822</v>
      </c>
      <c r="BD111" s="647">
        <f t="shared" si="52"/>
        <v>0</v>
      </c>
      <c r="BE111" s="383">
        <f t="shared" si="53"/>
        <v>0.21240232854872365</v>
      </c>
      <c r="BF111" s="383">
        <f t="shared" si="54"/>
        <v>0.26938361520658582</v>
      </c>
      <c r="BG111" s="383">
        <f t="shared" si="55"/>
        <v>5.5181956644461475E-2</v>
      </c>
      <c r="BH111" s="383">
        <f t="shared" si="56"/>
        <v>0</v>
      </c>
      <c r="BI111" s="383">
        <f t="shared" si="57"/>
        <v>0</v>
      </c>
      <c r="BJ111" s="383">
        <f t="shared" si="58"/>
        <v>0</v>
      </c>
      <c r="BK111" s="383">
        <f t="shared" si="59"/>
        <v>0.4630320996002289</v>
      </c>
      <c r="BL111" s="383">
        <f t="shared" si="60"/>
        <v>0.99999999999999978</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86.622143824658352</v>
      </c>
      <c r="BW111" s="100">
        <f t="shared" si="63"/>
        <v>0.70017272303827005</v>
      </c>
      <c r="BX111" s="1385">
        <f t="shared" si="24"/>
        <v>39.014257111139436</v>
      </c>
      <c r="BY111" s="473">
        <f t="shared" si="64"/>
        <v>86.622143824658352</v>
      </c>
      <c r="BZ111" s="100">
        <f t="shared" si="65"/>
        <v>0.70017272303827005</v>
      </c>
      <c r="CA111" s="489">
        <f t="shared" si="25"/>
        <v>39.014257111139436</v>
      </c>
      <c r="CB111" s="579">
        <f t="shared" si="26"/>
        <v>0.31699518009206651</v>
      </c>
      <c r="CC111" s="471">
        <f t="shared" si="66"/>
        <v>0.35038871214637335</v>
      </c>
      <c r="CD111" s="100">
        <f t="shared" si="27"/>
        <v>0.31699518009206651</v>
      </c>
      <c r="CE111" s="471">
        <f t="shared" si="67"/>
        <v>0.35038871214637335</v>
      </c>
      <c r="CG111" s="473">
        <f t="shared" si="68"/>
        <v>1769.0164947557016</v>
      </c>
      <c r="CH111" s="474">
        <f t="shared" si="69"/>
        <v>778.98490644155959</v>
      </c>
      <c r="CI111" s="474">
        <f t="shared" si="70"/>
        <v>2966.7609271830424</v>
      </c>
      <c r="CJ111" s="474">
        <f t="shared" si="71"/>
        <v>3755.5464449993037</v>
      </c>
      <c r="CK111" s="474">
        <f t="shared" si="72"/>
        <v>45.201643260196427</v>
      </c>
      <c r="CL111" s="474">
        <f t="shared" si="73"/>
        <v>9315.5104166398032</v>
      </c>
      <c r="CM111" s="576">
        <f t="shared" si="74"/>
        <v>0</v>
      </c>
    </row>
    <row r="112" spans="1:91">
      <c r="A112" s="89">
        <f>'Input data'!A132</f>
        <v>2032</v>
      </c>
      <c r="B112" s="152">
        <f>'Input data'!B132</f>
        <v>67.318270994163854</v>
      </c>
      <c r="C112" s="204">
        <f>'Input data'!C132</f>
        <v>5502.3</v>
      </c>
      <c r="D112" s="204">
        <f>'Input data'!D132</f>
        <v>36334930.67697753</v>
      </c>
      <c r="E112" s="579">
        <f t="shared" ref="E112:F127" si="89">E111</f>
        <v>1</v>
      </c>
      <c r="F112" s="100">
        <f t="shared" si="89"/>
        <v>0.37</v>
      </c>
      <c r="G112" s="475">
        <f>B112*F112*'Input data'!$C$9</f>
        <v>762.35407123508526</v>
      </c>
      <c r="H112" s="301">
        <f>'Input data'!I132</f>
        <v>424.26313389388866</v>
      </c>
      <c r="I112" s="474">
        <f>'Input data'!K132</f>
        <v>28560.66062030202</v>
      </c>
      <c r="J112" s="474">
        <f>J97*(1-$G$6)</f>
        <v>2228.8062963921584</v>
      </c>
      <c r="K112" s="475">
        <f t="shared" si="77"/>
        <v>11043.859584078717</v>
      </c>
      <c r="L112" s="100">
        <f>C20</f>
        <v>0.7</v>
      </c>
      <c r="M112" s="100">
        <f>D20</f>
        <v>0.6</v>
      </c>
      <c r="N112" s="100">
        <f t="shared" si="88"/>
        <v>0.9</v>
      </c>
      <c r="O112" s="100">
        <f t="shared" si="88"/>
        <v>0.9</v>
      </c>
      <c r="P112" s="100">
        <f t="shared" si="88"/>
        <v>0.23600000000000002</v>
      </c>
      <c r="Q112" s="473">
        <f t="shared" si="33"/>
        <v>305.80964765582053</v>
      </c>
      <c r="R112" s="474">
        <f t="shared" si="34"/>
        <v>213.4034768606565</v>
      </c>
      <c r="S112" s="474">
        <f t="shared" si="35"/>
        <v>624.93375678259645</v>
      </c>
      <c r="T112" s="474">
        <f t="shared" si="36"/>
        <v>420.7912706766042</v>
      </c>
      <c r="U112" s="475">
        <f t="shared" si="37"/>
        <v>0</v>
      </c>
      <c r="V112" s="474">
        <f t="shared" si="38"/>
        <v>1564.9381519756776</v>
      </c>
      <c r="W112" s="579">
        <f t="shared" si="87"/>
        <v>0.5</v>
      </c>
      <c r="X112" s="475">
        <f t="shared" si="39"/>
        <v>3033.4854703020706</v>
      </c>
      <c r="Y112" s="473">
        <f t="shared" si="78"/>
        <v>4598.4236222777481</v>
      </c>
      <c r="Z112" s="474">
        <f t="shared" si="79"/>
        <v>8674.2422581931278</v>
      </c>
      <c r="AA112" s="475">
        <f t="shared" si="80"/>
        <v>6445.4359618009694</v>
      </c>
      <c r="AB112" s="938">
        <f t="shared" si="40"/>
        <v>0.74305464038810165</v>
      </c>
      <c r="AC112" s="118" t="str">
        <f t="shared" si="41"/>
        <v>Yes</v>
      </c>
      <c r="AD112" s="938">
        <f t="shared" si="42"/>
        <v>0.74305464038810165</v>
      </c>
      <c r="AE112" s="579">
        <f t="shared" si="10"/>
        <v>0.33644054339812191</v>
      </c>
      <c r="AF112" s="475">
        <f t="shared" si="43"/>
        <v>281.52381458283861</v>
      </c>
      <c r="AG112" s="474">
        <f t="shared" si="44"/>
        <v>2228.8062963921584</v>
      </c>
      <c r="AH112" s="474">
        <f t="shared" si="81"/>
        <v>9393.8311517746661</v>
      </c>
      <c r="AI112" s="474">
        <f t="shared" si="82"/>
        <v>6437.6604656145792</v>
      </c>
      <c r="AJ112" s="474">
        <f t="shared" si="11"/>
        <v>891.39852761686427</v>
      </c>
      <c r="AK112" s="474">
        <f t="shared" si="45"/>
        <v>18951.696441398268</v>
      </c>
      <c r="AL112" s="640">
        <f t="shared" si="12"/>
        <v>0</v>
      </c>
      <c r="AM112" s="100">
        <f t="shared" si="46"/>
        <v>0.11760457979495348</v>
      </c>
      <c r="AN112" s="100">
        <f t="shared" si="47"/>
        <v>0.49567230990755484</v>
      </c>
      <c r="AO112" s="100">
        <f t="shared" si="48"/>
        <v>0.33968782085133509</v>
      </c>
      <c r="AP112" s="100">
        <f t="shared" si="49"/>
        <v>4.703528944615664E-2</v>
      </c>
      <c r="AQ112" s="100">
        <f t="shared" si="50"/>
        <v>1</v>
      </c>
      <c r="AR112" s="473">
        <f t="shared" si="13"/>
        <v>474.90080351134759</v>
      </c>
      <c r="AS112" s="474">
        <f t="shared" si="14"/>
        <v>602.30269690783007</v>
      </c>
      <c r="AT112" s="474">
        <f t="shared" si="15"/>
        <v>122.62827453876626</v>
      </c>
      <c r="AU112" s="474">
        <f t="shared" si="16"/>
        <v>0</v>
      </c>
      <c r="AV112" s="474">
        <f t="shared" si="17"/>
        <v>0</v>
      </c>
      <c r="AW112" s="474">
        <f t="shared" si="18"/>
        <v>0</v>
      </c>
      <c r="AX112" s="474">
        <f t="shared" si="19"/>
        <v>856.3949429822901</v>
      </c>
      <c r="AY112" s="474">
        <f t="shared" si="20"/>
        <v>68.982149868784404</v>
      </c>
      <c r="AZ112" s="474">
        <f t="shared" si="21"/>
        <v>19.390900451594771</v>
      </c>
      <c r="BA112" s="474">
        <f t="shared" si="22"/>
        <v>50.08291880019857</v>
      </c>
      <c r="BB112" s="474">
        <f t="shared" si="23"/>
        <v>34.123609331345456</v>
      </c>
      <c r="BC112" s="475">
        <f t="shared" si="51"/>
        <v>2228.806296392157</v>
      </c>
      <c r="BD112" s="647">
        <f t="shared" si="52"/>
        <v>0</v>
      </c>
      <c r="BE112" s="383">
        <f t="shared" si="53"/>
        <v>0.21307405864748558</v>
      </c>
      <c r="BF112" s="383">
        <f t="shared" si="54"/>
        <v>0.27023555069940242</v>
      </c>
      <c r="BG112" s="383">
        <f t="shared" si="55"/>
        <v>5.5019709311333487E-2</v>
      </c>
      <c r="BH112" s="383">
        <f t="shared" si="56"/>
        <v>0</v>
      </c>
      <c r="BI112" s="383">
        <f t="shared" si="57"/>
        <v>0</v>
      </c>
      <c r="BJ112" s="383">
        <f t="shared" si="58"/>
        <v>0</v>
      </c>
      <c r="BK112" s="383">
        <f t="shared" si="59"/>
        <v>0.46167068134177863</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84.251840409453891</v>
      </c>
      <c r="BW112" s="100">
        <f t="shared" si="63"/>
        <v>0.71478647130084183</v>
      </c>
      <c r="BX112" s="1385">
        <f t="shared" si="24"/>
        <v>36.334930676977528</v>
      </c>
      <c r="BY112" s="473">
        <f t="shared" si="64"/>
        <v>84.251840409453891</v>
      </c>
      <c r="BZ112" s="100">
        <f t="shared" si="65"/>
        <v>0.71478647130084183</v>
      </c>
      <c r="CA112" s="489">
        <f t="shared" si="25"/>
        <v>36.334930676977528</v>
      </c>
      <c r="CB112" s="579">
        <f t="shared" si="26"/>
        <v>0.33644054339812191</v>
      </c>
      <c r="CC112" s="471">
        <f t="shared" si="66"/>
        <v>0.36313265841080156</v>
      </c>
      <c r="CD112" s="100">
        <f t="shared" si="27"/>
        <v>0.33644054339812191</v>
      </c>
      <c r="CE112" s="471">
        <f t="shared" si="67"/>
        <v>0.36313265841080156</v>
      </c>
      <c r="CG112" s="473">
        <f t="shared" si="68"/>
        <v>1783.8896113256189</v>
      </c>
      <c r="CH112" s="474">
        <f t="shared" si="69"/>
        <v>785.53427065272342</v>
      </c>
      <c r="CI112" s="474">
        <f t="shared" si="70"/>
        <v>2991.704154810303</v>
      </c>
      <c r="CJ112" s="474">
        <f t="shared" si="71"/>
        <v>3787.1214360894387</v>
      </c>
      <c r="CK112" s="474">
        <f t="shared" si="72"/>
        <v>45.581678896581813</v>
      </c>
      <c r="CL112" s="474">
        <f t="shared" si="73"/>
        <v>9393.8311517746661</v>
      </c>
      <c r="CM112" s="576">
        <f t="shared" si="74"/>
        <v>0</v>
      </c>
    </row>
    <row r="113" spans="1:91">
      <c r="A113" s="89">
        <f>'Input data'!A133</f>
        <v>2033</v>
      </c>
      <c r="B113" s="152">
        <f>'Input data'!B133</f>
        <v>67.86660286866902</v>
      </c>
      <c r="C113" s="204">
        <f>'Input data'!C133</f>
        <v>5663.260000000002</v>
      </c>
      <c r="D113" s="204">
        <f>'Input data'!D133</f>
        <v>35521966.003645025</v>
      </c>
      <c r="E113" s="579">
        <f t="shared" si="89"/>
        <v>1</v>
      </c>
      <c r="F113" s="100">
        <f t="shared" si="89"/>
        <v>0.37</v>
      </c>
      <c r="G113" s="475">
        <f>B113*F113*'Input data'!$C$9</f>
        <v>768.56372324699169</v>
      </c>
      <c r="H113" s="301">
        <f>'Input data'!I133</f>
        <v>424.26313389388866</v>
      </c>
      <c r="I113" s="474">
        <f>'Input data'!K133</f>
        <v>28793.297619793491</v>
      </c>
      <c r="J113" s="474">
        <f>J112</f>
        <v>2228.8062963921584</v>
      </c>
      <c r="K113" s="475">
        <f t="shared" si="77"/>
        <v>11151.970289455423</v>
      </c>
      <c r="L113" s="100">
        <f t="shared" ref="L113:P127" si="90">L112</f>
        <v>0.7</v>
      </c>
      <c r="M113" s="100">
        <f t="shared" si="88"/>
        <v>0.6</v>
      </c>
      <c r="N113" s="100">
        <f t="shared" si="88"/>
        <v>0.9</v>
      </c>
      <c r="O113" s="100">
        <f t="shared" si="88"/>
        <v>0.9</v>
      </c>
      <c r="P113" s="100">
        <f t="shared" si="88"/>
        <v>0.23600000000000002</v>
      </c>
      <c r="Q113" s="473">
        <f t="shared" si="33"/>
        <v>308.30057879330366</v>
      </c>
      <c r="R113" s="474">
        <f t="shared" si="34"/>
        <v>215.14172602785618</v>
      </c>
      <c r="S113" s="474">
        <f t="shared" si="35"/>
        <v>630.02407020327018</v>
      </c>
      <c r="T113" s="474">
        <f t="shared" si="36"/>
        <v>424.21876907812293</v>
      </c>
      <c r="U113" s="475">
        <f t="shared" si="37"/>
        <v>0</v>
      </c>
      <c r="V113" s="474">
        <f t="shared" si="38"/>
        <v>1577.6851441025528</v>
      </c>
      <c r="W113" s="579">
        <f t="shared" si="87"/>
        <v>0.5</v>
      </c>
      <c r="X113" s="475">
        <f t="shared" si="39"/>
        <v>3033.4854703020706</v>
      </c>
      <c r="Y113" s="473">
        <f t="shared" si="78"/>
        <v>4611.1706144046238</v>
      </c>
      <c r="Z113" s="474">
        <f t="shared" si="79"/>
        <v>8769.6059714429575</v>
      </c>
      <c r="AA113" s="475">
        <f t="shared" si="80"/>
        <v>6540.7996750507991</v>
      </c>
      <c r="AB113" s="938">
        <f t="shared" si="40"/>
        <v>0.74584875265206141</v>
      </c>
      <c r="AC113" s="118" t="str">
        <f t="shared" si="41"/>
        <v>Yes</v>
      </c>
      <c r="AD113" s="938">
        <f t="shared" si="42"/>
        <v>0.74584875265206141</v>
      </c>
      <c r="AE113" s="579">
        <f t="shared" si="10"/>
        <v>0.33923160487106796</v>
      </c>
      <c r="AF113" s="475">
        <f t="shared" si="43"/>
        <v>280.33967009543602</v>
      </c>
      <c r="AG113" s="474">
        <f t="shared" si="44"/>
        <v>2228.8062963921584</v>
      </c>
      <c r="AH113" s="474">
        <f t="shared" si="81"/>
        <v>9470.3473333130205</v>
      </c>
      <c r="AI113" s="474">
        <f t="shared" si="82"/>
        <v>6437.6604656145792</v>
      </c>
      <c r="AJ113" s="474">
        <f t="shared" si="11"/>
        <v>888.8869633808855</v>
      </c>
      <c r="AK113" s="474">
        <f t="shared" si="45"/>
        <v>19025.701058700644</v>
      </c>
      <c r="AL113" s="640">
        <f t="shared" si="12"/>
        <v>0</v>
      </c>
      <c r="AM113" s="100">
        <f t="shared" si="46"/>
        <v>0.11714713111046716</v>
      </c>
      <c r="AN113" s="100">
        <f t="shared" si="47"/>
        <v>0.49776601157002492</v>
      </c>
      <c r="AO113" s="100">
        <f t="shared" si="48"/>
        <v>0.3383665309232099</v>
      </c>
      <c r="AP113" s="100">
        <f t="shared" si="49"/>
        <v>4.6720326396297945E-2</v>
      </c>
      <c r="AQ113" s="100">
        <f t="shared" si="50"/>
        <v>1</v>
      </c>
      <c r="AR113" s="473">
        <f t="shared" si="13"/>
        <v>476.33127839489197</v>
      </c>
      <c r="AS113" s="474">
        <f t="shared" si="14"/>
        <v>604.11692605599603</v>
      </c>
      <c r="AT113" s="474">
        <f t="shared" si="15"/>
        <v>122.28276265030179</v>
      </c>
      <c r="AU113" s="474">
        <f t="shared" si="16"/>
        <v>0</v>
      </c>
      <c r="AV113" s="474">
        <f t="shared" si="17"/>
        <v>0</v>
      </c>
      <c r="AW113" s="474">
        <f t="shared" si="18"/>
        <v>0</v>
      </c>
      <c r="AX113" s="474">
        <f t="shared" si="19"/>
        <v>853.98200326562096</v>
      </c>
      <c r="AY113" s="474">
        <f t="shared" si="20"/>
        <v>68.787788878538478</v>
      </c>
      <c r="AZ113" s="474">
        <f t="shared" si="21"/>
        <v>19.336265526172795</v>
      </c>
      <c r="BA113" s="474">
        <f t="shared" si="22"/>
        <v>49.941807429924914</v>
      </c>
      <c r="BB113" s="474">
        <f t="shared" si="23"/>
        <v>34.027464190710951</v>
      </c>
      <c r="BC113" s="475">
        <f t="shared" si="51"/>
        <v>2228.8062963921575</v>
      </c>
      <c r="BD113" s="647">
        <f t="shared" si="52"/>
        <v>0</v>
      </c>
      <c r="BE113" s="383">
        <f t="shared" si="53"/>
        <v>0.21371587076272405</v>
      </c>
      <c r="BF113" s="383">
        <f t="shared" si="54"/>
        <v>0.27104954209520138</v>
      </c>
      <c r="BG113" s="383">
        <f t="shared" si="55"/>
        <v>5.4864688263060339E-2</v>
      </c>
      <c r="BH113" s="383">
        <f t="shared" si="56"/>
        <v>0</v>
      </c>
      <c r="BI113" s="383">
        <f t="shared" si="57"/>
        <v>0</v>
      </c>
      <c r="BJ113" s="383">
        <f t="shared" si="58"/>
        <v>0</v>
      </c>
      <c r="BK113" s="383">
        <f t="shared" si="59"/>
        <v>0.46036989887901436</v>
      </c>
      <c r="BL113" s="383">
        <f t="shared" si="60"/>
        <v>1</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84.338210155690433</v>
      </c>
      <c r="BW113" s="100">
        <f t="shared" si="63"/>
        <v>0.72086215897728811</v>
      </c>
      <c r="BX113" s="1385">
        <f t="shared" si="24"/>
        <v>35.521966003645026</v>
      </c>
      <c r="BY113" s="473">
        <f t="shared" si="64"/>
        <v>84.338210155690433</v>
      </c>
      <c r="BZ113" s="100">
        <f t="shared" si="65"/>
        <v>0.72086215897728811</v>
      </c>
      <c r="CA113" s="489">
        <f t="shared" si="25"/>
        <v>35.521966003645026</v>
      </c>
      <c r="CB113" s="579">
        <f t="shared" si="26"/>
        <v>0.33923160487106796</v>
      </c>
      <c r="CC113" s="471">
        <f t="shared" si="66"/>
        <v>0.36991646811125578</v>
      </c>
      <c r="CD113" s="100">
        <f t="shared" si="27"/>
        <v>0.33923160487106796</v>
      </c>
      <c r="CE113" s="471">
        <f t="shared" si="67"/>
        <v>0.36991646811125578</v>
      </c>
      <c r="CG113" s="473">
        <f t="shared" si="68"/>
        <v>1798.4200429609364</v>
      </c>
      <c r="CH113" s="474">
        <f t="shared" si="69"/>
        <v>791.93273384486918</v>
      </c>
      <c r="CI113" s="474">
        <f t="shared" si="70"/>
        <v>3016.0726765050181</v>
      </c>
      <c r="CJ113" s="474">
        <f t="shared" si="71"/>
        <v>3817.9689217031091</v>
      </c>
      <c r="CK113" s="474">
        <f t="shared" si="72"/>
        <v>45.952958299087889</v>
      </c>
      <c r="CL113" s="474">
        <f t="shared" si="73"/>
        <v>9470.3473333130205</v>
      </c>
      <c r="CM113" s="576">
        <f t="shared" si="74"/>
        <v>0</v>
      </c>
    </row>
    <row r="114" spans="1:91">
      <c r="A114" s="89">
        <f>'Input data'!A134</f>
        <v>2034</v>
      </c>
      <c r="B114" s="152">
        <f>'Input data'!B134</f>
        <v>68.401606645337111</v>
      </c>
      <c r="C114" s="204">
        <f>'Input data'!C134</f>
        <v>5838.79</v>
      </c>
      <c r="D114" s="204">
        <f>'Input data'!D134</f>
        <v>32152713.47625063</v>
      </c>
      <c r="E114" s="579">
        <f t="shared" si="89"/>
        <v>1</v>
      </c>
      <c r="F114" s="100">
        <f t="shared" si="89"/>
        <v>0.37</v>
      </c>
      <c r="G114" s="475">
        <f>B114*F114*'Input data'!$C$9</f>
        <v>774.62243956940631</v>
      </c>
      <c r="H114" s="301">
        <f>'Input data'!I134</f>
        <v>424.26313389388866</v>
      </c>
      <c r="I114" s="474">
        <f>'Input data'!K134</f>
        <v>29020.279998727765</v>
      </c>
      <c r="J114" s="474">
        <f t="shared" ref="J114:J130" si="91">J113</f>
        <v>2228.8062963921584</v>
      </c>
      <c r="K114" s="475">
        <f t="shared" si="77"/>
        <v>11257.453188342135</v>
      </c>
      <c r="L114" s="100">
        <f t="shared" si="90"/>
        <v>0.7</v>
      </c>
      <c r="M114" s="100">
        <f t="shared" si="88"/>
        <v>0.6</v>
      </c>
      <c r="N114" s="100">
        <f t="shared" si="88"/>
        <v>0.9</v>
      </c>
      <c r="O114" s="100">
        <f t="shared" si="88"/>
        <v>0.9</v>
      </c>
      <c r="P114" s="100">
        <f t="shared" si="88"/>
        <v>0.23600000000000002</v>
      </c>
      <c r="Q114" s="473">
        <f t="shared" si="33"/>
        <v>310.7309637990561</v>
      </c>
      <c r="R114" s="474">
        <f t="shared" si="34"/>
        <v>216.83772422252821</v>
      </c>
      <c r="S114" s="474">
        <f t="shared" si="35"/>
        <v>634.99065527903758</v>
      </c>
      <c r="T114" s="474">
        <f t="shared" si="36"/>
        <v>427.56295655763279</v>
      </c>
      <c r="U114" s="475">
        <f t="shared" si="37"/>
        <v>0</v>
      </c>
      <c r="V114" s="474">
        <f t="shared" si="38"/>
        <v>1590.1222998582548</v>
      </c>
      <c r="W114" s="579">
        <f t="shared" si="87"/>
        <v>0.5</v>
      </c>
      <c r="X114" s="475">
        <f t="shared" si="39"/>
        <v>3033.4854703020706</v>
      </c>
      <c r="Y114" s="473">
        <f t="shared" si="78"/>
        <v>4623.6077701603253</v>
      </c>
      <c r="Z114" s="474">
        <f t="shared" si="79"/>
        <v>8862.6517145739672</v>
      </c>
      <c r="AA114" s="475">
        <f t="shared" si="80"/>
        <v>6633.8454181818088</v>
      </c>
      <c r="AB114" s="938">
        <f t="shared" si="40"/>
        <v>0.74851699376530234</v>
      </c>
      <c r="AC114" s="118" t="str">
        <f t="shared" si="41"/>
        <v>Yes</v>
      </c>
      <c r="AD114" s="938">
        <f t="shared" si="42"/>
        <v>0.74851699376530234</v>
      </c>
      <c r="AE114" s="579">
        <f t="shared" si="10"/>
        <v>0.34190989992674348</v>
      </c>
      <c r="AF114" s="475">
        <f t="shared" si="43"/>
        <v>279.20336824162263</v>
      </c>
      <c r="AG114" s="474">
        <f t="shared" si="44"/>
        <v>2228.8062963921584</v>
      </c>
      <c r="AH114" s="474">
        <f t="shared" si="81"/>
        <v>9545.0036646382505</v>
      </c>
      <c r="AI114" s="474">
        <f t="shared" si="82"/>
        <v>6437.6604656145792</v>
      </c>
      <c r="AJ114" s="474">
        <f t="shared" si="11"/>
        <v>886.48854187169172</v>
      </c>
      <c r="AK114" s="474">
        <f t="shared" si="45"/>
        <v>19097.958968516679</v>
      </c>
      <c r="AL114" s="640">
        <f t="shared" si="12"/>
        <v>0</v>
      </c>
      <c r="AM114" s="100">
        <f t="shared" si="46"/>
        <v>0.11670390014275267</v>
      </c>
      <c r="AN114" s="100">
        <f t="shared" si="47"/>
        <v>0.49979181965849634</v>
      </c>
      <c r="AO114" s="100">
        <f t="shared" si="48"/>
        <v>0.33708630729740152</v>
      </c>
      <c r="AP114" s="100">
        <f t="shared" si="49"/>
        <v>4.641797290134949E-2</v>
      </c>
      <c r="AQ114" s="100">
        <f t="shared" si="50"/>
        <v>1</v>
      </c>
      <c r="AR114" s="473">
        <f t="shared" si="13"/>
        <v>477.69731223145749</v>
      </c>
      <c r="AS114" s="474">
        <f t="shared" si="14"/>
        <v>605.84942652293012</v>
      </c>
      <c r="AT114" s="474">
        <f t="shared" si="15"/>
        <v>121.95281562640957</v>
      </c>
      <c r="AU114" s="474">
        <f t="shared" si="16"/>
        <v>0</v>
      </c>
      <c r="AV114" s="474">
        <f t="shared" si="17"/>
        <v>0</v>
      </c>
      <c r="AW114" s="474">
        <f t="shared" si="18"/>
        <v>0</v>
      </c>
      <c r="AX114" s="474">
        <f t="shared" si="19"/>
        <v>851.67776336845066</v>
      </c>
      <c r="AY114" s="474">
        <f t="shared" si="20"/>
        <v>68.602183600012822</v>
      </c>
      <c r="AZ114" s="474">
        <f t="shared" si="21"/>
        <v>19.284091833615655</v>
      </c>
      <c r="BA114" s="474">
        <f t="shared" si="22"/>
        <v>49.807052944728824</v>
      </c>
      <c r="BB114" s="474">
        <f t="shared" si="23"/>
        <v>33.935650264553331</v>
      </c>
      <c r="BC114" s="475">
        <f t="shared" si="51"/>
        <v>2228.8062963921579</v>
      </c>
      <c r="BD114" s="647">
        <f t="shared" si="52"/>
        <v>0</v>
      </c>
      <c r="BE114" s="383">
        <f t="shared" si="53"/>
        <v>0.21432877007065254</v>
      </c>
      <c r="BF114" s="383">
        <f t="shared" si="54"/>
        <v>0.27182686422935831</v>
      </c>
      <c r="BG114" s="383">
        <f t="shared" si="55"/>
        <v>5.4716650712903409E-2</v>
      </c>
      <c r="BH114" s="383">
        <f t="shared" si="56"/>
        <v>0</v>
      </c>
      <c r="BI114" s="383">
        <f t="shared" si="57"/>
        <v>0</v>
      </c>
      <c r="BJ114" s="383">
        <f t="shared" si="58"/>
        <v>0</v>
      </c>
      <c r="BK114" s="383">
        <f t="shared" si="59"/>
        <v>0.45912771498708599</v>
      </c>
      <c r="BL114" s="383">
        <f t="shared" si="60"/>
        <v>1.0000000000000002</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81.94125368542737</v>
      </c>
      <c r="BW114" s="100">
        <f t="shared" si="63"/>
        <v>0.73736752350947032</v>
      </c>
      <c r="BX114" s="1385">
        <f t="shared" si="24"/>
        <v>32.152713476250632</v>
      </c>
      <c r="BY114" s="473">
        <f t="shared" si="64"/>
        <v>81.94125368542737</v>
      </c>
      <c r="BZ114" s="100">
        <f t="shared" si="65"/>
        <v>0.73736752350947032</v>
      </c>
      <c r="CA114" s="489">
        <f t="shared" si="25"/>
        <v>32.152713476250632</v>
      </c>
      <c r="CB114" s="579">
        <f t="shared" si="26"/>
        <v>0.34190989992674348</v>
      </c>
      <c r="CC114" s="471">
        <f t="shared" si="66"/>
        <v>0.38629272789697089</v>
      </c>
      <c r="CD114" s="100">
        <f t="shared" si="27"/>
        <v>0.34190989992674348</v>
      </c>
      <c r="CE114" s="471">
        <f t="shared" si="67"/>
        <v>0.38629272789697089</v>
      </c>
      <c r="CG114" s="473">
        <f t="shared" si="68"/>
        <v>1812.5972888278266</v>
      </c>
      <c r="CH114" s="474">
        <f t="shared" si="69"/>
        <v>798.17567198476684</v>
      </c>
      <c r="CI114" s="474">
        <f t="shared" si="70"/>
        <v>3039.848881654968</v>
      </c>
      <c r="CJ114" s="474">
        <f t="shared" si="71"/>
        <v>3848.0666090187001</v>
      </c>
      <c r="CK114" s="474">
        <f t="shared" si="72"/>
        <v>46.315213151988935</v>
      </c>
      <c r="CL114" s="474">
        <f t="shared" si="73"/>
        <v>9545.0036646382505</v>
      </c>
      <c r="CM114" s="576">
        <f t="shared" si="74"/>
        <v>0</v>
      </c>
    </row>
    <row r="115" spans="1:91">
      <c r="A115" s="89">
        <f>'Input data'!A135</f>
        <v>2035</v>
      </c>
      <c r="B115" s="152">
        <f>'Input data'!B135</f>
        <v>68.922893208527455</v>
      </c>
      <c r="C115" s="204">
        <f>'Input data'!C135</f>
        <v>5978.8699999999981</v>
      </c>
      <c r="D115" s="204">
        <f>'Input data'!D135</f>
        <v>24779864.252695084</v>
      </c>
      <c r="E115" s="579">
        <f t="shared" si="89"/>
        <v>1</v>
      </c>
      <c r="F115" s="100">
        <f t="shared" si="89"/>
        <v>0.37</v>
      </c>
      <c r="G115" s="475">
        <f>B115*F115*'Input data'!$C$9</f>
        <v>780.52581361421437</v>
      </c>
      <c r="H115" s="301">
        <f>'Input data'!I135</f>
        <v>424.26313389388866</v>
      </c>
      <c r="I115" s="474">
        <f>'Input data'!K135</f>
        <v>29241.442669683674</v>
      </c>
      <c r="J115" s="474">
        <f t="shared" si="91"/>
        <v>2228.8062963921584</v>
      </c>
      <c r="K115" s="475">
        <f t="shared" si="77"/>
        <v>11360.231561568688</v>
      </c>
      <c r="L115" s="100">
        <f t="shared" si="90"/>
        <v>0.7</v>
      </c>
      <c r="M115" s="100">
        <f t="shared" si="88"/>
        <v>0.6</v>
      </c>
      <c r="N115" s="100">
        <f t="shared" si="88"/>
        <v>0.9</v>
      </c>
      <c r="O115" s="100">
        <f t="shared" si="88"/>
        <v>0.9</v>
      </c>
      <c r="P115" s="100">
        <f t="shared" si="88"/>
        <v>0.23600000000000002</v>
      </c>
      <c r="Q115" s="473">
        <f t="shared" si="33"/>
        <v>313.09903502047496</v>
      </c>
      <c r="R115" s="474">
        <f t="shared" si="34"/>
        <v>218.49023792174671</v>
      </c>
      <c r="S115" s="474">
        <f t="shared" si="35"/>
        <v>639.82989974393286</v>
      </c>
      <c r="T115" s="474">
        <f t="shared" si="36"/>
        <v>430.82140084136245</v>
      </c>
      <c r="U115" s="475">
        <f t="shared" si="37"/>
        <v>0</v>
      </c>
      <c r="V115" s="474">
        <f t="shared" si="38"/>
        <v>1602.240573527517</v>
      </c>
      <c r="W115" s="579">
        <f t="shared" si="87"/>
        <v>0.5</v>
      </c>
      <c r="X115" s="475">
        <f t="shared" si="39"/>
        <v>3033.4854703020706</v>
      </c>
      <c r="Y115" s="473">
        <f t="shared" si="78"/>
        <v>4635.7260438295871</v>
      </c>
      <c r="Z115" s="474">
        <f t="shared" si="79"/>
        <v>8953.3118141312589</v>
      </c>
      <c r="AA115" s="475">
        <f t="shared" si="80"/>
        <v>6724.5055177391005</v>
      </c>
      <c r="AB115" s="938">
        <f t="shared" si="40"/>
        <v>0.75106347878174284</v>
      </c>
      <c r="AC115" s="118" t="str">
        <f t="shared" si="41"/>
        <v>Yes</v>
      </c>
      <c r="AD115" s="938">
        <f t="shared" si="42"/>
        <v>0.75106347878174284</v>
      </c>
      <c r="AE115" s="579">
        <f t="shared" si="10"/>
        <v>0.34447789085286562</v>
      </c>
      <c r="AF115" s="475">
        <f t="shared" si="43"/>
        <v>278.113864363495</v>
      </c>
      <c r="AG115" s="474">
        <f t="shared" si="44"/>
        <v>2228.8062963921584</v>
      </c>
      <c r="AH115" s="474">
        <f t="shared" si="81"/>
        <v>9617.7458471688078</v>
      </c>
      <c r="AI115" s="474">
        <f t="shared" si="82"/>
        <v>6437.6604656145792</v>
      </c>
      <c r="AJ115" s="474">
        <f t="shared" si="11"/>
        <v>884.19956416050832</v>
      </c>
      <c r="AK115" s="474">
        <f t="shared" si="45"/>
        <v>19168.412173336055</v>
      </c>
      <c r="AL115" s="640">
        <f t="shared" si="12"/>
        <v>0</v>
      </c>
      <c r="AM115" s="100">
        <f t="shared" si="46"/>
        <v>0.11627495674850458</v>
      </c>
      <c r="AN115" s="100">
        <f t="shared" si="47"/>
        <v>0.50174974119908766</v>
      </c>
      <c r="AO115" s="100">
        <f t="shared" si="48"/>
        <v>0.33584735174724561</v>
      </c>
      <c r="AP115" s="100">
        <f t="shared" si="49"/>
        <v>4.6127950305162022E-2</v>
      </c>
      <c r="AQ115" s="100">
        <f t="shared" si="50"/>
        <v>0.99999999999999989</v>
      </c>
      <c r="AR115" s="473">
        <f t="shared" si="13"/>
        <v>479.00101176576942</v>
      </c>
      <c r="AS115" s="474">
        <f t="shared" si="14"/>
        <v>607.50287023089561</v>
      </c>
      <c r="AT115" s="474">
        <f t="shared" si="15"/>
        <v>121.63792461135419</v>
      </c>
      <c r="AU115" s="474">
        <f t="shared" si="16"/>
        <v>0</v>
      </c>
      <c r="AV115" s="474">
        <f t="shared" si="17"/>
        <v>0</v>
      </c>
      <c r="AW115" s="474">
        <f t="shared" si="18"/>
        <v>0</v>
      </c>
      <c r="AX115" s="474">
        <f t="shared" si="19"/>
        <v>849.47866961215118</v>
      </c>
      <c r="AY115" s="474">
        <f t="shared" si="20"/>
        <v>68.425047786314195</v>
      </c>
      <c r="AZ115" s="474">
        <f t="shared" si="21"/>
        <v>19.234298909846608</v>
      </c>
      <c r="BA115" s="474">
        <f t="shared" si="22"/>
        <v>49.678447521572991</v>
      </c>
      <c r="BB115" s="474">
        <f t="shared" si="23"/>
        <v>33.848025954253643</v>
      </c>
      <c r="BC115" s="475">
        <f t="shared" si="51"/>
        <v>2228.8062963921579</v>
      </c>
      <c r="BD115" s="647">
        <f t="shared" si="52"/>
        <v>0</v>
      </c>
      <c r="BE115" s="383">
        <f t="shared" si="53"/>
        <v>0.21491370180582497</v>
      </c>
      <c r="BF115" s="383">
        <f t="shared" si="54"/>
        <v>0.2725687159150082</v>
      </c>
      <c r="BG115" s="383">
        <f t="shared" si="55"/>
        <v>5.4575368352222223E-2</v>
      </c>
      <c r="BH115" s="383">
        <f t="shared" si="56"/>
        <v>0</v>
      </c>
      <c r="BI115" s="383">
        <f t="shared" si="57"/>
        <v>0</v>
      </c>
      <c r="BJ115" s="383">
        <f t="shared" si="58"/>
        <v>0</v>
      </c>
      <c r="BK115" s="383">
        <f t="shared" si="59"/>
        <v>0.45794221392694456</v>
      </c>
      <c r="BL115" s="383">
        <f t="shared" si="60"/>
        <v>1</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75.357124308723471</v>
      </c>
      <c r="BW115" s="100">
        <f t="shared" si="63"/>
        <v>0.77312397460965654</v>
      </c>
      <c r="BX115" s="1385">
        <f t="shared" si="24"/>
        <v>24.779864252695084</v>
      </c>
      <c r="BY115" s="473">
        <f t="shared" si="64"/>
        <v>75.357124308723471</v>
      </c>
      <c r="BZ115" s="100">
        <f t="shared" si="65"/>
        <v>0.77312397460965654</v>
      </c>
      <c r="CA115" s="489">
        <f t="shared" si="25"/>
        <v>24.779864252695084</v>
      </c>
      <c r="CB115" s="579">
        <f t="shared" si="26"/>
        <v>0.34447789085286562</v>
      </c>
      <c r="CC115" s="471">
        <f t="shared" si="66"/>
        <v>0.41900945651695554</v>
      </c>
      <c r="CD115" s="100">
        <f t="shared" si="27"/>
        <v>0.34447789085286562</v>
      </c>
      <c r="CE115" s="471">
        <f t="shared" si="67"/>
        <v>0.41900945651695554</v>
      </c>
      <c r="CG115" s="473">
        <f t="shared" si="68"/>
        <v>1826.411037619436</v>
      </c>
      <c r="CH115" s="474">
        <f t="shared" si="69"/>
        <v>804.2585444972276</v>
      </c>
      <c r="CI115" s="474">
        <f t="shared" si="70"/>
        <v>3063.0154774975517</v>
      </c>
      <c r="CJ115" s="474">
        <f t="shared" si="71"/>
        <v>3877.3926075722679</v>
      </c>
      <c r="CK115" s="474">
        <f t="shared" si="72"/>
        <v>46.66817998232397</v>
      </c>
      <c r="CL115" s="474">
        <f t="shared" si="73"/>
        <v>9617.7458471688078</v>
      </c>
      <c r="CM115" s="576">
        <f t="shared" si="74"/>
        <v>0</v>
      </c>
    </row>
    <row r="116" spans="1:91">
      <c r="A116" s="89">
        <f>'Input data'!A136</f>
        <v>2036</v>
      </c>
      <c r="B116" s="152">
        <f>'Input data'!B136</f>
        <v>69.431445341664755</v>
      </c>
      <c r="C116" s="204">
        <f>'Input data'!C136</f>
        <v>6119.1299999999983</v>
      </c>
      <c r="D116" s="204">
        <f>'Input data'!D136</f>
        <v>11557949.273739366</v>
      </c>
      <c r="E116" s="579">
        <f t="shared" si="89"/>
        <v>1</v>
      </c>
      <c r="F116" s="100">
        <f t="shared" si="89"/>
        <v>0.37</v>
      </c>
      <c r="G116" s="475">
        <f>B116*F116*'Input data'!$C$9</f>
        <v>786.28497503364724</v>
      </c>
      <c r="H116" s="301">
        <f>'Input data'!I136</f>
        <v>424.26313389388866</v>
      </c>
      <c r="I116" s="474">
        <f>'Input data'!K136</f>
        <v>29457.202591436926</v>
      </c>
      <c r="J116" s="474">
        <f t="shared" si="91"/>
        <v>2228.8062963921584</v>
      </c>
      <c r="K116" s="475">
        <f t="shared" si="77"/>
        <v>11460.499177570253</v>
      </c>
      <c r="L116" s="100">
        <f t="shared" si="90"/>
        <v>0.7</v>
      </c>
      <c r="M116" s="100">
        <f t="shared" si="88"/>
        <v>0.6</v>
      </c>
      <c r="N116" s="100">
        <f t="shared" si="88"/>
        <v>0.9</v>
      </c>
      <c r="O116" s="100">
        <f t="shared" si="88"/>
        <v>0.9</v>
      </c>
      <c r="P116" s="100">
        <f t="shared" si="88"/>
        <v>0.23600000000000002</v>
      </c>
      <c r="Q116" s="473">
        <f t="shared" si="33"/>
        <v>315.40925699071568</v>
      </c>
      <c r="R116" s="474">
        <f t="shared" si="34"/>
        <v>220.10238261550785</v>
      </c>
      <c r="S116" s="474">
        <f t="shared" si="35"/>
        <v>644.55092704287881</v>
      </c>
      <c r="T116" s="474">
        <f t="shared" si="36"/>
        <v>434.00024508599108</v>
      </c>
      <c r="U116" s="475">
        <f t="shared" si="37"/>
        <v>0</v>
      </c>
      <c r="V116" s="474">
        <f t="shared" si="38"/>
        <v>1614.0628117350934</v>
      </c>
      <c r="W116" s="579">
        <f t="shared" si="87"/>
        <v>0.5</v>
      </c>
      <c r="X116" s="475">
        <f t="shared" si="39"/>
        <v>3033.4854703020706</v>
      </c>
      <c r="Y116" s="473">
        <f t="shared" si="78"/>
        <v>4647.5482820371635</v>
      </c>
      <c r="Z116" s="474">
        <f t="shared" si="79"/>
        <v>9041.7571919252478</v>
      </c>
      <c r="AA116" s="475">
        <f t="shared" si="80"/>
        <v>6812.9508955330894</v>
      </c>
      <c r="AB116" s="938">
        <f t="shared" si="40"/>
        <v>0.75349854579344411</v>
      </c>
      <c r="AC116" s="118" t="str">
        <f t="shared" si="41"/>
        <v>Yes</v>
      </c>
      <c r="AD116" s="938">
        <f t="shared" si="42"/>
        <v>0.75349854579344411</v>
      </c>
      <c r="AE116" s="579">
        <f t="shared" si="10"/>
        <v>0.34694448796127797</v>
      </c>
      <c r="AF116" s="475">
        <f t="shared" si="43"/>
        <v>277.06737814422632</v>
      </c>
      <c r="AG116" s="474">
        <f t="shared" si="44"/>
        <v>2228.8062963921584</v>
      </c>
      <c r="AH116" s="474">
        <f t="shared" si="81"/>
        <v>9688.711022001964</v>
      </c>
      <c r="AI116" s="474">
        <f t="shared" si="82"/>
        <v>6437.6604656145792</v>
      </c>
      <c r="AJ116" s="474">
        <f t="shared" si="11"/>
        <v>882.01073757050824</v>
      </c>
      <c r="AK116" s="474">
        <f t="shared" si="45"/>
        <v>19237.18852157921</v>
      </c>
      <c r="AL116" s="640">
        <f t="shared" si="12"/>
        <v>0</v>
      </c>
      <c r="AM116" s="100">
        <f t="shared" si="46"/>
        <v>0.11585925323193705</v>
      </c>
      <c r="AN116" s="100">
        <f t="shared" si="47"/>
        <v>0.50364485491909106</v>
      </c>
      <c r="AO116" s="100">
        <f t="shared" si="48"/>
        <v>0.33464663811934731</v>
      </c>
      <c r="AP116" s="100">
        <f t="shared" si="49"/>
        <v>4.5849253729624659E-2</v>
      </c>
      <c r="AQ116" s="100">
        <f t="shared" si="50"/>
        <v>1</v>
      </c>
      <c r="AR116" s="473">
        <f t="shared" si="13"/>
        <v>480.24766969176466</v>
      </c>
      <c r="AS116" s="474">
        <f t="shared" si="14"/>
        <v>609.08396974767197</v>
      </c>
      <c r="AT116" s="474">
        <f t="shared" si="15"/>
        <v>121.33681122639733</v>
      </c>
      <c r="AU116" s="474">
        <f t="shared" si="16"/>
        <v>0</v>
      </c>
      <c r="AV116" s="474">
        <f t="shared" si="17"/>
        <v>0</v>
      </c>
      <c r="AW116" s="474">
        <f t="shared" si="18"/>
        <v>0</v>
      </c>
      <c r="AX116" s="474">
        <f t="shared" si="19"/>
        <v>847.37579422626447</v>
      </c>
      <c r="AY116" s="474">
        <f t="shared" si="20"/>
        <v>68.255662310356698</v>
      </c>
      <c r="AZ116" s="474">
        <f t="shared" si="21"/>
        <v>19.186684608052847</v>
      </c>
      <c r="BA116" s="474">
        <f t="shared" si="22"/>
        <v>49.55546905461523</v>
      </c>
      <c r="BB116" s="474">
        <f t="shared" si="23"/>
        <v>33.764235527034849</v>
      </c>
      <c r="BC116" s="475">
        <f t="shared" si="51"/>
        <v>2228.8062963921584</v>
      </c>
      <c r="BD116" s="647">
        <f t="shared" si="52"/>
        <v>0</v>
      </c>
      <c r="BE116" s="383">
        <f t="shared" si="53"/>
        <v>0.2154730406447421</v>
      </c>
      <c r="BF116" s="383">
        <f t="shared" si="54"/>
        <v>0.27327810888439075</v>
      </c>
      <c r="BG116" s="383">
        <f t="shared" si="55"/>
        <v>5.4440267609979921E-2</v>
      </c>
      <c r="BH116" s="383">
        <f t="shared" si="56"/>
        <v>0</v>
      </c>
      <c r="BI116" s="383">
        <f t="shared" si="57"/>
        <v>0</v>
      </c>
      <c r="BJ116" s="383">
        <f t="shared" si="58"/>
        <v>0</v>
      </c>
      <c r="BK116" s="383">
        <f t="shared" si="59"/>
        <v>0.4568085828608871</v>
      </c>
      <c r="BL116" s="383">
        <f t="shared" si="60"/>
        <v>0.99999999999999989</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69.676347383600515</v>
      </c>
      <c r="BW116" s="100">
        <f t="shared" si="63"/>
        <v>0.77156167675830989</v>
      </c>
      <c r="BX116" s="1385">
        <f t="shared" si="24"/>
        <v>11.557949273739366</v>
      </c>
      <c r="BY116" s="473">
        <f t="shared" si="64"/>
        <v>69.676347383600515</v>
      </c>
      <c r="BZ116" s="100">
        <f t="shared" si="65"/>
        <v>0.77156167675830989</v>
      </c>
      <c r="CA116" s="489">
        <f t="shared" si="25"/>
        <v>11.557949273739366</v>
      </c>
      <c r="CB116" s="579">
        <f t="shared" si="26"/>
        <v>0.34694448796127797</v>
      </c>
      <c r="CC116" s="471">
        <f t="shared" si="66"/>
        <v>0.40783458287695618</v>
      </c>
      <c r="CD116" s="100">
        <f t="shared" si="27"/>
        <v>0.34694448796127797</v>
      </c>
      <c r="CE116" s="471">
        <f t="shared" si="67"/>
        <v>0.40783458287695618</v>
      </c>
      <c r="CG116" s="473">
        <f t="shared" si="68"/>
        <v>1839.8873324458402</v>
      </c>
      <c r="CH116" s="474">
        <f t="shared" si="69"/>
        <v>810.19281944358693</v>
      </c>
      <c r="CI116" s="474">
        <f t="shared" si="70"/>
        <v>3085.616140098889</v>
      </c>
      <c r="CJ116" s="474">
        <f t="shared" si="71"/>
        <v>3906.0022057739247</v>
      </c>
      <c r="CK116" s="474">
        <f t="shared" si="72"/>
        <v>47.012524239722467</v>
      </c>
      <c r="CL116" s="474">
        <f t="shared" si="73"/>
        <v>9688.711022001964</v>
      </c>
      <c r="CM116" s="576">
        <f t="shared" si="74"/>
        <v>0</v>
      </c>
    </row>
    <row r="117" spans="1:91" s="1" customFormat="1">
      <c r="A117" s="89">
        <f>'Input data'!A137</f>
        <v>2037</v>
      </c>
      <c r="B117" s="152">
        <f>'Input data'!B137</f>
        <v>69.92691944658003</v>
      </c>
      <c r="C117" s="204">
        <f>'Input data'!C137</f>
        <v>6283.2400000000007</v>
      </c>
      <c r="D117" s="204">
        <f>'Input data'!D137</f>
        <v>6514539.8947081817</v>
      </c>
      <c r="E117" s="579">
        <f t="shared" si="89"/>
        <v>1</v>
      </c>
      <c r="F117" s="100">
        <f t="shared" si="89"/>
        <v>0.37</v>
      </c>
      <c r="G117" s="475">
        <f>B117*F117*'Input data'!$C$9</f>
        <v>791.89603270781811</v>
      </c>
      <c r="H117" s="301">
        <f>'Input data'!I137</f>
        <v>424.26313389388866</v>
      </c>
      <c r="I117" s="474">
        <f>'Input data'!K137</f>
        <v>29667.41398795155</v>
      </c>
      <c r="J117" s="474">
        <f t="shared" si="91"/>
        <v>2228.8062963921584</v>
      </c>
      <c r="K117" s="475">
        <f t="shared" si="77"/>
        <v>11558.188291533621</v>
      </c>
      <c r="L117" s="100">
        <f t="shared" si="90"/>
        <v>0.7</v>
      </c>
      <c r="M117" s="100">
        <f t="shared" si="88"/>
        <v>0.6</v>
      </c>
      <c r="N117" s="100">
        <f t="shared" si="88"/>
        <v>0.9</v>
      </c>
      <c r="O117" s="100">
        <f t="shared" si="88"/>
        <v>0.9</v>
      </c>
      <c r="P117" s="100">
        <f>P116</f>
        <v>0.23600000000000002</v>
      </c>
      <c r="Q117" s="473">
        <f t="shared" si="33"/>
        <v>317.66006883137993</v>
      </c>
      <c r="R117" s="474">
        <f t="shared" si="34"/>
        <v>221.67306907435204</v>
      </c>
      <c r="S117" s="474">
        <f t="shared" si="35"/>
        <v>649.15054746093801</v>
      </c>
      <c r="T117" s="474">
        <f t="shared" si="36"/>
        <v>437.09734153715726</v>
      </c>
      <c r="U117" s="475">
        <f t="shared" si="37"/>
        <v>0</v>
      </c>
      <c r="V117" s="474">
        <f t="shared" si="38"/>
        <v>1625.5810269038273</v>
      </c>
      <c r="W117" s="579">
        <f t="shared" si="87"/>
        <v>0.5</v>
      </c>
      <c r="X117" s="475">
        <f t="shared" si="39"/>
        <v>3033.4854703020706</v>
      </c>
      <c r="Y117" s="473">
        <f t="shared" si="78"/>
        <v>4659.0664972058976</v>
      </c>
      <c r="Z117" s="474">
        <f t="shared" si="79"/>
        <v>9127.9280907198809</v>
      </c>
      <c r="AA117" s="475">
        <f t="shared" si="80"/>
        <v>6899.1217943277225</v>
      </c>
      <c r="AB117" s="938">
        <f t="shared" si="40"/>
        <v>0.75582560749376126</v>
      </c>
      <c r="AC117" s="118" t="str">
        <f t="shared" si="41"/>
        <v>Yes</v>
      </c>
      <c r="AD117" s="938">
        <f t="shared" si="42"/>
        <v>0.75582560749376126</v>
      </c>
      <c r="AE117" s="579">
        <f t="shared" si="10"/>
        <v>0.34931177329504914</v>
      </c>
      <c r="AF117" s="475">
        <f t="shared" si="43"/>
        <v>276.06302624969959</v>
      </c>
      <c r="AG117" s="474">
        <f t="shared" si="44"/>
        <v>2228.8062963921584</v>
      </c>
      <c r="AH117" s="474">
        <f t="shared" si="81"/>
        <v>9757.851242226192</v>
      </c>
      <c r="AI117" s="474">
        <f t="shared" si="82"/>
        <v>6437.6604656145792</v>
      </c>
      <c r="AJ117" s="474">
        <f t="shared" si="11"/>
        <v>879.9189945089214</v>
      </c>
      <c r="AK117" s="474">
        <f t="shared" si="45"/>
        <v>19304.23699874185</v>
      </c>
      <c r="AL117" s="640">
        <f t="shared" si="12"/>
        <v>0</v>
      </c>
      <c r="AM117" s="100">
        <f t="shared" si="46"/>
        <v>0.11545684486454556</v>
      </c>
      <c r="AN117" s="100">
        <f t="shared" si="47"/>
        <v>0.50547717803413617</v>
      </c>
      <c r="AO117" s="100">
        <f t="shared" si="48"/>
        <v>0.33348432605930772</v>
      </c>
      <c r="AP117" s="100">
        <f t="shared" si="49"/>
        <v>4.5581651042010618E-2</v>
      </c>
      <c r="AQ117" s="100">
        <f t="shared" si="50"/>
        <v>1</v>
      </c>
      <c r="AR117" s="473">
        <f t="shared" si="13"/>
        <v>481.43903317336083</v>
      </c>
      <c r="AS117" s="474">
        <f t="shared" si="14"/>
        <v>610.59494094977833</v>
      </c>
      <c r="AT117" s="474">
        <f t="shared" si="15"/>
        <v>121.04905346769141</v>
      </c>
      <c r="AU117" s="474">
        <f t="shared" si="16"/>
        <v>0</v>
      </c>
      <c r="AV117" s="474">
        <f t="shared" si="17"/>
        <v>0</v>
      </c>
      <c r="AW117" s="474">
        <f t="shared" si="18"/>
        <v>0</v>
      </c>
      <c r="AX117" s="474">
        <f t="shared" si="19"/>
        <v>845.36619007675984</v>
      </c>
      <c r="AY117" s="474">
        <f t="shared" si="20"/>
        <v>68.09378978208683</v>
      </c>
      <c r="AZ117" s="474">
        <f t="shared" si="21"/>
        <v>19.141182197827842</v>
      </c>
      <c r="BA117" s="474">
        <f t="shared" si="22"/>
        <v>49.437945192213938</v>
      </c>
      <c r="BB117" s="474">
        <f t="shared" si="23"/>
        <v>33.684161552439029</v>
      </c>
      <c r="BC117" s="475">
        <f t="shared" si="51"/>
        <v>2228.8062963921579</v>
      </c>
      <c r="BD117" s="647">
        <f t="shared" si="52"/>
        <v>0</v>
      </c>
      <c r="BE117" s="383">
        <f t="shared" si="53"/>
        <v>0.21600757048859831</v>
      </c>
      <c r="BF117" s="383">
        <f t="shared" si="54"/>
        <v>0.27395603733629453</v>
      </c>
      <c r="BG117" s="383">
        <f t="shared" si="55"/>
        <v>5.4311159145430221E-2</v>
      </c>
      <c r="BH117" s="383">
        <f t="shared" si="56"/>
        <v>0</v>
      </c>
      <c r="BI117" s="383">
        <f t="shared" si="57"/>
        <v>0</v>
      </c>
      <c r="BJ117" s="383">
        <f t="shared" si="58"/>
        <v>0</v>
      </c>
      <c r="BK117" s="383">
        <f t="shared" si="59"/>
        <v>0.45572523302967693</v>
      </c>
      <c r="BL117" s="383">
        <f t="shared" si="60"/>
        <v>1</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68.567513681280332</v>
      </c>
      <c r="BW117" s="100">
        <f t="shared" si="63"/>
        <v>0.76786750588769426</v>
      </c>
      <c r="BX117" s="1385">
        <f t="shared" si="24"/>
        <v>6.5145398947081814</v>
      </c>
      <c r="BY117" s="473">
        <f t="shared" si="64"/>
        <v>68.567513681280332</v>
      </c>
      <c r="BZ117" s="100">
        <f t="shared" si="65"/>
        <v>0.76786750588769426</v>
      </c>
      <c r="CA117" s="489">
        <f t="shared" si="25"/>
        <v>6.5145398947081814</v>
      </c>
      <c r="CB117" s="579">
        <f t="shared" si="26"/>
        <v>0.34931177329504914</v>
      </c>
      <c r="CC117" s="471">
        <f t="shared" si="66"/>
        <v>0.4000221113417517</v>
      </c>
      <c r="CD117" s="100">
        <f t="shared" si="27"/>
        <v>0.34931177329504914</v>
      </c>
      <c r="CE117" s="471">
        <f t="shared" si="67"/>
        <v>0.4000221113417517</v>
      </c>
      <c r="CG117" s="473">
        <f t="shared" si="68"/>
        <v>1853.0170681830491</v>
      </c>
      <c r="CH117" s="474">
        <f t="shared" si="69"/>
        <v>815.97448739025299</v>
      </c>
      <c r="CI117" s="474">
        <f t="shared" si="70"/>
        <v>3107.6355995470449</v>
      </c>
      <c r="CJ117" s="474">
        <f t="shared" si="71"/>
        <v>3933.8760738344181</v>
      </c>
      <c r="CK117" s="474">
        <f t="shared" si="72"/>
        <v>47.34801327142646</v>
      </c>
      <c r="CL117" s="474">
        <f t="shared" si="73"/>
        <v>9757.851242226192</v>
      </c>
      <c r="CM117" s="576">
        <f t="shared" si="74"/>
        <v>0</v>
      </c>
    </row>
    <row r="118" spans="1:91">
      <c r="A118" s="89">
        <f>'Input data'!A138</f>
        <v>2038</v>
      </c>
      <c r="B118" s="152">
        <f>'Input data'!B138</f>
        <v>70.408978817025954</v>
      </c>
      <c r="C118" s="204">
        <f>'Input data'!C138</f>
        <v>6443.4999999999982</v>
      </c>
      <c r="D118" s="204">
        <f>'Input data'!D138</f>
        <v>4950160.264487111</v>
      </c>
      <c r="E118" s="579">
        <f t="shared" si="89"/>
        <v>1</v>
      </c>
      <c r="F118" s="100">
        <f t="shared" si="89"/>
        <v>0.37</v>
      </c>
      <c r="G118" s="475">
        <f>B118*F118*'Input data'!$C$9</f>
        <v>797.35517356525827</v>
      </c>
      <c r="H118" s="301">
        <f>'Input data'!I138</f>
        <v>424.26313389388866</v>
      </c>
      <c r="I118" s="474">
        <f>'Input data'!K138</f>
        <v>29871.934007179854</v>
      </c>
      <c r="J118" s="474">
        <f t="shared" si="91"/>
        <v>2228.8062963921584</v>
      </c>
      <c r="K118" s="475">
        <f t="shared" si="77"/>
        <v>11653.232517476881</v>
      </c>
      <c r="L118" s="100">
        <f t="shared" si="90"/>
        <v>0.7</v>
      </c>
      <c r="M118" s="100">
        <f t="shared" si="88"/>
        <v>0.6</v>
      </c>
      <c r="N118" s="100">
        <f t="shared" si="88"/>
        <v>0.9</v>
      </c>
      <c r="O118" s="100">
        <f t="shared" si="88"/>
        <v>0.9</v>
      </c>
      <c r="P118" s="100">
        <f t="shared" si="88"/>
        <v>0.23600000000000002</v>
      </c>
      <c r="Q118" s="473">
        <f t="shared" si="33"/>
        <v>319.84994097230333</v>
      </c>
      <c r="R118" s="474">
        <f t="shared" si="34"/>
        <v>223.20122991667881</v>
      </c>
      <c r="S118" s="474">
        <f t="shared" si="35"/>
        <v>653.62563526274971</v>
      </c>
      <c r="T118" s="474">
        <f t="shared" si="36"/>
        <v>440.11058552034092</v>
      </c>
      <c r="U118" s="475">
        <f t="shared" si="37"/>
        <v>0</v>
      </c>
      <c r="V118" s="474">
        <f t="shared" si="38"/>
        <v>1636.7873916720728</v>
      </c>
      <c r="W118" s="579">
        <f t="shared" si="87"/>
        <v>0.5</v>
      </c>
      <c r="X118" s="475">
        <f t="shared" si="39"/>
        <v>3033.4854703020706</v>
      </c>
      <c r="Y118" s="473">
        <f t="shared" si="78"/>
        <v>4670.2728619741429</v>
      </c>
      <c r="Z118" s="474">
        <f t="shared" si="79"/>
        <v>9211.7659518948967</v>
      </c>
      <c r="AA118" s="475">
        <f t="shared" si="80"/>
        <v>6982.9596555027383</v>
      </c>
      <c r="AB118" s="938">
        <f t="shared" si="40"/>
        <v>0.75804788050073246</v>
      </c>
      <c r="AC118" s="118" t="str">
        <f t="shared" si="41"/>
        <v>Yes</v>
      </c>
      <c r="AD118" s="938">
        <f t="shared" si="42"/>
        <v>0.75804788050073246</v>
      </c>
      <c r="AE118" s="579">
        <f t="shared" si="10"/>
        <v>0.35158173141266735</v>
      </c>
      <c r="AF118" s="475">
        <f t="shared" si="43"/>
        <v>275.09996670491103</v>
      </c>
      <c r="AG118" s="474">
        <f t="shared" si="44"/>
        <v>2228.8062963921584</v>
      </c>
      <c r="AH118" s="474">
        <f t="shared" si="81"/>
        <v>9825.1195226532473</v>
      </c>
      <c r="AI118" s="474">
        <f t="shared" si="82"/>
        <v>6437.6604656145792</v>
      </c>
      <c r="AJ118" s="474">
        <f t="shared" si="11"/>
        <v>877.92144363063971</v>
      </c>
      <c r="AK118" s="474">
        <f t="shared" si="45"/>
        <v>19369.507728290624</v>
      </c>
      <c r="AL118" s="640">
        <f t="shared" si="12"/>
        <v>0</v>
      </c>
      <c r="AM118" s="100">
        <f t="shared" si="46"/>
        <v>0.11506778218926127</v>
      </c>
      <c r="AN118" s="100">
        <f t="shared" si="47"/>
        <v>0.50724673339544513</v>
      </c>
      <c r="AO118" s="100">
        <f t="shared" si="48"/>
        <v>0.33236056155479321</v>
      </c>
      <c r="AP118" s="100">
        <f t="shared" si="49"/>
        <v>4.5324922860500445E-2</v>
      </c>
      <c r="AQ118" s="100">
        <f t="shared" si="50"/>
        <v>1</v>
      </c>
      <c r="AR118" s="473">
        <f t="shared" si="13"/>
        <v>482.57674899167415</v>
      </c>
      <c r="AS118" s="474">
        <f t="shared" si="14"/>
        <v>612.03787240118493</v>
      </c>
      <c r="AT118" s="474">
        <f t="shared" si="15"/>
        <v>120.7742535774987</v>
      </c>
      <c r="AU118" s="474">
        <f t="shared" si="16"/>
        <v>0</v>
      </c>
      <c r="AV118" s="474">
        <f t="shared" si="17"/>
        <v>0</v>
      </c>
      <c r="AW118" s="474">
        <f t="shared" si="18"/>
        <v>0</v>
      </c>
      <c r="AX118" s="474">
        <f t="shared" si="19"/>
        <v>843.44707935634642</v>
      </c>
      <c r="AY118" s="474">
        <f t="shared" si="20"/>
        <v>67.939206450628419</v>
      </c>
      <c r="AZ118" s="474">
        <f t="shared" si="21"/>
        <v>19.09772878274164</v>
      </c>
      <c r="BA118" s="474">
        <f t="shared" si="22"/>
        <v>49.325713485141584</v>
      </c>
      <c r="BB118" s="474">
        <f t="shared" si="23"/>
        <v>33.607693346941538</v>
      </c>
      <c r="BC118" s="475">
        <f t="shared" si="51"/>
        <v>2228.8062963921575</v>
      </c>
      <c r="BD118" s="647">
        <f t="shared" si="52"/>
        <v>0</v>
      </c>
      <c r="BE118" s="383">
        <f t="shared" si="53"/>
        <v>0.21651803019976976</v>
      </c>
      <c r="BF118" s="383">
        <f t="shared" si="54"/>
        <v>0.2746034383481018</v>
      </c>
      <c r="BG118" s="383">
        <f t="shared" si="55"/>
        <v>5.418786449634496E-2</v>
      </c>
      <c r="BH118" s="383">
        <f t="shared" si="56"/>
        <v>0</v>
      </c>
      <c r="BI118" s="383">
        <f t="shared" si="57"/>
        <v>0</v>
      </c>
      <c r="BJ118" s="383">
        <f t="shared" si="58"/>
        <v>0</v>
      </c>
      <c r="BK118" s="383">
        <f t="shared" si="59"/>
        <v>0.45469066695578342</v>
      </c>
      <c r="BL118" s="383">
        <f t="shared" si="60"/>
        <v>0.99999999999999989</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68.828773078815559</v>
      </c>
      <c r="BW118" s="100">
        <f t="shared" si="63"/>
        <v>0.76874863151070516</v>
      </c>
      <c r="BX118" s="1385">
        <f t="shared" si="24"/>
        <v>4.9501602644871108</v>
      </c>
      <c r="BY118" s="473">
        <f t="shared" si="64"/>
        <v>68.828773078815559</v>
      </c>
      <c r="BZ118" s="100">
        <f t="shared" si="65"/>
        <v>0.76874863151070516</v>
      </c>
      <c r="CA118" s="489">
        <f t="shared" si="25"/>
        <v>4.9501602644871108</v>
      </c>
      <c r="CB118" s="579">
        <f t="shared" si="26"/>
        <v>0.35158173141266735</v>
      </c>
      <c r="CC118" s="471">
        <f t="shared" si="66"/>
        <v>0.40029168986864183</v>
      </c>
      <c r="CD118" s="100">
        <f t="shared" si="27"/>
        <v>0.35158173141266735</v>
      </c>
      <c r="CE118" s="471">
        <f t="shared" si="67"/>
        <v>0.40029168986864183</v>
      </c>
      <c r="CG118" s="473">
        <f t="shared" si="68"/>
        <v>1865.7913223384362</v>
      </c>
      <c r="CH118" s="474">
        <f t="shared" si="69"/>
        <v>821.59961932519798</v>
      </c>
      <c r="CI118" s="474">
        <f t="shared" si="70"/>
        <v>3129.0588922152915</v>
      </c>
      <c r="CJ118" s="474">
        <f t="shared" si="71"/>
        <v>3960.9952696830724</v>
      </c>
      <c r="CK118" s="474">
        <f t="shared" si="72"/>
        <v>47.674419091247046</v>
      </c>
      <c r="CL118" s="474">
        <f t="shared" si="73"/>
        <v>9825.1195226532436</v>
      </c>
      <c r="CM118" s="576">
        <f t="shared" si="74"/>
        <v>0</v>
      </c>
    </row>
    <row r="119" spans="1:91">
      <c r="A119" s="89">
        <f>'Input data'!A139</f>
        <v>2039</v>
      </c>
      <c r="B119" s="152">
        <f>'Input data'!B139</f>
        <v>70.877294017675013</v>
      </c>
      <c r="C119" s="204">
        <f>'Input data'!C139</f>
        <v>6615.260000000002</v>
      </c>
      <c r="D119" s="204">
        <f>'Input data'!D139</f>
        <v>3385780.6342660398</v>
      </c>
      <c r="E119" s="579">
        <f t="shared" si="89"/>
        <v>1</v>
      </c>
      <c r="F119" s="100">
        <f t="shared" si="89"/>
        <v>0.37</v>
      </c>
      <c r="G119" s="475">
        <f>B119*F119*'Input data'!$C$9</f>
        <v>802.65866687492803</v>
      </c>
      <c r="H119" s="301">
        <f>'Input data'!I139</f>
        <v>424.26313389388866</v>
      </c>
      <c r="I119" s="474">
        <f>'Input data'!K139</f>
        <v>30070.622881857369</v>
      </c>
      <c r="J119" s="474">
        <f t="shared" si="91"/>
        <v>2228.8062963921584</v>
      </c>
      <c r="K119" s="475">
        <f t="shared" si="77"/>
        <v>11745.566902973793</v>
      </c>
      <c r="L119" s="100">
        <f t="shared" si="90"/>
        <v>0.7</v>
      </c>
      <c r="M119" s="100">
        <f t="shared" si="88"/>
        <v>0.6</v>
      </c>
      <c r="N119" s="100">
        <f t="shared" si="88"/>
        <v>0.9</v>
      </c>
      <c r="O119" s="100">
        <f t="shared" si="88"/>
        <v>0.9</v>
      </c>
      <c r="P119" s="100">
        <f t="shared" si="88"/>
        <v>0.23600000000000002</v>
      </c>
      <c r="Q119" s="473">
        <f t="shared" si="33"/>
        <v>321.97737687324593</v>
      </c>
      <c r="R119" s="474">
        <f t="shared" si="34"/>
        <v>224.68582081019508</v>
      </c>
      <c r="S119" s="474">
        <f t="shared" si="35"/>
        <v>657.97313221087188</v>
      </c>
      <c r="T119" s="474">
        <f t="shared" si="36"/>
        <v>443.03791780989695</v>
      </c>
      <c r="U119" s="475">
        <f t="shared" si="37"/>
        <v>0</v>
      </c>
      <c r="V119" s="474">
        <f t="shared" si="38"/>
        <v>1647.6742477042098</v>
      </c>
      <c r="W119" s="579">
        <f t="shared" si="87"/>
        <v>0.5</v>
      </c>
      <c r="X119" s="475">
        <f t="shared" si="39"/>
        <v>3033.4854703020706</v>
      </c>
      <c r="Y119" s="473">
        <f t="shared" si="78"/>
        <v>4681.1597180062799</v>
      </c>
      <c r="Z119" s="474">
        <f t="shared" si="79"/>
        <v>9293.2134813596713</v>
      </c>
      <c r="AA119" s="475">
        <f t="shared" si="80"/>
        <v>7064.4071849675129</v>
      </c>
      <c r="AB119" s="938">
        <f t="shared" si="40"/>
        <v>0.76016839590926233</v>
      </c>
      <c r="AC119" s="118" t="str">
        <f t="shared" si="41"/>
        <v>Yes</v>
      </c>
      <c r="AD119" s="938">
        <f t="shared" si="42"/>
        <v>0.76016839590926233</v>
      </c>
      <c r="AE119" s="579">
        <f t="shared" si="10"/>
        <v>0.35375625269174904</v>
      </c>
      <c r="AF119" s="475">
        <f t="shared" si="43"/>
        <v>274.17739749232885</v>
      </c>
      <c r="AG119" s="474">
        <f t="shared" si="44"/>
        <v>2228.8062963921584</v>
      </c>
      <c r="AH119" s="474">
        <f t="shared" si="81"/>
        <v>9890.4698927049085</v>
      </c>
      <c r="AI119" s="474">
        <f t="shared" si="82"/>
        <v>6437.6604656145792</v>
      </c>
      <c r="AJ119" s="474">
        <f t="shared" si="11"/>
        <v>876.01536035309903</v>
      </c>
      <c r="AK119" s="474">
        <f t="shared" si="45"/>
        <v>19432.952015064744</v>
      </c>
      <c r="AL119" s="640">
        <f t="shared" si="12"/>
        <v>0</v>
      </c>
      <c r="AM119" s="100">
        <f t="shared" si="46"/>
        <v>0.11469211135108814</v>
      </c>
      <c r="AN119" s="100">
        <f t="shared" si="47"/>
        <v>0.50895354885030608</v>
      </c>
      <c r="AO119" s="100">
        <f t="shared" si="48"/>
        <v>0.33127547789054379</v>
      </c>
      <c r="AP119" s="100">
        <f t="shared" si="49"/>
        <v>4.5078861908062012E-2</v>
      </c>
      <c r="AQ119" s="100">
        <f t="shared" si="50"/>
        <v>1</v>
      </c>
      <c r="AR119" s="473">
        <f t="shared" si="13"/>
        <v>483.66236894732049</v>
      </c>
      <c r="AS119" s="474">
        <f t="shared" si="14"/>
        <v>613.41473220489149</v>
      </c>
      <c r="AT119" s="474">
        <f t="shared" si="15"/>
        <v>120.51203673933882</v>
      </c>
      <c r="AU119" s="474">
        <f t="shared" si="16"/>
        <v>0</v>
      </c>
      <c r="AV119" s="474">
        <f t="shared" si="17"/>
        <v>0</v>
      </c>
      <c r="AW119" s="474">
        <f t="shared" si="18"/>
        <v>0</v>
      </c>
      <c r="AX119" s="474">
        <f t="shared" si="19"/>
        <v>841.61584447181826</v>
      </c>
      <c r="AY119" s="474">
        <f t="shared" si="20"/>
        <v>67.791701470263234</v>
      </c>
      <c r="AZ119" s="474">
        <f t="shared" si="21"/>
        <v>19.056265094007497</v>
      </c>
      <c r="BA119" s="474">
        <f t="shared" si="22"/>
        <v>49.218620853666494</v>
      </c>
      <c r="BB119" s="474">
        <f t="shared" si="23"/>
        <v>33.534726610851337</v>
      </c>
      <c r="BC119" s="475">
        <f t="shared" si="51"/>
        <v>2228.8062963921575</v>
      </c>
      <c r="BD119" s="647">
        <f t="shared" si="52"/>
        <v>0</v>
      </c>
      <c r="BE119" s="383">
        <f t="shared" si="53"/>
        <v>0.21700511602566844</v>
      </c>
      <c r="BF119" s="383">
        <f t="shared" si="54"/>
        <v>0.27522119494989145</v>
      </c>
      <c r="BG119" s="383">
        <f t="shared" si="55"/>
        <v>5.4070215493565166E-2</v>
      </c>
      <c r="BH119" s="383">
        <f t="shared" si="56"/>
        <v>0</v>
      </c>
      <c r="BI119" s="383">
        <f t="shared" si="57"/>
        <v>0</v>
      </c>
      <c r="BJ119" s="383">
        <f t="shared" si="58"/>
        <v>0</v>
      </c>
      <c r="BK119" s="383">
        <f t="shared" si="59"/>
        <v>0.45370347353087498</v>
      </c>
      <c r="BL119" s="383">
        <f t="shared" si="60"/>
        <v>1</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69.147172812440928</v>
      </c>
      <c r="BW119" s="100">
        <f t="shared" si="63"/>
        <v>0.76981346715231846</v>
      </c>
      <c r="BX119" s="1385">
        <f t="shared" si="24"/>
        <v>3.3857806342660397</v>
      </c>
      <c r="BY119" s="473">
        <f t="shared" si="64"/>
        <v>69.147172812440928</v>
      </c>
      <c r="BZ119" s="100">
        <f t="shared" si="65"/>
        <v>0.76981346715231846</v>
      </c>
      <c r="CA119" s="489">
        <f t="shared" si="25"/>
        <v>3.3857806342660397</v>
      </c>
      <c r="CB119" s="579">
        <f t="shared" si="26"/>
        <v>0.35375625269174904</v>
      </c>
      <c r="CC119" s="471">
        <f t="shared" si="66"/>
        <v>0.4008477870843189</v>
      </c>
      <c r="CD119" s="100">
        <f t="shared" si="27"/>
        <v>0.35375625269174904</v>
      </c>
      <c r="CE119" s="471">
        <f t="shared" si="67"/>
        <v>0.4008477870843189</v>
      </c>
      <c r="CG119" s="473">
        <f t="shared" si="68"/>
        <v>1878.2013650939336</v>
      </c>
      <c r="CH119" s="474">
        <f t="shared" si="69"/>
        <v>827.06437108047305</v>
      </c>
      <c r="CI119" s="474">
        <f t="shared" si="70"/>
        <v>3149.8713776052396</v>
      </c>
      <c r="CJ119" s="474">
        <f t="shared" si="71"/>
        <v>3987.3412602890753</v>
      </c>
      <c r="CK119" s="474">
        <f t="shared" si="72"/>
        <v>47.991518636186704</v>
      </c>
      <c r="CL119" s="474">
        <f t="shared" si="73"/>
        <v>9890.4698927049085</v>
      </c>
      <c r="CM119" s="576">
        <f t="shared" si="74"/>
        <v>0</v>
      </c>
    </row>
    <row r="120" spans="1:91">
      <c r="A120" s="89">
        <f>'Input data'!A140</f>
        <v>2040</v>
      </c>
      <c r="B120" s="152">
        <f>'Input data'!B140</f>
        <v>71.331543257193218</v>
      </c>
      <c r="C120" s="204">
        <f>'Input data'!C140</f>
        <v>6787.6000000000013</v>
      </c>
      <c r="D120" s="204">
        <f>'Input data'!D140</f>
        <v>1821401.0040449696</v>
      </c>
      <c r="E120" s="579">
        <f t="shared" si="89"/>
        <v>1</v>
      </c>
      <c r="F120" s="100">
        <f t="shared" si="89"/>
        <v>0.37</v>
      </c>
      <c r="G120" s="475">
        <f>B120*F120*'Input data'!$C$9</f>
        <v>807.80286847113609</v>
      </c>
      <c r="H120" s="301">
        <f>'Input data'!I140</f>
        <v>424.26313389388866</v>
      </c>
      <c r="I120" s="474">
        <f>'Input data'!K140</f>
        <v>30263.344087784277</v>
      </c>
      <c r="J120" s="474">
        <f t="shared" si="91"/>
        <v>2228.8062963921584</v>
      </c>
      <c r="K120" s="475">
        <f t="shared" si="77"/>
        <v>11835.128002710084</v>
      </c>
      <c r="L120" s="100">
        <f t="shared" si="90"/>
        <v>0.7</v>
      </c>
      <c r="M120" s="100">
        <f t="shared" si="88"/>
        <v>0.6</v>
      </c>
      <c r="N120" s="100">
        <f t="shared" si="88"/>
        <v>0.9</v>
      </c>
      <c r="O120" s="100">
        <f t="shared" si="88"/>
        <v>0.9</v>
      </c>
      <c r="P120" s="100">
        <f t="shared" si="88"/>
        <v>0.23600000000000002</v>
      </c>
      <c r="Q120" s="473">
        <f t="shared" si="33"/>
        <v>324.04091471867014</v>
      </c>
      <c r="R120" s="474">
        <f t="shared" si="34"/>
        <v>226.12582165458548</v>
      </c>
      <c r="S120" s="474">
        <f t="shared" si="35"/>
        <v>662.19005102912797</v>
      </c>
      <c r="T120" s="474">
        <f t="shared" si="36"/>
        <v>445.87732696105195</v>
      </c>
      <c r="U120" s="475">
        <f t="shared" si="37"/>
        <v>0</v>
      </c>
      <c r="V120" s="474">
        <f t="shared" si="38"/>
        <v>1658.2341143634355</v>
      </c>
      <c r="W120" s="579">
        <f t="shared" si="87"/>
        <v>0.5</v>
      </c>
      <c r="X120" s="475">
        <f t="shared" si="39"/>
        <v>3033.4854703020706</v>
      </c>
      <c r="Y120" s="473">
        <f t="shared" si="78"/>
        <v>4691.7195846655059</v>
      </c>
      <c r="Z120" s="474">
        <f t="shared" si="79"/>
        <v>9372.2147144367373</v>
      </c>
      <c r="AA120" s="475">
        <f t="shared" si="80"/>
        <v>7143.4084180445789</v>
      </c>
      <c r="AB120" s="938">
        <f t="shared" si="40"/>
        <v>0.76219000905314749</v>
      </c>
      <c r="AC120" s="118" t="str">
        <f t="shared" si="41"/>
        <v>Yes</v>
      </c>
      <c r="AD120" s="938">
        <f t="shared" si="42"/>
        <v>0.76219000905314749</v>
      </c>
      <c r="AE120" s="579">
        <f t="shared" si="10"/>
        <v>0.35583713643760551</v>
      </c>
      <c r="AF120" s="475">
        <f t="shared" si="43"/>
        <v>273.2945552330429</v>
      </c>
      <c r="AG120" s="474">
        <f t="shared" si="44"/>
        <v>2228.8062963921584</v>
      </c>
      <c r="AH120" s="474">
        <f t="shared" si="81"/>
        <v>9953.8574484730289</v>
      </c>
      <c r="AI120" s="474">
        <f t="shared" si="82"/>
        <v>6437.6604656145792</v>
      </c>
      <c r="AJ120" s="474">
        <f t="shared" si="11"/>
        <v>874.19817808141352</v>
      </c>
      <c r="AK120" s="474">
        <f t="shared" si="45"/>
        <v>19494.522388561181</v>
      </c>
      <c r="AL120" s="640">
        <f t="shared" si="12"/>
        <v>0</v>
      </c>
      <c r="AM120" s="100">
        <f t="shared" si="46"/>
        <v>0.11432987441128371</v>
      </c>
      <c r="AN120" s="100">
        <f t="shared" si="47"/>
        <v>0.51059765661731027</v>
      </c>
      <c r="AO120" s="100">
        <f t="shared" si="48"/>
        <v>0.33022919655584948</v>
      </c>
      <c r="AP120" s="100">
        <f t="shared" si="49"/>
        <v>4.4843272415556461E-2</v>
      </c>
      <c r="AQ120" s="100">
        <f t="shared" si="50"/>
        <v>0.99999999999999989</v>
      </c>
      <c r="AR120" s="473">
        <f t="shared" si="13"/>
        <v>484.6973548581845</v>
      </c>
      <c r="AS120" s="474">
        <f t="shared" si="14"/>
        <v>614.72737434145131</v>
      </c>
      <c r="AT120" s="474">
        <f t="shared" si="15"/>
        <v>120.26204987084469</v>
      </c>
      <c r="AU120" s="474">
        <f t="shared" si="16"/>
        <v>0</v>
      </c>
      <c r="AV120" s="474">
        <f t="shared" si="17"/>
        <v>0</v>
      </c>
      <c r="AW120" s="474">
        <f t="shared" si="18"/>
        <v>0</v>
      </c>
      <c r="AX120" s="474">
        <f t="shared" si="19"/>
        <v>839.87001961376177</v>
      </c>
      <c r="AY120" s="474">
        <f t="shared" si="20"/>
        <v>67.651076221375462</v>
      </c>
      <c r="AZ120" s="474">
        <f t="shared" si="21"/>
        <v>19.016735299599066</v>
      </c>
      <c r="BA120" s="474">
        <f t="shared" si="22"/>
        <v>49.116523094540312</v>
      </c>
      <c r="BB120" s="474">
        <f t="shared" si="23"/>
        <v>33.465163092400601</v>
      </c>
      <c r="BC120" s="475">
        <f t="shared" si="51"/>
        <v>2228.8062963921579</v>
      </c>
      <c r="BD120" s="647">
        <f t="shared" si="52"/>
        <v>0</v>
      </c>
      <c r="BE120" s="383">
        <f t="shared" si="53"/>
        <v>0.21746948384109469</v>
      </c>
      <c r="BF120" s="383">
        <f t="shared" si="54"/>
        <v>0.27581013896834855</v>
      </c>
      <c r="BG120" s="383">
        <f t="shared" si="55"/>
        <v>5.3958053719390879E-2</v>
      </c>
      <c r="BH120" s="383">
        <f t="shared" si="56"/>
        <v>0</v>
      </c>
      <c r="BI120" s="383">
        <f t="shared" si="57"/>
        <v>0</v>
      </c>
      <c r="BJ120" s="383">
        <f t="shared" si="58"/>
        <v>0</v>
      </c>
      <c r="BK120" s="383">
        <f t="shared" si="59"/>
        <v>0.4527623234711658</v>
      </c>
      <c r="BL120" s="383">
        <f t="shared" si="60"/>
        <v>1</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69.466672609461753</v>
      </c>
      <c r="BW120" s="100">
        <f t="shared" si="63"/>
        <v>0.77087216980438333</v>
      </c>
      <c r="BX120" s="1385">
        <f t="shared" si="24"/>
        <v>1.8214010040449695</v>
      </c>
      <c r="BY120" s="473">
        <f t="shared" si="64"/>
        <v>69.466672609461753</v>
      </c>
      <c r="BZ120" s="100">
        <f t="shared" si="65"/>
        <v>0.77087216980438333</v>
      </c>
      <c r="CA120" s="489">
        <f t="shared" si="25"/>
        <v>1.8214010040449695</v>
      </c>
      <c r="CB120" s="579">
        <f t="shared" si="26"/>
        <v>0.35583713643760551</v>
      </c>
      <c r="CC120" s="471">
        <f t="shared" si="66"/>
        <v>0.40141160594196446</v>
      </c>
      <c r="CD120" s="100">
        <f t="shared" si="27"/>
        <v>0.35583713643760551</v>
      </c>
      <c r="CE120" s="471">
        <f t="shared" si="67"/>
        <v>0.40141160594196446</v>
      </c>
      <c r="CG120" s="473">
        <f t="shared" si="68"/>
        <v>1890.238669192242</v>
      </c>
      <c r="CH120" s="474">
        <f t="shared" si="69"/>
        <v>832.36498768559079</v>
      </c>
      <c r="CI120" s="474">
        <f t="shared" si="70"/>
        <v>3170.0587549266779</v>
      </c>
      <c r="CJ120" s="474">
        <f t="shared" si="71"/>
        <v>4012.8959426494685</v>
      </c>
      <c r="CK120" s="474">
        <f t="shared" si="72"/>
        <v>48.299094019050152</v>
      </c>
      <c r="CL120" s="474">
        <f t="shared" si="73"/>
        <v>9953.8574484730307</v>
      </c>
      <c r="CM120" s="576">
        <f t="shared" si="74"/>
        <v>0</v>
      </c>
    </row>
    <row r="121" spans="1:91">
      <c r="A121" s="89">
        <f>'Input data'!A141</f>
        <v>2041</v>
      </c>
      <c r="B121" s="152">
        <f>'Input data'!B141</f>
        <v>71.772879261991122</v>
      </c>
      <c r="C121" s="204">
        <f>'Input data'!C141</f>
        <v>6981.3799999999992</v>
      </c>
      <c r="D121" s="204">
        <f>'Input data'!D141</f>
        <v>1694135.0775526946</v>
      </c>
      <c r="E121" s="579">
        <f t="shared" si="89"/>
        <v>1</v>
      </c>
      <c r="F121" s="100">
        <f t="shared" si="89"/>
        <v>0.37</v>
      </c>
      <c r="G121" s="475">
        <f>B121*F121*'Input data'!$C$9</f>
        <v>812.80083254643864</v>
      </c>
      <c r="H121" s="301">
        <f>'Input data'!I141</f>
        <v>424.26313389388866</v>
      </c>
      <c r="I121" s="474">
        <f>'Input data'!K141</f>
        <v>30450.586684280046</v>
      </c>
      <c r="J121" s="474">
        <f t="shared" si="91"/>
        <v>2228.8062963921584</v>
      </c>
      <c r="K121" s="475">
        <f t="shared" si="77"/>
        <v>11922.143091573736</v>
      </c>
      <c r="L121" s="100">
        <f t="shared" si="90"/>
        <v>0.7</v>
      </c>
      <c r="M121" s="100">
        <f t="shared" si="88"/>
        <v>0.6</v>
      </c>
      <c r="N121" s="100">
        <f t="shared" si="88"/>
        <v>0.9</v>
      </c>
      <c r="O121" s="100">
        <f t="shared" si="88"/>
        <v>0.9</v>
      </c>
      <c r="P121" s="100">
        <f t="shared" si="88"/>
        <v>0.23600000000000002</v>
      </c>
      <c r="Q121" s="473">
        <f t="shared" si="33"/>
        <v>326.04579104915069</v>
      </c>
      <c r="R121" s="474">
        <f t="shared" si="34"/>
        <v>227.52488667061698</v>
      </c>
      <c r="S121" s="474">
        <f t="shared" si="35"/>
        <v>666.28709278924271</v>
      </c>
      <c r="T121" s="474">
        <f t="shared" si="36"/>
        <v>448.63601840561296</v>
      </c>
      <c r="U121" s="475">
        <f t="shared" si="37"/>
        <v>0</v>
      </c>
      <c r="V121" s="474">
        <f t="shared" si="38"/>
        <v>1668.4937889146233</v>
      </c>
      <c r="W121" s="579">
        <f t="shared" si="87"/>
        <v>0.5</v>
      </c>
      <c r="X121" s="475">
        <f t="shared" si="39"/>
        <v>3033.4854703020706</v>
      </c>
      <c r="Y121" s="473">
        <f t="shared" si="78"/>
        <v>4701.9792592166941</v>
      </c>
      <c r="Z121" s="474">
        <f t="shared" si="79"/>
        <v>9448.9701287492007</v>
      </c>
      <c r="AA121" s="475">
        <f t="shared" si="80"/>
        <v>7220.1638323570423</v>
      </c>
      <c r="AB121" s="938">
        <f t="shared" si="40"/>
        <v>0.7641217755985017</v>
      </c>
      <c r="AC121" s="118" t="str">
        <f t="shared" si="41"/>
        <v>Yes</v>
      </c>
      <c r="AD121" s="938">
        <f t="shared" si="42"/>
        <v>0.7641217755985017</v>
      </c>
      <c r="AE121" s="579">
        <f t="shared" si="10"/>
        <v>0.35783268259694956</v>
      </c>
      <c r="AF121" s="475">
        <f t="shared" si="43"/>
        <v>272.44791856564967</v>
      </c>
      <c r="AG121" s="474">
        <f t="shared" si="44"/>
        <v>2228.8062963921584</v>
      </c>
      <c r="AH121" s="474">
        <f t="shared" si="81"/>
        <v>10015.443045504033</v>
      </c>
      <c r="AI121" s="474">
        <f t="shared" si="82"/>
        <v>6437.6604656145792</v>
      </c>
      <c r="AJ121" s="474">
        <f t="shared" si="11"/>
        <v>872.46175688239703</v>
      </c>
      <c r="AK121" s="474">
        <f t="shared" si="45"/>
        <v>19554.371564393165</v>
      </c>
      <c r="AL121" s="640">
        <f t="shared" si="12"/>
        <v>0</v>
      </c>
      <c r="AM121" s="100">
        <f t="shared" si="46"/>
        <v>0.11397995016370784</v>
      </c>
      <c r="AN121" s="100">
        <f t="shared" si="47"/>
        <v>0.5121843477568615</v>
      </c>
      <c r="AO121" s="100">
        <f t="shared" si="48"/>
        <v>0.32921847907078777</v>
      </c>
      <c r="AP121" s="100">
        <f t="shared" si="49"/>
        <v>4.4617223008642994E-2</v>
      </c>
      <c r="AQ121" s="100">
        <f t="shared" si="50"/>
        <v>1.0000000000000002</v>
      </c>
      <c r="AR121" s="473">
        <f t="shared" si="13"/>
        <v>485.68634286687831</v>
      </c>
      <c r="AS121" s="474">
        <f t="shared" si="14"/>
        <v>615.98167869394229</v>
      </c>
      <c r="AT121" s="474">
        <f t="shared" si="15"/>
        <v>120.02317317438303</v>
      </c>
      <c r="AU121" s="474">
        <f t="shared" si="16"/>
        <v>0</v>
      </c>
      <c r="AV121" s="474">
        <f t="shared" si="17"/>
        <v>0</v>
      </c>
      <c r="AW121" s="474">
        <f t="shared" si="18"/>
        <v>0</v>
      </c>
      <c r="AX121" s="474">
        <f t="shared" si="19"/>
        <v>838.2017844892315</v>
      </c>
      <c r="AY121" s="474">
        <f t="shared" si="20"/>
        <v>67.51670078359443</v>
      </c>
      <c r="AZ121" s="474">
        <f t="shared" si="21"/>
        <v>18.978962328734632</v>
      </c>
      <c r="BA121" s="474">
        <f t="shared" si="22"/>
        <v>49.018962868424929</v>
      </c>
      <c r="BB121" s="474">
        <f t="shared" si="23"/>
        <v>33.398691186968669</v>
      </c>
      <c r="BC121" s="475">
        <f t="shared" si="51"/>
        <v>2228.8062963921579</v>
      </c>
      <c r="BD121" s="647">
        <f t="shared" si="52"/>
        <v>0</v>
      </c>
      <c r="BE121" s="383">
        <f t="shared" si="53"/>
        <v>0.21791321374723086</v>
      </c>
      <c r="BF121" s="383">
        <f t="shared" si="54"/>
        <v>0.27637290853451557</v>
      </c>
      <c r="BG121" s="383">
        <f t="shared" si="55"/>
        <v>5.3850876753474941E-2</v>
      </c>
      <c r="BH121" s="383">
        <f t="shared" si="56"/>
        <v>0</v>
      </c>
      <c r="BI121" s="383">
        <f t="shared" si="57"/>
        <v>0</v>
      </c>
      <c r="BJ121" s="383">
        <f t="shared" si="58"/>
        <v>0</v>
      </c>
      <c r="BK121" s="383">
        <f t="shared" si="59"/>
        <v>0.45186300096477855</v>
      </c>
      <c r="BL121" s="383">
        <f t="shared" si="60"/>
        <v>1</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70.469231276297435</v>
      </c>
      <c r="BW121" s="100">
        <f t="shared" si="63"/>
        <v>0.77413194840300614</v>
      </c>
      <c r="BX121" s="1385">
        <f t="shared" si="24"/>
        <v>1.6941350775526947</v>
      </c>
      <c r="BY121" s="473">
        <f t="shared" si="64"/>
        <v>70.469231276297435</v>
      </c>
      <c r="BZ121" s="100">
        <f t="shared" si="65"/>
        <v>0.77413194840300614</v>
      </c>
      <c r="CA121" s="489">
        <f t="shared" si="25"/>
        <v>1.6941350775526947</v>
      </c>
      <c r="CB121" s="579">
        <f t="shared" si="26"/>
        <v>0.35783268259694956</v>
      </c>
      <c r="CC121" s="471">
        <f t="shared" si="66"/>
        <v>0.40580717718292303</v>
      </c>
      <c r="CD121" s="100">
        <f t="shared" si="27"/>
        <v>0.35783268259694956</v>
      </c>
      <c r="CE121" s="471">
        <f t="shared" si="67"/>
        <v>0.40580717718292303</v>
      </c>
      <c r="CG121" s="473">
        <f t="shared" si="68"/>
        <v>1901.9337811200453</v>
      </c>
      <c r="CH121" s="474">
        <f t="shared" si="69"/>
        <v>837.51492025994003</v>
      </c>
      <c r="CI121" s="474">
        <f t="shared" si="70"/>
        <v>3189.6722527144593</v>
      </c>
      <c r="CJ121" s="474">
        <f t="shared" si="71"/>
        <v>4037.7241656505184</v>
      </c>
      <c r="CK121" s="474">
        <f t="shared" si="72"/>
        <v>48.597925759068289</v>
      </c>
      <c r="CL121" s="474">
        <f t="shared" si="73"/>
        <v>10015.443045504031</v>
      </c>
      <c r="CM121" s="576">
        <f t="shared" si="74"/>
        <v>0</v>
      </c>
    </row>
    <row r="122" spans="1:91">
      <c r="A122" s="89">
        <f>'Input data'!A142</f>
        <v>2042</v>
      </c>
      <c r="B122" s="152">
        <f>'Input data'!B142</f>
        <v>72.201023455996193</v>
      </c>
      <c r="C122" s="204">
        <f>'Input data'!C142</f>
        <v>7178.2100000000019</v>
      </c>
      <c r="D122" s="204">
        <f>'Input data'!D142</f>
        <v>1566869.1510604194</v>
      </c>
      <c r="E122" s="579">
        <f t="shared" si="89"/>
        <v>1</v>
      </c>
      <c r="F122" s="100">
        <f t="shared" si="89"/>
        <v>0.37</v>
      </c>
      <c r="G122" s="475">
        <f>B122*F122*'Input data'!$C$9</f>
        <v>817.64940433170818</v>
      </c>
      <c r="H122" s="301">
        <f>'Input data'!I142</f>
        <v>424.26313389388866</v>
      </c>
      <c r="I122" s="474">
        <f>'Input data'!K142</f>
        <v>30632.232481787109</v>
      </c>
      <c r="J122" s="474">
        <f t="shared" si="91"/>
        <v>2228.8062963921584</v>
      </c>
      <c r="K122" s="475">
        <f t="shared" si="77"/>
        <v>12006.557244696971</v>
      </c>
      <c r="L122" s="100">
        <f t="shared" si="90"/>
        <v>0.7</v>
      </c>
      <c r="M122" s="100">
        <f t="shared" si="88"/>
        <v>0.6</v>
      </c>
      <c r="N122" s="100">
        <f t="shared" si="88"/>
        <v>0.9</v>
      </c>
      <c r="O122" s="100">
        <f t="shared" si="88"/>
        <v>0.9</v>
      </c>
      <c r="P122" s="100">
        <f t="shared" si="88"/>
        <v>0.23600000000000002</v>
      </c>
      <c r="Q122" s="473">
        <f t="shared" si="33"/>
        <v>327.99074036500474</v>
      </c>
      <c r="R122" s="474">
        <f t="shared" si="34"/>
        <v>228.88213275327871</v>
      </c>
      <c r="S122" s="474">
        <f t="shared" si="35"/>
        <v>670.26167139402332</v>
      </c>
      <c r="T122" s="474">
        <f t="shared" si="36"/>
        <v>451.31225082762194</v>
      </c>
      <c r="U122" s="475">
        <f t="shared" si="37"/>
        <v>0</v>
      </c>
      <c r="V122" s="474">
        <f t="shared" si="38"/>
        <v>1678.4467953399287</v>
      </c>
      <c r="W122" s="579">
        <f t="shared" si="87"/>
        <v>0.5</v>
      </c>
      <c r="X122" s="475">
        <f t="shared" si="39"/>
        <v>3033.4854703020706</v>
      </c>
      <c r="Y122" s="473">
        <f t="shared" si="78"/>
        <v>4711.932265641999</v>
      </c>
      <c r="Z122" s="474">
        <f t="shared" si="79"/>
        <v>9523.4312754471302</v>
      </c>
      <c r="AA122" s="475">
        <f t="shared" si="80"/>
        <v>7294.6249790549718</v>
      </c>
      <c r="AB122" s="938">
        <f t="shared" si="40"/>
        <v>0.76596604396795898</v>
      </c>
      <c r="AC122" s="118" t="str">
        <f t="shared" si="41"/>
        <v>Yes</v>
      </c>
      <c r="AD122" s="938">
        <f t="shared" si="42"/>
        <v>0.76596604396795898</v>
      </c>
      <c r="AE122" s="579">
        <f t="shared" si="10"/>
        <v>0.35974439441261952</v>
      </c>
      <c r="AF122" s="475">
        <f t="shared" si="43"/>
        <v>271.63684971963158</v>
      </c>
      <c r="AG122" s="474">
        <f t="shared" si="44"/>
        <v>2228.8062963921584</v>
      </c>
      <c r="AH122" s="474">
        <f t="shared" si="81"/>
        <v>10075.18781030117</v>
      </c>
      <c r="AI122" s="474">
        <f t="shared" si="82"/>
        <v>6437.6604656145792</v>
      </c>
      <c r="AJ122" s="474">
        <f t="shared" si="11"/>
        <v>870.80398581212808</v>
      </c>
      <c r="AK122" s="474">
        <f t="shared" si="45"/>
        <v>19612.458558120034</v>
      </c>
      <c r="AL122" s="640">
        <f t="shared" si="12"/>
        <v>0</v>
      </c>
      <c r="AM122" s="100">
        <f t="shared" si="46"/>
        <v>0.11364237124005948</v>
      </c>
      <c r="AN122" s="100">
        <f t="shared" si="47"/>
        <v>0.51371365708404759</v>
      </c>
      <c r="AO122" s="100">
        <f t="shared" si="48"/>
        <v>0.32824341968841186</v>
      </c>
      <c r="AP122" s="100">
        <f t="shared" si="49"/>
        <v>4.4400551987481149E-2</v>
      </c>
      <c r="AQ122" s="100">
        <f t="shared" si="50"/>
        <v>1</v>
      </c>
      <c r="AR122" s="473">
        <f t="shared" si="13"/>
        <v>486.63053527283574</v>
      </c>
      <c r="AS122" s="474">
        <f t="shared" si="14"/>
        <v>617.17917010331303</v>
      </c>
      <c r="AT122" s="474">
        <f t="shared" si="15"/>
        <v>119.7951162507634</v>
      </c>
      <c r="AU122" s="474">
        <f t="shared" si="16"/>
        <v>0</v>
      </c>
      <c r="AV122" s="474">
        <f t="shared" si="17"/>
        <v>0</v>
      </c>
      <c r="AW122" s="474">
        <f t="shared" si="18"/>
        <v>0</v>
      </c>
      <c r="AX122" s="474">
        <f t="shared" si="19"/>
        <v>836.60911104720071</v>
      </c>
      <c r="AY122" s="474">
        <f t="shared" si="20"/>
        <v>67.388411798505828</v>
      </c>
      <c r="AZ122" s="474">
        <f t="shared" si="21"/>
        <v>18.942900261321309</v>
      </c>
      <c r="BA122" s="474">
        <f t="shared" si="22"/>
        <v>48.925821572664127</v>
      </c>
      <c r="BB122" s="474">
        <f t="shared" si="23"/>
        <v>33.335230085553235</v>
      </c>
      <c r="BC122" s="475">
        <f t="shared" si="51"/>
        <v>2228.806296392157</v>
      </c>
      <c r="BD122" s="647">
        <f t="shared" si="52"/>
        <v>0</v>
      </c>
      <c r="BE122" s="383">
        <f t="shared" si="53"/>
        <v>0.21833684518056182</v>
      </c>
      <c r="BF122" s="383">
        <f t="shared" si="54"/>
        <v>0.27691018779979287</v>
      </c>
      <c r="BG122" s="383">
        <f t="shared" si="55"/>
        <v>5.3748554302219864E-2</v>
      </c>
      <c r="BH122" s="383">
        <f t="shared" si="56"/>
        <v>0</v>
      </c>
      <c r="BI122" s="383">
        <f t="shared" si="57"/>
        <v>0</v>
      </c>
      <c r="BJ122" s="383">
        <f t="shared" si="58"/>
        <v>0</v>
      </c>
      <c r="BK122" s="383">
        <f t="shared" si="59"/>
        <v>0.45100441271742558</v>
      </c>
      <c r="BL122" s="383">
        <f t="shared" si="60"/>
        <v>1</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71.485666776292149</v>
      </c>
      <c r="BW122" s="100">
        <f t="shared" si="63"/>
        <v>0.77734350557678589</v>
      </c>
      <c r="BX122" s="1385">
        <f t="shared" si="24"/>
        <v>1.5668691510604194</v>
      </c>
      <c r="BY122" s="473">
        <f t="shared" si="64"/>
        <v>71.485666776292149</v>
      </c>
      <c r="BZ122" s="100">
        <f t="shared" si="65"/>
        <v>0.77734350557678589</v>
      </c>
      <c r="CA122" s="489">
        <f t="shared" si="25"/>
        <v>1.5668691510604194</v>
      </c>
      <c r="CB122" s="579">
        <f t="shared" si="26"/>
        <v>0.35974439441261952</v>
      </c>
      <c r="CC122" s="471">
        <f t="shared" si="66"/>
        <v>0.41005065582927047</v>
      </c>
      <c r="CD122" s="100">
        <f t="shared" si="27"/>
        <v>0.35974439441261952</v>
      </c>
      <c r="CE122" s="471">
        <f t="shared" si="67"/>
        <v>0.41005065582927047</v>
      </c>
      <c r="CG122" s="473">
        <f t="shared" si="68"/>
        <v>1913.2793187958603</v>
      </c>
      <c r="CH122" s="474">
        <f t="shared" si="69"/>
        <v>842.51091811022832</v>
      </c>
      <c r="CI122" s="474">
        <f t="shared" si="70"/>
        <v>3208.6994907160697</v>
      </c>
      <c r="CJ122" s="474">
        <f t="shared" si="71"/>
        <v>4061.8102574486043</v>
      </c>
      <c r="CK122" s="474">
        <f t="shared" si="72"/>
        <v>48.887825230405966</v>
      </c>
      <c r="CL122" s="474">
        <f t="shared" si="73"/>
        <v>10075.187810301168</v>
      </c>
      <c r="CM122" s="576">
        <f t="shared" si="74"/>
        <v>0</v>
      </c>
    </row>
    <row r="123" spans="1:91">
      <c r="A123" s="89">
        <f>'Input data'!A143</f>
        <v>2043</v>
      </c>
      <c r="B123" s="152">
        <f>'Input data'!B143</f>
        <v>72.615704257339331</v>
      </c>
      <c r="C123" s="204">
        <f>'Input data'!C143</f>
        <v>7380.12</v>
      </c>
      <c r="D123" s="204">
        <f>'Input data'!D143</f>
        <v>1439603.2245681447</v>
      </c>
      <c r="E123" s="579">
        <f t="shared" si="89"/>
        <v>1</v>
      </c>
      <c r="F123" s="100">
        <f t="shared" si="89"/>
        <v>0.37</v>
      </c>
      <c r="G123" s="475">
        <f>B123*F123*'Input data'!$C$9</f>
        <v>822.34550826453756</v>
      </c>
      <c r="H123" s="301">
        <f>'Input data'!I143</f>
        <v>424.26313389388866</v>
      </c>
      <c r="I123" s="474">
        <f>'Input data'!K143</f>
        <v>30808.166258130579</v>
      </c>
      <c r="J123" s="474">
        <f t="shared" si="91"/>
        <v>2228.8062963921584</v>
      </c>
      <c r="K123" s="475">
        <f t="shared" si="77"/>
        <v>12088.316916209487</v>
      </c>
      <c r="L123" s="100">
        <f t="shared" si="90"/>
        <v>0.7</v>
      </c>
      <c r="M123" s="100">
        <f t="shared" si="88"/>
        <v>0.6</v>
      </c>
      <c r="N123" s="100">
        <f t="shared" si="88"/>
        <v>0.9</v>
      </c>
      <c r="O123" s="100">
        <f t="shared" si="88"/>
        <v>0.9</v>
      </c>
      <c r="P123" s="100">
        <f t="shared" si="88"/>
        <v>0.23600000000000002</v>
      </c>
      <c r="Q123" s="473">
        <f t="shared" si="33"/>
        <v>329.87452893942259</v>
      </c>
      <c r="R123" s="474">
        <f t="shared" si="34"/>
        <v>230.19669896965786</v>
      </c>
      <c r="S123" s="474">
        <f t="shared" si="35"/>
        <v>674.1112656753653</v>
      </c>
      <c r="T123" s="474">
        <f t="shared" si="36"/>
        <v>453.90432663030424</v>
      </c>
      <c r="U123" s="475">
        <f t="shared" si="37"/>
        <v>0</v>
      </c>
      <c r="V123" s="474">
        <f t="shared" si="38"/>
        <v>1688.0868202147499</v>
      </c>
      <c r="W123" s="579">
        <f t="shared" si="87"/>
        <v>0.5</v>
      </c>
      <c r="X123" s="475">
        <f t="shared" si="39"/>
        <v>3033.4854703020706</v>
      </c>
      <c r="Y123" s="473">
        <f t="shared" si="78"/>
        <v>4721.5722905168204</v>
      </c>
      <c r="Z123" s="474">
        <f t="shared" si="79"/>
        <v>9595.5509220848253</v>
      </c>
      <c r="AA123" s="475">
        <f t="shared" si="80"/>
        <v>7366.7446256926669</v>
      </c>
      <c r="AB123" s="938">
        <f t="shared" si="40"/>
        <v>0.76772503064285691</v>
      </c>
      <c r="AC123" s="118" t="str">
        <f t="shared" si="41"/>
        <v>Yes</v>
      </c>
      <c r="AD123" s="938">
        <f t="shared" si="42"/>
        <v>0.76772503064285691</v>
      </c>
      <c r="AE123" s="579">
        <f t="shared" si="10"/>
        <v>0.36157370370249042</v>
      </c>
      <c r="AF123" s="475">
        <f t="shared" si="43"/>
        <v>270.86074122744975</v>
      </c>
      <c r="AG123" s="474">
        <f t="shared" si="44"/>
        <v>2228.8062963921584</v>
      </c>
      <c r="AH123" s="474">
        <f t="shared" si="81"/>
        <v>10133.053845363742</v>
      </c>
      <c r="AI123" s="474">
        <f t="shared" si="82"/>
        <v>6437.6604656145792</v>
      </c>
      <c r="AJ123" s="474">
        <f t="shared" si="11"/>
        <v>869.2228725257296</v>
      </c>
      <c r="AK123" s="474">
        <f t="shared" si="45"/>
        <v>19668.743479896209</v>
      </c>
      <c r="AL123" s="640">
        <f t="shared" si="12"/>
        <v>0</v>
      </c>
      <c r="AM123" s="100">
        <f t="shared" si="46"/>
        <v>0.11331716734575663</v>
      </c>
      <c r="AN123" s="100">
        <f t="shared" si="47"/>
        <v>0.51518562208719254</v>
      </c>
      <c r="AO123" s="100">
        <f t="shared" si="48"/>
        <v>0.32730410420953593</v>
      </c>
      <c r="AP123" s="100">
        <f t="shared" si="49"/>
        <v>4.4193106357514833E-2</v>
      </c>
      <c r="AQ123" s="100">
        <f t="shared" si="50"/>
        <v>0.99999999999999989</v>
      </c>
      <c r="AR123" s="473">
        <f t="shared" si="13"/>
        <v>487.5310668267702</v>
      </c>
      <c r="AS123" s="474">
        <f t="shared" si="14"/>
        <v>618.32128774045941</v>
      </c>
      <c r="AT123" s="474">
        <f t="shared" si="15"/>
        <v>119.57760501627693</v>
      </c>
      <c r="AU123" s="474">
        <f t="shared" si="16"/>
        <v>0</v>
      </c>
      <c r="AV123" s="474">
        <f t="shared" si="17"/>
        <v>0</v>
      </c>
      <c r="AW123" s="474">
        <f t="shared" si="18"/>
        <v>0</v>
      </c>
      <c r="AX123" s="474">
        <f t="shared" si="19"/>
        <v>835.09008517852021</v>
      </c>
      <c r="AY123" s="474">
        <f t="shared" si="20"/>
        <v>67.266055085652098</v>
      </c>
      <c r="AZ123" s="474">
        <f t="shared" si="21"/>
        <v>18.90850575719179</v>
      </c>
      <c r="BA123" s="474">
        <f t="shared" si="22"/>
        <v>48.836987268048027</v>
      </c>
      <c r="BB123" s="474">
        <f t="shared" si="23"/>
        <v>33.274703519239615</v>
      </c>
      <c r="BC123" s="475">
        <f t="shared" si="51"/>
        <v>2228.8062963921589</v>
      </c>
      <c r="BD123" s="647">
        <f t="shared" si="52"/>
        <v>0</v>
      </c>
      <c r="BE123" s="383">
        <f t="shared" si="53"/>
        <v>0.21874088727044275</v>
      </c>
      <c r="BF123" s="383">
        <f t="shared" si="54"/>
        <v>0.27742262247794086</v>
      </c>
      <c r="BG123" s="383">
        <f t="shared" si="55"/>
        <v>5.3650963392306045E-2</v>
      </c>
      <c r="BH123" s="383">
        <f t="shared" si="56"/>
        <v>0</v>
      </c>
      <c r="BI123" s="383">
        <f t="shared" si="57"/>
        <v>0</v>
      </c>
      <c r="BJ123" s="383">
        <f t="shared" si="58"/>
        <v>0</v>
      </c>
      <c r="BK123" s="383">
        <f t="shared" si="59"/>
        <v>0.45018552685931013</v>
      </c>
      <c r="BL123" s="383">
        <f t="shared" si="60"/>
        <v>0.99999999999999978</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72.52634813795639</v>
      </c>
      <c r="BW123" s="100">
        <f t="shared" si="63"/>
        <v>0.78053840604742564</v>
      </c>
      <c r="BX123" s="1385">
        <f t="shared" si="24"/>
        <v>1.4396032245681447</v>
      </c>
      <c r="BY123" s="473">
        <f t="shared" si="64"/>
        <v>72.52634813795639</v>
      </c>
      <c r="BZ123" s="100">
        <f t="shared" si="65"/>
        <v>0.78053840604742564</v>
      </c>
      <c r="CA123" s="489">
        <f t="shared" si="25"/>
        <v>1.4396032245681447</v>
      </c>
      <c r="CB123" s="579">
        <f t="shared" si="26"/>
        <v>0.36157370370249042</v>
      </c>
      <c r="CC123" s="471">
        <f t="shared" si="66"/>
        <v>0.41419141332929277</v>
      </c>
      <c r="CD123" s="100">
        <f t="shared" si="27"/>
        <v>0.36157370370249042</v>
      </c>
      <c r="CE123" s="471">
        <f t="shared" si="67"/>
        <v>0.41419141332929277</v>
      </c>
      <c r="CG123" s="473">
        <f t="shared" si="68"/>
        <v>1924.2680854799653</v>
      </c>
      <c r="CH123" s="474">
        <f t="shared" si="69"/>
        <v>847.34981215825007</v>
      </c>
      <c r="CI123" s="474">
        <f t="shared" si="70"/>
        <v>3227.1283995097301</v>
      </c>
      <c r="CJ123" s="474">
        <f t="shared" si="71"/>
        <v>4085.1389396727432</v>
      </c>
      <c r="CK123" s="474">
        <f t="shared" si="72"/>
        <v>49.168608543052834</v>
      </c>
      <c r="CL123" s="474">
        <f t="shared" si="73"/>
        <v>10133.05384536374</v>
      </c>
      <c r="CM123" s="576">
        <f t="shared" si="74"/>
        <v>0</v>
      </c>
    </row>
    <row r="124" spans="1:91">
      <c r="A124" s="89">
        <f>'Input data'!A144</f>
        <v>2044</v>
      </c>
      <c r="B124" s="152">
        <f>'Input data'!B144</f>
        <v>73.016657364175842</v>
      </c>
      <c r="C124" s="204">
        <f>'Input data'!C144</f>
        <v>7589.87</v>
      </c>
      <c r="D124" s="204">
        <f>'Input data'!D144</f>
        <v>1312337.2980758694</v>
      </c>
      <c r="E124" s="579">
        <f t="shared" si="89"/>
        <v>1</v>
      </c>
      <c r="F124" s="100">
        <f t="shared" si="89"/>
        <v>0.37</v>
      </c>
      <c r="G124" s="475">
        <f>B124*F124*'Input data'!$C$9</f>
        <v>826.88615122605495</v>
      </c>
      <c r="H124" s="301">
        <f>'Input data'!I144</f>
        <v>424.26313389388866</v>
      </c>
      <c r="I124" s="474">
        <f>'Input data'!K144</f>
        <v>30978.275879781526</v>
      </c>
      <c r="J124" s="474">
        <f t="shared" si="91"/>
        <v>2228.8062963921584</v>
      </c>
      <c r="K124" s="475">
        <f t="shared" si="77"/>
        <v>12167.369995591742</v>
      </c>
      <c r="L124" s="100">
        <f t="shared" si="90"/>
        <v>0.7</v>
      </c>
      <c r="M124" s="100">
        <f t="shared" si="88"/>
        <v>0.6</v>
      </c>
      <c r="N124" s="100">
        <f t="shared" si="88"/>
        <v>0.9</v>
      </c>
      <c r="O124" s="100">
        <f t="shared" si="88"/>
        <v>0.9</v>
      </c>
      <c r="P124" s="100">
        <f t="shared" si="88"/>
        <v>0.23600000000000002</v>
      </c>
      <c r="Q124" s="473">
        <f t="shared" si="33"/>
        <v>331.69595611687964</v>
      </c>
      <c r="R124" s="474">
        <f t="shared" si="34"/>
        <v>231.46774746501228</v>
      </c>
      <c r="S124" s="474">
        <f t="shared" si="35"/>
        <v>677.83342204760402</v>
      </c>
      <c r="T124" s="474">
        <f t="shared" si="36"/>
        <v>456.41059372266773</v>
      </c>
      <c r="U124" s="475">
        <f t="shared" si="37"/>
        <v>0</v>
      </c>
      <c r="V124" s="474">
        <f t="shared" si="38"/>
        <v>1697.4077193521637</v>
      </c>
      <c r="W124" s="579">
        <f t="shared" si="87"/>
        <v>0.5</v>
      </c>
      <c r="X124" s="475">
        <f t="shared" si="39"/>
        <v>3033.4854703020706</v>
      </c>
      <c r="Y124" s="473">
        <f t="shared" si="78"/>
        <v>4730.8931896542344</v>
      </c>
      <c r="Z124" s="474">
        <f t="shared" si="79"/>
        <v>9665.2831023296658</v>
      </c>
      <c r="AA124" s="475">
        <f t="shared" si="80"/>
        <v>7436.4768059375074</v>
      </c>
      <c r="AB124" s="938">
        <f t="shared" si="40"/>
        <v>0.7694008263601777</v>
      </c>
      <c r="AC124" s="118" t="str">
        <f t="shared" si="41"/>
        <v>Yes</v>
      </c>
      <c r="AD124" s="938">
        <f t="shared" si="42"/>
        <v>0.7694008263601777</v>
      </c>
      <c r="AE124" s="579">
        <f t="shared" si="10"/>
        <v>0.36332197294239865</v>
      </c>
      <c r="AF124" s="475">
        <f t="shared" si="43"/>
        <v>270.11901504083602</v>
      </c>
      <c r="AG124" s="474">
        <f t="shared" si="44"/>
        <v>2228.8062963921584</v>
      </c>
      <c r="AH124" s="474">
        <f t="shared" si="81"/>
        <v>10189.004269071567</v>
      </c>
      <c r="AI124" s="474">
        <f t="shared" si="82"/>
        <v>6437.6604656145792</v>
      </c>
      <c r="AJ124" s="474">
        <f t="shared" si="11"/>
        <v>867.7165377070761</v>
      </c>
      <c r="AK124" s="474">
        <f t="shared" si="45"/>
        <v>19723.187568785383</v>
      </c>
      <c r="AL124" s="640">
        <f t="shared" si="12"/>
        <v>0</v>
      </c>
      <c r="AM124" s="100">
        <f t="shared" si="46"/>
        <v>0.11300436547688399</v>
      </c>
      <c r="AN124" s="100">
        <f t="shared" si="47"/>
        <v>0.51660028246129175</v>
      </c>
      <c r="AO124" s="100">
        <f t="shared" si="48"/>
        <v>0.32640061060936465</v>
      </c>
      <c r="AP124" s="100">
        <f t="shared" si="49"/>
        <v>4.3994741452459497E-2</v>
      </c>
      <c r="AQ124" s="100">
        <f t="shared" si="50"/>
        <v>0.99999999999999989</v>
      </c>
      <c r="AR124" s="473">
        <f t="shared" si="13"/>
        <v>488.38900790326136</v>
      </c>
      <c r="AS124" s="474">
        <f t="shared" si="14"/>
        <v>619.40938912992397</v>
      </c>
      <c r="AT124" s="474">
        <f t="shared" si="15"/>
        <v>119.3703809363999</v>
      </c>
      <c r="AU124" s="474">
        <f t="shared" si="16"/>
        <v>0</v>
      </c>
      <c r="AV124" s="474">
        <f t="shared" si="17"/>
        <v>0</v>
      </c>
      <c r="AW124" s="474">
        <f t="shared" si="18"/>
        <v>0</v>
      </c>
      <c r="AX124" s="474">
        <f t="shared" si="19"/>
        <v>833.64290136436045</v>
      </c>
      <c r="AY124" s="474">
        <f t="shared" si="20"/>
        <v>67.14948521146718</v>
      </c>
      <c r="AZ124" s="474">
        <f t="shared" si="21"/>
        <v>18.875737934932236</v>
      </c>
      <c r="BA124" s="474">
        <f t="shared" si="22"/>
        <v>48.752354365848539</v>
      </c>
      <c r="BB124" s="474">
        <f t="shared" si="23"/>
        <v>33.217039545964546</v>
      </c>
      <c r="BC124" s="475">
        <f t="shared" si="51"/>
        <v>2228.8062963921575</v>
      </c>
      <c r="BD124" s="647">
        <f t="shared" si="52"/>
        <v>0</v>
      </c>
      <c r="BE124" s="383">
        <f t="shared" si="53"/>
        <v>0.21912582026254718</v>
      </c>
      <c r="BF124" s="383">
        <f t="shared" si="54"/>
        <v>0.27791082165039754</v>
      </c>
      <c r="BG124" s="383">
        <f t="shared" si="55"/>
        <v>5.3557988026877293E-2</v>
      </c>
      <c r="BH124" s="383">
        <f t="shared" si="56"/>
        <v>0</v>
      </c>
      <c r="BI124" s="383">
        <f t="shared" si="57"/>
        <v>0</v>
      </c>
      <c r="BJ124" s="383">
        <f t="shared" si="58"/>
        <v>0</v>
      </c>
      <c r="BK124" s="383">
        <f t="shared" si="59"/>
        <v>0.44940537006017828</v>
      </c>
      <c r="BL124" s="383">
        <f t="shared" si="60"/>
        <v>1.0000000000000002</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73.605388627281442</v>
      </c>
      <c r="BW124" s="100">
        <f t="shared" si="63"/>
        <v>0.78375566975790967</v>
      </c>
      <c r="BX124" s="1385">
        <f t="shared" si="24"/>
        <v>1.3123372980758694</v>
      </c>
      <c r="BY124" s="473">
        <f t="shared" si="64"/>
        <v>73.605388627281442</v>
      </c>
      <c r="BZ124" s="100">
        <f t="shared" si="65"/>
        <v>0.78375566975790967</v>
      </c>
      <c r="CA124" s="489">
        <f t="shared" si="25"/>
        <v>1.3123372980758694</v>
      </c>
      <c r="CB124" s="579">
        <f t="shared" si="26"/>
        <v>0.36332197294239865</v>
      </c>
      <c r="CC124" s="471">
        <f t="shared" si="66"/>
        <v>0.41828468458581836</v>
      </c>
      <c r="CD124" s="100">
        <f t="shared" si="27"/>
        <v>0.36332197294239865</v>
      </c>
      <c r="CE124" s="471">
        <f t="shared" si="67"/>
        <v>0.41828468458581836</v>
      </c>
      <c r="CG124" s="473">
        <f t="shared" si="68"/>
        <v>1934.893077348464</v>
      </c>
      <c r="CH124" s="474">
        <f t="shared" si="69"/>
        <v>852.02851827611903</v>
      </c>
      <c r="CI124" s="474">
        <f t="shared" si="70"/>
        <v>3244.9472332066152</v>
      </c>
      <c r="CJ124" s="474">
        <f t="shared" si="71"/>
        <v>4107.6953435040132</v>
      </c>
      <c r="CK124" s="474">
        <f t="shared" si="72"/>
        <v>49.440096736354654</v>
      </c>
      <c r="CL124" s="474">
        <f t="shared" si="73"/>
        <v>10189.004269071567</v>
      </c>
      <c r="CM124" s="576">
        <f t="shared" si="74"/>
        <v>0</v>
      </c>
    </row>
    <row r="125" spans="1:91">
      <c r="A125" s="89">
        <f>'Input data'!A145</f>
        <v>2045</v>
      </c>
      <c r="B125" s="152">
        <f>'Input data'!B145</f>
        <v>73.40362603426334</v>
      </c>
      <c r="C125" s="204">
        <f>'Input data'!C145</f>
        <v>7808.4800000000005</v>
      </c>
      <c r="D125" s="204">
        <f>'Input data'!D145</f>
        <v>1185071.3715835942</v>
      </c>
      <c r="E125" s="579">
        <f t="shared" si="89"/>
        <v>1</v>
      </c>
      <c r="F125" s="100">
        <f t="shared" si="89"/>
        <v>0.37</v>
      </c>
      <c r="G125" s="475">
        <f>B125*F125*'Input data'!$C$9</f>
        <v>831.26842570703809</v>
      </c>
      <c r="H125" s="301">
        <f>'Input data'!I145</f>
        <v>424.26313389388866</v>
      </c>
      <c r="I125" s="474">
        <f>'Input data'!K145</f>
        <v>31142.4524204716</v>
      </c>
      <c r="J125" s="474">
        <f t="shared" si="91"/>
        <v>2228.8062963921584</v>
      </c>
      <c r="K125" s="475">
        <f t="shared" si="77"/>
        <v>12243.665862797345</v>
      </c>
      <c r="L125" s="100">
        <f t="shared" si="90"/>
        <v>0.7</v>
      </c>
      <c r="M125" s="100">
        <f t="shared" si="88"/>
        <v>0.6</v>
      </c>
      <c r="N125" s="100">
        <f t="shared" si="88"/>
        <v>0.9</v>
      </c>
      <c r="O125" s="100">
        <f t="shared" si="88"/>
        <v>0.9</v>
      </c>
      <c r="P125" s="100">
        <f t="shared" si="88"/>
        <v>0.23600000000000002</v>
      </c>
      <c r="Q125" s="473">
        <f t="shared" si="33"/>
        <v>333.45385558318594</v>
      </c>
      <c r="R125" s="474">
        <f t="shared" si="34"/>
        <v>232.69446434905069</v>
      </c>
      <c r="S125" s="474">
        <f t="shared" si="35"/>
        <v>681.42575710291021</v>
      </c>
      <c r="T125" s="474">
        <f t="shared" si="36"/>
        <v>458.8294472670832</v>
      </c>
      <c r="U125" s="475">
        <f t="shared" si="37"/>
        <v>0</v>
      </c>
      <c r="V125" s="474">
        <f t="shared" si="38"/>
        <v>1706.4035243022299</v>
      </c>
      <c r="W125" s="579">
        <f t="shared" si="87"/>
        <v>0.5</v>
      </c>
      <c r="X125" s="475">
        <f t="shared" si="39"/>
        <v>3033.4854703020706</v>
      </c>
      <c r="Y125" s="473">
        <f t="shared" si="78"/>
        <v>4739.8889946043</v>
      </c>
      <c r="Z125" s="474">
        <f t="shared" si="79"/>
        <v>9732.5831645852031</v>
      </c>
      <c r="AA125" s="475">
        <f t="shared" si="80"/>
        <v>7503.7768681930447</v>
      </c>
      <c r="AB125" s="938">
        <f t="shared" si="40"/>
        <v>0.77099540186799431</v>
      </c>
      <c r="AC125" s="118" t="str">
        <f t="shared" si="41"/>
        <v>Yes</v>
      </c>
      <c r="AD125" s="938">
        <f t="shared" si="42"/>
        <v>0.77099540186799431</v>
      </c>
      <c r="AE125" s="579">
        <f t="shared" si="10"/>
        <v>0.36499049722876975</v>
      </c>
      <c r="AF125" s="475">
        <f t="shared" si="43"/>
        <v>269.41112169812209</v>
      </c>
      <c r="AG125" s="474">
        <f t="shared" si="44"/>
        <v>2228.8062963921584</v>
      </c>
      <c r="AH125" s="474">
        <f t="shared" si="81"/>
        <v>10243.003254698275</v>
      </c>
      <c r="AI125" s="474">
        <f t="shared" si="82"/>
        <v>6437.6604656145792</v>
      </c>
      <c r="AJ125" s="474">
        <f t="shared" si="11"/>
        <v>866.28320989535655</v>
      </c>
      <c r="AK125" s="474">
        <f t="shared" si="45"/>
        <v>19775.753226600365</v>
      </c>
      <c r="AL125" s="640">
        <f t="shared" si="12"/>
        <v>0</v>
      </c>
      <c r="AM125" s="100">
        <f t="shared" si="46"/>
        <v>0.11270399012636298</v>
      </c>
      <c r="AN125" s="100">
        <f t="shared" si="47"/>
        <v>0.51795767965593398</v>
      </c>
      <c r="AO125" s="100">
        <f t="shared" si="48"/>
        <v>0.32553300963299248</v>
      </c>
      <c r="AP125" s="100">
        <f t="shared" si="49"/>
        <v>4.3805320584710726E-2</v>
      </c>
      <c r="AQ125" s="100">
        <f t="shared" si="50"/>
        <v>1.0000000000000002</v>
      </c>
      <c r="AR125" s="473">
        <f t="shared" si="13"/>
        <v>489.20536744731686</v>
      </c>
      <c r="AS125" s="474">
        <f t="shared" si="14"/>
        <v>620.44475388693343</v>
      </c>
      <c r="AT125" s="474">
        <f t="shared" si="15"/>
        <v>119.17320031409226</v>
      </c>
      <c r="AU125" s="474">
        <f t="shared" si="16"/>
        <v>0</v>
      </c>
      <c r="AV125" s="474">
        <f t="shared" si="17"/>
        <v>0</v>
      </c>
      <c r="AW125" s="474">
        <f t="shared" si="18"/>
        <v>0</v>
      </c>
      <c r="AX125" s="474">
        <f t="shared" si="19"/>
        <v>832.26585770592612</v>
      </c>
      <c r="AY125" s="474">
        <f t="shared" si="20"/>
        <v>67.038565088922823</v>
      </c>
      <c r="AZ125" s="474">
        <f t="shared" si="21"/>
        <v>18.844558259343341</v>
      </c>
      <c r="BA125" s="474">
        <f t="shared" si="22"/>
        <v>48.671823337151032</v>
      </c>
      <c r="BB125" s="474">
        <f t="shared" si="23"/>
        <v>33.162170352471904</v>
      </c>
      <c r="BC125" s="475">
        <f t="shared" si="51"/>
        <v>2228.8062963921584</v>
      </c>
      <c r="BD125" s="647">
        <f t="shared" si="52"/>
        <v>0</v>
      </c>
      <c r="BE125" s="383">
        <f t="shared" si="53"/>
        <v>0.21949209684090071</v>
      </c>
      <c r="BF125" s="383">
        <f t="shared" si="54"/>
        <v>0.2783753594429752</v>
      </c>
      <c r="BG125" s="383">
        <f t="shared" si="55"/>
        <v>5.3469518866220818E-2</v>
      </c>
      <c r="BH125" s="383">
        <f t="shared" si="56"/>
        <v>0</v>
      </c>
      <c r="BI125" s="383">
        <f t="shared" si="57"/>
        <v>0</v>
      </c>
      <c r="BJ125" s="383">
        <f t="shared" si="58"/>
        <v>0</v>
      </c>
      <c r="BK125" s="383">
        <f t="shared" si="59"/>
        <v>0.448663024849903</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74.727980742988066</v>
      </c>
      <c r="BW125" s="100">
        <f t="shared" si="63"/>
        <v>0.78700417423752278</v>
      </c>
      <c r="BX125" s="1385">
        <f t="shared" si="24"/>
        <v>1.1850713715835943</v>
      </c>
      <c r="BY125" s="473">
        <f t="shared" si="64"/>
        <v>74.727980742988066</v>
      </c>
      <c r="BZ125" s="100">
        <f t="shared" si="65"/>
        <v>0.78700417423752278</v>
      </c>
      <c r="CA125" s="489">
        <f t="shared" si="25"/>
        <v>1.1850713715835943</v>
      </c>
      <c r="CB125" s="579">
        <f t="shared" si="26"/>
        <v>0.36499049722876975</v>
      </c>
      <c r="CC125" s="471">
        <f t="shared" si="66"/>
        <v>0.4223414227318022</v>
      </c>
      <c r="CD125" s="100">
        <f t="shared" si="27"/>
        <v>0.36499049722876975</v>
      </c>
      <c r="CE125" s="471">
        <f t="shared" si="67"/>
        <v>0.4223414227318022</v>
      </c>
      <c r="CG125" s="473">
        <f t="shared" si="68"/>
        <v>1945.1474909019169</v>
      </c>
      <c r="CH125" s="474">
        <f t="shared" si="69"/>
        <v>856.54404054865324</v>
      </c>
      <c r="CI125" s="474">
        <f t="shared" si="70"/>
        <v>3262.1445818756351</v>
      </c>
      <c r="CJ125" s="474">
        <f t="shared" si="71"/>
        <v>4129.4650254037524</v>
      </c>
      <c r="CK125" s="474">
        <f t="shared" si="72"/>
        <v>49.702115968317628</v>
      </c>
      <c r="CL125" s="474">
        <f t="shared" si="73"/>
        <v>10243.003254698275</v>
      </c>
      <c r="CM125" s="576">
        <f t="shared" si="74"/>
        <v>0</v>
      </c>
    </row>
    <row r="126" spans="1:91">
      <c r="A126" s="89">
        <f>'Input data'!A146</f>
        <v>2046</v>
      </c>
      <c r="B126" s="152">
        <f>'Input data'!B146</f>
        <v>73.776422042674071</v>
      </c>
      <c r="C126" s="204">
        <f>'Input data'!C146</f>
        <v>8042.25</v>
      </c>
      <c r="D126" s="204">
        <f>'Input data'!D146</f>
        <v>990067.58809674683</v>
      </c>
      <c r="E126" s="579">
        <f t="shared" si="89"/>
        <v>1</v>
      </c>
      <c r="F126" s="100">
        <f t="shared" si="89"/>
        <v>0.37</v>
      </c>
      <c r="G126" s="475">
        <f>B126*F126*'Input data'!$C$9</f>
        <v>835.4902001310536</v>
      </c>
      <c r="H126" s="301">
        <f>'Input data'!I146</f>
        <v>424.26313389388866</v>
      </c>
      <c r="I126" s="474">
        <f>'Input data'!K146</f>
        <v>31300.616023303068</v>
      </c>
      <c r="J126" s="474">
        <f t="shared" si="91"/>
        <v>2228.8062963921584</v>
      </c>
      <c r="K126" s="475">
        <f t="shared" si="77"/>
        <v>12317.167406852714</v>
      </c>
      <c r="L126" s="100">
        <f t="shared" si="90"/>
        <v>0.7</v>
      </c>
      <c r="M126" s="100">
        <f t="shared" si="88"/>
        <v>0.6</v>
      </c>
      <c r="N126" s="100">
        <f t="shared" si="88"/>
        <v>0.9</v>
      </c>
      <c r="O126" s="100">
        <f t="shared" si="88"/>
        <v>0.9</v>
      </c>
      <c r="P126" s="100">
        <f t="shared" si="88"/>
        <v>0.23600000000000002</v>
      </c>
      <c r="Q126" s="473">
        <f t="shared" si="33"/>
        <v>335.1473722807475</v>
      </c>
      <c r="R126" s="474">
        <f t="shared" si="34"/>
        <v>233.87625293600843</v>
      </c>
      <c r="S126" s="474">
        <f t="shared" si="35"/>
        <v>684.88652349826043</v>
      </c>
      <c r="T126" s="474">
        <f t="shared" si="36"/>
        <v>461.15971071214244</v>
      </c>
      <c r="U126" s="475">
        <f t="shared" si="37"/>
        <v>0</v>
      </c>
      <c r="V126" s="474">
        <f t="shared" si="38"/>
        <v>1715.0698594271589</v>
      </c>
      <c r="W126" s="579">
        <f t="shared" si="87"/>
        <v>0.5</v>
      </c>
      <c r="X126" s="475">
        <f t="shared" si="39"/>
        <v>3033.4854703020706</v>
      </c>
      <c r="Y126" s="473">
        <f t="shared" si="78"/>
        <v>4748.5553297292299</v>
      </c>
      <c r="Z126" s="474">
        <f t="shared" si="79"/>
        <v>9797.4183735156421</v>
      </c>
      <c r="AA126" s="475">
        <f t="shared" si="80"/>
        <v>7568.6120771234837</v>
      </c>
      <c r="AB126" s="938">
        <f t="shared" si="40"/>
        <v>0.77251085832804056</v>
      </c>
      <c r="AC126" s="118" t="str">
        <f t="shared" si="41"/>
        <v>Yes</v>
      </c>
      <c r="AD126" s="938">
        <f t="shared" si="42"/>
        <v>0.77251085832804056</v>
      </c>
      <c r="AE126" s="579">
        <f t="shared" si="10"/>
        <v>0.36658076364000425</v>
      </c>
      <c r="AF126" s="475">
        <f t="shared" si="43"/>
        <v>268.7364302867656</v>
      </c>
      <c r="AG126" s="474">
        <f t="shared" si="44"/>
        <v>2228.8062963921584</v>
      </c>
      <c r="AH126" s="474">
        <f t="shared" si="81"/>
        <v>10295.024536667468</v>
      </c>
      <c r="AI126" s="474">
        <f t="shared" si="82"/>
        <v>6437.6604656145792</v>
      </c>
      <c r="AJ126" s="474">
        <f t="shared" si="11"/>
        <v>864.92100040387356</v>
      </c>
      <c r="AK126" s="474">
        <f t="shared" si="45"/>
        <v>19826.412299078078</v>
      </c>
      <c r="AL126" s="640">
        <f t="shared" si="12"/>
        <v>0</v>
      </c>
      <c r="AM126" s="100">
        <f t="shared" si="46"/>
        <v>0.11241601671401726</v>
      </c>
      <c r="AN126" s="100">
        <f t="shared" si="47"/>
        <v>0.51925806753984349</v>
      </c>
      <c r="AO126" s="100">
        <f t="shared" si="48"/>
        <v>0.32470123028329884</v>
      </c>
      <c r="AP126" s="100">
        <f t="shared" si="49"/>
        <v>4.3624685462840505E-2</v>
      </c>
      <c r="AQ126" s="100">
        <f t="shared" si="50"/>
        <v>1.0000000000000002</v>
      </c>
      <c r="AR126" s="473">
        <f t="shared" si="13"/>
        <v>489.98122117057733</v>
      </c>
      <c r="AS126" s="474">
        <f t="shared" si="14"/>
        <v>621.42874630486722</v>
      </c>
      <c r="AT126" s="474">
        <f t="shared" si="15"/>
        <v>118.98580332573565</v>
      </c>
      <c r="AU126" s="474">
        <f t="shared" si="16"/>
        <v>0</v>
      </c>
      <c r="AV126" s="474">
        <f t="shared" si="17"/>
        <v>0</v>
      </c>
      <c r="AW126" s="474">
        <f t="shared" si="18"/>
        <v>0</v>
      </c>
      <c r="AX126" s="474">
        <f t="shared" si="19"/>
        <v>830.95713968178109</v>
      </c>
      <c r="AY126" s="474">
        <f t="shared" si="20"/>
        <v>66.933148559297834</v>
      </c>
      <c r="AZ126" s="474">
        <f t="shared" si="21"/>
        <v>18.814925645169954</v>
      </c>
      <c r="BA126" s="474">
        <f t="shared" si="22"/>
        <v>48.595288066744992</v>
      </c>
      <c r="BB126" s="474">
        <f t="shared" si="23"/>
        <v>33.110023637983723</v>
      </c>
      <c r="BC126" s="475">
        <f t="shared" si="51"/>
        <v>2228.8062963921579</v>
      </c>
      <c r="BD126" s="647">
        <f t="shared" si="52"/>
        <v>0</v>
      </c>
      <c r="BE126" s="383">
        <f t="shared" si="53"/>
        <v>0.21984019964575927</v>
      </c>
      <c r="BF126" s="383">
        <f t="shared" si="54"/>
        <v>0.27881684797409018</v>
      </c>
      <c r="BG126" s="383">
        <f t="shared" si="55"/>
        <v>5.3385439335101433E-2</v>
      </c>
      <c r="BH126" s="383">
        <f t="shared" si="56"/>
        <v>0</v>
      </c>
      <c r="BI126" s="383">
        <f t="shared" si="57"/>
        <v>0</v>
      </c>
      <c r="BJ126" s="383">
        <f t="shared" si="58"/>
        <v>0</v>
      </c>
      <c r="BK126" s="383">
        <f t="shared" si="59"/>
        <v>0.44795751304504905</v>
      </c>
      <c r="BL126" s="383">
        <f t="shared" si="60"/>
        <v>0.99999999999999989</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75.899304727741267</v>
      </c>
      <c r="BW126" s="100">
        <f t="shared" si="63"/>
        <v>0.79029125466945604</v>
      </c>
      <c r="BX126" s="1385">
        <f t="shared" si="24"/>
        <v>0.99006758809674678</v>
      </c>
      <c r="BY126" s="473">
        <f t="shared" si="64"/>
        <v>75.899304727741267</v>
      </c>
      <c r="BZ126" s="100">
        <f t="shared" si="65"/>
        <v>0.79029125466945604</v>
      </c>
      <c r="CA126" s="489">
        <f t="shared" si="25"/>
        <v>0.99006758809674678</v>
      </c>
      <c r="CB126" s="579">
        <f t="shared" si="26"/>
        <v>0.36658076364000425</v>
      </c>
      <c r="CC126" s="471">
        <f t="shared" si="66"/>
        <v>0.42634516534026512</v>
      </c>
      <c r="CD126" s="100">
        <f t="shared" si="27"/>
        <v>0.36658076364000425</v>
      </c>
      <c r="CE126" s="471">
        <f t="shared" si="67"/>
        <v>0.42634516534026512</v>
      </c>
      <c r="CG126" s="473">
        <f t="shared" si="68"/>
        <v>1955.0263383043587</v>
      </c>
      <c r="CH126" s="474">
        <f t="shared" si="69"/>
        <v>860.89418258653404</v>
      </c>
      <c r="CI126" s="474">
        <f t="shared" si="70"/>
        <v>3278.712080576779</v>
      </c>
      <c r="CJ126" s="474">
        <f t="shared" si="71"/>
        <v>4150.4373964092883</v>
      </c>
      <c r="CK126" s="474">
        <f t="shared" si="72"/>
        <v>49.954538790507733</v>
      </c>
      <c r="CL126" s="474">
        <f t="shared" si="73"/>
        <v>10295.024536667466</v>
      </c>
      <c r="CM126" s="576">
        <f t="shared" si="74"/>
        <v>0</v>
      </c>
    </row>
    <row r="127" spans="1:91" s="1" customFormat="1">
      <c r="A127" s="89">
        <f>'Input data'!A147</f>
        <v>2047</v>
      </c>
      <c r="B127" s="152">
        <f>'Input data'!B147</f>
        <v>74.134805489166112</v>
      </c>
      <c r="C127" s="204">
        <f>'Input data'!C147</f>
        <v>8187.4100000000008</v>
      </c>
      <c r="D127" s="204">
        <f>'Input data'!D147</f>
        <v>795063.80460989953</v>
      </c>
      <c r="E127" s="579">
        <f t="shared" si="89"/>
        <v>1</v>
      </c>
      <c r="F127" s="100">
        <f t="shared" si="89"/>
        <v>0.37</v>
      </c>
      <c r="G127" s="475">
        <f>B127*F127*'Input data'!$C$9</f>
        <v>839.54875771819297</v>
      </c>
      <c r="H127" s="301">
        <f>'Input data'!I147</f>
        <v>424.26313389388866</v>
      </c>
      <c r="I127" s="474">
        <f>'Input data'!K147</f>
        <v>31452.664907447474</v>
      </c>
      <c r="J127" s="474">
        <f t="shared" si="91"/>
        <v>2228.8062963921584</v>
      </c>
      <c r="K127" s="475">
        <f t="shared" si="77"/>
        <v>12387.8273283292</v>
      </c>
      <c r="L127" s="100">
        <f t="shared" si="90"/>
        <v>0.7</v>
      </c>
      <c r="M127" s="100">
        <f t="shared" si="90"/>
        <v>0.6</v>
      </c>
      <c r="N127" s="100">
        <f t="shared" si="90"/>
        <v>0.9</v>
      </c>
      <c r="O127" s="100">
        <f t="shared" si="90"/>
        <v>0.9</v>
      </c>
      <c r="P127" s="100">
        <f t="shared" si="90"/>
        <v>0.23600000000000002</v>
      </c>
      <c r="Q127" s="473">
        <f t="shared" si="33"/>
        <v>336.77541640426466</v>
      </c>
      <c r="R127" s="474">
        <f t="shared" si="34"/>
        <v>235.01235272587587</v>
      </c>
      <c r="S127" s="474">
        <f t="shared" si="35"/>
        <v>688.21349417468173</v>
      </c>
      <c r="T127" s="474">
        <f t="shared" si="36"/>
        <v>463.39988449574957</v>
      </c>
      <c r="U127" s="475">
        <f t="shared" si="37"/>
        <v>0</v>
      </c>
      <c r="V127" s="474">
        <f t="shared" si="38"/>
        <v>1723.4011478005718</v>
      </c>
      <c r="W127" s="579">
        <f t="shared" si="87"/>
        <v>0.5</v>
      </c>
      <c r="X127" s="475">
        <f t="shared" si="39"/>
        <v>3033.4854703020706</v>
      </c>
      <c r="Y127" s="473">
        <f t="shared" si="78"/>
        <v>4756.8866181026424</v>
      </c>
      <c r="Z127" s="474">
        <f t="shared" si="79"/>
        <v>9859.7470066187161</v>
      </c>
      <c r="AA127" s="475">
        <f t="shared" si="80"/>
        <v>7630.9407102265577</v>
      </c>
      <c r="AB127" s="938">
        <f t="shared" si="40"/>
        <v>0.77394893652991392</v>
      </c>
      <c r="AC127" s="118" t="str">
        <f t="shared" si="41"/>
        <v>Yes</v>
      </c>
      <c r="AD127" s="938">
        <f t="shared" si="42"/>
        <v>0.77394893652991392</v>
      </c>
      <c r="AE127" s="579">
        <f t="shared" si="10"/>
        <v>0.36809393406209001</v>
      </c>
      <c r="AF127" s="475">
        <f t="shared" si="43"/>
        <v>268.09444786137595</v>
      </c>
      <c r="AG127" s="474">
        <f t="shared" si="44"/>
        <v>2228.8062963921584</v>
      </c>
      <c r="AH127" s="474">
        <f t="shared" si="81"/>
        <v>10345.034638445472</v>
      </c>
      <c r="AI127" s="474">
        <f t="shared" si="82"/>
        <v>6437.6604656145792</v>
      </c>
      <c r="AJ127" s="474">
        <f t="shared" si="11"/>
        <v>863.62834447628131</v>
      </c>
      <c r="AK127" s="474">
        <f t="shared" si="45"/>
        <v>19875.12974492849</v>
      </c>
      <c r="AL127" s="640">
        <f t="shared" si="12"/>
        <v>0</v>
      </c>
      <c r="AM127" s="100">
        <f t="shared" si="46"/>
        <v>0.11214046524455418</v>
      </c>
      <c r="AN127" s="100">
        <f t="shared" si="47"/>
        <v>0.52050148961091436</v>
      </c>
      <c r="AO127" s="100">
        <f t="shared" si="48"/>
        <v>0.32390533034166824</v>
      </c>
      <c r="AP127" s="100">
        <f t="shared" si="49"/>
        <v>4.3452714802863224E-2</v>
      </c>
      <c r="AQ127" s="100">
        <f t="shared" si="50"/>
        <v>1</v>
      </c>
      <c r="AR127" s="473">
        <f t="shared" si="13"/>
        <v>490.71746028841352</v>
      </c>
      <c r="AS127" s="474">
        <f t="shared" si="14"/>
        <v>622.36249668592131</v>
      </c>
      <c r="AT127" s="474">
        <f t="shared" si="15"/>
        <v>118.80797471029395</v>
      </c>
      <c r="AU127" s="474">
        <f t="shared" si="16"/>
        <v>0</v>
      </c>
      <c r="AV127" s="474">
        <f t="shared" si="17"/>
        <v>0</v>
      </c>
      <c r="AW127" s="474">
        <f t="shared" si="18"/>
        <v>0</v>
      </c>
      <c r="AX127" s="474">
        <f t="shared" si="19"/>
        <v>829.71524398069039</v>
      </c>
      <c r="AY127" s="474">
        <f t="shared" si="20"/>
        <v>66.833114531684686</v>
      </c>
      <c r="AZ127" s="474">
        <f t="shared" si="21"/>
        <v>18.786806053726245</v>
      </c>
      <c r="BA127" s="474">
        <f t="shared" si="22"/>
        <v>48.522660639334475</v>
      </c>
      <c r="BB127" s="474">
        <f t="shared" si="23"/>
        <v>33.060539502093427</v>
      </c>
      <c r="BC127" s="475">
        <f t="shared" si="51"/>
        <v>2228.8062963921579</v>
      </c>
      <c r="BD127" s="647">
        <f t="shared" si="52"/>
        <v>0</v>
      </c>
      <c r="BE127" s="383">
        <f t="shared" si="53"/>
        <v>0.22017052853931451</v>
      </c>
      <c r="BF127" s="383">
        <f t="shared" si="54"/>
        <v>0.27923579437717849</v>
      </c>
      <c r="BG127" s="383">
        <f t="shared" si="55"/>
        <v>5.3305652852207175E-2</v>
      </c>
      <c r="BH127" s="383">
        <f t="shared" si="56"/>
        <v>0</v>
      </c>
      <c r="BI127" s="383">
        <f t="shared" si="57"/>
        <v>0</v>
      </c>
      <c r="BJ127" s="383">
        <f t="shared" si="58"/>
        <v>0</v>
      </c>
      <c r="BK127" s="383">
        <f t="shared" si="59"/>
        <v>0.44728802423129987</v>
      </c>
      <c r="BL127" s="383">
        <f t="shared" si="60"/>
        <v>1</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76.614335235849452</v>
      </c>
      <c r="BW127" s="100">
        <f t="shared" si="63"/>
        <v>0.79224843605420403</v>
      </c>
      <c r="BX127" s="1385">
        <f t="shared" si="24"/>
        <v>0.79506380460989956</v>
      </c>
      <c r="BY127" s="473">
        <f t="shared" si="64"/>
        <v>76.614335235849452</v>
      </c>
      <c r="BZ127" s="100">
        <f t="shared" si="65"/>
        <v>0.79224843605420403</v>
      </c>
      <c r="CA127" s="489">
        <f t="shared" si="25"/>
        <v>0.79506380460989956</v>
      </c>
      <c r="CB127" s="579">
        <f t="shared" si="26"/>
        <v>0.36809393406209001</v>
      </c>
      <c r="CC127" s="471">
        <f t="shared" si="66"/>
        <v>0.42859765533045768</v>
      </c>
      <c r="CD127" s="100">
        <f t="shared" si="27"/>
        <v>0.36809393406209001</v>
      </c>
      <c r="CE127" s="471">
        <f t="shared" si="67"/>
        <v>0.42859765533045768</v>
      </c>
      <c r="CG127" s="473">
        <f t="shared" si="68"/>
        <v>1964.523262358211</v>
      </c>
      <c r="CH127" s="474">
        <f t="shared" si="69"/>
        <v>865.07614500322393</v>
      </c>
      <c r="CI127" s="474">
        <f t="shared" si="70"/>
        <v>3294.6390678575194</v>
      </c>
      <c r="CJ127" s="474">
        <f t="shared" si="71"/>
        <v>4170.598960461748</v>
      </c>
      <c r="CK127" s="474">
        <f t="shared" si="72"/>
        <v>50.197202764769145</v>
      </c>
      <c r="CL127" s="474">
        <f t="shared" si="73"/>
        <v>10345.034638445472</v>
      </c>
      <c r="CM127" s="576">
        <f t="shared" si="74"/>
        <v>0</v>
      </c>
    </row>
    <row r="128" spans="1:91">
      <c r="A128" s="89">
        <f>'Input data'!A148</f>
        <v>2048</v>
      </c>
      <c r="B128" s="152">
        <f>'Input data'!B148</f>
        <v>74.478544758379343</v>
      </c>
      <c r="C128" s="204">
        <f>'Input data'!C148</f>
        <v>8322.6399999999976</v>
      </c>
      <c r="D128" s="204">
        <f>'Input data'!D148</f>
        <v>600060.02112305223</v>
      </c>
      <c r="E128" s="579">
        <f t="shared" ref="E128:F130" si="93">E127</f>
        <v>1</v>
      </c>
      <c r="F128" s="100">
        <f t="shared" si="93"/>
        <v>0.37</v>
      </c>
      <c r="G128" s="475">
        <f>B128*F128*'Input data'!$C$9</f>
        <v>843.44147551171443</v>
      </c>
      <c r="H128" s="301">
        <f>'Input data'!I148</f>
        <v>424.26313389388866</v>
      </c>
      <c r="I128" s="474">
        <f>'Input data'!K148</f>
        <v>31598.500807046275</v>
      </c>
      <c r="J128" s="474">
        <f t="shared" si="91"/>
        <v>2228.8062963921584</v>
      </c>
      <c r="K128" s="475">
        <f t="shared" si="77"/>
        <v>12455.599961269521</v>
      </c>
      <c r="L128" s="100">
        <f t="shared" ref="L128:P130" si="94">L127</f>
        <v>0.7</v>
      </c>
      <c r="M128" s="100">
        <f t="shared" si="94"/>
        <v>0.6</v>
      </c>
      <c r="N128" s="100">
        <f t="shared" si="94"/>
        <v>0.9</v>
      </c>
      <c r="O128" s="100">
        <f t="shared" si="94"/>
        <v>0.9</v>
      </c>
      <c r="P128" s="100">
        <f t="shared" si="94"/>
        <v>0.23600000000000002</v>
      </c>
      <c r="Q128" s="473">
        <f t="shared" si="33"/>
        <v>338.33693578453358</v>
      </c>
      <c r="R128" s="474">
        <f t="shared" si="34"/>
        <v>236.10202948227982</v>
      </c>
      <c r="S128" s="474">
        <f t="shared" si="35"/>
        <v>691.40451898400488</v>
      </c>
      <c r="T128" s="474">
        <f t="shared" si="36"/>
        <v>465.54852084272579</v>
      </c>
      <c r="U128" s="475">
        <f t="shared" si="37"/>
        <v>0</v>
      </c>
      <c r="V128" s="474">
        <f t="shared" si="38"/>
        <v>1731.392005093544</v>
      </c>
      <c r="W128" s="579">
        <f t="shared" si="87"/>
        <v>0.5</v>
      </c>
      <c r="X128" s="475">
        <f t="shared" si="39"/>
        <v>3033.4854703020706</v>
      </c>
      <c r="Y128" s="473">
        <f t="shared" si="78"/>
        <v>4764.877475395615</v>
      </c>
      <c r="Z128" s="474">
        <f t="shared" si="79"/>
        <v>9919.5287822660648</v>
      </c>
      <c r="AA128" s="475">
        <f t="shared" si="80"/>
        <v>7690.7224858739064</v>
      </c>
      <c r="AB128" s="938">
        <f t="shared" si="40"/>
        <v>0.77531127281199352</v>
      </c>
      <c r="AC128" s="118" t="str">
        <f t="shared" si="41"/>
        <v>Yes</v>
      </c>
      <c r="AD128" s="938">
        <f t="shared" si="42"/>
        <v>0.77531127281199352</v>
      </c>
      <c r="AE128" s="579">
        <f t="shared" si="10"/>
        <v>0.36953110862747474</v>
      </c>
      <c r="AF128" s="475">
        <f t="shared" si="43"/>
        <v>267.48470767631323</v>
      </c>
      <c r="AG128" s="474">
        <f t="shared" si="44"/>
        <v>2228.8062963921584</v>
      </c>
      <c r="AH128" s="474">
        <f t="shared" si="81"/>
        <v>10393.001239600504</v>
      </c>
      <c r="AI128" s="474">
        <f t="shared" si="82"/>
        <v>6437.6604656145792</v>
      </c>
      <c r="AJ128" s="474">
        <f t="shared" si="11"/>
        <v>862.4037712450687</v>
      </c>
      <c r="AK128" s="474">
        <f t="shared" si="45"/>
        <v>19921.871772852312</v>
      </c>
      <c r="AL128" s="640">
        <f t="shared" si="12"/>
        <v>0</v>
      </c>
      <c r="AM128" s="100">
        <f t="shared" si="46"/>
        <v>0.11187735378506802</v>
      </c>
      <c r="AN128" s="100">
        <f t="shared" si="47"/>
        <v>0.52168798986865916</v>
      </c>
      <c r="AO128" s="100">
        <f t="shared" si="48"/>
        <v>0.32314536199290411</v>
      </c>
      <c r="AP128" s="100">
        <f t="shared" si="49"/>
        <v>4.328929435336859E-2</v>
      </c>
      <c r="AQ128" s="100">
        <f t="shared" si="50"/>
        <v>0.99999999999999989</v>
      </c>
      <c r="AR128" s="473">
        <f t="shared" si="13"/>
        <v>491.41492254130577</v>
      </c>
      <c r="AS128" s="474">
        <f t="shared" si="14"/>
        <v>623.24706751166514</v>
      </c>
      <c r="AT128" s="474">
        <f t="shared" si="15"/>
        <v>118.63951212286803</v>
      </c>
      <c r="AU128" s="474">
        <f t="shared" si="16"/>
        <v>0</v>
      </c>
      <c r="AV128" s="474">
        <f t="shared" si="17"/>
        <v>0</v>
      </c>
      <c r="AW128" s="474">
        <f t="shared" si="18"/>
        <v>0</v>
      </c>
      <c r="AX128" s="474">
        <f t="shared" si="19"/>
        <v>828.53875749341103</v>
      </c>
      <c r="AY128" s="474">
        <f t="shared" si="20"/>
        <v>66.738349180897487</v>
      </c>
      <c r="AZ128" s="474">
        <f t="shared" si="21"/>
        <v>18.760167488722598</v>
      </c>
      <c r="BA128" s="474">
        <f t="shared" si="22"/>
        <v>48.45385841473626</v>
      </c>
      <c r="BB128" s="474">
        <f t="shared" si="23"/>
        <v>33.013661638551028</v>
      </c>
      <c r="BC128" s="475">
        <f t="shared" si="51"/>
        <v>2228.8062963921575</v>
      </c>
      <c r="BD128" s="647">
        <f t="shared" si="52"/>
        <v>0</v>
      </c>
      <c r="BE128" s="383">
        <f t="shared" si="53"/>
        <v>0.22048345939114375</v>
      </c>
      <c r="BF128" s="383">
        <f t="shared" si="54"/>
        <v>0.27963267535655106</v>
      </c>
      <c r="BG128" s="383">
        <f t="shared" si="55"/>
        <v>5.3230068631317906E-2</v>
      </c>
      <c r="BH128" s="383">
        <f t="shared" si="56"/>
        <v>0</v>
      </c>
      <c r="BI128" s="383">
        <f t="shared" si="57"/>
        <v>0</v>
      </c>
      <c r="BJ128" s="383">
        <f t="shared" si="58"/>
        <v>0</v>
      </c>
      <c r="BK128" s="383">
        <f t="shared" si="59"/>
        <v>0.4466537966209872</v>
      </c>
      <c r="BL128" s="383">
        <f t="shared" si="60"/>
        <v>0.99999999999999978</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77.27647379436786</v>
      </c>
      <c r="BW128" s="100">
        <f t="shared" si="63"/>
        <v>0.79402854213729268</v>
      </c>
      <c r="BX128" s="1385">
        <f t="shared" si="24"/>
        <v>0.60006002112305223</v>
      </c>
      <c r="BY128" s="473">
        <f t="shared" si="64"/>
        <v>77.27647379436786</v>
      </c>
      <c r="BZ128" s="100">
        <f t="shared" si="65"/>
        <v>0.79402854213729268</v>
      </c>
      <c r="CA128" s="489">
        <f t="shared" si="25"/>
        <v>0.60006002112305223</v>
      </c>
      <c r="CB128" s="579">
        <f t="shared" si="26"/>
        <v>0.36953110862747474</v>
      </c>
      <c r="CC128" s="471">
        <f t="shared" si="66"/>
        <v>0.43061121030737315</v>
      </c>
      <c r="CD128" s="100">
        <f t="shared" si="27"/>
        <v>0.36953110862747474</v>
      </c>
      <c r="CE128" s="471">
        <f t="shared" si="67"/>
        <v>0.43061121030737315</v>
      </c>
      <c r="CG128" s="473">
        <f t="shared" si="68"/>
        <v>1973.6321254097784</v>
      </c>
      <c r="CH128" s="474">
        <f t="shared" si="69"/>
        <v>869.08722508814662</v>
      </c>
      <c r="CI128" s="474">
        <f t="shared" si="70"/>
        <v>3309.915250455344</v>
      </c>
      <c r="CJ128" s="474">
        <f t="shared" si="71"/>
        <v>4189.9366875845371</v>
      </c>
      <c r="CK128" s="474">
        <f t="shared" si="72"/>
        <v>50.429951062698272</v>
      </c>
      <c r="CL128" s="474">
        <f t="shared" si="73"/>
        <v>10393.001239600504</v>
      </c>
      <c r="CM128" s="576">
        <f t="shared" si="74"/>
        <v>0</v>
      </c>
    </row>
    <row r="129" spans="1:91">
      <c r="A129" s="89">
        <f>'Input data'!A149</f>
        <v>2049</v>
      </c>
      <c r="B129" s="152">
        <f>'Input data'!B149</f>
        <v>74.807416768507309</v>
      </c>
      <c r="C129" s="204">
        <f>'Input data'!C149</f>
        <v>8457.3799999999992</v>
      </c>
      <c r="D129" s="204">
        <f>'Input data'!D149</f>
        <v>405056.23763620481</v>
      </c>
      <c r="E129" s="579">
        <f t="shared" si="93"/>
        <v>1</v>
      </c>
      <c r="F129" s="100">
        <f t="shared" si="93"/>
        <v>0.37</v>
      </c>
      <c r="G129" s="475">
        <f>B129*F129*'Input data'!$C$9</f>
        <v>847.16582719415828</v>
      </c>
      <c r="H129" s="301">
        <f>'Input data'!I149</f>
        <v>424.26313389388866</v>
      </c>
      <c r="I129" s="474">
        <f>'Input data'!K149</f>
        <v>31738.029076713148</v>
      </c>
      <c r="J129" s="474">
        <f t="shared" si="91"/>
        <v>2228.8062963921584</v>
      </c>
      <c r="K129" s="475">
        <f t="shared" si="77"/>
        <v>12520.441322216622</v>
      </c>
      <c r="L129" s="100">
        <f t="shared" si="94"/>
        <v>0.7</v>
      </c>
      <c r="M129" s="100">
        <f t="shared" si="94"/>
        <v>0.6</v>
      </c>
      <c r="N129" s="100">
        <f t="shared" si="94"/>
        <v>0.9</v>
      </c>
      <c r="O129" s="100">
        <f t="shared" si="94"/>
        <v>0.9</v>
      </c>
      <c r="P129" s="100">
        <f t="shared" si="94"/>
        <v>0.23600000000000002</v>
      </c>
      <c r="Q129" s="473">
        <f t="shared" si="33"/>
        <v>339.83091701809508</v>
      </c>
      <c r="R129" s="474">
        <f t="shared" si="34"/>
        <v>237.14457602079005</v>
      </c>
      <c r="S129" s="474">
        <f t="shared" si="35"/>
        <v>694.45752699735249</v>
      </c>
      <c r="T129" s="474">
        <f t="shared" si="36"/>
        <v>467.60422531920767</v>
      </c>
      <c r="U129" s="475">
        <f t="shared" si="37"/>
        <v>0</v>
      </c>
      <c r="V129" s="474">
        <f t="shared" si="38"/>
        <v>1739.0372453554453</v>
      </c>
      <c r="W129" s="579">
        <f t="shared" si="87"/>
        <v>0.5</v>
      </c>
      <c r="X129" s="475">
        <f t="shared" si="39"/>
        <v>3033.4854703020706</v>
      </c>
      <c r="Y129" s="473">
        <f t="shared" si="78"/>
        <v>4772.5227156575156</v>
      </c>
      <c r="Z129" s="474">
        <f t="shared" si="79"/>
        <v>9976.7249029512641</v>
      </c>
      <c r="AA129" s="475">
        <f t="shared" si="80"/>
        <v>7747.9186065591057</v>
      </c>
      <c r="AB129" s="938">
        <f t="shared" si="40"/>
        <v>0.77659940330389943</v>
      </c>
      <c r="AC129" s="118" t="str">
        <f t="shared" si="41"/>
        <v>Yes</v>
      </c>
      <c r="AD129" s="938">
        <f t="shared" si="42"/>
        <v>0.77659940330389943</v>
      </c>
      <c r="AE129" s="579">
        <f t="shared" si="10"/>
        <v>0.37089332723946611</v>
      </c>
      <c r="AF129" s="475">
        <f t="shared" si="43"/>
        <v>266.90676853894121</v>
      </c>
      <c r="AG129" s="474">
        <f t="shared" si="44"/>
        <v>2228.8062963921584</v>
      </c>
      <c r="AH129" s="474">
        <f t="shared" si="81"/>
        <v>10438.893210503242</v>
      </c>
      <c r="AI129" s="474">
        <f t="shared" si="82"/>
        <v>6437.6604656145792</v>
      </c>
      <c r="AJ129" s="474">
        <f t="shared" si="11"/>
        <v>861.24589991810944</v>
      </c>
      <c r="AK129" s="474">
        <f t="shared" si="45"/>
        <v>19966.605872428088</v>
      </c>
      <c r="AL129" s="640">
        <f t="shared" si="12"/>
        <v>0</v>
      </c>
      <c r="AM129" s="100">
        <f t="shared" si="46"/>
        <v>0.11162669863033255</v>
      </c>
      <c r="AN129" s="100">
        <f t="shared" si="47"/>
        <v>0.52281761242747438</v>
      </c>
      <c r="AO129" s="100">
        <f t="shared" si="48"/>
        <v>0.32242137230265827</v>
      </c>
      <c r="AP129" s="100">
        <f t="shared" si="49"/>
        <v>4.3134316639534868E-2</v>
      </c>
      <c r="AQ129" s="100">
        <f t="shared" si="50"/>
        <v>1</v>
      </c>
      <c r="AR129" s="473">
        <f t="shared" si="13"/>
        <v>492.07439436681773</v>
      </c>
      <c r="AS129" s="474">
        <f t="shared" si="14"/>
        <v>624.08345619768943</v>
      </c>
      <c r="AT129" s="474">
        <f t="shared" si="15"/>
        <v>118.48022561008624</v>
      </c>
      <c r="AU129" s="474">
        <f t="shared" si="16"/>
        <v>0</v>
      </c>
      <c r="AV129" s="474">
        <f t="shared" si="17"/>
        <v>0</v>
      </c>
      <c r="AW129" s="474">
        <f t="shared" si="18"/>
        <v>0</v>
      </c>
      <c r="AX129" s="474">
        <f t="shared" si="19"/>
        <v>827.42635364899002</v>
      </c>
      <c r="AY129" s="474">
        <f t="shared" si="20"/>
        <v>66.648745652362834</v>
      </c>
      <c r="AZ129" s="474">
        <f t="shared" si="21"/>
        <v>18.734979913310294</v>
      </c>
      <c r="BA129" s="474">
        <f t="shared" si="22"/>
        <v>48.388803813620584</v>
      </c>
      <c r="BB129" s="474">
        <f t="shared" si="23"/>
        <v>32.969337189280552</v>
      </c>
      <c r="BC129" s="475">
        <f t="shared" si="51"/>
        <v>2228.8062963921575</v>
      </c>
      <c r="BD129" s="647">
        <f t="shared" si="52"/>
        <v>0</v>
      </c>
      <c r="BE129" s="383">
        <f t="shared" si="53"/>
        <v>0.22077934505271044</v>
      </c>
      <c r="BF129" s="383">
        <f t="shared" si="54"/>
        <v>0.28000793842332283</v>
      </c>
      <c r="BG129" s="383">
        <f t="shared" si="55"/>
        <v>5.3158601445928294E-2</v>
      </c>
      <c r="BH129" s="383">
        <f t="shared" si="56"/>
        <v>0</v>
      </c>
      <c r="BI129" s="383">
        <f t="shared" si="57"/>
        <v>0</v>
      </c>
      <c r="BJ129" s="383">
        <f t="shared" si="58"/>
        <v>0</v>
      </c>
      <c r="BK129" s="383">
        <f t="shared" si="59"/>
        <v>0.44605411507803849</v>
      </c>
      <c r="BL129" s="383">
        <f t="shared" si="60"/>
        <v>1</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77.934091927004005</v>
      </c>
      <c r="BW129" s="100">
        <f t="shared" si="63"/>
        <v>0.79576655642791772</v>
      </c>
      <c r="BX129" s="1385">
        <f t="shared" si="24"/>
        <v>0.4050562376362048</v>
      </c>
      <c r="BY129" s="473">
        <f t="shared" si="64"/>
        <v>77.934091927004005</v>
      </c>
      <c r="BZ129" s="100">
        <f t="shared" si="65"/>
        <v>0.79576655642791772</v>
      </c>
      <c r="CA129" s="489">
        <f t="shared" si="25"/>
        <v>0.4050562376362048</v>
      </c>
      <c r="CB129" s="579">
        <f t="shared" si="26"/>
        <v>0.37089332723946611</v>
      </c>
      <c r="CC129" s="471">
        <f t="shared" si="66"/>
        <v>0.43256016872057879</v>
      </c>
      <c r="CD129" s="100">
        <f t="shared" si="27"/>
        <v>0.37089332723946611</v>
      </c>
      <c r="CE129" s="471">
        <f t="shared" si="67"/>
        <v>0.43256016872057879</v>
      </c>
      <c r="CG129" s="473">
        <f t="shared" si="68"/>
        <v>1982.3470159388878</v>
      </c>
      <c r="CH129" s="474">
        <f t="shared" si="69"/>
        <v>872.92481970842971</v>
      </c>
      <c r="CI129" s="474">
        <f t="shared" si="70"/>
        <v>3324.5307143490309</v>
      </c>
      <c r="CJ129" s="474">
        <f t="shared" si="71"/>
        <v>4208.4380278728731</v>
      </c>
      <c r="CK129" s="474">
        <f t="shared" si="72"/>
        <v>50.652632634021245</v>
      </c>
      <c r="CL129" s="474">
        <f t="shared" si="73"/>
        <v>10438.893210503242</v>
      </c>
      <c r="CM129" s="576">
        <f t="shared" si="74"/>
        <v>0</v>
      </c>
    </row>
    <row r="130" spans="1:91" ht="15.75" thickBot="1">
      <c r="A130" s="141">
        <f>'Input data'!A150</f>
        <v>2050</v>
      </c>
      <c r="B130" s="593">
        <f>'Input data'!B150</f>
        <v>75.121207211856714</v>
      </c>
      <c r="C130" s="207">
        <f>'Input data'!C150</f>
        <v>8589.119999999999</v>
      </c>
      <c r="D130" s="207">
        <f>'Input data'!D150</f>
        <v>210052.45414935748</v>
      </c>
      <c r="E130" s="580">
        <f t="shared" si="93"/>
        <v>1</v>
      </c>
      <c r="F130" s="581">
        <f t="shared" si="93"/>
        <v>0.37</v>
      </c>
      <c r="G130" s="589">
        <f>B130*F130*'Input data'!$C$9</f>
        <v>850.71938581159247</v>
      </c>
      <c r="H130" s="584">
        <f>'Input data'!I150</f>
        <v>424.26313389388866</v>
      </c>
      <c r="I130" s="595">
        <f>'Input data'!K150</f>
        <v>31871.158793594521</v>
      </c>
      <c r="J130" s="595">
        <f t="shared" si="91"/>
        <v>2228.8062963921584</v>
      </c>
      <c r="K130" s="589">
        <f t="shared" si="77"/>
        <v>12582.309157643092</v>
      </c>
      <c r="L130" s="581">
        <f t="shared" si="94"/>
        <v>0.7</v>
      </c>
      <c r="M130" s="581">
        <f t="shared" si="94"/>
        <v>0.6</v>
      </c>
      <c r="N130" s="581">
        <f t="shared" si="94"/>
        <v>0.9</v>
      </c>
      <c r="O130" s="581">
        <f t="shared" si="94"/>
        <v>0.9</v>
      </c>
      <c r="P130" s="581">
        <f t="shared" si="94"/>
        <v>0.23600000000000002</v>
      </c>
      <c r="Q130" s="598">
        <f t="shared" si="33"/>
        <v>341.25638656003798</v>
      </c>
      <c r="R130" s="595">
        <f t="shared" si="34"/>
        <v>238.13931297150907</v>
      </c>
      <c r="S130" s="595">
        <f t="shared" si="35"/>
        <v>697.37052873831908</v>
      </c>
      <c r="T130" s="595">
        <f t="shared" si="36"/>
        <v>469.56565833632476</v>
      </c>
      <c r="U130" s="589">
        <f t="shared" si="37"/>
        <v>0</v>
      </c>
      <c r="V130" s="595">
        <f t="shared" si="38"/>
        <v>1746.3318866061909</v>
      </c>
      <c r="W130" s="580">
        <f t="shared" si="87"/>
        <v>0.5</v>
      </c>
      <c r="X130" s="589">
        <f t="shared" si="39"/>
        <v>3033.4854703020706</v>
      </c>
      <c r="Y130" s="598">
        <f t="shared" si="78"/>
        <v>4779.817356908261</v>
      </c>
      <c r="Z130" s="595">
        <f t="shared" si="79"/>
        <v>10031.29809712699</v>
      </c>
      <c r="AA130" s="589">
        <f t="shared" si="80"/>
        <v>7802.4918007348315</v>
      </c>
      <c r="AB130" s="941">
        <f t="shared" si="40"/>
        <v>0.77781476785835935</v>
      </c>
      <c r="AC130" s="951" t="str">
        <f t="shared" si="41"/>
        <v>Yes</v>
      </c>
      <c r="AD130" s="941">
        <f t="shared" si="42"/>
        <v>0.77781476785835935</v>
      </c>
      <c r="AE130" s="580">
        <f t="shared" si="10"/>
        <v>0.37218157100180649</v>
      </c>
      <c r="AF130" s="589">
        <f t="shared" si="43"/>
        <v>266.36021420311141</v>
      </c>
      <c r="AG130" s="595">
        <f t="shared" si="44"/>
        <v>2228.8062963921584</v>
      </c>
      <c r="AH130" s="595">
        <f t="shared" si="81"/>
        <v>10482.680645895343</v>
      </c>
      <c r="AI130" s="595">
        <f t="shared" si="82"/>
        <v>6437.6604656145792</v>
      </c>
      <c r="AJ130" s="595">
        <f t="shared" si="11"/>
        <v>860.15343624439436</v>
      </c>
      <c r="AK130" s="595">
        <f t="shared" si="45"/>
        <v>20009.300844146474</v>
      </c>
      <c r="AL130" s="641">
        <f t="shared" si="12"/>
        <v>0</v>
      </c>
      <c r="AM130" s="581">
        <f t="shared" si="46"/>
        <v>0.11138851445897341</v>
      </c>
      <c r="AN130" s="581">
        <f t="shared" si="47"/>
        <v>0.52389040114622243</v>
      </c>
      <c r="AO130" s="581">
        <f t="shared" si="48"/>
        <v>0.32173340366851721</v>
      </c>
      <c r="AP130" s="581">
        <f t="shared" si="49"/>
        <v>4.2987680726287038E-2</v>
      </c>
      <c r="AQ130" s="581">
        <f t="shared" si="50"/>
        <v>1.0000000000000002</v>
      </c>
      <c r="AR130" s="598">
        <f t="shared" si="13"/>
        <v>492.6966129125542</v>
      </c>
      <c r="AS130" s="595">
        <f t="shared" si="14"/>
        <v>624.87259764658154</v>
      </c>
      <c r="AT130" s="595">
        <f t="shared" si="15"/>
        <v>118.32993712390027</v>
      </c>
      <c r="AU130" s="595">
        <f t="shared" si="16"/>
        <v>0</v>
      </c>
      <c r="AV130" s="595">
        <f t="shared" si="17"/>
        <v>0</v>
      </c>
      <c r="AW130" s="595">
        <f t="shared" si="18"/>
        <v>0</v>
      </c>
      <c r="AX130" s="595">
        <f t="shared" si="19"/>
        <v>826.37678901928098</v>
      </c>
      <c r="AY130" s="595">
        <f t="shared" si="20"/>
        <v>66.564203788615444</v>
      </c>
      <c r="AZ130" s="595">
        <f t="shared" si="21"/>
        <v>18.711215173199349</v>
      </c>
      <c r="BA130" s="595">
        <f t="shared" si="22"/>
        <v>48.327424118941067</v>
      </c>
      <c r="BB130" s="595">
        <f t="shared" si="23"/>
        <v>32.927516609084847</v>
      </c>
      <c r="BC130" s="589">
        <f t="shared" si="51"/>
        <v>2228.8062963921575</v>
      </c>
      <c r="BD130" s="648">
        <f t="shared" si="52"/>
        <v>0</v>
      </c>
      <c r="BE130" s="607">
        <f t="shared" si="53"/>
        <v>0.22105851626051959</v>
      </c>
      <c r="BF130" s="607">
        <f>AS130/BC130</f>
        <v>0.28036200304085801</v>
      </c>
      <c r="BG130" s="607">
        <f t="shared" si="55"/>
        <v>5.3091171411102367E-2</v>
      </c>
      <c r="BH130" s="607">
        <f t="shared" si="56"/>
        <v>0</v>
      </c>
      <c r="BI130" s="607">
        <f t="shared" si="57"/>
        <v>0</v>
      </c>
      <c r="BJ130" s="607">
        <f t="shared" si="58"/>
        <v>0</v>
      </c>
      <c r="BK130" s="607">
        <f t="shared" si="59"/>
        <v>0.44548830928752009</v>
      </c>
      <c r="BL130" s="607">
        <f t="shared" si="60"/>
        <v>1.0000000000000002</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78.574288293818029</v>
      </c>
      <c r="BW130" s="581">
        <f t="shared" si="63"/>
        <v>0.79743058051767912</v>
      </c>
      <c r="BX130" s="1386">
        <f t="shared" si="24"/>
        <v>0.21005245414935747</v>
      </c>
      <c r="BY130" s="598">
        <f t="shared" si="64"/>
        <v>78.574288293818029</v>
      </c>
      <c r="BZ130" s="581">
        <f t="shared" si="65"/>
        <v>0.79743058051767912</v>
      </c>
      <c r="CA130" s="602">
        <f t="shared" si="25"/>
        <v>0.21005245414935747</v>
      </c>
      <c r="CB130" s="580">
        <f t="shared" si="26"/>
        <v>0.37218157100180649</v>
      </c>
      <c r="CC130" s="582">
        <f t="shared" si="66"/>
        <v>0.43440688902670288</v>
      </c>
      <c r="CD130" s="581">
        <f t="shared" si="27"/>
        <v>0.37218157100180649</v>
      </c>
      <c r="CE130" s="582">
        <f t="shared" si="67"/>
        <v>0.43440688902670288</v>
      </c>
      <c r="CG130" s="598">
        <f t="shared" si="68"/>
        <v>1990.6622549335552</v>
      </c>
      <c r="CH130" s="595">
        <f t="shared" si="69"/>
        <v>876.5864281159844</v>
      </c>
      <c r="CI130" s="595">
        <f t="shared" si="70"/>
        <v>3338.4759354494004</v>
      </c>
      <c r="CJ130" s="595">
        <f t="shared" si="71"/>
        <v>4226.0909250269242</v>
      </c>
      <c r="CK130" s="595">
        <f t="shared" si="72"/>
        <v>50.865102369478485</v>
      </c>
      <c r="CL130" s="595">
        <f t="shared" si="73"/>
        <v>10482.680645895342</v>
      </c>
      <c r="CM130" s="583">
        <f t="shared" si="74"/>
        <v>0</v>
      </c>
    </row>
    <row r="131" spans="1:91">
      <c r="AM131" s="474"/>
      <c r="AN131" s="301"/>
      <c r="AO131" s="301"/>
      <c r="AP131" s="301"/>
      <c r="AS131" s="100"/>
    </row>
    <row r="132" spans="1:91" ht="23.25">
      <c r="A132" s="610" t="s">
        <v>663</v>
      </c>
      <c r="AM132" s="474"/>
      <c r="AO132" s="301"/>
      <c r="AS132" s="100"/>
    </row>
    <row r="133" spans="1:91" ht="15.75" thickBot="1">
      <c r="AM133" s="474"/>
    </row>
    <row r="134" spans="1:91" ht="21.6" customHeight="1" thickBot="1">
      <c r="A134" s="1570" t="s">
        <v>602</v>
      </c>
      <c r="B134" s="1571"/>
      <c r="C134" s="1571"/>
      <c r="D134" s="1572"/>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43.15" customHeight="1">
      <c r="A135" s="1565"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66"/>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4436.7699999999986</v>
      </c>
      <c r="D139" s="475">
        <f>'Input data'!D119</f>
        <v>52992370.977903679</v>
      </c>
      <c r="E139" s="473">
        <f>'Input data'!J119*C139</f>
        <v>53378.982305676094</v>
      </c>
      <c r="F139" s="474">
        <f>'Input data'!L119</f>
        <v>106371.35328357978</v>
      </c>
      <c r="G139" s="474">
        <f>G137*0.89</f>
        <v>60911.340429377713</v>
      </c>
      <c r="H139" s="474">
        <f t="shared" si="95"/>
        <v>19448.710043484389</v>
      </c>
      <c r="I139" s="475">
        <f t="shared" si="98"/>
        <v>52992.37097790368</v>
      </c>
      <c r="J139" s="579">
        <f t="shared" ref="J139:J149" si="122">($J$150-$J$137)/($A$150-$A$137)+J138</f>
        <v>0.11361731727283289</v>
      </c>
      <c r="K139" s="474">
        <f t="shared" ref="K139:K170" si="123">(I139)*J139-(I139)*$J$137</f>
        <v>2759.2904299500592</v>
      </c>
      <c r="L139" s="474">
        <f t="shared" si="99"/>
        <v>0</v>
      </c>
      <c r="M139" s="475">
        <f t="shared" ref="M139:M170" si="124">L139+K139</f>
        <v>2759.2904299500592</v>
      </c>
      <c r="N139" s="579">
        <v>0.1</v>
      </c>
      <c r="O139" s="475">
        <f t="shared" si="100"/>
        <v>150.38340000000005</v>
      </c>
      <c r="P139" s="1043">
        <f>O139+M139</f>
        <v>2909.6738299500594</v>
      </c>
      <c r="Q139" s="467">
        <f t="shared" si="101"/>
        <v>77450.376642912044</v>
      </c>
      <c r="R139" s="467">
        <f t="shared" ref="R139:R170" si="125">Q139-G139</f>
        <v>16539.036213534331</v>
      </c>
      <c r="S139" s="1255">
        <f t="shared" si="102"/>
        <v>0.5426396528245393</v>
      </c>
      <c r="T139" s="118" t="str">
        <f t="shared" si="103"/>
        <v>Yes</v>
      </c>
      <c r="U139" s="1255">
        <f t="shared" si="104"/>
        <v>0.5426396528245393</v>
      </c>
      <c r="V139" s="1268">
        <f t="shared" si="96"/>
        <v>89832.31707004545</v>
      </c>
      <c r="W139" s="1269">
        <f t="shared" si="97"/>
        <v>0.15548393155666862</v>
      </c>
      <c r="X139" s="473">
        <f t="shared" si="105"/>
        <v>60911.340429377713</v>
      </c>
      <c r="Y139" s="474">
        <f t="shared" si="106"/>
        <v>10295.34070894855</v>
      </c>
      <c r="Z139" s="474">
        <f t="shared" si="107"/>
        <v>2562.5527582487894</v>
      </c>
      <c r="AA139" s="474">
        <f t="shared" si="108"/>
        <v>0</v>
      </c>
      <c r="AB139" s="474">
        <f t="shared" si="109"/>
        <v>16063.083173470395</v>
      </c>
      <c r="AC139" s="474">
        <f t="shared" si="110"/>
        <v>89832.31707004545</v>
      </c>
      <c r="AD139" s="1240">
        <f t="shared" si="111"/>
        <v>0</v>
      </c>
      <c r="AE139" s="100">
        <f t="shared" si="112"/>
        <v>0.67805598715530158</v>
      </c>
      <c r="AF139" s="100">
        <f t="shared" si="113"/>
        <v>0.11460620236390993</v>
      </c>
      <c r="AG139" s="100">
        <f t="shared" si="114"/>
        <v>2.8525956379937031E-2</v>
      </c>
      <c r="AH139" s="100">
        <f t="shared" ref="AH139:AH170" si="126">AA139/AC139</f>
        <v>0</v>
      </c>
      <c r="AI139" s="100">
        <f t="shared" si="115"/>
        <v>0.17881185410085146</v>
      </c>
      <c r="AJ139" s="471">
        <f t="shared" si="116"/>
        <v>1</v>
      </c>
      <c r="AK139" s="1250">
        <f t="shared" si="117"/>
        <v>46971.519951467533</v>
      </c>
      <c r="AL139" s="1251">
        <f t="shared" si="118"/>
        <v>13029.747376968175</v>
      </c>
      <c r="AM139" s="1251">
        <f t="shared" si="119"/>
        <v>910.07310094199636</v>
      </c>
      <c r="AN139" s="1251">
        <f t="shared" si="120"/>
        <v>60911.340429377706</v>
      </c>
      <c r="AO139" s="1022">
        <f t="shared" si="121"/>
        <v>0</v>
      </c>
      <c r="AV139" s="119"/>
      <c r="AW139" s="119"/>
    </row>
    <row r="140" spans="1:91">
      <c r="A140" s="89">
        <f>'Input data'!A120</f>
        <v>2020</v>
      </c>
      <c r="B140" s="152">
        <f>'Input data'!B120</f>
        <v>59.308690000000006</v>
      </c>
      <c r="C140" s="204">
        <f>'Input data'!C120</f>
        <v>4157.24</v>
      </c>
      <c r="D140" s="475">
        <f>'Input data'!D120</f>
        <v>50781625.743101723</v>
      </c>
      <c r="E140" s="473">
        <f>'Input data'!J120*C140</f>
        <v>50015.944121613007</v>
      </c>
      <c r="F140" s="474">
        <f>'Input data'!L120</f>
        <v>100797.56986471472</v>
      </c>
      <c r="G140" s="474">
        <f>G137*0.81</f>
        <v>55436.163761568481</v>
      </c>
      <c r="H140" s="474">
        <f t="shared" si="95"/>
        <v>20919.47259233264</v>
      </c>
      <c r="I140" s="475">
        <f t="shared" si="98"/>
        <v>50781.625743101722</v>
      </c>
      <c r="J140" s="579">
        <f t="shared" si="122"/>
        <v>0.13965210661166627</v>
      </c>
      <c r="K140" s="474">
        <f t="shared" si="123"/>
        <v>3966.2667855153936</v>
      </c>
      <c r="L140" s="474">
        <f t="shared" si="99"/>
        <v>0</v>
      </c>
      <c r="M140" s="475">
        <f t="shared" si="124"/>
        <v>3966.2667855153936</v>
      </c>
      <c r="N140" s="579">
        <f>($N$142-$N$137)/($A$102-$A$97)+N139</f>
        <v>0.2</v>
      </c>
      <c r="O140" s="475">
        <f t="shared" si="100"/>
        <v>300.7668000000001</v>
      </c>
      <c r="P140" s="1043">
        <f t="shared" ref="P140:P170" si="127">O140+M140</f>
        <v>4267.0335855153935</v>
      </c>
      <c r="Q140" s="467">
        <f t="shared" si="101"/>
        <v>72088.602768385725</v>
      </c>
      <c r="R140" s="467">
        <f t="shared" si="125"/>
        <v>16652.439006817243</v>
      </c>
      <c r="S140" s="1255">
        <f t="shared" si="102"/>
        <v>0.58637954210654075</v>
      </c>
      <c r="T140" s="118" t="str">
        <f t="shared" si="103"/>
        <v>Yes</v>
      </c>
      <c r="U140" s="1255">
        <f t="shared" si="104"/>
        <v>0.58637954210654075</v>
      </c>
      <c r="V140" s="1268">
        <f t="shared" si="96"/>
        <v>84145.130857897486</v>
      </c>
      <c r="W140" s="1269">
        <f t="shared" si="97"/>
        <v>0.16520675080924352</v>
      </c>
      <c r="X140" s="473">
        <f t="shared" si="105"/>
        <v>55436.163761568481</v>
      </c>
      <c r="Y140" s="474">
        <f t="shared" si="106"/>
        <v>11096.944848116838</v>
      </c>
      <c r="Z140" s="474">
        <f t="shared" si="107"/>
        <v>2560.9621544777392</v>
      </c>
      <c r="AA140" s="474">
        <f t="shared" si="108"/>
        <v>0</v>
      </c>
      <c r="AB140" s="474">
        <f t="shared" si="109"/>
        <v>15051.060093734426</v>
      </c>
      <c r="AC140" s="474">
        <f t="shared" si="110"/>
        <v>84145.130857897486</v>
      </c>
      <c r="AD140" s="1240">
        <f t="shared" si="111"/>
        <v>0</v>
      </c>
      <c r="AE140" s="100">
        <f t="shared" si="112"/>
        <v>0.65881606215798627</v>
      </c>
      <c r="AF140" s="100">
        <f t="shared" si="113"/>
        <v>0.13187863320168963</v>
      </c>
      <c r="AG140" s="100">
        <f t="shared" si="114"/>
        <v>3.0435060571747614E-2</v>
      </c>
      <c r="AH140" s="100">
        <f t="shared" si="126"/>
        <v>0</v>
      </c>
      <c r="AI140" s="100">
        <f t="shared" si="115"/>
        <v>0.17887024406857643</v>
      </c>
      <c r="AJ140" s="471">
        <f t="shared" si="116"/>
        <v>0.99999999999999989</v>
      </c>
      <c r="AK140" s="1250">
        <f t="shared" si="117"/>
        <v>43689.864730912348</v>
      </c>
      <c r="AL140" s="1251">
        <f t="shared" si="118"/>
        <v>11041.235660888884</v>
      </c>
      <c r="AM140" s="1251">
        <f t="shared" si="119"/>
        <v>705.06336976725561</v>
      </c>
      <c r="AN140" s="1251">
        <f t="shared" si="120"/>
        <v>55436.163761568481</v>
      </c>
      <c r="AO140" s="1022">
        <f t="shared" si="121"/>
        <v>0</v>
      </c>
      <c r="AV140" s="119"/>
      <c r="AW140" s="119"/>
    </row>
    <row r="141" spans="1:91">
      <c r="A141" s="89">
        <f>'Input data'!A121</f>
        <v>2021</v>
      </c>
      <c r="B141" s="152">
        <f>'Input data'!B121</f>
        <v>60.158036186957922</v>
      </c>
      <c r="C141" s="204">
        <f>'Input data'!C121</f>
        <v>4296.6100000000006</v>
      </c>
      <c r="D141" s="475">
        <f>'Input data'!D121</f>
        <v>50787753.059423499</v>
      </c>
      <c r="E141" s="473">
        <f>'Input data'!J121*C141</f>
        <v>51692.710950621971</v>
      </c>
      <c r="F141" s="474">
        <f>'Input data'!L121</f>
        <v>102480.46401004547</v>
      </c>
      <c r="G141" s="474">
        <f>G137*0.65</f>
        <v>44485.810425950018</v>
      </c>
      <c r="H141" s="474">
        <f t="shared" si="95"/>
        <v>32837.71686643795</v>
      </c>
      <c r="I141" s="475">
        <f t="shared" si="98"/>
        <v>50787.7530594235</v>
      </c>
      <c r="J141" s="579">
        <f t="shared" si="122"/>
        <v>0.16568689595049965</v>
      </c>
      <c r="K141" s="474">
        <f t="shared" si="123"/>
        <v>5288.9938075791251</v>
      </c>
      <c r="L141" s="474">
        <f t="shared" si="99"/>
        <v>0</v>
      </c>
      <c r="M141" s="475">
        <f t="shared" si="124"/>
        <v>5288.9938075791251</v>
      </c>
      <c r="N141" s="579">
        <v>0.4</v>
      </c>
      <c r="O141" s="475">
        <f t="shared" si="100"/>
        <v>601.53360000000021</v>
      </c>
      <c r="P141" s="1043">
        <f t="shared" si="127"/>
        <v>5890.5274075791258</v>
      </c>
      <c r="Q141" s="467">
        <f t="shared" si="101"/>
        <v>71432.999884808843</v>
      </c>
      <c r="R141" s="467">
        <f t="shared" si="125"/>
        <v>26947.189458858826</v>
      </c>
      <c r="S141" s="1255">
        <f t="shared" si="102"/>
        <v>0.92729131516959551</v>
      </c>
      <c r="T141" s="118" t="str">
        <f t="shared" si="103"/>
        <v>Yes</v>
      </c>
      <c r="U141" s="1255">
        <f t="shared" si="104"/>
        <v>0.92729131516959551</v>
      </c>
      <c r="V141" s="1268">
        <f t="shared" si="96"/>
        <v>75533.274551186652</v>
      </c>
      <c r="W141" s="1269">
        <f t="shared" si="97"/>
        <v>0.26294952622596801</v>
      </c>
      <c r="X141" s="473">
        <f t="shared" si="105"/>
        <v>44485.810425950018</v>
      </c>
      <c r="Y141" s="474">
        <f t="shared" si="106"/>
        <v>12554.321363546935</v>
      </c>
      <c r="Z141" s="474">
        <f t="shared" si="107"/>
        <v>2937.5012039878866</v>
      </c>
      <c r="AA141" s="474">
        <f t="shared" si="108"/>
        <v>0</v>
      </c>
      <c r="AB141" s="474">
        <f t="shared" si="109"/>
        <v>15555.641557701811</v>
      </c>
      <c r="AC141" s="474">
        <f t="shared" si="110"/>
        <v>75533.274551186652</v>
      </c>
      <c r="AD141" s="1240">
        <f t="shared" si="111"/>
        <v>0</v>
      </c>
      <c r="AE141" s="100">
        <f t="shared" si="112"/>
        <v>0.58895646574680549</v>
      </c>
      <c r="AF141" s="100">
        <f t="shared" si="113"/>
        <v>0.16620915004868808</v>
      </c>
      <c r="AG141" s="100">
        <f t="shared" si="114"/>
        <v>3.8890160944859205E-2</v>
      </c>
      <c r="AH141" s="100">
        <f t="shared" si="126"/>
        <v>0</v>
      </c>
      <c r="AI141" s="100">
        <f t="shared" si="115"/>
        <v>0.20594422325964717</v>
      </c>
      <c r="AJ141" s="471">
        <f t="shared" si="116"/>
        <v>1</v>
      </c>
      <c r="AK141" s="1250">
        <f t="shared" si="117"/>
        <v>42372.887902707123</v>
      </c>
      <c r="AL141" s="1251">
        <f t="shared" si="118"/>
        <v>2005.9624312614219</v>
      </c>
      <c r="AM141" s="1251">
        <f t="shared" si="119"/>
        <v>106.96009198147247</v>
      </c>
      <c r="AN141" s="1251">
        <f t="shared" si="120"/>
        <v>44485.810425950018</v>
      </c>
      <c r="AO141" s="1022">
        <f t="shared" si="121"/>
        <v>0</v>
      </c>
      <c r="AV141" s="119"/>
      <c r="AW141" s="119"/>
    </row>
    <row r="142" spans="1:91">
      <c r="A142" s="89">
        <f>'Input data'!A122</f>
        <v>2022</v>
      </c>
      <c r="B142" s="152">
        <f>'Input data'!B122</f>
        <v>60.963559588769527</v>
      </c>
      <c r="C142" s="204">
        <f>'Input data'!C122</f>
        <v>4408.5100000000011</v>
      </c>
      <c r="D142" s="475">
        <f>'Input data'!D122</f>
        <v>50359792.847133145</v>
      </c>
      <c r="E142" s="473">
        <f>'Input data'!J122*C142</f>
        <v>53038.984956262379</v>
      </c>
      <c r="F142" s="474">
        <f>'Input data'!L122</f>
        <v>103398.77780339553</v>
      </c>
      <c r="G142" s="474">
        <f>G137*(1-E4)</f>
        <v>34219.854173807704</v>
      </c>
      <c r="H142" s="474">
        <f t="shared" si="95"/>
        <v>43474.554499121747</v>
      </c>
      <c r="I142" s="475">
        <f t="shared" si="98"/>
        <v>50359.792847133147</v>
      </c>
      <c r="J142" s="579">
        <f t="shared" si="122"/>
        <v>0.19172168528933303</v>
      </c>
      <c r="K142" s="474">
        <f t="shared" si="123"/>
        <v>6555.5329896119965</v>
      </c>
      <c r="L142" s="474">
        <f t="shared" si="99"/>
        <v>0</v>
      </c>
      <c r="M142" s="475">
        <f t="shared" si="124"/>
        <v>6555.5329896119965</v>
      </c>
      <c r="N142" s="579">
        <f>$E$26</f>
        <v>0.5</v>
      </c>
      <c r="O142" s="475">
        <f t="shared" si="100"/>
        <v>751.91700000000026</v>
      </c>
      <c r="P142" s="1043">
        <f t="shared" si="127"/>
        <v>7307.4499896119969</v>
      </c>
      <c r="Q142" s="467">
        <f t="shared" si="101"/>
        <v>70386.958683317454</v>
      </c>
      <c r="R142" s="467">
        <f t="shared" si="125"/>
        <v>36167.104509509751</v>
      </c>
      <c r="S142" s="1255">
        <f t="shared" si="102"/>
        <v>1.2184766534043601</v>
      </c>
      <c r="T142" s="118" t="str">
        <f t="shared" si="103"/>
        <v>No</v>
      </c>
      <c r="U142" s="1255">
        <f t="shared" si="104"/>
        <v>1</v>
      </c>
      <c r="V142" s="1268">
        <f t="shared" si="96"/>
        <v>73716.547611737158</v>
      </c>
      <c r="W142" s="1269">
        <f t="shared" si="97"/>
        <v>0.28706558067926824</v>
      </c>
      <c r="X142" s="473">
        <f t="shared" si="105"/>
        <v>40704.72849165908</v>
      </c>
      <c r="Y142" s="474">
        <f t="shared" si="106"/>
        <v>13902.327682230418</v>
      </c>
      <c r="Z142" s="474">
        <f t="shared" si="107"/>
        <v>3148.72204906348</v>
      </c>
      <c r="AA142" s="474">
        <f t="shared" si="108"/>
        <v>0</v>
      </c>
      <c r="AB142" s="474">
        <f t="shared" si="109"/>
        <v>15960.769388784185</v>
      </c>
      <c r="AC142" s="474">
        <f t="shared" si="110"/>
        <v>73716.547611737158</v>
      </c>
      <c r="AD142" s="475">
        <f t="shared" si="111"/>
        <v>6484.874317851376</v>
      </c>
      <c r="AE142" s="100">
        <f t="shared" si="112"/>
        <v>0.55217898572854585</v>
      </c>
      <c r="AF142" s="100">
        <f t="shared" si="113"/>
        <v>0.18859168168663515</v>
      </c>
      <c r="AG142" s="100">
        <f t="shared" si="114"/>
        <v>4.2713910934186777E-2</v>
      </c>
      <c r="AH142" s="100">
        <f t="shared" si="126"/>
        <v>0</v>
      </c>
      <c r="AI142" s="100">
        <f t="shared" si="115"/>
        <v>0.21651542165063234</v>
      </c>
      <c r="AJ142" s="471">
        <f t="shared" si="116"/>
        <v>1.0000000000000002</v>
      </c>
      <c r="AK142" s="1250">
        <f t="shared" si="117"/>
        <v>40704.72849165908</v>
      </c>
      <c r="AL142" s="1251">
        <f t="shared" si="118"/>
        <v>0</v>
      </c>
      <c r="AM142" s="1251">
        <f t="shared" si="119"/>
        <v>0</v>
      </c>
      <c r="AN142" s="1251">
        <f t="shared" si="120"/>
        <v>40704.72849165908</v>
      </c>
      <c r="AO142" s="1022">
        <f t="shared" si="121"/>
        <v>0</v>
      </c>
      <c r="AV142" s="119"/>
      <c r="AW142" s="119"/>
    </row>
    <row r="143" spans="1:91">
      <c r="A143" s="89">
        <f>'Input data'!A123</f>
        <v>2023</v>
      </c>
      <c r="B143" s="152">
        <f>'Input data'!B123</f>
        <v>61.723133308607778</v>
      </c>
      <c r="C143" s="204">
        <f>'Input data'!C123</f>
        <v>4511.7199999999984</v>
      </c>
      <c r="D143" s="475">
        <f>'Input data'!D123</f>
        <v>49422822.449545562</v>
      </c>
      <c r="E143" s="473">
        <f>'Input data'!J123*C143</f>
        <v>54280.70917540574</v>
      </c>
      <c r="F143" s="474">
        <f>'Input data'!L123</f>
        <v>103703.53162495131</v>
      </c>
      <c r="G143" s="474">
        <f>($G$147-$G$142)/($A$147-$A$142)+G142</f>
        <v>32166.662923379241</v>
      </c>
      <c r="H143" s="474">
        <f t="shared" si="95"/>
        <v>45360.953958762148</v>
      </c>
      <c r="I143" s="475">
        <f t="shared" si="98"/>
        <v>49422.822449545565</v>
      </c>
      <c r="J143" s="579">
        <f t="shared" si="122"/>
        <v>0.21775647462816641</v>
      </c>
      <c r="K143" s="474">
        <f t="shared" si="123"/>
        <v>7720.2766260269018</v>
      </c>
      <c r="L143" s="474">
        <f t="shared" si="99"/>
        <v>0</v>
      </c>
      <c r="M143" s="475">
        <f t="shared" si="124"/>
        <v>7720.2766260269018</v>
      </c>
      <c r="N143" s="579">
        <f>($N$147-$N$142)/($A$107-$A$102)+N142</f>
        <v>0.5</v>
      </c>
      <c r="O143" s="475">
        <f t="shared" si="100"/>
        <v>751.91700000000026</v>
      </c>
      <c r="P143" s="1043">
        <f t="shared" si="127"/>
        <v>8472.1936260269013</v>
      </c>
      <c r="Q143" s="467">
        <f t="shared" si="101"/>
        <v>69055.423256114489</v>
      </c>
      <c r="R143" s="467">
        <f t="shared" si="125"/>
        <v>36888.760332735248</v>
      </c>
      <c r="S143" s="1255">
        <f t="shared" si="102"/>
        <v>1.2136560424662712</v>
      </c>
      <c r="T143" s="118" t="str">
        <f t="shared" si="103"/>
        <v>No</v>
      </c>
      <c r="U143" s="1255">
        <f t="shared" si="104"/>
        <v>1</v>
      </c>
      <c r="V143" s="1268">
        <f t="shared" si="96"/>
        <v>73308.791235595549</v>
      </c>
      <c r="W143" s="1269">
        <f t="shared" si="97"/>
        <v>0.29309262580641682</v>
      </c>
      <c r="X143" s="473">
        <f t="shared" si="105"/>
        <v>38660.682866758725</v>
      </c>
      <c r="Y143" s="474">
        <f t="shared" si="106"/>
        <v>15108.837876902802</v>
      </c>
      <c r="Z143" s="474">
        <f t="shared" si="107"/>
        <v>3204.8349418807438</v>
      </c>
      <c r="AA143" s="474">
        <f t="shared" si="108"/>
        <v>0</v>
      </c>
      <c r="AB143" s="474">
        <f t="shared" si="109"/>
        <v>16334.435550053271</v>
      </c>
      <c r="AC143" s="474">
        <f t="shared" si="110"/>
        <v>73308.791235595549</v>
      </c>
      <c r="AD143" s="475">
        <f t="shared" si="111"/>
        <v>6494.0199433794842</v>
      </c>
      <c r="AE143" s="100">
        <f t="shared" si="112"/>
        <v>0.52736762147002614</v>
      </c>
      <c r="AF143" s="100">
        <f t="shared" si="113"/>
        <v>0.20609858138769324</v>
      </c>
      <c r="AG143" s="100">
        <f t="shared" si="114"/>
        <v>4.3716925185428725E-2</v>
      </c>
      <c r="AH143" s="100">
        <f t="shared" si="126"/>
        <v>0</v>
      </c>
      <c r="AI143" s="100">
        <f t="shared" si="115"/>
        <v>0.22281687195685176</v>
      </c>
      <c r="AJ143" s="471">
        <f t="shared" si="116"/>
        <v>0.99999999999999978</v>
      </c>
      <c r="AK143" s="1250">
        <f t="shared" si="117"/>
        <v>38660.682866758725</v>
      </c>
      <c r="AL143" s="1251">
        <f t="shared" si="118"/>
        <v>0</v>
      </c>
      <c r="AM143" s="1251">
        <f t="shared" si="119"/>
        <v>0</v>
      </c>
      <c r="AN143" s="1251">
        <f>SUM(AK143:AM143)</f>
        <v>38660.682866758725</v>
      </c>
      <c r="AO143" s="1022">
        <f t="shared" si="121"/>
        <v>0</v>
      </c>
      <c r="AV143" s="119"/>
      <c r="AW143" s="119"/>
    </row>
    <row r="144" spans="1:91">
      <c r="A144" s="89">
        <f>'Input data'!A124</f>
        <v>2024</v>
      </c>
      <c r="B144" s="152">
        <f>'Input data'!B124</f>
        <v>62.434728280060035</v>
      </c>
      <c r="C144" s="204">
        <f>'Input data'!C124</f>
        <v>4622.4800000000005</v>
      </c>
      <c r="D144" s="475">
        <f>'Input data'!D124</f>
        <v>49894033.579494402</v>
      </c>
      <c r="E144" s="473">
        <f>'Input data'!J124*C144</f>
        <v>55613.267789031597</v>
      </c>
      <c r="F144" s="474">
        <f>'Input data'!L124</f>
        <v>105507.30136852601</v>
      </c>
      <c r="G144" s="474">
        <f t="shared" ref="G144:G146" si="128">($G$147-$G$142)/($A$147-$A$142)+G143</f>
        <v>30113.471672950778</v>
      </c>
      <c r="H144" s="474">
        <f t="shared" si="95"/>
        <v>48620.985979658915</v>
      </c>
      <c r="I144" s="475">
        <f t="shared" si="98"/>
        <v>49894.033579494404</v>
      </c>
      <c r="J144" s="579">
        <f t="shared" si="122"/>
        <v>0.24379126396699979</v>
      </c>
      <c r="K144" s="474">
        <f t="shared" si="123"/>
        <v>9092.8645745477079</v>
      </c>
      <c r="L144" s="474">
        <f t="shared" si="99"/>
        <v>0</v>
      </c>
      <c r="M144" s="475">
        <f t="shared" si="124"/>
        <v>9092.8645745477079</v>
      </c>
      <c r="N144" s="579">
        <f>($N$147-$N$142)/($A$107-$A$102)+N143</f>
        <v>0.5</v>
      </c>
      <c r="O144" s="475">
        <f t="shared" si="100"/>
        <v>751.91700000000026</v>
      </c>
      <c r="P144" s="1043">
        <f t="shared" si="127"/>
        <v>9844.7815745477074</v>
      </c>
      <c r="Q144" s="467">
        <f t="shared" si="101"/>
        <v>68889.676078061981</v>
      </c>
      <c r="R144" s="467">
        <f t="shared" si="125"/>
        <v>38776.204405111203</v>
      </c>
      <c r="S144" s="1255">
        <f t="shared" si="102"/>
        <v>1.2444475579773371</v>
      </c>
      <c r="T144" s="118" t="str">
        <f t="shared" si="103"/>
        <v>No</v>
      </c>
      <c r="U144" s="1255">
        <f t="shared" si="104"/>
        <v>1</v>
      </c>
      <c r="V144" s="1268">
        <f t="shared" si="96"/>
        <v>74347.929359201546</v>
      </c>
      <c r="W144" s="1269">
        <f t="shared" si="97"/>
        <v>0.29532905879649052</v>
      </c>
      <c r="X144" s="473">
        <f t="shared" si="105"/>
        <v>37730.304068737532</v>
      </c>
      <c r="Y144" s="474">
        <f t="shared" si="106"/>
        <v>16617.136621700181</v>
      </c>
      <c r="Z144" s="474">
        <f t="shared" si="107"/>
        <v>3265.0525952906887</v>
      </c>
      <c r="AA144" s="474">
        <f t="shared" si="108"/>
        <v>0</v>
      </c>
      <c r="AB144" s="474">
        <f t="shared" si="109"/>
        <v>16735.436073473149</v>
      </c>
      <c r="AC144" s="474">
        <f t="shared" si="110"/>
        <v>74347.929359201546</v>
      </c>
      <c r="AD144" s="475">
        <f t="shared" si="111"/>
        <v>7616.8323957867542</v>
      </c>
      <c r="AE144" s="100">
        <f t="shared" si="112"/>
        <v>0.5074829170621401</v>
      </c>
      <c r="AF144" s="100">
        <f t="shared" si="113"/>
        <v>0.22350503591588713</v>
      </c>
      <c r="AG144" s="100">
        <f t="shared" si="114"/>
        <v>4.3915851099444167E-2</v>
      </c>
      <c r="AH144" s="100">
        <f t="shared" si="126"/>
        <v>0</v>
      </c>
      <c r="AI144" s="100">
        <f t="shared" si="115"/>
        <v>0.22509619592252864</v>
      </c>
      <c r="AJ144" s="471">
        <f t="shared" si="116"/>
        <v>1</v>
      </c>
      <c r="AK144" s="1250">
        <f t="shared" si="117"/>
        <v>37730.304068737532</v>
      </c>
      <c r="AL144" s="1251">
        <f t="shared" si="118"/>
        <v>0</v>
      </c>
      <c r="AM144" s="1251">
        <f t="shared" si="119"/>
        <v>0</v>
      </c>
      <c r="AN144" s="1251">
        <f t="shared" si="120"/>
        <v>37730.304068737532</v>
      </c>
      <c r="AO144" s="1022">
        <f t="shared" si="121"/>
        <v>0</v>
      </c>
      <c r="AV144" s="119"/>
      <c r="AW144" s="119"/>
    </row>
    <row r="145" spans="1:49">
      <c r="A145" s="89">
        <f>'Input data'!A125</f>
        <v>2025</v>
      </c>
      <c r="B145" s="152">
        <f>'Input data'!B125</f>
        <v>63.096422221537942</v>
      </c>
      <c r="C145" s="204">
        <f>'Input data'!C125</f>
        <v>4727.3100000000004</v>
      </c>
      <c r="D145" s="475">
        <f>'Input data'!D125</f>
        <v>49409698.226927206</v>
      </c>
      <c r="E145" s="473">
        <f>'Input data'!J125*C145</f>
        <v>56874.48230209043</v>
      </c>
      <c r="F145" s="474">
        <f>'Input data'!L125</f>
        <v>106284.18052901764</v>
      </c>
      <c r="G145" s="474">
        <f t="shared" si="128"/>
        <v>28060.280422522315</v>
      </c>
      <c r="H145" s="474">
        <f t="shared" si="95"/>
        <v>50943.345490304309</v>
      </c>
      <c r="I145" s="475">
        <f t="shared" si="98"/>
        <v>49409.698226927205</v>
      </c>
      <c r="J145" s="579">
        <f t="shared" si="122"/>
        <v>0.26982605330583315</v>
      </c>
      <c r="K145" s="474">
        <f t="shared" si="123"/>
        <v>10290.968677067031</v>
      </c>
      <c r="L145" s="474">
        <f t="shared" si="99"/>
        <v>0</v>
      </c>
      <c r="M145" s="475">
        <f t="shared" si="124"/>
        <v>10290.968677067031</v>
      </c>
      <c r="N145" s="579">
        <f>($N$147-$N$142)/($A$107-$A$102)+N144</f>
        <v>0.5</v>
      </c>
      <c r="O145" s="475">
        <f t="shared" si="100"/>
        <v>751.91700000000026</v>
      </c>
      <c r="P145" s="1043">
        <f t="shared" si="127"/>
        <v>11042.88567706703</v>
      </c>
      <c r="Q145" s="467">
        <f t="shared" si="101"/>
        <v>67960.7402357596</v>
      </c>
      <c r="R145" s="467">
        <f t="shared" si="125"/>
        <v>39900.459813237285</v>
      </c>
      <c r="S145" s="1255">
        <f t="shared" si="102"/>
        <v>1.2514624524464648</v>
      </c>
      <c r="T145" s="118" t="str">
        <f t="shared" si="103"/>
        <v>No</v>
      </c>
      <c r="U145" s="1255">
        <f t="shared" si="104"/>
        <v>1</v>
      </c>
      <c r="V145" s="1268">
        <f t="shared" si="96"/>
        <v>74401.114652581266</v>
      </c>
      <c r="W145" s="1269">
        <f t="shared" si="97"/>
        <v>0.29997941102562931</v>
      </c>
      <c r="X145" s="473">
        <f t="shared" si="105"/>
        <v>36077.67435932321</v>
      </c>
      <c r="Y145" s="474">
        <f t="shared" si="106"/>
        <v>17886.426692415222</v>
      </c>
      <c r="Z145" s="474">
        <f t="shared" si="107"/>
        <v>3322.0462446854558</v>
      </c>
      <c r="AA145" s="474">
        <f t="shared" si="108"/>
        <v>0</v>
      </c>
      <c r="AB145" s="474">
        <f t="shared" si="109"/>
        <v>17114.967356157376</v>
      </c>
      <c r="AC145" s="474">
        <f t="shared" si="110"/>
        <v>74401.114652581266</v>
      </c>
      <c r="AD145" s="475">
        <f t="shared" si="111"/>
        <v>8017.3939368008942</v>
      </c>
      <c r="AE145" s="100">
        <f t="shared" si="112"/>
        <v>0.48490771311410097</v>
      </c>
      <c r="AF145" s="100">
        <f t="shared" si="113"/>
        <v>0.24040535919302483</v>
      </c>
      <c r="AG145" s="100">
        <f t="shared" si="114"/>
        <v>4.4650490254048915E-2</v>
      </c>
      <c r="AH145" s="100">
        <f t="shared" si="126"/>
        <v>0</v>
      </c>
      <c r="AI145" s="100">
        <f t="shared" si="115"/>
        <v>0.23003643743882526</v>
      </c>
      <c r="AJ145" s="471">
        <f t="shared" si="116"/>
        <v>1</v>
      </c>
      <c r="AK145" s="1250">
        <f t="shared" si="117"/>
        <v>36077.674359323217</v>
      </c>
      <c r="AL145" s="1251">
        <f t="shared" si="118"/>
        <v>0</v>
      </c>
      <c r="AM145" s="1251">
        <f t="shared" si="119"/>
        <v>0</v>
      </c>
      <c r="AN145" s="1251">
        <f t="shared" si="120"/>
        <v>36077.674359323217</v>
      </c>
      <c r="AO145" s="1022">
        <f t="shared" si="121"/>
        <v>0</v>
      </c>
      <c r="AV145" s="119"/>
      <c r="AW145" s="119"/>
    </row>
    <row r="146" spans="1:49">
      <c r="A146" s="89">
        <f>'Input data'!A126</f>
        <v>2026</v>
      </c>
      <c r="B146" s="152">
        <f>'Input data'!B126</f>
        <v>63.744102485123491</v>
      </c>
      <c r="C146" s="204">
        <f>'Input data'!C126</f>
        <v>4818.42</v>
      </c>
      <c r="D146" s="475">
        <f>'Input data'!D126</f>
        <v>47599010.514277697</v>
      </c>
      <c r="E146" s="473">
        <f>'Input data'!J126*C146</f>
        <v>57970.630869149376</v>
      </c>
      <c r="F146" s="474">
        <f>'Input data'!L126</f>
        <v>105569.64138342708</v>
      </c>
      <c r="G146" s="474">
        <f t="shared" si="128"/>
        <v>26007.089172093853</v>
      </c>
      <c r="H146" s="474">
        <f t="shared" si="95"/>
        <v>51926.270614169538</v>
      </c>
      <c r="I146" s="475">
        <f t="shared" si="98"/>
        <v>47599.010514277696</v>
      </c>
      <c r="J146" s="579">
        <f t="shared" si="122"/>
        <v>0.2958608426446665</v>
      </c>
      <c r="K146" s="474">
        <f t="shared" si="123"/>
        <v>11153.07190328521</v>
      </c>
      <c r="L146" s="474">
        <f t="shared" si="99"/>
        <v>0</v>
      </c>
      <c r="M146" s="475">
        <f t="shared" si="124"/>
        <v>11153.07190328521</v>
      </c>
      <c r="N146" s="579">
        <f>($N$147-$N$142)/($A$107-$A$102)+N145</f>
        <v>0.5</v>
      </c>
      <c r="O146" s="475">
        <f t="shared" si="100"/>
        <v>751.91700000000026</v>
      </c>
      <c r="P146" s="1043">
        <f t="shared" si="127"/>
        <v>11904.98890328521</v>
      </c>
      <c r="Q146" s="467">
        <f t="shared" si="101"/>
        <v>66028.370882978183</v>
      </c>
      <c r="R146" s="467">
        <f t="shared" si="125"/>
        <v>40021.28171088433</v>
      </c>
      <c r="S146" s="1255">
        <f t="shared" si="102"/>
        <v>1.23096788516537</v>
      </c>
      <c r="T146" s="118" t="str">
        <f t="shared" si="103"/>
        <v>No</v>
      </c>
      <c r="U146" s="1255">
        <f t="shared" si="104"/>
        <v>1</v>
      </c>
      <c r="V146" s="1268">
        <f t="shared" si="96"/>
        <v>73057.597654920057</v>
      </c>
      <c r="W146" s="1269">
        <f t="shared" si="97"/>
        <v>0.30796773866479143</v>
      </c>
      <c r="X146" s="473">
        <f t="shared" si="105"/>
        <v>33516.327154471153</v>
      </c>
      <c r="Y146" s="474">
        <f t="shared" si="106"/>
        <v>18724.863724353592</v>
      </c>
      <c r="Z146" s="474">
        <f t="shared" si="107"/>
        <v>3371.5806470164412</v>
      </c>
      <c r="AA146" s="474">
        <f t="shared" si="108"/>
        <v>0</v>
      </c>
      <c r="AB146" s="474">
        <f t="shared" si="109"/>
        <v>17444.826129078869</v>
      </c>
      <c r="AC146" s="474">
        <f t="shared" si="110"/>
        <v>73057.597654920057</v>
      </c>
      <c r="AD146" s="475">
        <f t="shared" si="111"/>
        <v>7509.2379823773008</v>
      </c>
      <c r="AE146" s="100">
        <f t="shared" si="112"/>
        <v>0.45876579890817143</v>
      </c>
      <c r="AF146" s="100">
        <f t="shared" si="113"/>
        <v>0.25630275735042007</v>
      </c>
      <c r="AG146" s="100">
        <f t="shared" si="114"/>
        <v>4.6149623793294584E-2</v>
      </c>
      <c r="AH146" s="100">
        <f t="shared" si="126"/>
        <v>0</v>
      </c>
      <c r="AI146" s="100">
        <f t="shared" si="115"/>
        <v>0.2387818199481139</v>
      </c>
      <c r="AJ146" s="471">
        <f t="shared" si="116"/>
        <v>0.99999999999999989</v>
      </c>
      <c r="AK146" s="1250">
        <f t="shared" si="117"/>
        <v>33516.327154471161</v>
      </c>
      <c r="AL146" s="1251">
        <f t="shared" si="118"/>
        <v>0</v>
      </c>
      <c r="AM146" s="1251">
        <f t="shared" si="119"/>
        <v>0</v>
      </c>
      <c r="AN146" s="1251">
        <f t="shared" si="120"/>
        <v>33516.327154471161</v>
      </c>
      <c r="AO146" s="1022">
        <f t="shared" si="121"/>
        <v>0</v>
      </c>
      <c r="AV146" s="119"/>
      <c r="AW146" s="119"/>
    </row>
    <row r="147" spans="1:49">
      <c r="A147" s="89">
        <f>'Input data'!A127</f>
        <v>2027</v>
      </c>
      <c r="B147" s="152">
        <f>'Input data'!B127</f>
        <v>64.377188881988602</v>
      </c>
      <c r="C147" s="204">
        <f>'Input data'!C127</f>
        <v>4908.8799999999992</v>
      </c>
      <c r="D147" s="475">
        <f>'Input data'!D127</f>
        <v>46599596.269564167</v>
      </c>
      <c r="E147" s="473">
        <f>'Input data'!J127*C147</f>
        <v>59058.959256550894</v>
      </c>
      <c r="F147" s="474">
        <f>'Input data'!L127</f>
        <v>105658.55552611506</v>
      </c>
      <c r="G147" s="474">
        <f>G137*(1-E5)</f>
        <v>23953.89792166539</v>
      </c>
      <c r="H147" s="474">
        <f t="shared" si="95"/>
        <v>53666.049883871958</v>
      </c>
      <c r="I147" s="475">
        <f t="shared" si="98"/>
        <v>46599.596269564165</v>
      </c>
      <c r="J147" s="579">
        <f t="shared" si="122"/>
        <v>0.32189563198349985</v>
      </c>
      <c r="K147" s="474">
        <f t="shared" si="123"/>
        <v>12132.106721527884</v>
      </c>
      <c r="L147" s="474">
        <f t="shared" si="99"/>
        <v>0</v>
      </c>
      <c r="M147" s="475">
        <f t="shared" si="124"/>
        <v>12132.106721527884</v>
      </c>
      <c r="N147" s="579">
        <f>$C$27</f>
        <v>0.5</v>
      </c>
      <c r="O147" s="475">
        <f t="shared" si="100"/>
        <v>751.91700000000026</v>
      </c>
      <c r="P147" s="1043">
        <f t="shared" si="127"/>
        <v>12884.023721527883</v>
      </c>
      <c r="Q147" s="467">
        <f t="shared" si="101"/>
        <v>64735.924084009464</v>
      </c>
      <c r="R147" s="467">
        <f t="shared" si="125"/>
        <v>40782.026162344075</v>
      </c>
      <c r="S147" s="1255">
        <f t="shared" si="102"/>
        <v>1.2307269609420306</v>
      </c>
      <c r="T147" s="118" t="str">
        <f t="shared" si="103"/>
        <v>No</v>
      </c>
      <c r="U147" s="1255">
        <f t="shared" si="104"/>
        <v>1</v>
      </c>
      <c r="V147" s="1268">
        <f t="shared" si="96"/>
        <v>72522.021220302471</v>
      </c>
      <c r="W147" s="1269">
        <f t="shared" si="97"/>
        <v>0.31361903577815242</v>
      </c>
      <c r="X147" s="473">
        <f t="shared" si="105"/>
        <v>31599.38977819687</v>
      </c>
      <c r="Y147" s="474">
        <f t="shared" si="106"/>
        <v>19729.53817019931</v>
      </c>
      <c r="Z147" s="474">
        <f t="shared" si="107"/>
        <v>3420.7616593626267</v>
      </c>
      <c r="AA147" s="474">
        <f t="shared" si="108"/>
        <v>0</v>
      </c>
      <c r="AB147" s="474">
        <f t="shared" si="109"/>
        <v>17772.331612543669</v>
      </c>
      <c r="AC147" s="474">
        <f t="shared" si="110"/>
        <v>72522.021220302471</v>
      </c>
      <c r="AD147" s="475">
        <f t="shared" si="111"/>
        <v>7645.4918565314802</v>
      </c>
      <c r="AE147" s="100">
        <f t="shared" si="112"/>
        <v>0.43572130570115236</v>
      </c>
      <c r="AF147" s="100">
        <f t="shared" si="113"/>
        <v>0.27204892856290175</v>
      </c>
      <c r="AG147" s="100">
        <f t="shared" si="114"/>
        <v>4.7168592405488388E-2</v>
      </c>
      <c r="AH147" s="100">
        <f t="shared" si="126"/>
        <v>0</v>
      </c>
      <c r="AI147" s="100">
        <f t="shared" si="115"/>
        <v>0.2450611733304576</v>
      </c>
      <c r="AJ147" s="471">
        <f t="shared" si="116"/>
        <v>1.0000000000000002</v>
      </c>
      <c r="AK147" s="1250">
        <f t="shared" si="117"/>
        <v>31599.38977819687</v>
      </c>
      <c r="AL147" s="1251">
        <f t="shared" si="118"/>
        <v>0</v>
      </c>
      <c r="AM147" s="1251">
        <f t="shared" si="119"/>
        <v>0</v>
      </c>
      <c r="AN147" s="1251">
        <f t="shared" si="120"/>
        <v>31599.38977819687</v>
      </c>
      <c r="AO147" s="1022">
        <f t="shared" si="121"/>
        <v>0</v>
      </c>
      <c r="AV147" s="119"/>
      <c r="AW147" s="119"/>
    </row>
    <row r="148" spans="1:49">
      <c r="A148" s="89">
        <f>'Input data'!A128</f>
        <v>2028</v>
      </c>
      <c r="B148" s="152">
        <f>'Input data'!B128</f>
        <v>64.995109664264291</v>
      </c>
      <c r="C148" s="204">
        <f>'Input data'!C128</f>
        <v>5001.3400000000011</v>
      </c>
      <c r="D148" s="475">
        <f>'Input data'!D128</f>
        <v>45314646.034956604</v>
      </c>
      <c r="E148" s="473">
        <f>'Input data'!J128*C148</f>
        <v>60171.349735206066</v>
      </c>
      <c r="F148" s="474">
        <f>'Input data'!L128</f>
        <v>105485.99577016267</v>
      </c>
      <c r="G148" s="474">
        <f>($G$152-$G$147)/($A$152-$A$147)+G147</f>
        <v>21900.706671236927</v>
      </c>
      <c r="H148" s="474">
        <f t="shared" si="95"/>
        <v>55151.67425742303</v>
      </c>
      <c r="I148" s="475">
        <f t="shared" si="98"/>
        <v>45314.646034956604</v>
      </c>
      <c r="J148" s="579">
        <f t="shared" si="122"/>
        <v>0.34793042132233321</v>
      </c>
      <c r="K148" s="474">
        <f t="shared" si="123"/>
        <v>12977.329898322856</v>
      </c>
      <c r="L148" s="474">
        <f t="shared" si="99"/>
        <v>0</v>
      </c>
      <c r="M148" s="475">
        <f t="shared" si="124"/>
        <v>12977.329898322856</v>
      </c>
      <c r="N148" s="579">
        <f>N147</f>
        <v>0.5</v>
      </c>
      <c r="O148" s="475">
        <f t="shared" si="100"/>
        <v>751.91700000000026</v>
      </c>
      <c r="P148" s="1043">
        <f t="shared" si="127"/>
        <v>13729.246898322855</v>
      </c>
      <c r="Q148" s="467">
        <f t="shared" si="101"/>
        <v>63323.134030337103</v>
      </c>
      <c r="R148" s="467">
        <f t="shared" si="125"/>
        <v>41422.427359100177</v>
      </c>
      <c r="S148" s="1255">
        <f t="shared" si="102"/>
        <v>1.2264288243782802</v>
      </c>
      <c r="T148" s="118" t="str">
        <f t="shared" si="103"/>
        <v>No</v>
      </c>
      <c r="U148" s="1255">
        <f t="shared" si="104"/>
        <v>1</v>
      </c>
      <c r="V148" s="1268">
        <f t="shared" si="96"/>
        <v>71711.163887767339</v>
      </c>
      <c r="W148" s="1269">
        <f t="shared" si="97"/>
        <v>0.32018308815120211</v>
      </c>
      <c r="X148" s="473">
        <f t="shared" si="105"/>
        <v>29548.302147941758</v>
      </c>
      <c r="Y148" s="474">
        <f t="shared" si="106"/>
        <v>20584.753727672942</v>
      </c>
      <c r="Z148" s="474">
        <f t="shared" si="107"/>
        <v>3471.0300255081979</v>
      </c>
      <c r="AA148" s="474">
        <f t="shared" si="108"/>
        <v>0</v>
      </c>
      <c r="AB148" s="474">
        <f t="shared" si="109"/>
        <v>18107.077986644446</v>
      </c>
      <c r="AC148" s="474">
        <f t="shared" si="110"/>
        <v>71711.163887767339</v>
      </c>
      <c r="AD148" s="475">
        <f t="shared" si="111"/>
        <v>7647.5954767048315</v>
      </c>
      <c r="AE148" s="100">
        <f t="shared" si="112"/>
        <v>0.41204605456113896</v>
      </c>
      <c r="AF148" s="100">
        <f t="shared" si="113"/>
        <v>0.28705089433340431</v>
      </c>
      <c r="AG148" s="100">
        <f t="shared" si="114"/>
        <v>4.8402924138012692E-2</v>
      </c>
      <c r="AH148" s="100">
        <f t="shared" si="126"/>
        <v>0</v>
      </c>
      <c r="AI148" s="100">
        <f t="shared" si="115"/>
        <v>0.25250012696744412</v>
      </c>
      <c r="AJ148" s="471">
        <f t="shared" si="116"/>
        <v>1.0000000000000002</v>
      </c>
      <c r="AK148" s="1250">
        <f t="shared" si="117"/>
        <v>29548.302147941755</v>
      </c>
      <c r="AL148" s="1251">
        <f t="shared" si="118"/>
        <v>0</v>
      </c>
      <c r="AM148" s="1251">
        <f t="shared" si="119"/>
        <v>0</v>
      </c>
      <c r="AN148" s="1251">
        <f t="shared" si="120"/>
        <v>29548.302147941755</v>
      </c>
      <c r="AO148" s="1022">
        <f t="shared" si="121"/>
        <v>0</v>
      </c>
      <c r="AV148" s="119"/>
      <c r="AW148" s="119"/>
    </row>
    <row r="149" spans="1:49">
      <c r="A149" s="89">
        <f>'Input data'!A129</f>
        <v>2029</v>
      </c>
      <c r="B149" s="152">
        <f>'Input data'!B129</f>
        <v>65.59730237662275</v>
      </c>
      <c r="C149" s="204">
        <f>'Input data'!C129</f>
        <v>5124.16</v>
      </c>
      <c r="D149" s="475">
        <f>'Input data'!D129</f>
        <v>44520340.557958424</v>
      </c>
      <c r="E149" s="473">
        <f>'Input data'!J129*C149</f>
        <v>61649.00275909125</v>
      </c>
      <c r="F149" s="474">
        <f>'Input data'!L129</f>
        <v>106169.34331704967</v>
      </c>
      <c r="G149" s="474">
        <f t="shared" ref="G149:G151" si="129">($G$152-$G$147)/($A$152-$A$147)+G148</f>
        <v>19847.515420808464</v>
      </c>
      <c r="H149" s="474">
        <f t="shared" si="95"/>
        <v>57307.335562326181</v>
      </c>
      <c r="I149" s="475">
        <f t="shared" si="98"/>
        <v>44520.340557958421</v>
      </c>
      <c r="J149" s="579">
        <f t="shared" si="122"/>
        <v>0.37396521066116656</v>
      </c>
      <c r="K149" s="474">
        <f t="shared" si="123"/>
        <v>13908.932252634801</v>
      </c>
      <c r="L149" s="474">
        <f t="shared" si="99"/>
        <v>0</v>
      </c>
      <c r="M149" s="475">
        <f t="shared" si="124"/>
        <v>13908.932252634801</v>
      </c>
      <c r="N149" s="579">
        <f t="shared" ref="N149:N170" si="130">N148</f>
        <v>0.5</v>
      </c>
      <c r="O149" s="475">
        <f t="shared" si="100"/>
        <v>751.91700000000026</v>
      </c>
      <c r="P149" s="1043">
        <f t="shared" si="127"/>
        <v>14660.8492526348</v>
      </c>
      <c r="Q149" s="467">
        <f t="shared" si="101"/>
        <v>62494.001730499847</v>
      </c>
      <c r="R149" s="467">
        <f t="shared" si="125"/>
        <v>42646.486309691383</v>
      </c>
      <c r="S149" s="1255">
        <f t="shared" si="102"/>
        <v>1.231748593679397</v>
      </c>
      <c r="T149" s="118" t="str">
        <f t="shared" si="103"/>
        <v>No</v>
      </c>
      <c r="U149" s="1255">
        <f t="shared" si="104"/>
        <v>1</v>
      </c>
      <c r="V149" s="1268">
        <f t="shared" si="96"/>
        <v>71546.623609044444</v>
      </c>
      <c r="W149" s="1269">
        <f t="shared" si="97"/>
        <v>0.32610844737555411</v>
      </c>
      <c r="X149" s="473">
        <f t="shared" si="105"/>
        <v>27871.282022494619</v>
      </c>
      <c r="Y149" s="474">
        <f t="shared" si="106"/>
        <v>21585.796083622205</v>
      </c>
      <c r="Z149" s="474">
        <f t="shared" si="107"/>
        <v>3537.8044223284328</v>
      </c>
      <c r="AA149" s="474">
        <f t="shared" si="108"/>
        <v>0</v>
      </c>
      <c r="AB149" s="474">
        <f t="shared" si="109"/>
        <v>18551.741080599193</v>
      </c>
      <c r="AC149" s="474">
        <f t="shared" si="110"/>
        <v>71546.623609044444</v>
      </c>
      <c r="AD149" s="475">
        <f t="shared" si="111"/>
        <v>8023.7666016861549</v>
      </c>
      <c r="AE149" s="100">
        <f t="shared" si="112"/>
        <v>0.3895541203284863</v>
      </c>
      <c r="AF149" s="100">
        <f t="shared" si="113"/>
        <v>0.30170251221880823</v>
      </c>
      <c r="AG149" s="100">
        <f t="shared" si="114"/>
        <v>4.9447538456324963E-2</v>
      </c>
      <c r="AH149" s="100">
        <f t="shared" si="126"/>
        <v>0</v>
      </c>
      <c r="AI149" s="100">
        <f t="shared" si="115"/>
        <v>0.2592958289963806</v>
      </c>
      <c r="AJ149" s="471">
        <f t="shared" si="116"/>
        <v>1</v>
      </c>
      <c r="AK149" s="1250">
        <f t="shared" si="117"/>
        <v>27871.282022494623</v>
      </c>
      <c r="AL149" s="1251">
        <f t="shared" si="118"/>
        <v>0</v>
      </c>
      <c r="AM149" s="1251">
        <f t="shared" si="119"/>
        <v>0</v>
      </c>
      <c r="AN149" s="1251">
        <f t="shared" si="120"/>
        <v>27871.282022494623</v>
      </c>
      <c r="AO149" s="1022">
        <f t="shared" si="121"/>
        <v>0</v>
      </c>
      <c r="AV149" s="119"/>
      <c r="AW149" s="119"/>
    </row>
    <row r="150" spans="1:49">
      <c r="A150" s="89">
        <f>'Input data'!A130</f>
        <v>2030</v>
      </c>
      <c r="B150" s="152">
        <f>'Input data'!B130</f>
        <v>66.183214701401099</v>
      </c>
      <c r="C150" s="204">
        <f>'Input data'!C130</f>
        <v>5234.6499999999996</v>
      </c>
      <c r="D150" s="475">
        <f>'Input data'!D130</f>
        <v>41257794.114847519</v>
      </c>
      <c r="E150" s="473">
        <f>'Input data'!J130*C150</f>
        <v>62978.312990397841</v>
      </c>
      <c r="F150" s="474">
        <f>'Input data'!L130</f>
        <v>104236.10710524536</v>
      </c>
      <c r="G150" s="474">
        <f t="shared" si="129"/>
        <v>17794.324170380001</v>
      </c>
      <c r="H150" s="474">
        <f t="shared" si="95"/>
        <v>57061.550400345179</v>
      </c>
      <c r="I150" s="475">
        <f t="shared" si="98"/>
        <v>41257.794114847522</v>
      </c>
      <c r="J150" s="579">
        <f>$H$19</f>
        <v>0.4</v>
      </c>
      <c r="K150" s="474">
        <f t="shared" si="123"/>
        <v>13963.793718745188</v>
      </c>
      <c r="L150" s="474">
        <f t="shared" si="99"/>
        <v>0</v>
      </c>
      <c r="M150" s="475">
        <f t="shared" si="124"/>
        <v>13963.793718745188</v>
      </c>
      <c r="N150" s="579">
        <f t="shared" si="130"/>
        <v>0.5</v>
      </c>
      <c r="O150" s="475">
        <f t="shared" si="100"/>
        <v>751.91700000000026</v>
      </c>
      <c r="P150" s="1043">
        <f t="shared" si="127"/>
        <v>14715.710718745187</v>
      </c>
      <c r="Q150" s="467">
        <f t="shared" si="101"/>
        <v>60140.163851979989</v>
      </c>
      <c r="R150" s="467">
        <f t="shared" si="125"/>
        <v>42345.839681599988</v>
      </c>
      <c r="S150" s="1255">
        <f t="shared" si="102"/>
        <v>1.1967007610543288</v>
      </c>
      <c r="T150" s="118" t="str">
        <f t="shared" si="103"/>
        <v>No</v>
      </c>
      <c r="U150" s="1255">
        <f t="shared" si="104"/>
        <v>1</v>
      </c>
      <c r="V150" s="1268">
        <f t="shared" si="96"/>
        <v>68850.619722173898</v>
      </c>
      <c r="W150" s="1269">
        <f t="shared" si="97"/>
        <v>0.33947437568196359</v>
      </c>
      <c r="X150" s="473">
        <f t="shared" si="105"/>
        <v>24754.676468908514</v>
      </c>
      <c r="Y150" s="474">
        <f t="shared" si="106"/>
        <v>21546.30388650671</v>
      </c>
      <c r="Z150" s="474">
        <f t="shared" si="107"/>
        <v>3597.8752829754594</v>
      </c>
      <c r="AA150" s="474">
        <f t="shared" si="108"/>
        <v>0</v>
      </c>
      <c r="AB150" s="474">
        <f t="shared" si="109"/>
        <v>18951.764083783208</v>
      </c>
      <c r="AC150" s="474">
        <f t="shared" si="110"/>
        <v>68850.619722173898</v>
      </c>
      <c r="AD150" s="475">
        <f t="shared" si="111"/>
        <v>6960.3522985285126</v>
      </c>
      <c r="AE150" s="100">
        <f t="shared" si="112"/>
        <v>0.35954181049928979</v>
      </c>
      <c r="AF150" s="100">
        <f t="shared" si="113"/>
        <v>0.31294277340495091</v>
      </c>
      <c r="AG150" s="100">
        <f t="shared" si="114"/>
        <v>5.2256251250803694E-2</v>
      </c>
      <c r="AH150" s="100">
        <f t="shared" si="126"/>
        <v>0</v>
      </c>
      <c r="AI150" s="100">
        <f t="shared" si="115"/>
        <v>0.2752591648449555</v>
      </c>
      <c r="AJ150" s="471">
        <f t="shared" si="116"/>
        <v>0.99999999999999989</v>
      </c>
      <c r="AK150" s="1250">
        <f t="shared" si="117"/>
        <v>24754.67646890851</v>
      </c>
      <c r="AL150" s="1251">
        <f t="shared" si="118"/>
        <v>0</v>
      </c>
      <c r="AM150" s="1251">
        <f t="shared" si="119"/>
        <v>0</v>
      </c>
      <c r="AN150" s="1251">
        <f t="shared" si="120"/>
        <v>24754.67646890851</v>
      </c>
      <c r="AO150" s="1022">
        <f t="shared" si="121"/>
        <v>0</v>
      </c>
      <c r="AV150" s="119"/>
      <c r="AW150" s="119"/>
    </row>
    <row r="151" spans="1:49">
      <c r="A151" s="89">
        <f>'Input data'!A131</f>
        <v>2031</v>
      </c>
      <c r="B151" s="152">
        <f>'Input data'!B131</f>
        <v>66.757007289602299</v>
      </c>
      <c r="C151" s="204">
        <f>'Input data'!C131</f>
        <v>5365.4400000000005</v>
      </c>
      <c r="D151" s="475">
        <f>'Input data'!D131</f>
        <v>39014257.111139439</v>
      </c>
      <c r="E151" s="473">
        <f>'Input data'!J131*C151</f>
        <v>64551.853447928748</v>
      </c>
      <c r="F151" s="474">
        <f>'Input data'!L131</f>
        <v>103566.11055906818</v>
      </c>
      <c r="G151" s="474">
        <f t="shared" si="129"/>
        <v>15741.132919951538</v>
      </c>
      <c r="H151" s="474">
        <f t="shared" si="95"/>
        <v>57912.197993827715</v>
      </c>
      <c r="I151" s="475">
        <f t="shared" si="98"/>
        <v>39014.257111139435</v>
      </c>
      <c r="J151" s="579">
        <f>J150</f>
        <v>0.4</v>
      </c>
      <c r="K151" s="474">
        <f t="shared" si="123"/>
        <v>13204.463546294763</v>
      </c>
      <c r="L151" s="474">
        <f t="shared" si="99"/>
        <v>0</v>
      </c>
      <c r="M151" s="475">
        <f t="shared" si="124"/>
        <v>13204.463546294763</v>
      </c>
      <c r="N151" s="579">
        <f t="shared" si="130"/>
        <v>0.5</v>
      </c>
      <c r="O151" s="475">
        <f t="shared" si="100"/>
        <v>751.91700000000026</v>
      </c>
      <c r="P151" s="1043">
        <f t="shared" si="127"/>
        <v>13956.380546294762</v>
      </c>
      <c r="Q151" s="467">
        <f t="shared" si="101"/>
        <v>59696.950367484489</v>
      </c>
      <c r="R151" s="467">
        <f t="shared" si="125"/>
        <v>43955.817447532951</v>
      </c>
      <c r="S151" s="1255">
        <f t="shared" si="102"/>
        <v>1.2112912713318544</v>
      </c>
      <c r="T151" s="118" t="str">
        <f t="shared" si="103"/>
        <v>No</v>
      </c>
      <c r="U151" s="1255">
        <f t="shared" si="104"/>
        <v>1</v>
      </c>
      <c r="V151" s="1268">
        <f t="shared" si="96"/>
        <v>67277.714458267365</v>
      </c>
      <c r="W151" s="1269">
        <f t="shared" si="97"/>
        <v>0.35038871214637335</v>
      </c>
      <c r="X151" s="473">
        <f t="shared" si="105"/>
        <v>23408.554266683659</v>
      </c>
      <c r="Y151" s="474">
        <f t="shared" si="106"/>
        <v>20774.895279975164</v>
      </c>
      <c r="Z151" s="474">
        <f t="shared" si="107"/>
        <v>3668.9827846862445</v>
      </c>
      <c r="AA151" s="474">
        <f t="shared" si="108"/>
        <v>0</v>
      </c>
      <c r="AB151" s="474">
        <f t="shared" si="109"/>
        <v>19425.282126922295</v>
      </c>
      <c r="AC151" s="474">
        <f t="shared" si="110"/>
        <v>67277.714458267365</v>
      </c>
      <c r="AD151" s="475">
        <f t="shared" si="111"/>
        <v>7667.4213467321206</v>
      </c>
      <c r="AE151" s="100">
        <f t="shared" si="112"/>
        <v>0.34793920178730325</v>
      </c>
      <c r="AF151" s="100">
        <f t="shared" si="113"/>
        <v>0.30879311889915517</v>
      </c>
      <c r="AG151" s="100">
        <f t="shared" si="114"/>
        <v>5.4534890405085461E-2</v>
      </c>
      <c r="AH151" s="100">
        <f t="shared" si="126"/>
        <v>0</v>
      </c>
      <c r="AI151" s="100">
        <f t="shared" si="115"/>
        <v>0.28873278890845611</v>
      </c>
      <c r="AJ151" s="471">
        <f t="shared" si="116"/>
        <v>0.99999999999999989</v>
      </c>
      <c r="AK151" s="1250">
        <f t="shared" si="117"/>
        <v>23408.554266683663</v>
      </c>
      <c r="AL151" s="1251">
        <f t="shared" si="118"/>
        <v>0</v>
      </c>
      <c r="AM151" s="1251">
        <f t="shared" si="119"/>
        <v>0</v>
      </c>
      <c r="AN151" s="1251">
        <f t="shared" si="120"/>
        <v>23408.554266683663</v>
      </c>
      <c r="AO151" s="1022">
        <f t="shared" si="121"/>
        <v>0</v>
      </c>
      <c r="AV151" s="119"/>
      <c r="AW151" s="119"/>
    </row>
    <row r="152" spans="1:49">
      <c r="A152" s="89">
        <f>'Input data'!A132</f>
        <v>2032</v>
      </c>
      <c r="B152" s="152">
        <f>'Input data'!B132</f>
        <v>67.318270994163854</v>
      </c>
      <c r="C152" s="204">
        <f>'Input data'!C132</f>
        <v>5502.3</v>
      </c>
      <c r="D152" s="475">
        <f>'Input data'!D132</f>
        <v>36334930.67697753</v>
      </c>
      <c r="E152" s="473">
        <f>'Input data'!J132*C152</f>
        <v>66198.422352414404</v>
      </c>
      <c r="F152" s="474">
        <f>'Input data'!L132</f>
        <v>102533.35302939193</v>
      </c>
      <c r="G152" s="474">
        <f>G137*(1-E6)</f>
        <v>13687.941669523079</v>
      </c>
      <c r="H152" s="474">
        <f t="shared" si="95"/>
        <v>58395.782253610683</v>
      </c>
      <c r="I152" s="475">
        <f t="shared" si="98"/>
        <v>36334.930676977528</v>
      </c>
      <c r="J152" s="579">
        <f t="shared" ref="J152:J170" si="131">J151</f>
        <v>0.4</v>
      </c>
      <c r="K152" s="474">
        <f t="shared" si="123"/>
        <v>12297.639455610915</v>
      </c>
      <c r="L152" s="474">
        <f t="shared" si="99"/>
        <v>0</v>
      </c>
      <c r="M152" s="475">
        <f t="shared" si="124"/>
        <v>12297.639455610915</v>
      </c>
      <c r="N152" s="579">
        <f t="shared" si="130"/>
        <v>0.5</v>
      </c>
      <c r="O152" s="475">
        <f t="shared" si="100"/>
        <v>751.91700000000026</v>
      </c>
      <c r="P152" s="1043">
        <f t="shared" si="127"/>
        <v>13049.556455610915</v>
      </c>
      <c r="Q152" s="467">
        <f t="shared" si="101"/>
        <v>59034.167467522842</v>
      </c>
      <c r="R152" s="467">
        <f t="shared" si="125"/>
        <v>45346.225797999767</v>
      </c>
      <c r="S152" s="1255">
        <f t="shared" si="102"/>
        <v>1.21789732717635</v>
      </c>
      <c r="T152" s="118" t="str">
        <f t="shared" si="103"/>
        <v>No</v>
      </c>
      <c r="U152" s="1255">
        <f t="shared" si="104"/>
        <v>1</v>
      </c>
      <c r="V152" s="1268">
        <f t="shared" si="96"/>
        <v>65300.143968055621</v>
      </c>
      <c r="W152" s="1269">
        <f t="shared" si="97"/>
        <v>0.36313265841080156</v>
      </c>
      <c r="X152" s="473">
        <f t="shared" si="105"/>
        <v>21800.958406186517</v>
      </c>
      <c r="Y152" s="474">
        <f t="shared" si="106"/>
        <v>19835.018883549397</v>
      </c>
      <c r="Z152" s="474">
        <f t="shared" si="107"/>
        <v>3743.3904051781628</v>
      </c>
      <c r="AA152" s="474">
        <f t="shared" si="108"/>
        <v>0</v>
      </c>
      <c r="AB152" s="474">
        <f t="shared" si="109"/>
        <v>19920.776273141539</v>
      </c>
      <c r="AC152" s="474">
        <f t="shared" si="110"/>
        <v>65300.143968055621</v>
      </c>
      <c r="AD152" s="475">
        <f t="shared" si="111"/>
        <v>8113.0167366634378</v>
      </c>
      <c r="AE152" s="100">
        <f t="shared" si="112"/>
        <v>0.33385773876473218</v>
      </c>
      <c r="AF152" s="100">
        <f t="shared" si="113"/>
        <v>0.30375153373708563</v>
      </c>
      <c r="AG152" s="100">
        <f t="shared" si="114"/>
        <v>5.7325913508083588E-2</v>
      </c>
      <c r="AH152" s="100">
        <f t="shared" si="126"/>
        <v>0</v>
      </c>
      <c r="AI152" s="100">
        <f t="shared" si="115"/>
        <v>0.30506481399009849</v>
      </c>
      <c r="AJ152" s="471">
        <f t="shared" si="116"/>
        <v>1</v>
      </c>
      <c r="AK152" s="1250">
        <f t="shared" si="117"/>
        <v>21800.958406186517</v>
      </c>
      <c r="AL152" s="1251">
        <f t="shared" si="118"/>
        <v>0</v>
      </c>
      <c r="AM152" s="1251">
        <f t="shared" si="119"/>
        <v>0</v>
      </c>
      <c r="AN152" s="1251">
        <f t="shared" si="120"/>
        <v>21800.958406186517</v>
      </c>
      <c r="AO152" s="1022">
        <f t="shared" si="121"/>
        <v>0</v>
      </c>
      <c r="AV152" s="119"/>
      <c r="AW152" s="119"/>
    </row>
    <row r="153" spans="1:49">
      <c r="A153" s="89">
        <f>'Input data'!A133</f>
        <v>2033</v>
      </c>
      <c r="B153" s="152">
        <f>'Input data'!B133</f>
        <v>67.86660286866902</v>
      </c>
      <c r="C153" s="204">
        <f>'Input data'!C133</f>
        <v>5663.260000000002</v>
      </c>
      <c r="D153" s="475">
        <f>'Input data'!D133</f>
        <v>35521966.003645025</v>
      </c>
      <c r="E153" s="473">
        <f>'Input data'!J133*C153</f>
        <v>68134.939456506283</v>
      </c>
      <c r="F153" s="474">
        <f>'Input data'!L133</f>
        <v>103656.90546015131</v>
      </c>
      <c r="G153" s="474">
        <f>G152</f>
        <v>13687.941669523079</v>
      </c>
      <c r="H153" s="474">
        <f t="shared" si="95"/>
        <v>58744.041019304743</v>
      </c>
      <c r="I153" s="475">
        <f t="shared" si="98"/>
        <v>35521.966003645022</v>
      </c>
      <c r="J153" s="579">
        <f t="shared" si="131"/>
        <v>0.4</v>
      </c>
      <c r="K153" s="474">
        <f t="shared" si="123"/>
        <v>12022.489723479288</v>
      </c>
      <c r="L153" s="474">
        <f t="shared" si="99"/>
        <v>0</v>
      </c>
      <c r="M153" s="475">
        <f t="shared" si="124"/>
        <v>12022.489723479288</v>
      </c>
      <c r="N153" s="579">
        <f t="shared" si="130"/>
        <v>0.5</v>
      </c>
      <c r="O153" s="475">
        <f t="shared" si="100"/>
        <v>751.91700000000026</v>
      </c>
      <c r="P153" s="1043">
        <f t="shared" si="127"/>
        <v>12774.406723479287</v>
      </c>
      <c r="Q153" s="467">
        <f t="shared" si="101"/>
        <v>59657.575965348529</v>
      </c>
      <c r="R153" s="467">
        <f t="shared" si="125"/>
        <v>45969.634295825454</v>
      </c>
      <c r="S153" s="1255">
        <f t="shared" si="102"/>
        <v>1.1988618587301507</v>
      </c>
      <c r="T153" s="118" t="str">
        <f t="shared" si="103"/>
        <v>No</v>
      </c>
      <c r="U153" s="1255">
        <f t="shared" si="104"/>
        <v>1</v>
      </c>
      <c r="V153" s="1268">
        <f t="shared" si="96"/>
        <v>65312.509096989794</v>
      </c>
      <c r="W153" s="1269">
        <f t="shared" si="97"/>
        <v>0.36991646811125578</v>
      </c>
      <c r="X153" s="473">
        <f t="shared" si="105"/>
        <v>21313.179602187014</v>
      </c>
      <c r="Y153" s="474">
        <f t="shared" si="106"/>
        <v>19664.905704325913</v>
      </c>
      <c r="Z153" s="474">
        <f t="shared" si="107"/>
        <v>3830.9006389526726</v>
      </c>
      <c r="AA153" s="474">
        <f t="shared" si="108"/>
        <v>0</v>
      </c>
      <c r="AB153" s="474">
        <f t="shared" si="109"/>
        <v>20503.523151524198</v>
      </c>
      <c r="AC153" s="474">
        <f t="shared" si="110"/>
        <v>65312.509096989794</v>
      </c>
      <c r="AD153" s="475">
        <f t="shared" si="111"/>
        <v>7625.2379326639348</v>
      </c>
      <c r="AE153" s="100">
        <f t="shared" si="112"/>
        <v>0.32632614941399218</v>
      </c>
      <c r="AF153" s="100">
        <f t="shared" si="113"/>
        <v>0.30108942339243638</v>
      </c>
      <c r="AG153" s="100">
        <f t="shared" si="114"/>
        <v>5.8654929842976065E-2</v>
      </c>
      <c r="AH153" s="100">
        <f t="shared" si="126"/>
        <v>0</v>
      </c>
      <c r="AI153" s="100">
        <f t="shared" si="115"/>
        <v>0.31392949735059544</v>
      </c>
      <c r="AJ153" s="471">
        <f t="shared" si="116"/>
        <v>1</v>
      </c>
      <c r="AK153" s="1250">
        <f t="shared" si="117"/>
        <v>21313.17960218701</v>
      </c>
      <c r="AL153" s="1251">
        <f t="shared" si="118"/>
        <v>0</v>
      </c>
      <c r="AM153" s="1251">
        <f t="shared" si="119"/>
        <v>0</v>
      </c>
      <c r="AN153" s="1251">
        <f t="shared" si="120"/>
        <v>21313.17960218701</v>
      </c>
      <c r="AO153" s="1022">
        <f t="shared" si="121"/>
        <v>0</v>
      </c>
      <c r="AV153" s="119"/>
      <c r="AW153" s="119"/>
    </row>
    <row r="154" spans="1:49">
      <c r="A154" s="89">
        <f>'Input data'!A134</f>
        <v>2034</v>
      </c>
      <c r="B154" s="152">
        <f>'Input data'!B134</f>
        <v>68.401606645337111</v>
      </c>
      <c r="C154" s="204">
        <f>'Input data'!C134</f>
        <v>5838.79</v>
      </c>
      <c r="D154" s="475">
        <f>'Input data'!D134</f>
        <v>32152713.47625063</v>
      </c>
      <c r="E154" s="473">
        <f>'Input data'!J134*C154</f>
        <v>70246.748895380792</v>
      </c>
      <c r="F154" s="474">
        <f>'Input data'!L134</f>
        <v>102399.46237163142</v>
      </c>
      <c r="G154" s="474">
        <f t="shared" ref="G154:G170" si="132">G153</f>
        <v>13687.941669523079</v>
      </c>
      <c r="H154" s="474">
        <f t="shared" si="95"/>
        <v>56793.929657286746</v>
      </c>
      <c r="I154" s="475">
        <f t="shared" si="98"/>
        <v>32152.713476250628</v>
      </c>
      <c r="J154" s="579">
        <f t="shared" si="131"/>
        <v>0.4</v>
      </c>
      <c r="K154" s="474">
        <f t="shared" si="123"/>
        <v>10882.158586338701</v>
      </c>
      <c r="L154" s="474">
        <f t="shared" si="99"/>
        <v>0</v>
      </c>
      <c r="M154" s="475">
        <f t="shared" si="124"/>
        <v>10882.158586338701</v>
      </c>
      <c r="N154" s="579">
        <f t="shared" si="130"/>
        <v>0.5</v>
      </c>
      <c r="O154" s="475">
        <f t="shared" si="100"/>
        <v>751.91700000000026</v>
      </c>
      <c r="P154" s="1043">
        <f t="shared" si="127"/>
        <v>11634.0755863387</v>
      </c>
      <c r="Q154" s="467">
        <f t="shared" si="101"/>
        <v>58847.79574047112</v>
      </c>
      <c r="R154" s="467">
        <f t="shared" si="125"/>
        <v>45159.854070948044</v>
      </c>
      <c r="S154" s="1255">
        <f t="shared" si="102"/>
        <v>1.1416640374553204</v>
      </c>
      <c r="T154" s="118" t="str">
        <f t="shared" si="103"/>
        <v>No</v>
      </c>
      <c r="U154" s="1255">
        <f t="shared" si="104"/>
        <v>1</v>
      </c>
      <c r="V154" s="1268">
        <f t="shared" si="96"/>
        <v>62843.294716910692</v>
      </c>
      <c r="W154" s="1269">
        <f t="shared" si="97"/>
        <v>0.38629272789697089</v>
      </c>
      <c r="X154" s="473">
        <f t="shared" si="105"/>
        <v>19291.628085750377</v>
      </c>
      <c r="Y154" s="474">
        <f t="shared" si="106"/>
        <v>18486.314467814744</v>
      </c>
      <c r="Z154" s="474">
        <f t="shared" si="107"/>
        <v>3926.3322451557001</v>
      </c>
      <c r="AA154" s="474">
        <f t="shared" si="108"/>
        <v>0</v>
      </c>
      <c r="AB154" s="474">
        <f t="shared" si="109"/>
        <v>21139.019918189864</v>
      </c>
      <c r="AC154" s="474">
        <f t="shared" si="110"/>
        <v>62843.294716910692</v>
      </c>
      <c r="AD154" s="475">
        <f t="shared" si="111"/>
        <v>5603.6864162272977</v>
      </c>
      <c r="AE154" s="100">
        <f t="shared" si="112"/>
        <v>0.30697989614728355</v>
      </c>
      <c r="AF154" s="100">
        <f t="shared" si="113"/>
        <v>0.29416526538097321</v>
      </c>
      <c r="AG154" s="100">
        <f t="shared" si="114"/>
        <v>6.2478141269368417E-2</v>
      </c>
      <c r="AH154" s="100">
        <f t="shared" si="126"/>
        <v>0</v>
      </c>
      <c r="AI154" s="100">
        <f t="shared" si="115"/>
        <v>0.33637669720237473</v>
      </c>
      <c r="AJ154" s="471">
        <f t="shared" si="116"/>
        <v>1</v>
      </c>
      <c r="AK154" s="1250">
        <f t="shared" si="117"/>
        <v>19291.628085750377</v>
      </c>
      <c r="AL154" s="1251">
        <f t="shared" si="118"/>
        <v>0</v>
      </c>
      <c r="AM154" s="1251">
        <f t="shared" si="119"/>
        <v>0</v>
      </c>
      <c r="AN154" s="1251">
        <f t="shared" si="120"/>
        <v>19291.628085750377</v>
      </c>
      <c r="AO154" s="1022">
        <f t="shared" si="121"/>
        <v>0</v>
      </c>
      <c r="AV154" s="119"/>
      <c r="AW154" s="119"/>
    </row>
    <row r="155" spans="1:49">
      <c r="A155" s="89">
        <f>'Input data'!A135</f>
        <v>2035</v>
      </c>
      <c r="B155" s="152">
        <f>'Input data'!B135</f>
        <v>68.922893208527455</v>
      </c>
      <c r="C155" s="204">
        <f>'Input data'!C135</f>
        <v>5978.8699999999981</v>
      </c>
      <c r="D155" s="475">
        <f>'Input data'!D135</f>
        <v>24779864.252695084</v>
      </c>
      <c r="E155" s="473">
        <f>'Input data'!J135*C155</f>
        <v>71932.057766784754</v>
      </c>
      <c r="F155" s="474">
        <f>'Input data'!L135</f>
        <v>96711.92201947984</v>
      </c>
      <c r="G155" s="474">
        <f t="shared" si="132"/>
        <v>13687.941669523079</v>
      </c>
      <c r="H155" s="474">
        <f t="shared" si="95"/>
        <v>50841.90485981587</v>
      </c>
      <c r="I155" s="475">
        <f t="shared" si="98"/>
        <v>24779.864252695083</v>
      </c>
      <c r="J155" s="579">
        <f t="shared" si="131"/>
        <v>0.4</v>
      </c>
      <c r="K155" s="474">
        <f t="shared" si="123"/>
        <v>8386.801093629454</v>
      </c>
      <c r="L155" s="474">
        <f t="shared" si="99"/>
        <v>0</v>
      </c>
      <c r="M155" s="475">
        <f t="shared" si="124"/>
        <v>8386.801093629454</v>
      </c>
      <c r="N155" s="579">
        <f t="shared" si="130"/>
        <v>0.5</v>
      </c>
      <c r="O155" s="475">
        <f t="shared" si="100"/>
        <v>751.91700000000026</v>
      </c>
      <c r="P155" s="1043">
        <f t="shared" si="127"/>
        <v>9138.7180936294535</v>
      </c>
      <c r="Q155" s="467">
        <f t="shared" si="101"/>
        <v>55391.128435709492</v>
      </c>
      <c r="R155" s="467">
        <f t="shared" si="125"/>
        <v>41703.186766186409</v>
      </c>
      <c r="S155" s="1255">
        <f t="shared" si="102"/>
        <v>1.029118544297676</v>
      </c>
      <c r="T155" s="118" t="str">
        <f t="shared" si="103"/>
        <v>No</v>
      </c>
      <c r="U155" s="1255">
        <f t="shared" si="104"/>
        <v>1</v>
      </c>
      <c r="V155" s="1268">
        <f t="shared" si="96"/>
        <v>56188.712135387403</v>
      </c>
      <c r="W155" s="1269">
        <f t="shared" si="97"/>
        <v>0.41900945651695554</v>
      </c>
      <c r="X155" s="473">
        <f t="shared" si="105"/>
        <v>14867.918551617049</v>
      </c>
      <c r="Y155" s="474">
        <f t="shared" si="106"/>
        <v>15672.131180172722</v>
      </c>
      <c r="Z155" s="474">
        <f t="shared" si="107"/>
        <v>4002.4905052646268</v>
      </c>
      <c r="AA155" s="474">
        <f t="shared" si="108"/>
        <v>0</v>
      </c>
      <c r="AB155" s="474">
        <f t="shared" si="109"/>
        <v>21646.171898333007</v>
      </c>
      <c r="AC155" s="474">
        <f t="shared" si="110"/>
        <v>56188.712135387403</v>
      </c>
      <c r="AD155" s="475">
        <f t="shared" si="111"/>
        <v>1179.9768820939698</v>
      </c>
      <c r="AE155" s="100">
        <f t="shared" si="112"/>
        <v>0.26460685761568292</v>
      </c>
      <c r="AF155" s="100">
        <f t="shared" si="113"/>
        <v>0.27891956559549769</v>
      </c>
      <c r="AG155" s="100">
        <f t="shared" si="114"/>
        <v>7.1232999532371846E-2</v>
      </c>
      <c r="AH155" s="100">
        <f t="shared" si="126"/>
        <v>0</v>
      </c>
      <c r="AI155" s="100">
        <f t="shared" si="115"/>
        <v>0.38524057725644761</v>
      </c>
      <c r="AJ155" s="471">
        <f t="shared" si="116"/>
        <v>1</v>
      </c>
      <c r="AK155" s="1250">
        <f t="shared" si="117"/>
        <v>14867.918551617049</v>
      </c>
      <c r="AL155" s="1251">
        <f t="shared" si="118"/>
        <v>0</v>
      </c>
      <c r="AM155" s="1251">
        <f t="shared" si="119"/>
        <v>0</v>
      </c>
      <c r="AN155" s="1251">
        <f t="shared" si="120"/>
        <v>14867.918551617049</v>
      </c>
      <c r="AO155" s="1022">
        <f t="shared" si="121"/>
        <v>0</v>
      </c>
      <c r="AV155" s="119"/>
      <c r="AW155" s="119"/>
    </row>
    <row r="156" spans="1:49">
      <c r="A156" s="89">
        <f>'Input data'!A136</f>
        <v>2036</v>
      </c>
      <c r="B156" s="152">
        <f>'Input data'!B136</f>
        <v>69.431445341664755</v>
      </c>
      <c r="C156" s="204">
        <f>'Input data'!C136</f>
        <v>6119.1299999999983</v>
      </c>
      <c r="D156" s="475">
        <f>'Input data'!D136</f>
        <v>11557949.273739366</v>
      </c>
      <c r="E156" s="473">
        <f>'Input data'!J136*C156</f>
        <v>73619.532226401585</v>
      </c>
      <c r="F156" s="474">
        <f>'Input data'!L136</f>
        <v>85177.481500140944</v>
      </c>
      <c r="G156" s="474">
        <f t="shared" si="132"/>
        <v>13687.941669523079</v>
      </c>
      <c r="H156" s="474">
        <f t="shared" si="95"/>
        <v>39402.053707019091</v>
      </c>
      <c r="I156" s="475">
        <f t="shared" si="98"/>
        <v>11557.949273739367</v>
      </c>
      <c r="J156" s="579">
        <f t="shared" si="131"/>
        <v>0.4</v>
      </c>
      <c r="K156" s="474">
        <f t="shared" si="123"/>
        <v>3911.8140688994454</v>
      </c>
      <c r="L156" s="474">
        <f t="shared" si="99"/>
        <v>0</v>
      </c>
      <c r="M156" s="475">
        <f t="shared" si="124"/>
        <v>3911.8140688994454</v>
      </c>
      <c r="N156" s="579">
        <f t="shared" si="130"/>
        <v>0.5</v>
      </c>
      <c r="O156" s="475">
        <f t="shared" si="100"/>
        <v>751.91700000000026</v>
      </c>
      <c r="P156" s="1043">
        <f t="shared" si="127"/>
        <v>4663.7310688994457</v>
      </c>
      <c r="Q156" s="467">
        <f t="shared" si="101"/>
        <v>48426.264307642719</v>
      </c>
      <c r="R156" s="467">
        <f t="shared" si="125"/>
        <v>34738.322638119644</v>
      </c>
      <c r="S156" s="1255">
        <f t="shared" si="102"/>
        <v>0.83723960423590627</v>
      </c>
      <c r="T156" s="118" t="str">
        <f t="shared" si="103"/>
        <v>Yes</v>
      </c>
      <c r="U156" s="1255">
        <f t="shared" si="104"/>
        <v>0.83723960423590627</v>
      </c>
      <c r="V156" s="1268">
        <f t="shared" si="96"/>
        <v>50439.158862021308</v>
      </c>
      <c r="W156" s="1269">
        <f t="shared" si="97"/>
        <v>0.40783458287695618</v>
      </c>
      <c r="X156" s="473">
        <f t="shared" si="105"/>
        <v>13687.941669523072</v>
      </c>
      <c r="Y156" s="474">
        <f t="shared" si="106"/>
        <v>10518.495006649337</v>
      </c>
      <c r="Z156" s="474">
        <f t="shared" si="107"/>
        <v>4078.7466272155002</v>
      </c>
      <c r="AA156" s="474">
        <f t="shared" si="108"/>
        <v>0</v>
      </c>
      <c r="AB156" s="474">
        <f t="shared" si="109"/>
        <v>22153.975558633399</v>
      </c>
      <c r="AC156" s="474">
        <f t="shared" si="110"/>
        <v>50439.158862021308</v>
      </c>
      <c r="AD156" s="475">
        <f t="shared" si="111"/>
        <v>0</v>
      </c>
      <c r="AE156" s="100">
        <f t="shared" si="112"/>
        <v>0.27137529606643679</v>
      </c>
      <c r="AF156" s="100">
        <f t="shared" si="113"/>
        <v>0.20853827153270288</v>
      </c>
      <c r="AG156" s="100">
        <f t="shared" si="114"/>
        <v>8.086468369492647E-2</v>
      </c>
      <c r="AH156" s="100">
        <f t="shared" si="126"/>
        <v>0</v>
      </c>
      <c r="AI156" s="100">
        <f t="shared" si="115"/>
        <v>0.43922174870593383</v>
      </c>
      <c r="AJ156" s="471">
        <f t="shared" si="116"/>
        <v>1</v>
      </c>
      <c r="AK156" s="1250">
        <f t="shared" si="117"/>
        <v>6934.7695642436202</v>
      </c>
      <c r="AL156" s="1251">
        <f t="shared" si="118"/>
        <v>6395.1242696024528</v>
      </c>
      <c r="AM156" s="1251">
        <f t="shared" si="119"/>
        <v>358.04783567699775</v>
      </c>
      <c r="AN156" s="1251">
        <f t="shared" si="120"/>
        <v>13687.94166952307</v>
      </c>
      <c r="AO156" s="1022">
        <f t="shared" si="121"/>
        <v>0</v>
      </c>
      <c r="AV156" s="119"/>
      <c r="AW156" s="119"/>
    </row>
    <row r="157" spans="1:49">
      <c r="A157" s="89">
        <f>'Input data'!A137</f>
        <v>2037</v>
      </c>
      <c r="B157" s="152">
        <f>'Input data'!B137</f>
        <v>69.92691944658003</v>
      </c>
      <c r="C157" s="204">
        <f>'Input data'!C137</f>
        <v>6283.2400000000007</v>
      </c>
      <c r="D157" s="475">
        <f>'Input data'!D137</f>
        <v>6514539.8947081817</v>
      </c>
      <c r="E157" s="473">
        <f>'Input data'!J137*C157</f>
        <v>75593.947124217928</v>
      </c>
      <c r="F157" s="474">
        <f>'Input data'!L137</f>
        <v>82108.487018926113</v>
      </c>
      <c r="G157" s="474">
        <f t="shared" si="132"/>
        <v>13687.941669523079</v>
      </c>
      <c r="H157" s="474">
        <f t="shared" si="95"/>
        <v>35801.988095763634</v>
      </c>
      <c r="I157" s="475">
        <f t="shared" si="98"/>
        <v>6514.5398947081821</v>
      </c>
      <c r="J157" s="579">
        <f t="shared" si="131"/>
        <v>0.4</v>
      </c>
      <c r="K157" s="474">
        <f t="shared" si="123"/>
        <v>2204.8607593759925</v>
      </c>
      <c r="L157" s="474">
        <f t="shared" si="99"/>
        <v>0</v>
      </c>
      <c r="M157" s="475">
        <f t="shared" si="124"/>
        <v>2204.8607593759925</v>
      </c>
      <c r="N157" s="579">
        <f t="shared" si="130"/>
        <v>0.5</v>
      </c>
      <c r="O157" s="475">
        <f t="shared" si="100"/>
        <v>751.91700000000026</v>
      </c>
      <c r="P157" s="1043">
        <f t="shared" si="127"/>
        <v>2956.7777593759929</v>
      </c>
      <c r="Q157" s="467">
        <f t="shared" si="101"/>
        <v>46533.152005910728</v>
      </c>
      <c r="R157" s="467">
        <f t="shared" si="125"/>
        <v>32845.210336387652</v>
      </c>
      <c r="S157" s="1255">
        <f t="shared" si="102"/>
        <v>0.77057245866506452</v>
      </c>
      <c r="T157" s="118" t="str">
        <f t="shared" si="103"/>
        <v>Yes</v>
      </c>
      <c r="U157" s="1255">
        <f t="shared" si="104"/>
        <v>0.77057245866506452</v>
      </c>
      <c r="V157" s="1268">
        <f t="shared" si="96"/>
        <v>49263.276682538475</v>
      </c>
      <c r="W157" s="1269">
        <f t="shared" si="97"/>
        <v>0.4000221113417517</v>
      </c>
      <c r="X157" s="473">
        <f t="shared" si="105"/>
        <v>13687.941669523079</v>
      </c>
      <c r="Y157" s="474">
        <f t="shared" si="106"/>
        <v>8659.2387300236496</v>
      </c>
      <c r="Z157" s="474">
        <f t="shared" si="107"/>
        <v>4167.9694432240412</v>
      </c>
      <c r="AA157" s="474">
        <f t="shared" si="108"/>
        <v>0</v>
      </c>
      <c r="AB157" s="474">
        <f t="shared" si="109"/>
        <v>22748.126839767705</v>
      </c>
      <c r="AC157" s="474">
        <f t="shared" si="110"/>
        <v>49263.276682538475</v>
      </c>
      <c r="AD157" s="475">
        <f t="shared" si="111"/>
        <v>0</v>
      </c>
      <c r="AE157" s="100">
        <f t="shared" si="112"/>
        <v>0.27785284681184869</v>
      </c>
      <c r="AF157" s="100">
        <f t="shared" si="113"/>
        <v>0.17577472131676017</v>
      </c>
      <c r="AG157" s="100">
        <f t="shared" si="114"/>
        <v>8.4606013320697185E-2</v>
      </c>
      <c r="AH157" s="100">
        <f t="shared" si="126"/>
        <v>0</v>
      </c>
      <c r="AI157" s="100">
        <f t="shared" si="115"/>
        <v>0.461766418550694</v>
      </c>
      <c r="AJ157" s="471">
        <f t="shared" si="116"/>
        <v>1</v>
      </c>
      <c r="AK157" s="1250">
        <f t="shared" si="117"/>
        <v>3908.7239368249093</v>
      </c>
      <c r="AL157" s="1251">
        <f t="shared" si="118"/>
        <v>9256.3500649536418</v>
      </c>
      <c r="AM157" s="1251">
        <f t="shared" si="119"/>
        <v>522.8676677445269</v>
      </c>
      <c r="AN157" s="1251">
        <f t="shared" si="120"/>
        <v>13687.941669523078</v>
      </c>
      <c r="AO157" s="1022">
        <f t="shared" si="121"/>
        <v>0</v>
      </c>
      <c r="AV157" s="119"/>
      <c r="AW157" s="119"/>
    </row>
    <row r="158" spans="1:49">
      <c r="A158" s="89">
        <f>'Input data'!A138</f>
        <v>2038</v>
      </c>
      <c r="B158" s="152">
        <f>'Input data'!B138</f>
        <v>70.408978817025954</v>
      </c>
      <c r="C158" s="204">
        <f>'Input data'!C138</f>
        <v>6443.4999999999982</v>
      </c>
      <c r="D158" s="475">
        <f>'Input data'!D138</f>
        <v>4950160.264487111</v>
      </c>
      <c r="E158" s="473">
        <f>'Input data'!J138*C158</f>
        <v>77522.042496370981</v>
      </c>
      <c r="F158" s="474">
        <f>'Input data'!L138</f>
        <v>82472.202760858097</v>
      </c>
      <c r="G158" s="474">
        <f t="shared" si="132"/>
        <v>13687.941669523079</v>
      </c>
      <c r="H158" s="474">
        <f t="shared" si="95"/>
        <v>35440.247346165168</v>
      </c>
      <c r="I158" s="475">
        <f t="shared" si="98"/>
        <v>4950.1602644871109</v>
      </c>
      <c r="J158" s="579">
        <f t="shared" si="131"/>
        <v>0.4</v>
      </c>
      <c r="K158" s="474">
        <f t="shared" si="123"/>
        <v>1675.3929358320131</v>
      </c>
      <c r="L158" s="474">
        <f t="shared" si="99"/>
        <v>0</v>
      </c>
      <c r="M158" s="475">
        <f t="shared" si="124"/>
        <v>1675.3929358320131</v>
      </c>
      <c r="N158" s="579">
        <f t="shared" si="130"/>
        <v>0.5</v>
      </c>
      <c r="O158" s="475">
        <f t="shared" si="100"/>
        <v>751.91700000000026</v>
      </c>
      <c r="P158" s="1043">
        <f t="shared" si="127"/>
        <v>2427.3099358320133</v>
      </c>
      <c r="Q158" s="467">
        <f t="shared" si="101"/>
        <v>46700.87907985624</v>
      </c>
      <c r="R158" s="467">
        <f t="shared" si="125"/>
        <v>33012.937410333165</v>
      </c>
      <c r="S158" s="1255">
        <f t="shared" si="102"/>
        <v>0.75491302019100603</v>
      </c>
      <c r="T158" s="118" t="str">
        <f t="shared" si="103"/>
        <v>Yes</v>
      </c>
      <c r="U158" s="1255">
        <f t="shared" si="104"/>
        <v>0.75491302019100603</v>
      </c>
      <c r="V158" s="1268">
        <f t="shared" si="96"/>
        <v>49459.26535052494</v>
      </c>
      <c r="W158" s="1269">
        <f t="shared" si="97"/>
        <v>0.40029168986864183</v>
      </c>
      <c r="X158" s="473">
        <f t="shared" si="105"/>
        <v>13687.941669523078</v>
      </c>
      <c r="Y158" s="474">
        <f t="shared" si="106"/>
        <v>8187.8851714053408</v>
      </c>
      <c r="Z158" s="474">
        <f t="shared" si="107"/>
        <v>4255.0991031687627</v>
      </c>
      <c r="AA158" s="474">
        <f t="shared" si="108"/>
        <v>0</v>
      </c>
      <c r="AB158" s="474">
        <f t="shared" si="109"/>
        <v>23328.33940642776</v>
      </c>
      <c r="AC158" s="474">
        <f t="shared" si="110"/>
        <v>49459.26535052494</v>
      </c>
      <c r="AD158" s="475">
        <f t="shared" si="111"/>
        <v>0</v>
      </c>
      <c r="AE158" s="100">
        <f t="shared" si="112"/>
        <v>0.27675181935102883</v>
      </c>
      <c r="AF158" s="100">
        <f t="shared" si="113"/>
        <v>0.16554805481595045</v>
      </c>
      <c r="AG158" s="100">
        <f t="shared" si="114"/>
        <v>8.6032396013411491E-2</v>
      </c>
      <c r="AH158" s="100">
        <f t="shared" si="126"/>
        <v>0</v>
      </c>
      <c r="AI158" s="100">
        <f t="shared" si="115"/>
        <v>0.47166772981960925</v>
      </c>
      <c r="AJ158" s="471">
        <f t="shared" si="116"/>
        <v>1</v>
      </c>
      <c r="AK158" s="1250">
        <f t="shared" si="117"/>
        <v>2970.0961586922667</v>
      </c>
      <c r="AL158" s="1251">
        <f t="shared" si="118"/>
        <v>10140.342967301336</v>
      </c>
      <c r="AM158" s="1251">
        <f t="shared" si="119"/>
        <v>577.50254352947616</v>
      </c>
      <c r="AN158" s="1251">
        <f t="shared" si="120"/>
        <v>13687.941669523078</v>
      </c>
      <c r="AO158" s="1022">
        <f t="shared" si="121"/>
        <v>0</v>
      </c>
      <c r="AV158" s="119"/>
      <c r="AW158" s="119"/>
    </row>
    <row r="159" spans="1:49">
      <c r="A159" s="89">
        <f>'Input data'!A139</f>
        <v>2039</v>
      </c>
      <c r="B159" s="152">
        <f>'Input data'!B139</f>
        <v>70.877294017675013</v>
      </c>
      <c r="C159" s="204">
        <f>'Input data'!C139</f>
        <v>6615.260000000002</v>
      </c>
      <c r="D159" s="475">
        <f>'Input data'!D139</f>
        <v>3385780.6342660398</v>
      </c>
      <c r="E159" s="473">
        <f>'Input data'!J139*C159</f>
        <v>79588.494893232477</v>
      </c>
      <c r="F159" s="474">
        <f>'Input data'!L139</f>
        <v>82974.27552749851</v>
      </c>
      <c r="G159" s="474">
        <f t="shared" si="132"/>
        <v>13687.941669523079</v>
      </c>
      <c r="H159" s="474">
        <f t="shared" si="95"/>
        <v>35157.89684241038</v>
      </c>
      <c r="I159" s="475">
        <f t="shared" si="98"/>
        <v>3385.7806342660397</v>
      </c>
      <c r="J159" s="579">
        <f t="shared" si="131"/>
        <v>0.4</v>
      </c>
      <c r="K159" s="474">
        <f t="shared" si="123"/>
        <v>1145.9251122880339</v>
      </c>
      <c r="L159" s="474">
        <f t="shared" si="99"/>
        <v>0</v>
      </c>
      <c r="M159" s="475">
        <f t="shared" si="124"/>
        <v>1145.9251122880339</v>
      </c>
      <c r="N159" s="579">
        <f t="shared" si="130"/>
        <v>0.5</v>
      </c>
      <c r="O159" s="475">
        <f t="shared" si="100"/>
        <v>751.91700000000026</v>
      </c>
      <c r="P159" s="1043">
        <f t="shared" si="127"/>
        <v>1897.8421122880341</v>
      </c>
      <c r="Q159" s="467">
        <f t="shared" si="101"/>
        <v>46947.996399645432</v>
      </c>
      <c r="R159" s="467">
        <f t="shared" si="125"/>
        <v>33260.054730122356</v>
      </c>
      <c r="S159" s="1255">
        <f t="shared" si="102"/>
        <v>0.74048587896173945</v>
      </c>
      <c r="T159" s="118" t="str">
        <f t="shared" si="103"/>
        <v>Yes</v>
      </c>
      <c r="U159" s="1255">
        <f t="shared" si="104"/>
        <v>0.74048587896173945</v>
      </c>
      <c r="V159" s="1268">
        <f t="shared" si="96"/>
        <v>49714.220797376176</v>
      </c>
      <c r="W159" s="1269">
        <f t="shared" si="97"/>
        <v>0.4008477870843189</v>
      </c>
      <c r="X159" s="473">
        <f t="shared" si="105"/>
        <v>13687.941669523078</v>
      </c>
      <c r="Y159" s="474">
        <f t="shared" si="106"/>
        <v>7727.6109861484929</v>
      </c>
      <c r="Z159" s="474">
        <f t="shared" si="107"/>
        <v>4348.4810474599535</v>
      </c>
      <c r="AA159" s="474">
        <f t="shared" si="108"/>
        <v>0</v>
      </c>
      <c r="AB159" s="474">
        <f t="shared" si="109"/>
        <v>23950.187094244651</v>
      </c>
      <c r="AC159" s="474">
        <f t="shared" si="110"/>
        <v>49714.220797376176</v>
      </c>
      <c r="AD159" s="475">
        <f t="shared" si="111"/>
        <v>0</v>
      </c>
      <c r="AE159" s="100">
        <f t="shared" si="112"/>
        <v>0.27533251954832011</v>
      </c>
      <c r="AF159" s="100">
        <f t="shared" si="113"/>
        <v>0.15544065384519395</v>
      </c>
      <c r="AG159" s="100">
        <f t="shared" si="114"/>
        <v>8.7469560574696931E-2</v>
      </c>
      <c r="AH159" s="100">
        <f t="shared" si="126"/>
        <v>0</v>
      </c>
      <c r="AI159" s="100">
        <f t="shared" si="115"/>
        <v>0.48175726603178898</v>
      </c>
      <c r="AJ159" s="471">
        <f t="shared" si="116"/>
        <v>1</v>
      </c>
      <c r="AK159" s="1250">
        <f t="shared" si="117"/>
        <v>2031.4683805596235</v>
      </c>
      <c r="AL159" s="1251">
        <f t="shared" si="118"/>
        <v>11023.47402965083</v>
      </c>
      <c r="AM159" s="1251">
        <f t="shared" si="119"/>
        <v>632.99925931262294</v>
      </c>
      <c r="AN159" s="1251">
        <f t="shared" si="120"/>
        <v>13687.941669523076</v>
      </c>
      <c r="AO159" s="1022">
        <f t="shared" si="121"/>
        <v>0</v>
      </c>
      <c r="AV159" s="119"/>
      <c r="AW159" s="119"/>
    </row>
    <row r="160" spans="1:49">
      <c r="A160" s="89">
        <f>'Input data'!A140</f>
        <v>2040</v>
      </c>
      <c r="B160" s="152">
        <f>'Input data'!B140</f>
        <v>71.331543257193218</v>
      </c>
      <c r="C160" s="204">
        <f>'Input data'!C140</f>
        <v>6787.6000000000013</v>
      </c>
      <c r="D160" s="475">
        <f>'Input data'!D140</f>
        <v>1821401.0040449696</v>
      </c>
      <c r="E160" s="473">
        <f>'Input data'!J140*C160</f>
        <v>81661.925296557456</v>
      </c>
      <c r="F160" s="474">
        <f>'Input data'!L140</f>
        <v>83483.326300602421</v>
      </c>
      <c r="G160" s="474">
        <f t="shared" si="132"/>
        <v>13687.941669523079</v>
      </c>
      <c r="H160" s="474">
        <f t="shared" si="95"/>
        <v>34879.55036844594</v>
      </c>
      <c r="I160" s="475">
        <f t="shared" si="98"/>
        <v>1821.4010040449696</v>
      </c>
      <c r="J160" s="579">
        <f t="shared" si="131"/>
        <v>0.4</v>
      </c>
      <c r="K160" s="474">
        <f t="shared" si="123"/>
        <v>616.45728874405495</v>
      </c>
      <c r="L160" s="474">
        <f t="shared" si="99"/>
        <v>0</v>
      </c>
      <c r="M160" s="475">
        <f t="shared" si="124"/>
        <v>616.45728874405495</v>
      </c>
      <c r="N160" s="579">
        <f t="shared" si="130"/>
        <v>0.5</v>
      </c>
      <c r="O160" s="475">
        <f t="shared" si="100"/>
        <v>751.91700000000026</v>
      </c>
      <c r="P160" s="1043">
        <f t="shared" si="127"/>
        <v>1368.3742887440553</v>
      </c>
      <c r="Q160" s="467">
        <f t="shared" si="101"/>
        <v>47199.117749224963</v>
      </c>
      <c r="R160" s="467">
        <f t="shared" si="125"/>
        <v>33511.17607970188</v>
      </c>
      <c r="S160" s="1255">
        <f t="shared" si="102"/>
        <v>0.72682459208331862</v>
      </c>
      <c r="T160" s="118" t="str">
        <f t="shared" si="103"/>
        <v>Yes</v>
      </c>
      <c r="U160" s="1255">
        <f t="shared" si="104"/>
        <v>0.72682459208331862</v>
      </c>
      <c r="V160" s="1268">
        <f t="shared" si="96"/>
        <v>49972.150220900563</v>
      </c>
      <c r="W160" s="1269">
        <f t="shared" si="97"/>
        <v>0.40141160594196446</v>
      </c>
      <c r="X160" s="473">
        <f t="shared" si="105"/>
        <v>13687.941669523083</v>
      </c>
      <c r="Y160" s="474">
        <f t="shared" si="106"/>
        <v>7267.8955866785645</v>
      </c>
      <c r="Z160" s="474">
        <f t="shared" si="107"/>
        <v>4442.1783243529617</v>
      </c>
      <c r="AA160" s="474">
        <f t="shared" si="108"/>
        <v>0</v>
      </c>
      <c r="AB160" s="474">
        <f t="shared" si="109"/>
        <v>24574.134640345954</v>
      </c>
      <c r="AC160" s="474">
        <f t="shared" si="110"/>
        <v>49972.150220900563</v>
      </c>
      <c r="AD160" s="1240">
        <f t="shared" si="111"/>
        <v>0</v>
      </c>
      <c r="AE160" s="100">
        <f t="shared" si="112"/>
        <v>0.27391140083058063</v>
      </c>
      <c r="AF160" s="100">
        <f t="shared" si="113"/>
        <v>0.14543892056977786</v>
      </c>
      <c r="AG160" s="100">
        <f t="shared" si="114"/>
        <v>8.8893079539632186E-2</v>
      </c>
      <c r="AH160" s="100">
        <f t="shared" si="126"/>
        <v>0</v>
      </c>
      <c r="AI160" s="100">
        <f t="shared" si="115"/>
        <v>0.49175659906000929</v>
      </c>
      <c r="AJ160" s="471">
        <f t="shared" si="116"/>
        <v>1</v>
      </c>
      <c r="AK160" s="1250">
        <f t="shared" si="117"/>
        <v>1092.8406024269816</v>
      </c>
      <c r="AL160" s="1251">
        <f t="shared" si="118"/>
        <v>11906.069471300743</v>
      </c>
      <c r="AM160" s="1251">
        <f t="shared" si="119"/>
        <v>689.03159579535554</v>
      </c>
      <c r="AN160" s="1251">
        <f t="shared" si="120"/>
        <v>13687.941669523081</v>
      </c>
      <c r="AO160" s="1022">
        <f t="shared" si="121"/>
        <v>0</v>
      </c>
      <c r="AV160" s="119"/>
      <c r="AW160" s="119"/>
    </row>
    <row r="161" spans="1:49">
      <c r="A161" s="89">
        <f>'Input data'!A141</f>
        <v>2041</v>
      </c>
      <c r="B161" s="152">
        <f>'Input data'!B141</f>
        <v>71.772879261991122</v>
      </c>
      <c r="C161" s="204">
        <f>'Input data'!C141</f>
        <v>6981.3799999999992</v>
      </c>
      <c r="D161" s="475">
        <f>'Input data'!D141</f>
        <v>1694135.0775526946</v>
      </c>
      <c r="E161" s="473">
        <f>'Input data'!J141*C161</f>
        <v>83993.301318121303</v>
      </c>
      <c r="F161" s="474">
        <f>'Input data'!L141</f>
        <v>85687.436395673998</v>
      </c>
      <c r="G161" s="474">
        <f t="shared" si="132"/>
        <v>13687.941669523079</v>
      </c>
      <c r="H161" s="474">
        <f t="shared" si="95"/>
        <v>36097.877531892707</v>
      </c>
      <c r="I161" s="475">
        <f t="shared" si="98"/>
        <v>1694.1350775526946</v>
      </c>
      <c r="J161" s="579">
        <f t="shared" si="131"/>
        <v>0.4</v>
      </c>
      <c r="K161" s="474">
        <f t="shared" si="123"/>
        <v>573.38384812296317</v>
      </c>
      <c r="L161" s="474">
        <f t="shared" si="99"/>
        <v>0</v>
      </c>
      <c r="M161" s="475">
        <f t="shared" si="124"/>
        <v>573.38384812296317</v>
      </c>
      <c r="N161" s="579">
        <f t="shared" si="130"/>
        <v>0.5</v>
      </c>
      <c r="O161" s="475">
        <f t="shared" si="100"/>
        <v>751.91700000000026</v>
      </c>
      <c r="P161" s="1043">
        <f t="shared" si="127"/>
        <v>1325.3008481229635</v>
      </c>
      <c r="Q161" s="467">
        <f t="shared" si="101"/>
        <v>48460.518353292828</v>
      </c>
      <c r="R161" s="467">
        <f t="shared" si="125"/>
        <v>34772.576683769745</v>
      </c>
      <c r="S161" s="1255">
        <f t="shared" si="102"/>
        <v>0.73291774177941504</v>
      </c>
      <c r="T161" s="118" t="str">
        <f t="shared" si="103"/>
        <v>Yes</v>
      </c>
      <c r="U161" s="1255">
        <f t="shared" si="104"/>
        <v>0.73291774177941504</v>
      </c>
      <c r="V161" s="1268">
        <f t="shared" si="96"/>
        <v>50914.859711904268</v>
      </c>
      <c r="W161" s="1269">
        <f t="shared" si="97"/>
        <v>0.40580717718292303</v>
      </c>
      <c r="X161" s="473">
        <f t="shared" si="105"/>
        <v>13687.941669523079</v>
      </c>
      <c r="Y161" s="474">
        <f t="shared" si="106"/>
        <v>7403.681474340985</v>
      </c>
      <c r="Z161" s="474">
        <f t="shared" si="107"/>
        <v>4547.532033975378</v>
      </c>
      <c r="AA161" s="474">
        <f t="shared" si="108"/>
        <v>0</v>
      </c>
      <c r="AB161" s="474">
        <f t="shared" si="109"/>
        <v>25275.704534064822</v>
      </c>
      <c r="AC161" s="474">
        <f t="shared" si="110"/>
        <v>50914.859711904268</v>
      </c>
      <c r="AD161" s="1240">
        <f t="shared" si="111"/>
        <v>0</v>
      </c>
      <c r="AE161" s="100">
        <f t="shared" si="112"/>
        <v>0.26883981900322784</v>
      </c>
      <c r="AF161" s="100">
        <f t="shared" si="113"/>
        <v>0.14541297994797284</v>
      </c>
      <c r="AG161" s="100">
        <f t="shared" si="114"/>
        <v>8.9316401139216572E-2</v>
      </c>
      <c r="AH161" s="100">
        <f t="shared" si="126"/>
        <v>0</v>
      </c>
      <c r="AI161" s="100">
        <f t="shared" si="115"/>
        <v>0.49643079990958272</v>
      </c>
      <c r="AJ161" s="471">
        <f t="shared" si="116"/>
        <v>1</v>
      </c>
      <c r="AK161" s="1250">
        <f t="shared" si="117"/>
        <v>1016.4810465316166</v>
      </c>
      <c r="AL161" s="1251">
        <f t="shared" si="118"/>
        <v>11972.831987555994</v>
      </c>
      <c r="AM161" s="1251">
        <f t="shared" si="119"/>
        <v>698.62863543546598</v>
      </c>
      <c r="AN161" s="1251">
        <f t="shared" si="120"/>
        <v>13687.941669523076</v>
      </c>
      <c r="AO161" s="1022">
        <f t="shared" si="121"/>
        <v>0</v>
      </c>
      <c r="AV161" s="119"/>
      <c r="AW161" s="119"/>
    </row>
    <row r="162" spans="1:49">
      <c r="A162" s="89">
        <f>'Input data'!A142</f>
        <v>2042</v>
      </c>
      <c r="B162" s="152">
        <f>'Input data'!B142</f>
        <v>72.201023455996193</v>
      </c>
      <c r="C162" s="204">
        <f>'Input data'!C142</f>
        <v>7178.2100000000019</v>
      </c>
      <c r="D162" s="475">
        <f>'Input data'!D142</f>
        <v>1566869.1510604194</v>
      </c>
      <c r="E162" s="473">
        <f>'Input data'!J142*C162</f>
        <v>86361.372028846978</v>
      </c>
      <c r="F162" s="474">
        <f>'Input data'!L142</f>
        <v>87928.241179907403</v>
      </c>
      <c r="G162" s="474">
        <f t="shared" si="132"/>
        <v>13687.941669523079</v>
      </c>
      <c r="H162" s="474">
        <f t="shared" si="95"/>
        <v>37337.260369237163</v>
      </c>
      <c r="I162" s="475">
        <f t="shared" si="98"/>
        <v>1566.8691510604194</v>
      </c>
      <c r="J162" s="579">
        <f t="shared" si="131"/>
        <v>0.4</v>
      </c>
      <c r="K162" s="474">
        <f t="shared" si="123"/>
        <v>530.31040750187128</v>
      </c>
      <c r="L162" s="474">
        <f t="shared" si="99"/>
        <v>0</v>
      </c>
      <c r="M162" s="475">
        <f t="shared" si="124"/>
        <v>530.31040750187128</v>
      </c>
      <c r="N162" s="579">
        <f t="shared" si="130"/>
        <v>0.5</v>
      </c>
      <c r="O162" s="475">
        <f t="shared" si="100"/>
        <v>751.91700000000026</v>
      </c>
      <c r="P162" s="1043">
        <f t="shared" si="127"/>
        <v>1282.2274075018715</v>
      </c>
      <c r="Q162" s="467">
        <f t="shared" si="101"/>
        <v>49742.974631258374</v>
      </c>
      <c r="R162" s="467">
        <f t="shared" si="125"/>
        <v>36055.032961735298</v>
      </c>
      <c r="S162" s="1255">
        <f t="shared" si="102"/>
        <v>0.73878944859730145</v>
      </c>
      <c r="T162" s="118" t="str">
        <f t="shared" si="103"/>
        <v>Yes</v>
      </c>
      <c r="U162" s="1255">
        <f t="shared" si="104"/>
        <v>0.73878944859730145</v>
      </c>
      <c r="V162" s="1268">
        <f t="shared" si="96"/>
        <v>51873.208218172105</v>
      </c>
      <c r="W162" s="1269">
        <f t="shared" si="97"/>
        <v>0.41005065582927047</v>
      </c>
      <c r="X162" s="473">
        <f t="shared" si="105"/>
        <v>13687.941669523074</v>
      </c>
      <c r="Y162" s="474">
        <f t="shared" si="106"/>
        <v>7542.4058045036199</v>
      </c>
      <c r="Z162" s="474">
        <f t="shared" si="107"/>
        <v>4654.5439581418577</v>
      </c>
      <c r="AA162" s="474">
        <f t="shared" si="108"/>
        <v>0</v>
      </c>
      <c r="AB162" s="474">
        <f t="shared" si="109"/>
        <v>25988.316786003554</v>
      </c>
      <c r="AC162" s="474">
        <f t="shared" si="110"/>
        <v>51873.208218172105</v>
      </c>
      <c r="AD162" s="1240">
        <f t="shared" si="111"/>
        <v>0</v>
      </c>
      <c r="AE162" s="100">
        <f t="shared" si="112"/>
        <v>0.26387305007150003</v>
      </c>
      <c r="AF162" s="100">
        <f t="shared" si="113"/>
        <v>0.14540079674234185</v>
      </c>
      <c r="AG162" s="100">
        <f t="shared" si="114"/>
        <v>8.9729247872339782E-2</v>
      </c>
      <c r="AH162" s="100">
        <f t="shared" si="126"/>
        <v>0</v>
      </c>
      <c r="AI162" s="100">
        <f t="shared" si="115"/>
        <v>0.50099690531381835</v>
      </c>
      <c r="AJ162" s="471">
        <f t="shared" si="116"/>
        <v>1</v>
      </c>
      <c r="AK162" s="1250">
        <f t="shared" si="117"/>
        <v>940.12149063625145</v>
      </c>
      <c r="AL162" s="1251">
        <f t="shared" si="118"/>
        <v>12039.749375803829</v>
      </c>
      <c r="AM162" s="1251">
        <f t="shared" si="119"/>
        <v>708.07080308299203</v>
      </c>
      <c r="AN162" s="1251">
        <f t="shared" si="120"/>
        <v>13687.941669523072</v>
      </c>
      <c r="AO162" s="1022">
        <f t="shared" si="121"/>
        <v>0</v>
      </c>
      <c r="AV162" s="119"/>
      <c r="AW162" s="119"/>
    </row>
    <row r="163" spans="1:49">
      <c r="A163" s="89">
        <f>'Input data'!A143</f>
        <v>2043</v>
      </c>
      <c r="B163" s="152">
        <f>'Input data'!B143</f>
        <v>72.615704257339331</v>
      </c>
      <c r="C163" s="204">
        <f>'Input data'!C143</f>
        <v>7380.12</v>
      </c>
      <c r="D163" s="475">
        <f>'Input data'!D143</f>
        <v>1439603.2245681447</v>
      </c>
      <c r="E163" s="473">
        <f>'Input data'!J143*C163</f>
        <v>88790.560451356811</v>
      </c>
      <c r="F163" s="474">
        <f>'Input data'!L143</f>
        <v>90230.163675924952</v>
      </c>
      <c r="G163" s="474">
        <f t="shared" si="132"/>
        <v>13687.941669523079</v>
      </c>
      <c r="H163" s="474">
        <f t="shared" si="95"/>
        <v>38611.712984745565</v>
      </c>
      <c r="I163" s="475">
        <f t="shared" si="98"/>
        <v>1439.6032245681447</v>
      </c>
      <c r="J163" s="579">
        <f t="shared" si="131"/>
        <v>0.4</v>
      </c>
      <c r="K163" s="474">
        <f t="shared" si="123"/>
        <v>487.23696688077951</v>
      </c>
      <c r="L163" s="474">
        <f t="shared" si="99"/>
        <v>0</v>
      </c>
      <c r="M163" s="475">
        <f t="shared" si="124"/>
        <v>487.23696688077951</v>
      </c>
      <c r="N163" s="579">
        <f t="shared" si="130"/>
        <v>0.5</v>
      </c>
      <c r="O163" s="475">
        <f t="shared" si="100"/>
        <v>751.91700000000026</v>
      </c>
      <c r="P163" s="1043">
        <f t="shared" si="127"/>
        <v>1239.1539668807798</v>
      </c>
      <c r="Q163" s="467">
        <f t="shared" si="101"/>
        <v>51060.500687387859</v>
      </c>
      <c r="R163" s="467">
        <f t="shared" si="125"/>
        <v>37372.559017864784</v>
      </c>
      <c r="S163" s="1255">
        <f t="shared" si="102"/>
        <v>0.74452165512234703</v>
      </c>
      <c r="T163" s="118" t="str">
        <f t="shared" si="103"/>
        <v>Yes</v>
      </c>
      <c r="U163" s="1255">
        <f t="shared" si="104"/>
        <v>0.74452165512234703</v>
      </c>
      <c r="V163" s="1268">
        <f t="shared" si="96"/>
        <v>52857.604658060183</v>
      </c>
      <c r="W163" s="1269">
        <f t="shared" si="97"/>
        <v>0.41419141332929277</v>
      </c>
      <c r="X163" s="473">
        <f t="shared" si="105"/>
        <v>13687.941669523079</v>
      </c>
      <c r="Y163" s="474">
        <f t="shared" si="106"/>
        <v>7686.0243274207023</v>
      </c>
      <c r="Z163" s="474">
        <f t="shared" si="107"/>
        <v>4764.3177609587738</v>
      </c>
      <c r="AA163" s="474">
        <f t="shared" si="108"/>
        <v>0</v>
      </c>
      <c r="AB163" s="474">
        <f t="shared" si="109"/>
        <v>26719.320900157629</v>
      </c>
      <c r="AC163" s="474">
        <f t="shared" si="110"/>
        <v>52857.604658060183</v>
      </c>
      <c r="AD163" s="1240">
        <f t="shared" si="111"/>
        <v>0</v>
      </c>
      <c r="AE163" s="100">
        <f t="shared" si="112"/>
        <v>0.25895879614809264</v>
      </c>
      <c r="AF163" s="100">
        <f t="shared" si="113"/>
        <v>0.14541000064498139</v>
      </c>
      <c r="AG163" s="100">
        <f t="shared" si="114"/>
        <v>9.0134953934812287E-2</v>
      </c>
      <c r="AH163" s="100">
        <f t="shared" si="126"/>
        <v>0</v>
      </c>
      <c r="AI163" s="100">
        <f t="shared" si="115"/>
        <v>0.50549624927211367</v>
      </c>
      <c r="AJ163" s="471">
        <f t="shared" si="116"/>
        <v>1</v>
      </c>
      <c r="AK163" s="1250">
        <f t="shared" si="117"/>
        <v>863.76193474088666</v>
      </c>
      <c r="AL163" s="1251">
        <f t="shared" si="118"/>
        <v>12106.764327308134</v>
      </c>
      <c r="AM163" s="1251">
        <f t="shared" si="119"/>
        <v>717.41540747405691</v>
      </c>
      <c r="AN163" s="1251">
        <f t="shared" si="120"/>
        <v>13687.941669523078</v>
      </c>
      <c r="AO163" s="1022">
        <f t="shared" si="121"/>
        <v>0</v>
      </c>
      <c r="AV163" s="119"/>
      <c r="AW163" s="119"/>
    </row>
    <row r="164" spans="1:49">
      <c r="A164" s="89">
        <f>'Input data'!A144</f>
        <v>2044</v>
      </c>
      <c r="B164" s="152">
        <f>'Input data'!B144</f>
        <v>73.016657364175842</v>
      </c>
      <c r="C164" s="204">
        <f>'Input data'!C144</f>
        <v>7589.87</v>
      </c>
      <c r="D164" s="475">
        <f>'Input data'!D144</f>
        <v>1312337.2980758694</v>
      </c>
      <c r="E164" s="473">
        <f>'Input data'!J144*C164</f>
        <v>91314.072271580881</v>
      </c>
      <c r="F164" s="474">
        <f>'Input data'!L144</f>
        <v>92626.409569656753</v>
      </c>
      <c r="G164" s="474">
        <f t="shared" si="132"/>
        <v>13687.941669523079</v>
      </c>
      <c r="H164" s="474">
        <f t="shared" si="95"/>
        <v>39940.2890374204</v>
      </c>
      <c r="I164" s="475">
        <f t="shared" si="98"/>
        <v>1312.3372980758695</v>
      </c>
      <c r="J164" s="579">
        <f t="shared" si="131"/>
        <v>0.4</v>
      </c>
      <c r="K164" s="474">
        <f t="shared" si="123"/>
        <v>444.16352625968761</v>
      </c>
      <c r="L164" s="474">
        <f t="shared" si="99"/>
        <v>0</v>
      </c>
      <c r="M164" s="475">
        <f t="shared" si="124"/>
        <v>444.16352625968761</v>
      </c>
      <c r="N164" s="579">
        <f t="shared" si="130"/>
        <v>0.5</v>
      </c>
      <c r="O164" s="475">
        <f t="shared" si="100"/>
        <v>751.91700000000026</v>
      </c>
      <c r="P164" s="1043">
        <f t="shared" si="127"/>
        <v>1196.0805262596878</v>
      </c>
      <c r="Q164" s="467">
        <f t="shared" si="101"/>
        <v>52432.150180683791</v>
      </c>
      <c r="R164" s="467">
        <f t="shared" si="125"/>
        <v>38744.208511160716</v>
      </c>
      <c r="S164" s="1255">
        <f t="shared" si="102"/>
        <v>0.75020617120298216</v>
      </c>
      <c r="T164" s="118" t="str">
        <f t="shared" si="103"/>
        <v>Yes</v>
      </c>
      <c r="U164" s="1255">
        <f t="shared" si="104"/>
        <v>0.75020617120298216</v>
      </c>
      <c r="V164" s="1268">
        <f t="shared" si="96"/>
        <v>53882.201058496052</v>
      </c>
      <c r="W164" s="1269">
        <f t="shared" si="97"/>
        <v>0.41828468458581836</v>
      </c>
      <c r="X164" s="473">
        <f t="shared" si="105"/>
        <v>13687.941669523076</v>
      </c>
      <c r="Y164" s="474">
        <f t="shared" si="106"/>
        <v>7837.1960926989841</v>
      </c>
      <c r="Z164" s="474">
        <f t="shared" si="107"/>
        <v>4878.3539906692804</v>
      </c>
      <c r="AA164" s="474">
        <f t="shared" si="108"/>
        <v>0</v>
      </c>
      <c r="AB164" s="474">
        <f t="shared" si="109"/>
        <v>27478.709305604705</v>
      </c>
      <c r="AC164" s="474">
        <f t="shared" si="110"/>
        <v>53882.201058496052</v>
      </c>
      <c r="AD164" s="1240">
        <f t="shared" si="111"/>
        <v>0</v>
      </c>
      <c r="AE164" s="100">
        <f t="shared" si="112"/>
        <v>0.25403456801371305</v>
      </c>
      <c r="AF164" s="100">
        <f t="shared" si="113"/>
        <v>0.14545055581880742</v>
      </c>
      <c r="AG164" s="100">
        <f t="shared" si="114"/>
        <v>9.0537392586713381E-2</v>
      </c>
      <c r="AH164" s="100">
        <f t="shared" si="126"/>
        <v>0</v>
      </c>
      <c r="AI164" s="100">
        <f t="shared" si="115"/>
        <v>0.509977483580766</v>
      </c>
      <c r="AJ164" s="471">
        <f t="shared" si="116"/>
        <v>0.99999999999999978</v>
      </c>
      <c r="AK164" s="1250">
        <f t="shared" si="117"/>
        <v>787.40237884552153</v>
      </c>
      <c r="AL164" s="1251">
        <f t="shared" si="118"/>
        <v>12173.812632398749</v>
      </c>
      <c r="AM164" s="1251">
        <f t="shared" si="119"/>
        <v>726.72665827880212</v>
      </c>
      <c r="AN164" s="1251">
        <f t="shared" si="120"/>
        <v>13687.941669523072</v>
      </c>
      <c r="AO164" s="1022">
        <f t="shared" si="121"/>
        <v>0</v>
      </c>
      <c r="AV164" s="119"/>
      <c r="AW164" s="119"/>
    </row>
    <row r="165" spans="1:49">
      <c r="A165" s="89">
        <f>'Input data'!A145</f>
        <v>2045</v>
      </c>
      <c r="B165" s="152">
        <f>'Input data'!B145</f>
        <v>73.40362603426334</v>
      </c>
      <c r="C165" s="204">
        <f>'Input data'!C145</f>
        <v>7808.4800000000005</v>
      </c>
      <c r="D165" s="475">
        <f>'Input data'!D145</f>
        <v>1185071.3715835942</v>
      </c>
      <c r="E165" s="473">
        <f>'Input data'!J145*C165</f>
        <v>93944.179156058526</v>
      </c>
      <c r="F165" s="474">
        <f>'Input data'!L145</f>
        <v>95129.250527642114</v>
      </c>
      <c r="G165" s="474">
        <f t="shared" si="132"/>
        <v>13687.941669523079</v>
      </c>
      <c r="H165" s="474">
        <f t="shared" si="95"/>
        <v>41330.030096893039</v>
      </c>
      <c r="I165" s="475">
        <f t="shared" si="98"/>
        <v>1185.0713715835943</v>
      </c>
      <c r="J165" s="579">
        <f t="shared" si="131"/>
        <v>0.4</v>
      </c>
      <c r="K165" s="474">
        <f t="shared" si="123"/>
        <v>401.09008563859572</v>
      </c>
      <c r="L165" s="474">
        <f t="shared" si="99"/>
        <v>0</v>
      </c>
      <c r="M165" s="475">
        <f t="shared" si="124"/>
        <v>401.09008563859572</v>
      </c>
      <c r="N165" s="579">
        <f t="shared" si="130"/>
        <v>0.5</v>
      </c>
      <c r="O165" s="475">
        <f t="shared" si="100"/>
        <v>751.91700000000026</v>
      </c>
      <c r="P165" s="1043">
        <f t="shared" si="127"/>
        <v>1153.007085638596</v>
      </c>
      <c r="Q165" s="467">
        <f t="shared" si="101"/>
        <v>53864.964680777521</v>
      </c>
      <c r="R165" s="467">
        <f t="shared" si="125"/>
        <v>40177.023011254438</v>
      </c>
      <c r="S165" s="1255">
        <f t="shared" si="102"/>
        <v>0.75586187447686948</v>
      </c>
      <c r="T165" s="118" t="str">
        <f t="shared" si="103"/>
        <v>Yes</v>
      </c>
      <c r="U165" s="1255">
        <f t="shared" si="104"/>
        <v>0.75586187447686948</v>
      </c>
      <c r="V165" s="1268">
        <f t="shared" si="96"/>
        <v>54952.227516387698</v>
      </c>
      <c r="W165" s="1269">
        <f t="shared" si="97"/>
        <v>0.4223414227318022</v>
      </c>
      <c r="X165" s="473">
        <f t="shared" si="105"/>
        <v>13687.941669523083</v>
      </c>
      <c r="Y165" s="474">
        <f t="shared" si="106"/>
        <v>7996.9037925844377</v>
      </c>
      <c r="Z165" s="474">
        <f t="shared" si="107"/>
        <v>4997.2071977110627</v>
      </c>
      <c r="AA165" s="474">
        <f t="shared" si="108"/>
        <v>0</v>
      </c>
      <c r="AB165" s="474">
        <f t="shared" si="109"/>
        <v>28270.174856569116</v>
      </c>
      <c r="AC165" s="474">
        <f t="shared" si="110"/>
        <v>54952.227516387698</v>
      </c>
      <c r="AD165" s="1240">
        <f t="shared" si="111"/>
        <v>0</v>
      </c>
      <c r="AE165" s="100">
        <f t="shared" si="112"/>
        <v>0.24908802223606138</v>
      </c>
      <c r="AF165" s="100">
        <f t="shared" si="113"/>
        <v>0.14552465212078297</v>
      </c>
      <c r="AG165" s="100">
        <f t="shared" si="114"/>
        <v>9.0937299970611923E-2</v>
      </c>
      <c r="AH165" s="100">
        <f t="shared" si="126"/>
        <v>0</v>
      </c>
      <c r="AI165" s="100">
        <f t="shared" si="115"/>
        <v>0.51445002567254372</v>
      </c>
      <c r="AJ165" s="471">
        <f t="shared" si="116"/>
        <v>1</v>
      </c>
      <c r="AK165" s="1250">
        <f t="shared" si="117"/>
        <v>711.04282295015662</v>
      </c>
      <c r="AL165" s="1251">
        <f t="shared" si="118"/>
        <v>12240.881088495491</v>
      </c>
      <c r="AM165" s="1251">
        <f t="shared" si="119"/>
        <v>736.01775807743343</v>
      </c>
      <c r="AN165" s="1251">
        <f t="shared" si="120"/>
        <v>13687.941669523079</v>
      </c>
      <c r="AO165" s="1022">
        <f t="shared" si="121"/>
        <v>0</v>
      </c>
      <c r="AV165" s="119"/>
      <c r="AW165" s="119"/>
    </row>
    <row r="166" spans="1:49">
      <c r="A166" s="89">
        <f>'Input data'!A146</f>
        <v>2046</v>
      </c>
      <c r="B166" s="152">
        <f>'Input data'!B146</f>
        <v>73.776422042674071</v>
      </c>
      <c r="C166" s="204">
        <f>'Input data'!C146</f>
        <v>8042.25</v>
      </c>
      <c r="D166" s="475">
        <f>'Input data'!D146</f>
        <v>990067.58809674683</v>
      </c>
      <c r="E166" s="473">
        <f>'Input data'!J146*C166</f>
        <v>96756.67669223866</v>
      </c>
      <c r="F166" s="474">
        <f>'Input data'!L146</f>
        <v>97746.744280335406</v>
      </c>
      <c r="G166" s="474">
        <f t="shared" si="132"/>
        <v>13687.941669523079</v>
      </c>
      <c r="H166" s="474">
        <f t="shared" si="95"/>
        <v>42760.859465807196</v>
      </c>
      <c r="I166" s="475">
        <f t="shared" si="98"/>
        <v>990.06758809674682</v>
      </c>
      <c r="J166" s="579">
        <f t="shared" si="131"/>
        <v>0.4</v>
      </c>
      <c r="K166" s="474">
        <f t="shared" si="123"/>
        <v>335.09061413497358</v>
      </c>
      <c r="L166" s="474">
        <f t="shared" si="99"/>
        <v>0</v>
      </c>
      <c r="M166" s="475">
        <f t="shared" si="124"/>
        <v>335.09061413497358</v>
      </c>
      <c r="N166" s="579">
        <f t="shared" si="130"/>
        <v>0.5</v>
      </c>
      <c r="O166" s="475">
        <f t="shared" si="100"/>
        <v>751.91700000000026</v>
      </c>
      <c r="P166" s="1043">
        <f t="shared" si="127"/>
        <v>1087.0076141349739</v>
      </c>
      <c r="Q166" s="467">
        <f t="shared" si="101"/>
        <v>55361.793521195308</v>
      </c>
      <c r="R166" s="467">
        <f t="shared" si="125"/>
        <v>41673.851851672225</v>
      </c>
      <c r="S166" s="1255">
        <f t="shared" si="102"/>
        <v>0.76091951181135764</v>
      </c>
      <c r="T166" s="118" t="str">
        <f t="shared" si="103"/>
        <v>Yes</v>
      </c>
      <c r="U166" s="1255">
        <f t="shared" si="104"/>
        <v>0.76091951181135764</v>
      </c>
      <c r="V166" s="1268">
        <f t="shared" si="96"/>
        <v>56072.892428663195</v>
      </c>
      <c r="W166" s="1269">
        <f t="shared" si="97"/>
        <v>0.42634516534026512</v>
      </c>
      <c r="X166" s="473">
        <f t="shared" si="105"/>
        <v>13687.941669523087</v>
      </c>
      <c r="Y166" s="474">
        <f t="shared" si="106"/>
        <v>8144.1218540337695</v>
      </c>
      <c r="Z166" s="474">
        <f t="shared" si="107"/>
        <v>5124.3025465521841</v>
      </c>
      <c r="AA166" s="474">
        <f t="shared" si="108"/>
        <v>0</v>
      </c>
      <c r="AB166" s="474">
        <f t="shared" si="109"/>
        <v>29116.526358554158</v>
      </c>
      <c r="AC166" s="474">
        <f t="shared" si="110"/>
        <v>56072.892428663195</v>
      </c>
      <c r="AD166" s="1240">
        <f t="shared" si="111"/>
        <v>0</v>
      </c>
      <c r="AE166" s="100">
        <f t="shared" si="112"/>
        <v>0.24410978418737894</v>
      </c>
      <c r="AF166" s="100">
        <f t="shared" si="113"/>
        <v>0.14524169346881557</v>
      </c>
      <c r="AG166" s="100">
        <f t="shared" si="114"/>
        <v>9.1386449398368402E-2</v>
      </c>
      <c r="AH166" s="100">
        <f t="shared" si="126"/>
        <v>0</v>
      </c>
      <c r="AI166" s="100">
        <f t="shared" si="115"/>
        <v>0.51926207294543714</v>
      </c>
      <c r="AJ166" s="471">
        <f t="shared" si="116"/>
        <v>1</v>
      </c>
      <c r="AK166" s="1250">
        <f t="shared" si="117"/>
        <v>594.04055285804793</v>
      </c>
      <c r="AL166" s="1251">
        <f t="shared" si="118"/>
        <v>12346.170617918286</v>
      </c>
      <c r="AM166" s="1251">
        <f t="shared" si="119"/>
        <v>747.73049874675053</v>
      </c>
      <c r="AN166" s="1251">
        <f t="shared" si="120"/>
        <v>13687.941669523085</v>
      </c>
      <c r="AO166" s="1022">
        <f t="shared" si="121"/>
        <v>0</v>
      </c>
      <c r="AV166" s="119"/>
      <c r="AW166" s="119"/>
    </row>
    <row r="167" spans="1:49">
      <c r="A167" s="89">
        <f>'Input data'!A147</f>
        <v>2047</v>
      </c>
      <c r="B167" s="152">
        <f>'Input data'!B147</f>
        <v>74.134805489166112</v>
      </c>
      <c r="C167" s="204">
        <f>'Input data'!C147</f>
        <v>8187.4100000000008</v>
      </c>
      <c r="D167" s="475">
        <f>'Input data'!D147</f>
        <v>795063.80460989953</v>
      </c>
      <c r="E167" s="473">
        <f>'Input data'!J147*C167</f>
        <v>98503.103275426867</v>
      </c>
      <c r="F167" s="474">
        <f>'Input data'!L147</f>
        <v>99298.167080036772</v>
      </c>
      <c r="G167" s="474">
        <f t="shared" si="132"/>
        <v>13687.941669523079</v>
      </c>
      <c r="H167" s="474">
        <f t="shared" si="95"/>
        <v>43579.969731747144</v>
      </c>
      <c r="I167" s="475">
        <f t="shared" si="98"/>
        <v>795.06380460989953</v>
      </c>
      <c r="J167" s="579">
        <f t="shared" si="131"/>
        <v>0.4</v>
      </c>
      <c r="K167" s="474">
        <f t="shared" si="123"/>
        <v>269.09114263135149</v>
      </c>
      <c r="L167" s="474">
        <f t="shared" si="99"/>
        <v>0</v>
      </c>
      <c r="M167" s="475">
        <f t="shared" si="124"/>
        <v>269.09114263135149</v>
      </c>
      <c r="N167" s="579">
        <f t="shared" si="130"/>
        <v>0.5</v>
      </c>
      <c r="O167" s="475">
        <f t="shared" si="100"/>
        <v>751.91700000000026</v>
      </c>
      <c r="P167" s="1043">
        <f t="shared" si="127"/>
        <v>1021.0081426313518</v>
      </c>
      <c r="Q167" s="467">
        <f t="shared" si="101"/>
        <v>56246.903258638878</v>
      </c>
      <c r="R167" s="467">
        <f t="shared" si="125"/>
        <v>42558.961589115803</v>
      </c>
      <c r="S167" s="1255">
        <f t="shared" si="102"/>
        <v>0.76311752964665747</v>
      </c>
      <c r="T167" s="118" t="str">
        <f t="shared" si="103"/>
        <v>Yes</v>
      </c>
      <c r="U167" s="1255">
        <f t="shared" si="104"/>
        <v>0.76311752964665747</v>
      </c>
      <c r="V167" s="1268">
        <f t="shared" si="96"/>
        <v>56739.205490920976</v>
      </c>
      <c r="W167" s="1269">
        <f t="shared" si="97"/>
        <v>0.42859765533045768</v>
      </c>
      <c r="X167" s="473">
        <f t="shared" si="105"/>
        <v>13687.941669523078</v>
      </c>
      <c r="Y167" s="474">
        <f t="shared" si="106"/>
        <v>8205.9709351736819</v>
      </c>
      <c r="Z167" s="474">
        <f t="shared" si="107"/>
        <v>5203.2226853115508</v>
      </c>
      <c r="AA167" s="474">
        <f t="shared" si="108"/>
        <v>0</v>
      </c>
      <c r="AB167" s="474">
        <f t="shared" si="109"/>
        <v>29642.070200912669</v>
      </c>
      <c r="AC167" s="474">
        <f t="shared" si="110"/>
        <v>56739.205490920976</v>
      </c>
      <c r="AD167" s="1240">
        <f t="shared" si="111"/>
        <v>0</v>
      </c>
      <c r="AE167" s="100">
        <f t="shared" si="112"/>
        <v>0.24124309727448209</v>
      </c>
      <c r="AF167" s="100">
        <f t="shared" si="113"/>
        <v>0.1446261163541803</v>
      </c>
      <c r="AG167" s="100">
        <f t="shared" si="114"/>
        <v>9.1704186554817643E-2</v>
      </c>
      <c r="AH167" s="100">
        <f t="shared" si="126"/>
        <v>0</v>
      </c>
      <c r="AI167" s="100">
        <f t="shared" si="115"/>
        <v>0.52242659981652007</v>
      </c>
      <c r="AJ167" s="471">
        <f t="shared" si="116"/>
        <v>1</v>
      </c>
      <c r="AK167" s="1250">
        <f t="shared" si="117"/>
        <v>477.03828276593964</v>
      </c>
      <c r="AL167" s="1251">
        <f t="shared" si="118"/>
        <v>12453.460098630778</v>
      </c>
      <c r="AM167" s="1251">
        <f t="shared" si="119"/>
        <v>757.44328812635797</v>
      </c>
      <c r="AN167" s="1251">
        <f t="shared" si="120"/>
        <v>13687.941669523076</v>
      </c>
      <c r="AO167" s="1022">
        <f t="shared" si="121"/>
        <v>0</v>
      </c>
      <c r="AV167" s="119"/>
      <c r="AW167" s="119"/>
    </row>
    <row r="168" spans="1:49">
      <c r="A168" s="89">
        <f>'Input data'!A148</f>
        <v>2048</v>
      </c>
      <c r="B168" s="152">
        <f>'Input data'!B148</f>
        <v>74.478544758379343</v>
      </c>
      <c r="C168" s="204">
        <f>'Input data'!C148</f>
        <v>8322.6399999999976</v>
      </c>
      <c r="D168" s="475">
        <f>'Input data'!D148</f>
        <v>600060.02112305223</v>
      </c>
      <c r="E168" s="473">
        <f>'Input data'!J148*C168</f>
        <v>100130.06157554078</v>
      </c>
      <c r="F168" s="474">
        <f>'Input data'!L148</f>
        <v>100730.12159666383</v>
      </c>
      <c r="G168" s="474">
        <f t="shared" si="132"/>
        <v>13687.941669523079</v>
      </c>
      <c r="H168" s="474">
        <f t="shared" si="95"/>
        <v>44330.528246276022</v>
      </c>
      <c r="I168" s="475">
        <f t="shared" si="98"/>
        <v>600.06002112305225</v>
      </c>
      <c r="J168" s="579">
        <f t="shared" si="131"/>
        <v>0.4</v>
      </c>
      <c r="K168" s="474">
        <f t="shared" si="123"/>
        <v>203.0916711277294</v>
      </c>
      <c r="L168" s="474">
        <f t="shared" si="99"/>
        <v>0</v>
      </c>
      <c r="M168" s="475">
        <f t="shared" si="124"/>
        <v>203.0916711277294</v>
      </c>
      <c r="N168" s="579">
        <f t="shared" si="130"/>
        <v>0.5</v>
      </c>
      <c r="O168" s="475">
        <f t="shared" si="100"/>
        <v>751.91700000000026</v>
      </c>
      <c r="P168" s="1043">
        <f t="shared" si="127"/>
        <v>955.00867112772971</v>
      </c>
      <c r="Q168" s="467">
        <f t="shared" si="101"/>
        <v>57063.461244671365</v>
      </c>
      <c r="R168" s="467">
        <f t="shared" si="125"/>
        <v>43375.519575148282</v>
      </c>
      <c r="S168" s="1255">
        <f t="shared" si="102"/>
        <v>0.76495413456384354</v>
      </c>
      <c r="T168" s="118" t="str">
        <f t="shared" si="103"/>
        <v>Yes</v>
      </c>
      <c r="U168" s="1255">
        <f t="shared" si="104"/>
        <v>0.76495413456384354</v>
      </c>
      <c r="V168" s="1268">
        <f t="shared" si="96"/>
        <v>57354.602021515551</v>
      </c>
      <c r="W168" s="1269">
        <f t="shared" si="97"/>
        <v>0.43061121030737315</v>
      </c>
      <c r="X168" s="473">
        <f t="shared" si="105"/>
        <v>13687.941669523083</v>
      </c>
      <c r="Y168" s="474">
        <f t="shared" si="106"/>
        <v>8258.2532182719169</v>
      </c>
      <c r="Z168" s="474">
        <f t="shared" si="107"/>
        <v>5276.7441124569687</v>
      </c>
      <c r="AA168" s="474">
        <f t="shared" si="108"/>
        <v>0</v>
      </c>
      <c r="AB168" s="474">
        <f t="shared" si="109"/>
        <v>30131.663021263586</v>
      </c>
      <c r="AC168" s="474">
        <f t="shared" si="110"/>
        <v>57354.602021515551</v>
      </c>
      <c r="AD168" s="1240">
        <f t="shared" si="111"/>
        <v>0</v>
      </c>
      <c r="AE168" s="100">
        <f t="shared" si="112"/>
        <v>0.23865463602011042</v>
      </c>
      <c r="AF168" s="100">
        <f t="shared" si="113"/>
        <v>0.14398588652352573</v>
      </c>
      <c r="AG168" s="100">
        <f t="shared" si="114"/>
        <v>9.2002104913525382E-2</v>
      </c>
      <c r="AH168" s="100">
        <f t="shared" si="126"/>
        <v>0</v>
      </c>
      <c r="AI168" s="100">
        <f t="shared" si="115"/>
        <v>0.52535737254283854</v>
      </c>
      <c r="AJ168" s="471">
        <f t="shared" si="116"/>
        <v>1</v>
      </c>
      <c r="AK168" s="1250">
        <f t="shared" si="117"/>
        <v>360.03601267383129</v>
      </c>
      <c r="AL168" s="1251">
        <f t="shared" si="118"/>
        <v>12561.002343122487</v>
      </c>
      <c r="AM168" s="1251">
        <f t="shared" si="119"/>
        <v>766.90331372676269</v>
      </c>
      <c r="AN168" s="1251">
        <f t="shared" si="120"/>
        <v>13687.941669523081</v>
      </c>
      <c r="AO168" s="1022">
        <f t="shared" si="121"/>
        <v>0</v>
      </c>
      <c r="AV168" s="119"/>
      <c r="AW168" s="119"/>
    </row>
    <row r="169" spans="1:49">
      <c r="A169" s="89">
        <f>'Input data'!A149</f>
        <v>2049</v>
      </c>
      <c r="B169" s="152">
        <f>'Input data'!B149</f>
        <v>74.807416768507309</v>
      </c>
      <c r="C169" s="204">
        <f>'Input data'!C149</f>
        <v>8457.3799999999992</v>
      </c>
      <c r="D169" s="475">
        <f>'Input data'!D149</f>
        <v>405056.23763620481</v>
      </c>
      <c r="E169" s="473">
        <f>'Input data'!J149*C169</f>
        <v>101751.12466329761</v>
      </c>
      <c r="F169" s="474">
        <f>'Input data'!L149</f>
        <v>102156.18090093382</v>
      </c>
      <c r="G169" s="474">
        <f t="shared" si="132"/>
        <v>13687.941669523079</v>
      </c>
      <c r="H169" s="474">
        <f t="shared" si="95"/>
        <v>45077.704045982013</v>
      </c>
      <c r="I169" s="475">
        <f t="shared" si="98"/>
        <v>405.0562376362048</v>
      </c>
      <c r="J169" s="579">
        <f t="shared" si="131"/>
        <v>0.4</v>
      </c>
      <c r="K169" s="474">
        <f t="shared" si="123"/>
        <v>137.09219962410731</v>
      </c>
      <c r="L169" s="474">
        <f t="shared" si="99"/>
        <v>0</v>
      </c>
      <c r="M169" s="475">
        <f t="shared" si="124"/>
        <v>137.09219962410731</v>
      </c>
      <c r="N169" s="579">
        <f t="shared" si="130"/>
        <v>0.5</v>
      </c>
      <c r="O169" s="475">
        <f t="shared" si="100"/>
        <v>751.91700000000026</v>
      </c>
      <c r="P169" s="1043">
        <f t="shared" si="127"/>
        <v>889.00919962410762</v>
      </c>
      <c r="Q169" s="467">
        <f t="shared" si="101"/>
        <v>57876.636515880986</v>
      </c>
      <c r="R169" s="467">
        <f t="shared" si="125"/>
        <v>44188.694846357903</v>
      </c>
      <c r="S169" s="1255">
        <f t="shared" si="102"/>
        <v>0.76671755226153981</v>
      </c>
      <c r="T169" s="118" t="str">
        <f t="shared" si="103"/>
        <v>Yes</v>
      </c>
      <c r="U169" s="1255">
        <f t="shared" si="104"/>
        <v>0.76671755226153981</v>
      </c>
      <c r="V169" s="1268">
        <f t="shared" si="96"/>
        <v>57967.486054575915</v>
      </c>
      <c r="W169" s="1269">
        <f t="shared" si="97"/>
        <v>0.43256016872057879</v>
      </c>
      <c r="X169" s="473">
        <f t="shared" si="105"/>
        <v>13687.941669523083</v>
      </c>
      <c r="Y169" s="474">
        <f t="shared" si="106"/>
        <v>8310.063423722584</v>
      </c>
      <c r="Z169" s="474">
        <f t="shared" si="107"/>
        <v>5349.9991379215398</v>
      </c>
      <c r="AA169" s="474">
        <f t="shared" si="108"/>
        <v>0</v>
      </c>
      <c r="AB169" s="474">
        <f t="shared" si="109"/>
        <v>30619.481823408714</v>
      </c>
      <c r="AC169" s="474">
        <f t="shared" si="110"/>
        <v>57967.486054575915</v>
      </c>
      <c r="AD169" s="1240">
        <f t="shared" si="111"/>
        <v>0</v>
      </c>
      <c r="AE169" s="100">
        <f t="shared" si="112"/>
        <v>0.23613136606676366</v>
      </c>
      <c r="AF169" s="100">
        <f t="shared" si="113"/>
        <v>0.14335731958254541</v>
      </c>
      <c r="AG169" s="100">
        <f t="shared" si="114"/>
        <v>9.2293102600388074E-2</v>
      </c>
      <c r="AH169" s="100">
        <f t="shared" si="126"/>
        <v>0</v>
      </c>
      <c r="AI169" s="100">
        <f t="shared" si="115"/>
        <v>0.52821821175030292</v>
      </c>
      <c r="AJ169" s="471">
        <f t="shared" si="116"/>
        <v>1</v>
      </c>
      <c r="AK169" s="1250">
        <f t="shared" si="117"/>
        <v>243.03374258172283</v>
      </c>
      <c r="AL169" s="1251">
        <f t="shared" si="118"/>
        <v>12668.595773051293</v>
      </c>
      <c r="AM169" s="1251">
        <f t="shared" si="119"/>
        <v>776.31215389006582</v>
      </c>
      <c r="AN169" s="1251">
        <f t="shared" si="120"/>
        <v>13687.941669523081</v>
      </c>
      <c r="AO169" s="1022">
        <f t="shared" si="121"/>
        <v>0</v>
      </c>
      <c r="AV169" s="119"/>
      <c r="AW169" s="119"/>
    </row>
    <row r="170" spans="1:49" ht="15.75" thickBot="1">
      <c r="A170" s="141">
        <f>'Input data'!A150</f>
        <v>2050</v>
      </c>
      <c r="B170" s="593">
        <f>'Input data'!B150</f>
        <v>75.121207211856714</v>
      </c>
      <c r="C170" s="207">
        <f>'Input data'!C150</f>
        <v>8589.119999999999</v>
      </c>
      <c r="D170" s="589">
        <f>'Input data'!D150</f>
        <v>210052.45414935748</v>
      </c>
      <c r="E170" s="598">
        <f>'Input data'!J150*C170</f>
        <v>103336.09461417398</v>
      </c>
      <c r="F170" s="595">
        <f>'Input data'!L150</f>
        <v>103546.14706832333</v>
      </c>
      <c r="G170" s="595">
        <f t="shared" si="132"/>
        <v>13687.941669523079</v>
      </c>
      <c r="H170" s="595">
        <f t="shared" si="95"/>
        <v>45804.16934677228</v>
      </c>
      <c r="I170" s="589">
        <f t="shared" si="98"/>
        <v>210.05245414935749</v>
      </c>
      <c r="J170" s="580">
        <f t="shared" si="131"/>
        <v>0.4</v>
      </c>
      <c r="K170" s="595">
        <f t="shared" si="123"/>
        <v>71.092728120485219</v>
      </c>
      <c r="L170" s="595">
        <f t="shared" si="99"/>
        <v>0</v>
      </c>
      <c r="M170" s="589">
        <f t="shared" si="124"/>
        <v>71.092728120485219</v>
      </c>
      <c r="N170" s="580">
        <f t="shared" si="130"/>
        <v>0.5</v>
      </c>
      <c r="O170" s="589">
        <f t="shared" si="100"/>
        <v>751.91700000000026</v>
      </c>
      <c r="P170" s="1390">
        <f t="shared" si="127"/>
        <v>823.00972812048553</v>
      </c>
      <c r="Q170" s="1238">
        <f t="shared" si="101"/>
        <v>58669.101288174876</v>
      </c>
      <c r="R170" s="1238">
        <f t="shared" si="125"/>
        <v>44981.1596186518</v>
      </c>
      <c r="S170" s="1256">
        <f t="shared" si="102"/>
        <v>0.76834302950406852</v>
      </c>
      <c r="T170" s="951" t="str">
        <f t="shared" si="103"/>
        <v>Yes</v>
      </c>
      <c r="U170" s="1256">
        <f t="shared" si="104"/>
        <v>0.76834302950406852</v>
      </c>
      <c r="V170" s="1270">
        <f t="shared" si="96"/>
        <v>58564.987449671549</v>
      </c>
      <c r="W170" s="1271">
        <f t="shared" si="97"/>
        <v>0.43440688902670288</v>
      </c>
      <c r="X170" s="598">
        <f t="shared" si="105"/>
        <v>13687.941669523072</v>
      </c>
      <c r="Y170" s="595">
        <f t="shared" si="106"/>
        <v>8358.9833578615653</v>
      </c>
      <c r="Z170" s="595">
        <f t="shared" si="107"/>
        <v>5421.623132687032</v>
      </c>
      <c r="AA170" s="595">
        <f t="shared" si="108"/>
        <v>0</v>
      </c>
      <c r="AB170" s="595">
        <f t="shared" si="109"/>
        <v>31096.439289599883</v>
      </c>
      <c r="AC170" s="595">
        <f t="shared" si="110"/>
        <v>58564.987449671549</v>
      </c>
      <c r="AD170" s="1241">
        <f t="shared" si="111"/>
        <v>0</v>
      </c>
      <c r="AE170" s="581">
        <f t="shared" si="112"/>
        <v>0.23372226761400661</v>
      </c>
      <c r="AF170" s="581">
        <f t="shared" si="113"/>
        <v>0.14273004608845768</v>
      </c>
      <c r="AG170" s="581">
        <f t="shared" si="114"/>
        <v>9.257447783705515E-2</v>
      </c>
      <c r="AH170" s="581">
        <f t="shared" si="126"/>
        <v>0</v>
      </c>
      <c r="AI170" s="581">
        <f>AB170/AC170</f>
        <v>0.53097320846048057</v>
      </c>
      <c r="AJ170" s="582">
        <f t="shared" si="116"/>
        <v>1</v>
      </c>
      <c r="AK170" s="1252">
        <f t="shared" si="117"/>
        <v>126.03147248961449</v>
      </c>
      <c r="AL170" s="1253">
        <f t="shared" si="118"/>
        <v>12776.285675322402</v>
      </c>
      <c r="AM170" s="1253">
        <f t="shared" si="119"/>
        <v>785.62452171105349</v>
      </c>
      <c r="AN170" s="1253">
        <f t="shared" si="120"/>
        <v>13687.94166952307</v>
      </c>
      <c r="AO170" s="1023">
        <f t="shared" si="121"/>
        <v>0</v>
      </c>
      <c r="AV170" s="119"/>
      <c r="AW170" s="119"/>
    </row>
    <row r="171" spans="1:49">
      <c r="F171" s="301"/>
      <c r="G171" s="301"/>
      <c r="T171" s="489"/>
    </row>
    <row r="172" spans="1:49" ht="23.25">
      <c r="A172" s="610" t="s">
        <v>664</v>
      </c>
    </row>
    <row r="173" spans="1:49" ht="24" thickBot="1">
      <c r="A173" s="610"/>
    </row>
    <row r="174" spans="1:49"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9" ht="37.9"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4436.7699999999986</v>
      </c>
      <c r="D179" s="475">
        <f>'Input data'!E119</f>
        <v>52992370.977903679</v>
      </c>
      <c r="E179" s="473">
        <f>'Input data'!J119*C179</f>
        <v>53378.982305676094</v>
      </c>
      <c r="F179" s="474">
        <f>'Input data'!L119</f>
        <v>106371.35328357978</v>
      </c>
      <c r="G179" s="474">
        <f>G177*0.89</f>
        <v>60911.340429377713</v>
      </c>
      <c r="H179" s="474">
        <f t="shared" ref="H179:H210" si="160">E179*$B$12+I179*$E$80-G179</f>
        <v>19448.710043484389</v>
      </c>
      <c r="I179" s="475">
        <f t="shared" si="136"/>
        <v>52992.37097790368</v>
      </c>
      <c r="J179" s="579">
        <f t="shared" ref="J179:J189" si="161">($J$190-$J$177)/($A$190-$A$177)+J178</f>
        <v>0.11361731727283289</v>
      </c>
      <c r="K179" s="474">
        <f t="shared" ref="K179:K210" si="162">(I179)*J179-(I179)*$J$137</f>
        <v>2759.2904299500592</v>
      </c>
      <c r="L179" s="474">
        <f t="shared" si="137"/>
        <v>0</v>
      </c>
      <c r="M179" s="475">
        <f t="shared" ref="M179:M210" si="163">L179+K179</f>
        <v>2759.2904299500592</v>
      </c>
      <c r="N179" s="579">
        <v>0.1</v>
      </c>
      <c r="O179" s="475">
        <f t="shared" si="138"/>
        <v>150.38340000000005</v>
      </c>
      <c r="P179" s="1043">
        <f>O179+M179</f>
        <v>2909.6738299500594</v>
      </c>
      <c r="Q179" s="467">
        <f t="shared" si="139"/>
        <v>77450.376642912044</v>
      </c>
      <c r="R179" s="467">
        <f t="shared" ref="R179:R210" si="164">Q179-G179</f>
        <v>16539.036213534331</v>
      </c>
      <c r="S179" s="518">
        <f t="shared" si="140"/>
        <v>0.5426396528245393</v>
      </c>
      <c r="T179" s="118" t="str">
        <f t="shared" si="141"/>
        <v>Yes</v>
      </c>
      <c r="U179" s="1259">
        <f t="shared" si="142"/>
        <v>0.5426396528245393</v>
      </c>
      <c r="V179" s="1247">
        <f t="shared" si="134"/>
        <v>89832.31707004545</v>
      </c>
      <c r="W179" s="1260">
        <f t="shared" si="135"/>
        <v>0.15548393155666862</v>
      </c>
      <c r="X179" s="473">
        <f t="shared" si="143"/>
        <v>60911.340429377713</v>
      </c>
      <c r="Y179" s="474">
        <f t="shared" si="144"/>
        <v>10295.34070894855</v>
      </c>
      <c r="Z179" s="116">
        <f t="shared" si="145"/>
        <v>2562.5527582487894</v>
      </c>
      <c r="AA179" s="116">
        <f t="shared" si="146"/>
        <v>0</v>
      </c>
      <c r="AB179" s="116">
        <f t="shared" si="147"/>
        <v>16063.083173470395</v>
      </c>
      <c r="AC179" s="116">
        <f t="shared" si="148"/>
        <v>89832.31707004545</v>
      </c>
      <c r="AD179" s="1240">
        <f t="shared" si="149"/>
        <v>0</v>
      </c>
      <c r="AE179" s="579">
        <f t="shared" si="150"/>
        <v>0.67805598715530158</v>
      </c>
      <c r="AF179" s="100">
        <f t="shared" si="151"/>
        <v>0.11460620236390993</v>
      </c>
      <c r="AG179" s="100">
        <f t="shared" si="152"/>
        <v>2.8525956379937031E-2</v>
      </c>
      <c r="AH179" s="100">
        <f t="shared" ref="AH179:AH210" si="165">AA179/AC179</f>
        <v>0</v>
      </c>
      <c r="AI179" s="100">
        <f t="shared" si="153"/>
        <v>0.17881185410085146</v>
      </c>
      <c r="AJ179" s="100">
        <f t="shared" si="154"/>
        <v>1</v>
      </c>
      <c r="AK179" s="1250">
        <f t="shared" si="155"/>
        <v>46971.519951467533</v>
      </c>
      <c r="AL179" s="1251">
        <f t="shared" si="156"/>
        <v>13029.747376968175</v>
      </c>
      <c r="AM179" s="1251">
        <f t="shared" si="157"/>
        <v>910.07310094199636</v>
      </c>
      <c r="AN179" s="1251">
        <f t="shared" si="158"/>
        <v>60911.340429377706</v>
      </c>
      <c r="AO179" s="1022">
        <f t="shared" si="159"/>
        <v>0</v>
      </c>
    </row>
    <row r="180" spans="1:41">
      <c r="A180" s="89">
        <f>'Input data'!A120</f>
        <v>2020</v>
      </c>
      <c r="B180" s="152">
        <f>'Input data'!B120</f>
        <v>59.308690000000006</v>
      </c>
      <c r="C180" s="204">
        <f>'Input data'!C120</f>
        <v>4157.24</v>
      </c>
      <c r="D180" s="475">
        <f>'Input data'!E120</f>
        <v>50781625.743101723</v>
      </c>
      <c r="E180" s="473">
        <f>'Input data'!J120*C180</f>
        <v>50015.944121613007</v>
      </c>
      <c r="F180" s="474">
        <f>'Input data'!L120</f>
        <v>100797.56986471472</v>
      </c>
      <c r="G180" s="474">
        <f>G177*0.81</f>
        <v>55436.163761568481</v>
      </c>
      <c r="H180" s="474">
        <f t="shared" si="160"/>
        <v>20919.47259233264</v>
      </c>
      <c r="I180" s="475">
        <f t="shared" si="136"/>
        <v>50781.625743101722</v>
      </c>
      <c r="J180" s="579">
        <f t="shared" si="161"/>
        <v>0.13965210661166627</v>
      </c>
      <c r="K180" s="474">
        <f>(I180)*J180-(I180)*$J$177</f>
        <v>3966.2667855153936</v>
      </c>
      <c r="L180" s="474">
        <f t="shared" si="137"/>
        <v>0</v>
      </c>
      <c r="M180" s="475">
        <f t="shared" si="163"/>
        <v>3966.2667855153936</v>
      </c>
      <c r="N180" s="579">
        <f>($N$142-$N$137)/($A$102-$A$97)+N179</f>
        <v>0.2</v>
      </c>
      <c r="O180" s="475">
        <f t="shared" si="138"/>
        <v>300.7668000000001</v>
      </c>
      <c r="P180" s="1043">
        <f t="shared" ref="P180:P210" si="166">O180+M180</f>
        <v>4267.0335855153935</v>
      </c>
      <c r="Q180" s="467">
        <f t="shared" si="139"/>
        <v>72088.602768385725</v>
      </c>
      <c r="R180" s="467">
        <f t="shared" si="164"/>
        <v>16652.439006817243</v>
      </c>
      <c r="S180" s="518">
        <f>R180/(Q180-I180*(1-J180))</f>
        <v>0.58637954210654075</v>
      </c>
      <c r="T180" s="118" t="str">
        <f t="shared" si="141"/>
        <v>Yes</v>
      </c>
      <c r="U180" s="1259">
        <f>IF(S180&lt;=0,0,IF(S180&gt;=1,1,S180))</f>
        <v>0.58637954210654075</v>
      </c>
      <c r="V180" s="1247">
        <f>AC180</f>
        <v>84145.130857897486</v>
      </c>
      <c r="W180" s="1260">
        <f t="shared" si="135"/>
        <v>0.16520675080924352</v>
      </c>
      <c r="X180" s="473">
        <f>(E180*$B$12-O180-L180)*(1-U180)+I180*(1-J180)</f>
        <v>55436.163761568481</v>
      </c>
      <c r="Y180" s="474">
        <f t="shared" si="144"/>
        <v>11096.944848116838</v>
      </c>
      <c r="Z180" s="116">
        <f t="shared" si="145"/>
        <v>2560.9621544777392</v>
      </c>
      <c r="AA180" s="116">
        <f t="shared" si="146"/>
        <v>0</v>
      </c>
      <c r="AB180" s="116">
        <f>E180*$E$12</f>
        <v>15051.060093734426</v>
      </c>
      <c r="AC180" s="116">
        <f>SUM(X180:AB180)</f>
        <v>84145.130857897486</v>
      </c>
      <c r="AD180" s="1240">
        <f t="shared" si="149"/>
        <v>0</v>
      </c>
      <c r="AE180" s="579">
        <f t="shared" si="150"/>
        <v>0.65881606215798627</v>
      </c>
      <c r="AF180" s="100">
        <f t="shared" si="151"/>
        <v>0.13187863320168963</v>
      </c>
      <c r="AG180" s="100">
        <f t="shared" si="152"/>
        <v>3.0435060571747614E-2</v>
      </c>
      <c r="AH180" s="100">
        <f t="shared" si="165"/>
        <v>0</v>
      </c>
      <c r="AI180" s="100">
        <f t="shared" si="153"/>
        <v>0.17887024406857643</v>
      </c>
      <c r="AJ180" s="100">
        <f t="shared" si="154"/>
        <v>0.99999999999999989</v>
      </c>
      <c r="AK180" s="1250">
        <f t="shared" si="155"/>
        <v>43689.864730912348</v>
      </c>
      <c r="AL180" s="1251">
        <f t="shared" si="156"/>
        <v>11041.235660888884</v>
      </c>
      <c r="AM180" s="1251">
        <f t="shared" si="157"/>
        <v>705.06336976725561</v>
      </c>
      <c r="AN180" s="1251">
        <f t="shared" si="158"/>
        <v>55436.163761568481</v>
      </c>
      <c r="AO180" s="1022">
        <f t="shared" si="159"/>
        <v>0</v>
      </c>
    </row>
    <row r="181" spans="1:41">
      <c r="A181" s="89">
        <f>'Input data'!A121</f>
        <v>2021</v>
      </c>
      <c r="B181" s="152">
        <f>'Input data'!B121</f>
        <v>60.158036186957922</v>
      </c>
      <c r="C181" s="204">
        <f>'Input data'!C121</f>
        <v>4296.6100000000006</v>
      </c>
      <c r="D181" s="475">
        <f>'Input data'!E121</f>
        <v>50787753.059423499</v>
      </c>
      <c r="E181" s="473">
        <f>'Input data'!J121*C181</f>
        <v>51692.710950621971</v>
      </c>
      <c r="F181" s="474">
        <f>'Input data'!L121</f>
        <v>102480.46401004547</v>
      </c>
      <c r="G181" s="474">
        <f>G177*0.65</f>
        <v>44485.810425950018</v>
      </c>
      <c r="H181" s="474">
        <f t="shared" si="160"/>
        <v>32837.71686643795</v>
      </c>
      <c r="I181" s="475">
        <f t="shared" si="136"/>
        <v>50787.7530594235</v>
      </c>
      <c r="J181" s="579">
        <f t="shared" si="161"/>
        <v>0.16568689595049965</v>
      </c>
      <c r="K181" s="474">
        <f t="shared" si="162"/>
        <v>5288.9938075791251</v>
      </c>
      <c r="L181" s="474">
        <f t="shared" si="137"/>
        <v>0</v>
      </c>
      <c r="M181" s="475">
        <f t="shared" si="163"/>
        <v>5288.9938075791251</v>
      </c>
      <c r="N181" s="579">
        <v>0.4</v>
      </c>
      <c r="O181" s="475">
        <f t="shared" si="138"/>
        <v>601.53360000000021</v>
      </c>
      <c r="P181" s="1043">
        <f t="shared" si="166"/>
        <v>5890.5274075791258</v>
      </c>
      <c r="Q181" s="467">
        <f t="shared" si="139"/>
        <v>71432.999884808843</v>
      </c>
      <c r="R181" s="467">
        <f t="shared" si="164"/>
        <v>26947.189458858826</v>
      </c>
      <c r="S181" s="518">
        <f t="shared" si="140"/>
        <v>0.92729131516959551</v>
      </c>
      <c r="T181" s="118" t="str">
        <f t="shared" si="141"/>
        <v>Yes</v>
      </c>
      <c r="U181" s="1259">
        <f t="shared" si="142"/>
        <v>0.92729131516959551</v>
      </c>
      <c r="V181" s="1247">
        <f t="shared" si="134"/>
        <v>75533.274551186652</v>
      </c>
      <c r="W181" s="1260">
        <f t="shared" si="135"/>
        <v>0.26294952622596801</v>
      </c>
      <c r="X181" s="473">
        <f t="shared" si="143"/>
        <v>44485.810425950018</v>
      </c>
      <c r="Y181" s="474">
        <f t="shared" si="144"/>
        <v>12554.321363546935</v>
      </c>
      <c r="Z181" s="116">
        <f t="shared" si="145"/>
        <v>2937.5012039878866</v>
      </c>
      <c r="AA181" s="116">
        <f t="shared" si="146"/>
        <v>0</v>
      </c>
      <c r="AB181" s="116">
        <f t="shared" si="147"/>
        <v>15555.641557701811</v>
      </c>
      <c r="AC181" s="116">
        <f t="shared" si="148"/>
        <v>75533.274551186652</v>
      </c>
      <c r="AD181" s="475">
        <f t="shared" si="149"/>
        <v>0</v>
      </c>
      <c r="AE181" s="579">
        <f t="shared" si="150"/>
        <v>0.58895646574680549</v>
      </c>
      <c r="AF181" s="100">
        <f t="shared" si="151"/>
        <v>0.16620915004868808</v>
      </c>
      <c r="AG181" s="100">
        <f t="shared" si="152"/>
        <v>3.8890160944859205E-2</v>
      </c>
      <c r="AH181" s="100">
        <f t="shared" si="165"/>
        <v>0</v>
      </c>
      <c r="AI181" s="100">
        <f t="shared" si="153"/>
        <v>0.20594422325964717</v>
      </c>
      <c r="AJ181" s="100">
        <f t="shared" si="154"/>
        <v>1</v>
      </c>
      <c r="AK181" s="1250">
        <f t="shared" si="155"/>
        <v>42372.887902707123</v>
      </c>
      <c r="AL181" s="1251">
        <f t="shared" si="156"/>
        <v>2005.9624312614219</v>
      </c>
      <c r="AM181" s="1251">
        <f t="shared" si="157"/>
        <v>106.96009198147247</v>
      </c>
      <c r="AN181" s="1251">
        <f t="shared" si="158"/>
        <v>44485.810425950018</v>
      </c>
      <c r="AO181" s="1022">
        <f t="shared" si="159"/>
        <v>0</v>
      </c>
    </row>
    <row r="182" spans="1:41">
      <c r="A182" s="89">
        <f>'Input data'!A122</f>
        <v>2022</v>
      </c>
      <c r="B182" s="152">
        <f>'Input data'!B122</f>
        <v>60.963559588769527</v>
      </c>
      <c r="C182" s="204">
        <f>'Input data'!C122</f>
        <v>4408.5100000000011</v>
      </c>
      <c r="D182" s="475">
        <f>'Input data'!E122</f>
        <v>50359792.847133145</v>
      </c>
      <c r="E182" s="473">
        <f>'Input data'!J122*C182</f>
        <v>53038.984956262379</v>
      </c>
      <c r="F182" s="474">
        <f>'Input data'!L122</f>
        <v>103398.77780339553</v>
      </c>
      <c r="G182" s="474">
        <f>G177*(1-E4)</f>
        <v>34219.854173807704</v>
      </c>
      <c r="H182" s="474">
        <f t="shared" si="160"/>
        <v>43474.554499121747</v>
      </c>
      <c r="I182" s="475">
        <f t="shared" si="136"/>
        <v>50359.792847133147</v>
      </c>
      <c r="J182" s="579">
        <f t="shared" si="161"/>
        <v>0.19172168528933303</v>
      </c>
      <c r="K182" s="474">
        <f t="shared" si="162"/>
        <v>6555.5329896119965</v>
      </c>
      <c r="L182" s="474">
        <f t="shared" si="137"/>
        <v>0</v>
      </c>
      <c r="M182" s="475">
        <f t="shared" si="163"/>
        <v>6555.5329896119965</v>
      </c>
      <c r="N182" s="579">
        <f>$E$26</f>
        <v>0.5</v>
      </c>
      <c r="O182" s="475">
        <f t="shared" si="138"/>
        <v>751.91700000000026</v>
      </c>
      <c r="P182" s="1043">
        <f t="shared" si="166"/>
        <v>7307.4499896119969</v>
      </c>
      <c r="Q182" s="467">
        <f t="shared" si="139"/>
        <v>70386.958683317454</v>
      </c>
      <c r="R182" s="467">
        <f t="shared" si="164"/>
        <v>36167.104509509751</v>
      </c>
      <c r="S182" s="518">
        <f t="shared" si="140"/>
        <v>1.2184766534043601</v>
      </c>
      <c r="T182" s="118" t="str">
        <f t="shared" si="141"/>
        <v>No</v>
      </c>
      <c r="U182" s="1259">
        <f t="shared" si="142"/>
        <v>1</v>
      </c>
      <c r="V182" s="1247">
        <f t="shared" si="134"/>
        <v>73716.547611737158</v>
      </c>
      <c r="W182" s="1260">
        <f>(1-V182/F182)</f>
        <v>0.28706558067926824</v>
      </c>
      <c r="X182" s="473">
        <f t="shared" si="143"/>
        <v>40704.72849165908</v>
      </c>
      <c r="Y182" s="474">
        <f t="shared" si="144"/>
        <v>13902.327682230418</v>
      </c>
      <c r="Z182" s="116">
        <f t="shared" si="145"/>
        <v>3148.72204906348</v>
      </c>
      <c r="AA182" s="116">
        <f t="shared" si="146"/>
        <v>0</v>
      </c>
      <c r="AB182" s="116">
        <f t="shared" si="147"/>
        <v>15960.769388784185</v>
      </c>
      <c r="AC182" s="116">
        <f t="shared" si="148"/>
        <v>73716.547611737158</v>
      </c>
      <c r="AD182" s="475">
        <f t="shared" si="149"/>
        <v>6484.874317851376</v>
      </c>
      <c r="AE182" s="579">
        <f t="shared" si="150"/>
        <v>0.55217898572854585</v>
      </c>
      <c r="AF182" s="100">
        <f t="shared" si="151"/>
        <v>0.18859168168663515</v>
      </c>
      <c r="AG182" s="100">
        <f t="shared" si="152"/>
        <v>4.2713910934186777E-2</v>
      </c>
      <c r="AH182" s="100">
        <f t="shared" si="165"/>
        <v>0</v>
      </c>
      <c r="AI182" s="100">
        <f t="shared" si="153"/>
        <v>0.21651542165063234</v>
      </c>
      <c r="AJ182" s="100">
        <f t="shared" si="154"/>
        <v>1.0000000000000002</v>
      </c>
      <c r="AK182" s="1250">
        <f t="shared" si="155"/>
        <v>40704.72849165908</v>
      </c>
      <c r="AL182" s="1251">
        <f t="shared" si="156"/>
        <v>0</v>
      </c>
      <c r="AM182" s="1251">
        <f t="shared" si="157"/>
        <v>0</v>
      </c>
      <c r="AN182" s="1251">
        <f t="shared" si="158"/>
        <v>40704.72849165908</v>
      </c>
      <c r="AO182" s="1022">
        <f t="shared" si="159"/>
        <v>0</v>
      </c>
    </row>
    <row r="183" spans="1:41">
      <c r="A183" s="89">
        <f>'Input data'!A123</f>
        <v>2023</v>
      </c>
      <c r="B183" s="152">
        <f>'Input data'!B123</f>
        <v>61.723133308607778</v>
      </c>
      <c r="C183" s="204">
        <f>'Input data'!C123</f>
        <v>4511.7199999999984</v>
      </c>
      <c r="D183" s="475">
        <f>'Input data'!E123</f>
        <v>49422822.449545562</v>
      </c>
      <c r="E183" s="473">
        <f>'Input data'!J123*C183</f>
        <v>54280.70917540574</v>
      </c>
      <c r="F183" s="474">
        <f>'Input data'!L123</f>
        <v>103703.53162495131</v>
      </c>
      <c r="G183" s="474">
        <f>($G$147-$G$142)/($A$147-$A$142)+G182</f>
        <v>32166.662923379241</v>
      </c>
      <c r="H183" s="474">
        <f t="shared" si="160"/>
        <v>45360.953958762148</v>
      </c>
      <c r="I183" s="475">
        <f t="shared" si="136"/>
        <v>49422.822449545565</v>
      </c>
      <c r="J183" s="579">
        <f t="shared" si="161"/>
        <v>0.21775647462816641</v>
      </c>
      <c r="K183" s="474">
        <f t="shared" si="162"/>
        <v>7720.2766260269018</v>
      </c>
      <c r="L183" s="474">
        <f t="shared" si="137"/>
        <v>0</v>
      </c>
      <c r="M183" s="475">
        <f t="shared" si="163"/>
        <v>7720.2766260269018</v>
      </c>
      <c r="N183" s="579">
        <f>($N$147-$N$142)/($A$107-$A$102)+N182</f>
        <v>0.5</v>
      </c>
      <c r="O183" s="475">
        <f t="shared" si="138"/>
        <v>751.91700000000026</v>
      </c>
      <c r="P183" s="1043">
        <f t="shared" si="166"/>
        <v>8472.1936260269013</v>
      </c>
      <c r="Q183" s="467">
        <f t="shared" si="139"/>
        <v>69055.423256114489</v>
      </c>
      <c r="R183" s="467">
        <f t="shared" si="164"/>
        <v>36888.760332735248</v>
      </c>
      <c r="S183" s="518">
        <f t="shared" si="140"/>
        <v>1.2136560424662712</v>
      </c>
      <c r="T183" s="118" t="str">
        <f t="shared" si="141"/>
        <v>No</v>
      </c>
      <c r="U183" s="1259">
        <f t="shared" si="142"/>
        <v>1</v>
      </c>
      <c r="V183" s="1247">
        <f t="shared" si="134"/>
        <v>73308.791235595549</v>
      </c>
      <c r="W183" s="1260">
        <f t="shared" si="135"/>
        <v>0.29309262580641682</v>
      </c>
      <c r="X183" s="473">
        <f t="shared" si="143"/>
        <v>38660.682866758725</v>
      </c>
      <c r="Y183" s="474">
        <f t="shared" si="144"/>
        <v>15108.837876902802</v>
      </c>
      <c r="Z183" s="116">
        <f t="shared" si="145"/>
        <v>3204.8349418807438</v>
      </c>
      <c r="AA183" s="116">
        <f t="shared" si="146"/>
        <v>0</v>
      </c>
      <c r="AB183" s="116">
        <f t="shared" si="147"/>
        <v>16334.435550053271</v>
      </c>
      <c r="AC183" s="116">
        <f t="shared" si="148"/>
        <v>73308.791235595549</v>
      </c>
      <c r="AD183" s="475">
        <f t="shared" si="149"/>
        <v>6494.0199433794842</v>
      </c>
      <c r="AE183" s="579">
        <f t="shared" si="150"/>
        <v>0.52736762147002614</v>
      </c>
      <c r="AF183" s="100">
        <f t="shared" si="151"/>
        <v>0.20609858138769324</v>
      </c>
      <c r="AG183" s="100">
        <f t="shared" si="152"/>
        <v>4.3716925185428725E-2</v>
      </c>
      <c r="AH183" s="100">
        <f t="shared" si="165"/>
        <v>0</v>
      </c>
      <c r="AI183" s="100">
        <f t="shared" si="153"/>
        <v>0.22281687195685176</v>
      </c>
      <c r="AJ183" s="100">
        <f t="shared" si="154"/>
        <v>0.99999999999999978</v>
      </c>
      <c r="AK183" s="1250">
        <f t="shared" si="155"/>
        <v>38660.682866758725</v>
      </c>
      <c r="AL183" s="1251">
        <f t="shared" si="156"/>
        <v>0</v>
      </c>
      <c r="AM183" s="1251">
        <f t="shared" si="157"/>
        <v>0</v>
      </c>
      <c r="AN183" s="1251">
        <f t="shared" si="158"/>
        <v>38660.682866758725</v>
      </c>
      <c r="AO183" s="1022">
        <f t="shared" si="159"/>
        <v>0</v>
      </c>
    </row>
    <row r="184" spans="1:41">
      <c r="A184" s="89">
        <f>'Input data'!A124</f>
        <v>2024</v>
      </c>
      <c r="B184" s="152">
        <f>'Input data'!B124</f>
        <v>62.434728280060035</v>
      </c>
      <c r="C184" s="204">
        <f>'Input data'!C124</f>
        <v>4622.4800000000005</v>
      </c>
      <c r="D184" s="475">
        <f>'Input data'!E124</f>
        <v>49894033.579494402</v>
      </c>
      <c r="E184" s="473">
        <f>'Input data'!J124*C184</f>
        <v>55613.267789031597</v>
      </c>
      <c r="F184" s="474">
        <f>'Input data'!L124</f>
        <v>105507.30136852601</v>
      </c>
      <c r="G184" s="474">
        <f t="shared" ref="G184:G186" si="167">($G$147-$G$142)/($A$147-$A$142)+G183</f>
        <v>30113.471672950778</v>
      </c>
      <c r="H184" s="474">
        <f t="shared" si="160"/>
        <v>48620.985979658915</v>
      </c>
      <c r="I184" s="475">
        <f t="shared" si="136"/>
        <v>49894.033579494404</v>
      </c>
      <c r="J184" s="579">
        <f t="shared" si="161"/>
        <v>0.24379126396699979</v>
      </c>
      <c r="K184" s="474">
        <f t="shared" si="162"/>
        <v>9092.8645745477079</v>
      </c>
      <c r="L184" s="474">
        <f t="shared" si="137"/>
        <v>0</v>
      </c>
      <c r="M184" s="475">
        <f t="shared" si="163"/>
        <v>9092.8645745477079</v>
      </c>
      <c r="N184" s="579">
        <f>($N$147-$N$142)/($A$107-$A$102)+N183</f>
        <v>0.5</v>
      </c>
      <c r="O184" s="475">
        <f t="shared" si="138"/>
        <v>751.91700000000026</v>
      </c>
      <c r="P184" s="1043">
        <f t="shared" si="166"/>
        <v>9844.7815745477074</v>
      </c>
      <c r="Q184" s="467">
        <f t="shared" si="139"/>
        <v>68889.676078061981</v>
      </c>
      <c r="R184" s="467">
        <f t="shared" si="164"/>
        <v>38776.204405111203</v>
      </c>
      <c r="S184" s="518">
        <f t="shared" si="140"/>
        <v>1.2444475579773371</v>
      </c>
      <c r="T184" s="118" t="str">
        <f t="shared" si="141"/>
        <v>No</v>
      </c>
      <c r="U184" s="1259">
        <f t="shared" si="142"/>
        <v>1</v>
      </c>
      <c r="V184" s="1247">
        <f t="shared" si="134"/>
        <v>74347.929359201546</v>
      </c>
      <c r="W184" s="1260">
        <f t="shared" si="135"/>
        <v>0.29532905879649052</v>
      </c>
      <c r="X184" s="473">
        <f t="shared" si="143"/>
        <v>37730.304068737532</v>
      </c>
      <c r="Y184" s="474">
        <f t="shared" si="144"/>
        <v>16617.136621700181</v>
      </c>
      <c r="Z184" s="116">
        <f t="shared" si="145"/>
        <v>3265.0525952906887</v>
      </c>
      <c r="AA184" s="116">
        <f t="shared" si="146"/>
        <v>0</v>
      </c>
      <c r="AB184" s="116">
        <f t="shared" si="147"/>
        <v>16735.436073473149</v>
      </c>
      <c r="AC184" s="116">
        <f t="shared" si="148"/>
        <v>74347.929359201546</v>
      </c>
      <c r="AD184" s="475">
        <f t="shared" si="149"/>
        <v>7616.8323957867542</v>
      </c>
      <c r="AE184" s="579">
        <f t="shared" si="150"/>
        <v>0.5074829170621401</v>
      </c>
      <c r="AF184" s="100">
        <f t="shared" si="151"/>
        <v>0.22350503591588713</v>
      </c>
      <c r="AG184" s="100">
        <f t="shared" si="152"/>
        <v>4.3915851099444167E-2</v>
      </c>
      <c r="AH184" s="100">
        <f t="shared" si="165"/>
        <v>0</v>
      </c>
      <c r="AI184" s="100">
        <f t="shared" si="153"/>
        <v>0.22509619592252864</v>
      </c>
      <c r="AJ184" s="100">
        <f t="shared" si="154"/>
        <v>1</v>
      </c>
      <c r="AK184" s="1250">
        <f t="shared" si="155"/>
        <v>37730.304068737532</v>
      </c>
      <c r="AL184" s="1251">
        <f t="shared" si="156"/>
        <v>0</v>
      </c>
      <c r="AM184" s="1251">
        <f t="shared" si="157"/>
        <v>0</v>
      </c>
      <c r="AN184" s="1251">
        <f t="shared" si="158"/>
        <v>37730.304068737532</v>
      </c>
      <c r="AO184" s="1022">
        <f t="shared" si="159"/>
        <v>0</v>
      </c>
    </row>
    <row r="185" spans="1:41">
      <c r="A185" s="89">
        <f>'Input data'!A125</f>
        <v>2025</v>
      </c>
      <c r="B185" s="152">
        <f>'Input data'!B125</f>
        <v>63.096422221537942</v>
      </c>
      <c r="C185" s="204">
        <f>'Input data'!C125</f>
        <v>4727.3100000000004</v>
      </c>
      <c r="D185" s="475">
        <f>'Input data'!E125</f>
        <v>49409698.226927206</v>
      </c>
      <c r="E185" s="473">
        <f>'Input data'!J125*C185</f>
        <v>56874.48230209043</v>
      </c>
      <c r="F185" s="474">
        <f>'Input data'!L125</f>
        <v>106284.18052901764</v>
      </c>
      <c r="G185" s="474">
        <f t="shared" si="167"/>
        <v>28060.280422522315</v>
      </c>
      <c r="H185" s="474">
        <f t="shared" si="160"/>
        <v>50943.345490304309</v>
      </c>
      <c r="I185" s="475">
        <f t="shared" si="136"/>
        <v>49409.698226927205</v>
      </c>
      <c r="J185" s="579">
        <f t="shared" si="161"/>
        <v>0.26982605330583315</v>
      </c>
      <c r="K185" s="474">
        <f t="shared" si="162"/>
        <v>10290.968677067031</v>
      </c>
      <c r="L185" s="474">
        <f t="shared" si="137"/>
        <v>0</v>
      </c>
      <c r="M185" s="475">
        <f t="shared" si="163"/>
        <v>10290.968677067031</v>
      </c>
      <c r="N185" s="579">
        <f>($N$147-$N$142)/($A$107-$A$102)+N184</f>
        <v>0.5</v>
      </c>
      <c r="O185" s="475">
        <f t="shared" si="138"/>
        <v>751.91700000000026</v>
      </c>
      <c r="P185" s="1043">
        <f t="shared" si="166"/>
        <v>11042.88567706703</v>
      </c>
      <c r="Q185" s="467">
        <f t="shared" si="139"/>
        <v>67960.7402357596</v>
      </c>
      <c r="R185" s="467">
        <f t="shared" si="164"/>
        <v>39900.459813237285</v>
      </c>
      <c r="S185" s="518">
        <f t="shared" si="140"/>
        <v>1.2514624524464648</v>
      </c>
      <c r="T185" s="118" t="str">
        <f t="shared" si="141"/>
        <v>No</v>
      </c>
      <c r="U185" s="1259">
        <f t="shared" si="142"/>
        <v>1</v>
      </c>
      <c r="V185" s="1247">
        <f t="shared" si="134"/>
        <v>74401.114652581266</v>
      </c>
      <c r="W185" s="1260">
        <f t="shared" si="135"/>
        <v>0.29997941102562931</v>
      </c>
      <c r="X185" s="473">
        <f t="shared" si="143"/>
        <v>36077.67435932321</v>
      </c>
      <c r="Y185" s="474">
        <f t="shared" si="144"/>
        <v>17886.426692415222</v>
      </c>
      <c r="Z185" s="116">
        <f t="shared" si="145"/>
        <v>3322.0462446854558</v>
      </c>
      <c r="AA185" s="116">
        <f t="shared" si="146"/>
        <v>0</v>
      </c>
      <c r="AB185" s="116">
        <f t="shared" si="147"/>
        <v>17114.967356157376</v>
      </c>
      <c r="AC185" s="116">
        <f t="shared" si="148"/>
        <v>74401.114652581266</v>
      </c>
      <c r="AD185" s="475">
        <f t="shared" si="149"/>
        <v>8017.3939368008942</v>
      </c>
      <c r="AE185" s="579">
        <f t="shared" si="150"/>
        <v>0.48490771311410097</v>
      </c>
      <c r="AF185" s="100">
        <f t="shared" si="151"/>
        <v>0.24040535919302483</v>
      </c>
      <c r="AG185" s="100">
        <f t="shared" si="152"/>
        <v>4.4650490254048915E-2</v>
      </c>
      <c r="AH185" s="100">
        <f t="shared" si="165"/>
        <v>0</v>
      </c>
      <c r="AI185" s="100">
        <f t="shared" si="153"/>
        <v>0.23003643743882526</v>
      </c>
      <c r="AJ185" s="100">
        <f t="shared" si="154"/>
        <v>1</v>
      </c>
      <c r="AK185" s="1250">
        <f t="shared" si="155"/>
        <v>36077.674359323217</v>
      </c>
      <c r="AL185" s="1251">
        <f t="shared" si="156"/>
        <v>0</v>
      </c>
      <c r="AM185" s="1251">
        <f t="shared" si="157"/>
        <v>0</v>
      </c>
      <c r="AN185" s="1251">
        <f t="shared" si="158"/>
        <v>36077.674359323217</v>
      </c>
      <c r="AO185" s="1022">
        <f t="shared" si="159"/>
        <v>0</v>
      </c>
    </row>
    <row r="186" spans="1:41">
      <c r="A186" s="89">
        <f>'Input data'!A126</f>
        <v>2026</v>
      </c>
      <c r="B186" s="152">
        <f>'Input data'!B126</f>
        <v>63.744102485123491</v>
      </c>
      <c r="C186" s="204">
        <f>'Input data'!C126</f>
        <v>4818.42</v>
      </c>
      <c r="D186" s="475">
        <f>'Input data'!E126</f>
        <v>47599010.514277697</v>
      </c>
      <c r="E186" s="473">
        <f>'Input data'!J126*C186</f>
        <v>57970.630869149376</v>
      </c>
      <c r="F186" s="474">
        <f>'Input data'!L126</f>
        <v>105569.64138342708</v>
      </c>
      <c r="G186" s="474">
        <f t="shared" si="167"/>
        <v>26007.089172093853</v>
      </c>
      <c r="H186" s="474">
        <f t="shared" si="160"/>
        <v>51926.270614169538</v>
      </c>
      <c r="I186" s="475">
        <f t="shared" si="136"/>
        <v>47599.010514277696</v>
      </c>
      <c r="J186" s="579">
        <f t="shared" si="161"/>
        <v>0.2958608426446665</v>
      </c>
      <c r="K186" s="474">
        <f t="shared" si="162"/>
        <v>11153.07190328521</v>
      </c>
      <c r="L186" s="474">
        <f t="shared" si="137"/>
        <v>0</v>
      </c>
      <c r="M186" s="475">
        <f t="shared" si="163"/>
        <v>11153.07190328521</v>
      </c>
      <c r="N186" s="579">
        <f>($N$147-$N$142)/($A$107-$A$102)+N185</f>
        <v>0.5</v>
      </c>
      <c r="O186" s="475">
        <f t="shared" si="138"/>
        <v>751.91700000000026</v>
      </c>
      <c r="P186" s="1043">
        <f t="shared" si="166"/>
        <v>11904.98890328521</v>
      </c>
      <c r="Q186" s="467">
        <f t="shared" si="139"/>
        <v>66028.370882978183</v>
      </c>
      <c r="R186" s="467">
        <f t="shared" si="164"/>
        <v>40021.28171088433</v>
      </c>
      <c r="S186" s="518">
        <f t="shared" si="140"/>
        <v>1.23096788516537</v>
      </c>
      <c r="T186" s="118" t="str">
        <f t="shared" si="141"/>
        <v>No</v>
      </c>
      <c r="U186" s="1259">
        <f t="shared" si="142"/>
        <v>1</v>
      </c>
      <c r="V186" s="1247">
        <f t="shared" si="134"/>
        <v>73057.597654920057</v>
      </c>
      <c r="W186" s="1260">
        <f t="shared" si="135"/>
        <v>0.30796773866479143</v>
      </c>
      <c r="X186" s="473">
        <f t="shared" si="143"/>
        <v>33516.327154471153</v>
      </c>
      <c r="Y186" s="474">
        <f t="shared" si="144"/>
        <v>18724.863724353592</v>
      </c>
      <c r="Z186" s="116">
        <f t="shared" si="145"/>
        <v>3371.5806470164412</v>
      </c>
      <c r="AA186" s="116">
        <f t="shared" si="146"/>
        <v>0</v>
      </c>
      <c r="AB186" s="116">
        <f t="shared" si="147"/>
        <v>17444.826129078869</v>
      </c>
      <c r="AC186" s="116">
        <f t="shared" si="148"/>
        <v>73057.597654920057</v>
      </c>
      <c r="AD186" s="475">
        <f t="shared" si="149"/>
        <v>7509.2379823773008</v>
      </c>
      <c r="AE186" s="579">
        <f t="shared" si="150"/>
        <v>0.45876579890817143</v>
      </c>
      <c r="AF186" s="100">
        <f t="shared" si="151"/>
        <v>0.25630275735042007</v>
      </c>
      <c r="AG186" s="100">
        <f t="shared" si="152"/>
        <v>4.6149623793294584E-2</v>
      </c>
      <c r="AH186" s="100">
        <f t="shared" si="165"/>
        <v>0</v>
      </c>
      <c r="AI186" s="100">
        <f t="shared" si="153"/>
        <v>0.2387818199481139</v>
      </c>
      <c r="AJ186" s="100">
        <f t="shared" si="154"/>
        <v>0.99999999999999989</v>
      </c>
      <c r="AK186" s="1250">
        <f t="shared" si="155"/>
        <v>33516.327154471161</v>
      </c>
      <c r="AL186" s="1251">
        <f t="shared" si="156"/>
        <v>0</v>
      </c>
      <c r="AM186" s="1251">
        <f t="shared" si="157"/>
        <v>0</v>
      </c>
      <c r="AN186" s="1251">
        <f t="shared" si="158"/>
        <v>33516.327154471161</v>
      </c>
      <c r="AO186" s="1022">
        <f t="shared" si="159"/>
        <v>0</v>
      </c>
    </row>
    <row r="187" spans="1:41">
      <c r="A187" s="89">
        <f>'Input data'!A127</f>
        <v>2027</v>
      </c>
      <c r="B187" s="152">
        <f>'Input data'!B127</f>
        <v>64.377188881988602</v>
      </c>
      <c r="C187" s="204">
        <f>'Input data'!C127</f>
        <v>4908.8799999999992</v>
      </c>
      <c r="D187" s="475">
        <f>'Input data'!E127</f>
        <v>46599596.269564167</v>
      </c>
      <c r="E187" s="473">
        <f>'Input data'!J127*C187</f>
        <v>59058.959256550894</v>
      </c>
      <c r="F187" s="474">
        <f>'Input data'!L127</f>
        <v>105658.55552611506</v>
      </c>
      <c r="G187" s="474">
        <f>G177*(1-E5)</f>
        <v>23953.89792166539</v>
      </c>
      <c r="H187" s="474">
        <f t="shared" si="160"/>
        <v>53666.049883871958</v>
      </c>
      <c r="I187" s="475">
        <f t="shared" si="136"/>
        <v>46599.596269564165</v>
      </c>
      <c r="J187" s="579">
        <f t="shared" si="161"/>
        <v>0.32189563198349985</v>
      </c>
      <c r="K187" s="474">
        <f t="shared" si="162"/>
        <v>12132.106721527884</v>
      </c>
      <c r="L187" s="474">
        <f t="shared" si="137"/>
        <v>0</v>
      </c>
      <c r="M187" s="475">
        <f t="shared" si="163"/>
        <v>12132.106721527884</v>
      </c>
      <c r="N187" s="579">
        <f>$C$27</f>
        <v>0.5</v>
      </c>
      <c r="O187" s="475">
        <f t="shared" si="138"/>
        <v>751.91700000000026</v>
      </c>
      <c r="P187" s="1043">
        <f t="shared" si="166"/>
        <v>12884.023721527883</v>
      </c>
      <c r="Q187" s="467">
        <f t="shared" si="139"/>
        <v>64735.924084009464</v>
      </c>
      <c r="R187" s="467">
        <f t="shared" si="164"/>
        <v>40782.026162344075</v>
      </c>
      <c r="S187" s="518">
        <f t="shared" si="140"/>
        <v>1.2307269609420306</v>
      </c>
      <c r="T187" s="118" t="str">
        <f t="shared" si="141"/>
        <v>No</v>
      </c>
      <c r="U187" s="1259">
        <f t="shared" si="142"/>
        <v>1</v>
      </c>
      <c r="V187" s="1247">
        <f t="shared" si="134"/>
        <v>72522.021220302471</v>
      </c>
      <c r="W187" s="1260">
        <f t="shared" si="135"/>
        <v>0.31361903577815242</v>
      </c>
      <c r="X187" s="473">
        <f t="shared" si="143"/>
        <v>31599.38977819687</v>
      </c>
      <c r="Y187" s="474">
        <f t="shared" si="144"/>
        <v>19729.53817019931</v>
      </c>
      <c r="Z187" s="116">
        <f t="shared" si="145"/>
        <v>3420.7616593626267</v>
      </c>
      <c r="AA187" s="116">
        <f t="shared" si="146"/>
        <v>0</v>
      </c>
      <c r="AB187" s="116">
        <f t="shared" si="147"/>
        <v>17772.331612543669</v>
      </c>
      <c r="AC187" s="116">
        <f t="shared" si="148"/>
        <v>72522.021220302471</v>
      </c>
      <c r="AD187" s="475">
        <f t="shared" si="149"/>
        <v>7645.4918565314802</v>
      </c>
      <c r="AE187" s="579">
        <f t="shared" si="150"/>
        <v>0.43572130570115236</v>
      </c>
      <c r="AF187" s="100">
        <f t="shared" si="151"/>
        <v>0.27204892856290175</v>
      </c>
      <c r="AG187" s="100">
        <f t="shared" si="152"/>
        <v>4.7168592405488388E-2</v>
      </c>
      <c r="AH187" s="100">
        <f t="shared" si="165"/>
        <v>0</v>
      </c>
      <c r="AI187" s="100">
        <f t="shared" si="153"/>
        <v>0.2450611733304576</v>
      </c>
      <c r="AJ187" s="100">
        <f t="shared" si="154"/>
        <v>1.0000000000000002</v>
      </c>
      <c r="AK187" s="1250">
        <f t="shared" si="155"/>
        <v>31599.38977819687</v>
      </c>
      <c r="AL187" s="1251">
        <f t="shared" si="156"/>
        <v>0</v>
      </c>
      <c r="AM187" s="1251">
        <f t="shared" si="157"/>
        <v>0</v>
      </c>
      <c r="AN187" s="1251">
        <f t="shared" si="158"/>
        <v>31599.38977819687</v>
      </c>
      <c r="AO187" s="1022">
        <f t="shared" si="159"/>
        <v>0</v>
      </c>
    </row>
    <row r="188" spans="1:41">
      <c r="A188" s="89">
        <f>'Input data'!A128</f>
        <v>2028</v>
      </c>
      <c r="B188" s="152">
        <f>'Input data'!B128</f>
        <v>64.995109664264291</v>
      </c>
      <c r="C188" s="204">
        <f>'Input data'!C128</f>
        <v>5001.3400000000011</v>
      </c>
      <c r="D188" s="475">
        <f>'Input data'!E128</f>
        <v>45314646.034956604</v>
      </c>
      <c r="E188" s="473">
        <f>'Input data'!J128*C188</f>
        <v>60171.349735206066</v>
      </c>
      <c r="F188" s="474">
        <f>'Input data'!L128</f>
        <v>105485.99577016267</v>
      </c>
      <c r="G188" s="474">
        <f>($G$152-$G$147)/($A$152-$A$147)+G187</f>
        <v>21900.706671236927</v>
      </c>
      <c r="H188" s="474">
        <f t="shared" si="160"/>
        <v>55151.67425742303</v>
      </c>
      <c r="I188" s="475">
        <f t="shared" si="136"/>
        <v>45314.646034956604</v>
      </c>
      <c r="J188" s="579">
        <f t="shared" si="161"/>
        <v>0.34793042132233321</v>
      </c>
      <c r="K188" s="474">
        <f t="shared" si="162"/>
        <v>12977.329898322856</v>
      </c>
      <c r="L188" s="474">
        <f t="shared" si="137"/>
        <v>0</v>
      </c>
      <c r="M188" s="475">
        <f t="shared" si="163"/>
        <v>12977.329898322856</v>
      </c>
      <c r="N188" s="579">
        <f>N187</f>
        <v>0.5</v>
      </c>
      <c r="O188" s="475">
        <f t="shared" si="138"/>
        <v>751.91700000000026</v>
      </c>
      <c r="P188" s="1043">
        <f t="shared" si="166"/>
        <v>13729.246898322855</v>
      </c>
      <c r="Q188" s="467">
        <f t="shared" si="139"/>
        <v>63323.134030337103</v>
      </c>
      <c r="R188" s="467">
        <f t="shared" si="164"/>
        <v>41422.427359100177</v>
      </c>
      <c r="S188" s="518">
        <f t="shared" si="140"/>
        <v>1.2264288243782802</v>
      </c>
      <c r="T188" s="118" t="str">
        <f t="shared" si="141"/>
        <v>No</v>
      </c>
      <c r="U188" s="1259">
        <f t="shared" si="142"/>
        <v>1</v>
      </c>
      <c r="V188" s="1247">
        <f t="shared" si="134"/>
        <v>71711.163887767339</v>
      </c>
      <c r="W188" s="1260">
        <f t="shared" si="135"/>
        <v>0.32018308815120211</v>
      </c>
      <c r="X188" s="473">
        <f t="shared" si="143"/>
        <v>29548.302147941758</v>
      </c>
      <c r="Y188" s="474">
        <f t="shared" si="144"/>
        <v>20584.753727672942</v>
      </c>
      <c r="Z188" s="116">
        <f t="shared" si="145"/>
        <v>3471.0300255081979</v>
      </c>
      <c r="AA188" s="116">
        <f t="shared" si="146"/>
        <v>0</v>
      </c>
      <c r="AB188" s="116">
        <f t="shared" si="147"/>
        <v>18107.077986644446</v>
      </c>
      <c r="AC188" s="116">
        <f t="shared" si="148"/>
        <v>71711.163887767339</v>
      </c>
      <c r="AD188" s="475">
        <f t="shared" si="149"/>
        <v>7647.5954767048315</v>
      </c>
      <c r="AE188" s="579">
        <f t="shared" si="150"/>
        <v>0.41204605456113896</v>
      </c>
      <c r="AF188" s="100">
        <f t="shared" si="151"/>
        <v>0.28705089433340431</v>
      </c>
      <c r="AG188" s="100">
        <f t="shared" si="152"/>
        <v>4.8402924138012692E-2</v>
      </c>
      <c r="AH188" s="100">
        <f t="shared" si="165"/>
        <v>0</v>
      </c>
      <c r="AI188" s="100">
        <f t="shared" si="153"/>
        <v>0.25250012696744412</v>
      </c>
      <c r="AJ188" s="100">
        <f t="shared" si="154"/>
        <v>1.0000000000000002</v>
      </c>
      <c r="AK188" s="1250">
        <f t="shared" si="155"/>
        <v>29548.302147941755</v>
      </c>
      <c r="AL188" s="1251">
        <f t="shared" si="156"/>
        <v>0</v>
      </c>
      <c r="AM188" s="1251">
        <f t="shared" si="157"/>
        <v>0</v>
      </c>
      <c r="AN188" s="1251">
        <f t="shared" si="158"/>
        <v>29548.302147941755</v>
      </c>
      <c r="AO188" s="1022">
        <f t="shared" si="159"/>
        <v>0</v>
      </c>
    </row>
    <row r="189" spans="1:41">
      <c r="A189" s="89">
        <f>'Input data'!A129</f>
        <v>2029</v>
      </c>
      <c r="B189" s="152">
        <f>'Input data'!B129</f>
        <v>65.59730237662275</v>
      </c>
      <c r="C189" s="204">
        <f>'Input data'!C129</f>
        <v>5124.16</v>
      </c>
      <c r="D189" s="475">
        <f>'Input data'!E129</f>
        <v>44520340.557958424</v>
      </c>
      <c r="E189" s="473">
        <f>'Input data'!J129*C189</f>
        <v>61649.00275909125</v>
      </c>
      <c r="F189" s="474">
        <f>'Input data'!L129</f>
        <v>106169.34331704967</v>
      </c>
      <c r="G189" s="474">
        <f t="shared" ref="G189:G191" si="168">($G$152-$G$147)/($A$152-$A$147)+G188</f>
        <v>19847.515420808464</v>
      </c>
      <c r="H189" s="474">
        <f t="shared" si="160"/>
        <v>57307.335562326181</v>
      </c>
      <c r="I189" s="475">
        <f t="shared" si="136"/>
        <v>44520.340557958421</v>
      </c>
      <c r="J189" s="579">
        <f t="shared" si="161"/>
        <v>0.37396521066116656</v>
      </c>
      <c r="K189" s="474">
        <f t="shared" si="162"/>
        <v>13908.932252634801</v>
      </c>
      <c r="L189" s="474">
        <f t="shared" si="137"/>
        <v>0</v>
      </c>
      <c r="M189" s="475">
        <f t="shared" si="163"/>
        <v>13908.932252634801</v>
      </c>
      <c r="N189" s="579">
        <f t="shared" ref="N189:N210" si="169">N188</f>
        <v>0.5</v>
      </c>
      <c r="O189" s="475">
        <f t="shared" si="138"/>
        <v>751.91700000000026</v>
      </c>
      <c r="P189" s="1043">
        <f t="shared" si="166"/>
        <v>14660.8492526348</v>
      </c>
      <c r="Q189" s="467">
        <f t="shared" si="139"/>
        <v>62494.001730499847</v>
      </c>
      <c r="R189" s="467">
        <f t="shared" si="164"/>
        <v>42646.486309691383</v>
      </c>
      <c r="S189" s="518">
        <f t="shared" si="140"/>
        <v>1.231748593679397</v>
      </c>
      <c r="T189" s="118" t="str">
        <f t="shared" si="141"/>
        <v>No</v>
      </c>
      <c r="U189" s="1259">
        <f t="shared" si="142"/>
        <v>1</v>
      </c>
      <c r="V189" s="1247">
        <f t="shared" si="134"/>
        <v>71546.623609044444</v>
      </c>
      <c r="W189" s="1260">
        <f t="shared" si="135"/>
        <v>0.32610844737555411</v>
      </c>
      <c r="X189" s="473">
        <f t="shared" si="143"/>
        <v>27871.282022494619</v>
      </c>
      <c r="Y189" s="474">
        <f t="shared" si="144"/>
        <v>21585.796083622205</v>
      </c>
      <c r="Z189" s="116">
        <f t="shared" si="145"/>
        <v>3537.8044223284328</v>
      </c>
      <c r="AA189" s="116">
        <f t="shared" si="146"/>
        <v>0</v>
      </c>
      <c r="AB189" s="116">
        <f t="shared" si="147"/>
        <v>18551.741080599193</v>
      </c>
      <c r="AC189" s="116">
        <f t="shared" si="148"/>
        <v>71546.623609044444</v>
      </c>
      <c r="AD189" s="475">
        <f t="shared" si="149"/>
        <v>8023.7666016861549</v>
      </c>
      <c r="AE189" s="579">
        <f t="shared" si="150"/>
        <v>0.3895541203284863</v>
      </c>
      <c r="AF189" s="100">
        <f t="shared" si="151"/>
        <v>0.30170251221880823</v>
      </c>
      <c r="AG189" s="100">
        <f t="shared" si="152"/>
        <v>4.9447538456324963E-2</v>
      </c>
      <c r="AH189" s="100">
        <f t="shared" si="165"/>
        <v>0</v>
      </c>
      <c r="AI189" s="100">
        <f t="shared" si="153"/>
        <v>0.2592958289963806</v>
      </c>
      <c r="AJ189" s="100">
        <f t="shared" si="154"/>
        <v>1</v>
      </c>
      <c r="AK189" s="1250">
        <f t="shared" si="155"/>
        <v>27871.282022494623</v>
      </c>
      <c r="AL189" s="1251">
        <f t="shared" si="156"/>
        <v>0</v>
      </c>
      <c r="AM189" s="1251">
        <f t="shared" si="157"/>
        <v>0</v>
      </c>
      <c r="AN189" s="1251">
        <f t="shared" si="158"/>
        <v>27871.282022494623</v>
      </c>
      <c r="AO189" s="1022">
        <f t="shared" si="159"/>
        <v>0</v>
      </c>
    </row>
    <row r="190" spans="1:41">
      <c r="A190" s="89">
        <f>'Input data'!A130</f>
        <v>2030</v>
      </c>
      <c r="B190" s="152">
        <f>'Input data'!B130</f>
        <v>66.183214701401099</v>
      </c>
      <c r="C190" s="204">
        <f>'Input data'!C130</f>
        <v>5234.6499999999996</v>
      </c>
      <c r="D190" s="475">
        <f>'Input data'!E130</f>
        <v>41257794.114847519</v>
      </c>
      <c r="E190" s="473">
        <f>'Input data'!J130*C190</f>
        <v>62978.312990397841</v>
      </c>
      <c r="F190" s="474">
        <f>'Input data'!L130</f>
        <v>104236.10710524536</v>
      </c>
      <c r="G190" s="474">
        <f t="shared" si="168"/>
        <v>17794.324170380001</v>
      </c>
      <c r="H190" s="474">
        <f t="shared" si="160"/>
        <v>57061.550400345179</v>
      </c>
      <c r="I190" s="475">
        <f t="shared" si="136"/>
        <v>41257.794114847522</v>
      </c>
      <c r="J190" s="100">
        <f>$H$19</f>
        <v>0.4</v>
      </c>
      <c r="K190" s="474">
        <f t="shared" si="162"/>
        <v>13963.793718745188</v>
      </c>
      <c r="L190" s="474">
        <f t="shared" si="137"/>
        <v>0</v>
      </c>
      <c r="M190" s="475">
        <f t="shared" si="163"/>
        <v>13963.793718745188</v>
      </c>
      <c r="N190" s="579">
        <f t="shared" si="169"/>
        <v>0.5</v>
      </c>
      <c r="O190" s="475">
        <f t="shared" si="138"/>
        <v>751.91700000000026</v>
      </c>
      <c r="P190" s="1043">
        <f t="shared" si="166"/>
        <v>14715.710718745187</v>
      </c>
      <c r="Q190" s="467">
        <f t="shared" si="139"/>
        <v>60140.163851979989</v>
      </c>
      <c r="R190" s="467">
        <f t="shared" si="164"/>
        <v>42345.839681599988</v>
      </c>
      <c r="S190" s="518">
        <f t="shared" si="140"/>
        <v>1.1967007610543288</v>
      </c>
      <c r="T190" s="118" t="str">
        <f t="shared" si="141"/>
        <v>No</v>
      </c>
      <c r="U190" s="1259">
        <f t="shared" si="142"/>
        <v>1</v>
      </c>
      <c r="V190" s="1247">
        <f t="shared" si="134"/>
        <v>68850.619722173898</v>
      </c>
      <c r="W190" s="1260">
        <f t="shared" si="135"/>
        <v>0.33947437568196359</v>
      </c>
      <c r="X190" s="473">
        <f t="shared" si="143"/>
        <v>24754.676468908514</v>
      </c>
      <c r="Y190" s="474">
        <f t="shared" si="144"/>
        <v>21546.30388650671</v>
      </c>
      <c r="Z190" s="116">
        <f t="shared" si="145"/>
        <v>3597.8752829754594</v>
      </c>
      <c r="AA190" s="116">
        <f t="shared" si="146"/>
        <v>0</v>
      </c>
      <c r="AB190" s="116">
        <f t="shared" si="147"/>
        <v>18951.764083783208</v>
      </c>
      <c r="AC190" s="116">
        <f t="shared" si="148"/>
        <v>68850.619722173898</v>
      </c>
      <c r="AD190" s="475">
        <f t="shared" si="149"/>
        <v>6960.3522985285126</v>
      </c>
      <c r="AE190" s="579">
        <f t="shared" si="150"/>
        <v>0.35954181049928979</v>
      </c>
      <c r="AF190" s="100">
        <f t="shared" si="151"/>
        <v>0.31294277340495091</v>
      </c>
      <c r="AG190" s="100">
        <f t="shared" si="152"/>
        <v>5.2256251250803694E-2</v>
      </c>
      <c r="AH190" s="100">
        <f t="shared" si="165"/>
        <v>0</v>
      </c>
      <c r="AI190" s="100">
        <f t="shared" si="153"/>
        <v>0.2752591648449555</v>
      </c>
      <c r="AJ190" s="100">
        <f t="shared" si="154"/>
        <v>0.99999999999999989</v>
      </c>
      <c r="AK190" s="1250">
        <f t="shared" si="155"/>
        <v>24754.67646890851</v>
      </c>
      <c r="AL190" s="1251">
        <f t="shared" si="156"/>
        <v>0</v>
      </c>
      <c r="AM190" s="1251">
        <f t="shared" si="157"/>
        <v>0</v>
      </c>
      <c r="AN190" s="1251">
        <f t="shared" si="158"/>
        <v>24754.67646890851</v>
      </c>
      <c r="AO190" s="1022">
        <f t="shared" si="159"/>
        <v>0</v>
      </c>
    </row>
    <row r="191" spans="1:41">
      <c r="A191" s="89">
        <f>'Input data'!A131</f>
        <v>2031</v>
      </c>
      <c r="B191" s="152">
        <f>'Input data'!B131</f>
        <v>66.757007289602299</v>
      </c>
      <c r="C191" s="204">
        <f>'Input data'!C131</f>
        <v>5365.4400000000005</v>
      </c>
      <c r="D191" s="475">
        <f>'Input data'!E131</f>
        <v>39014257.111139439</v>
      </c>
      <c r="E191" s="473">
        <f>'Input data'!J131*C191</f>
        <v>64551.853447928748</v>
      </c>
      <c r="F191" s="474">
        <f>'Input data'!L131</f>
        <v>103566.11055906818</v>
      </c>
      <c r="G191" s="474">
        <f t="shared" si="168"/>
        <v>15741.132919951538</v>
      </c>
      <c r="H191" s="474">
        <f t="shared" si="160"/>
        <v>57912.197993827715</v>
      </c>
      <c r="I191" s="475">
        <f t="shared" si="136"/>
        <v>39014.257111139435</v>
      </c>
      <c r="J191" s="100">
        <f>J190</f>
        <v>0.4</v>
      </c>
      <c r="K191" s="474">
        <f t="shared" si="162"/>
        <v>13204.463546294763</v>
      </c>
      <c r="L191" s="474">
        <f t="shared" si="137"/>
        <v>0</v>
      </c>
      <c r="M191" s="475">
        <f t="shared" si="163"/>
        <v>13204.463546294763</v>
      </c>
      <c r="N191" s="579">
        <f t="shared" si="169"/>
        <v>0.5</v>
      </c>
      <c r="O191" s="475">
        <f t="shared" si="138"/>
        <v>751.91700000000026</v>
      </c>
      <c r="P191" s="1043">
        <f t="shared" si="166"/>
        <v>13956.380546294762</v>
      </c>
      <c r="Q191" s="467">
        <f t="shared" si="139"/>
        <v>59696.950367484489</v>
      </c>
      <c r="R191" s="467">
        <f t="shared" si="164"/>
        <v>43955.817447532951</v>
      </c>
      <c r="S191" s="518">
        <f t="shared" si="140"/>
        <v>1.2112912713318544</v>
      </c>
      <c r="T191" s="118" t="str">
        <f t="shared" si="141"/>
        <v>No</v>
      </c>
      <c r="U191" s="1259">
        <f t="shared" si="142"/>
        <v>1</v>
      </c>
      <c r="V191" s="1247">
        <f t="shared" si="134"/>
        <v>67277.714458267365</v>
      </c>
      <c r="W191" s="1260">
        <f t="shared" si="135"/>
        <v>0.35038871214637335</v>
      </c>
      <c r="X191" s="473">
        <f t="shared" si="143"/>
        <v>23408.554266683659</v>
      </c>
      <c r="Y191" s="474">
        <f t="shared" si="144"/>
        <v>20774.895279975164</v>
      </c>
      <c r="Z191" s="116">
        <f t="shared" si="145"/>
        <v>3668.9827846862445</v>
      </c>
      <c r="AA191" s="116">
        <f t="shared" si="146"/>
        <v>0</v>
      </c>
      <c r="AB191" s="116">
        <f t="shared" si="147"/>
        <v>19425.282126922295</v>
      </c>
      <c r="AC191" s="116">
        <f t="shared" si="148"/>
        <v>67277.714458267365</v>
      </c>
      <c r="AD191" s="475">
        <f t="shared" si="149"/>
        <v>7667.4213467321206</v>
      </c>
      <c r="AE191" s="579">
        <f t="shared" si="150"/>
        <v>0.34793920178730325</v>
      </c>
      <c r="AF191" s="100">
        <f t="shared" si="151"/>
        <v>0.30879311889915517</v>
      </c>
      <c r="AG191" s="100">
        <f t="shared" si="152"/>
        <v>5.4534890405085461E-2</v>
      </c>
      <c r="AH191" s="100">
        <f t="shared" si="165"/>
        <v>0</v>
      </c>
      <c r="AI191" s="100">
        <f t="shared" si="153"/>
        <v>0.28873278890845611</v>
      </c>
      <c r="AJ191" s="100">
        <f t="shared" si="154"/>
        <v>0.99999999999999989</v>
      </c>
      <c r="AK191" s="1250">
        <f t="shared" si="155"/>
        <v>23408.554266683663</v>
      </c>
      <c r="AL191" s="1251">
        <f t="shared" si="156"/>
        <v>0</v>
      </c>
      <c r="AM191" s="1251">
        <f t="shared" si="157"/>
        <v>0</v>
      </c>
      <c r="AN191" s="1251">
        <f t="shared" si="158"/>
        <v>23408.554266683663</v>
      </c>
      <c r="AO191" s="1022">
        <f t="shared" si="159"/>
        <v>0</v>
      </c>
    </row>
    <row r="192" spans="1:41">
      <c r="A192" s="89">
        <f>'Input data'!A132</f>
        <v>2032</v>
      </c>
      <c r="B192" s="152">
        <f>'Input data'!B132</f>
        <v>67.318270994163854</v>
      </c>
      <c r="C192" s="204">
        <f>'Input data'!C132</f>
        <v>5502.3</v>
      </c>
      <c r="D192" s="475">
        <f>'Input data'!E132</f>
        <v>36334930.67697753</v>
      </c>
      <c r="E192" s="473">
        <f>'Input data'!J132*C192</f>
        <v>66198.422352414404</v>
      </c>
      <c r="F192" s="474">
        <f>'Input data'!L132</f>
        <v>102533.35302939193</v>
      </c>
      <c r="G192" s="474">
        <f>G177*(1-E6)</f>
        <v>13687.941669523079</v>
      </c>
      <c r="H192" s="474">
        <f t="shared" si="160"/>
        <v>58395.782253610683</v>
      </c>
      <c r="I192" s="475">
        <f t="shared" si="136"/>
        <v>36334.930676977528</v>
      </c>
      <c r="J192" s="100">
        <f t="shared" ref="J192:J210" si="170">J191</f>
        <v>0.4</v>
      </c>
      <c r="K192" s="474">
        <f t="shared" si="162"/>
        <v>12297.639455610915</v>
      </c>
      <c r="L192" s="474">
        <f t="shared" si="137"/>
        <v>0</v>
      </c>
      <c r="M192" s="475">
        <f t="shared" si="163"/>
        <v>12297.639455610915</v>
      </c>
      <c r="N192" s="579">
        <f t="shared" si="169"/>
        <v>0.5</v>
      </c>
      <c r="O192" s="475">
        <f t="shared" si="138"/>
        <v>751.91700000000026</v>
      </c>
      <c r="P192" s="1043">
        <f t="shared" si="166"/>
        <v>13049.556455610915</v>
      </c>
      <c r="Q192" s="467">
        <f t="shared" si="139"/>
        <v>59034.167467522842</v>
      </c>
      <c r="R192" s="467">
        <f t="shared" si="164"/>
        <v>45346.225797999767</v>
      </c>
      <c r="S192" s="518">
        <f t="shared" si="140"/>
        <v>1.21789732717635</v>
      </c>
      <c r="T192" s="118" t="str">
        <f t="shared" si="141"/>
        <v>No</v>
      </c>
      <c r="U192" s="1259">
        <f t="shared" si="142"/>
        <v>1</v>
      </c>
      <c r="V192" s="1247">
        <f t="shared" si="134"/>
        <v>65300.143968055621</v>
      </c>
      <c r="W192" s="1260">
        <f t="shared" si="135"/>
        <v>0.36313265841080156</v>
      </c>
      <c r="X192" s="473">
        <f t="shared" si="143"/>
        <v>21800.958406186517</v>
      </c>
      <c r="Y192" s="474">
        <f t="shared" si="144"/>
        <v>19835.018883549397</v>
      </c>
      <c r="Z192" s="116">
        <f t="shared" si="145"/>
        <v>3743.3904051781628</v>
      </c>
      <c r="AA192" s="116">
        <f t="shared" si="146"/>
        <v>0</v>
      </c>
      <c r="AB192" s="116">
        <f t="shared" si="147"/>
        <v>19920.776273141539</v>
      </c>
      <c r="AC192" s="116">
        <f t="shared" si="148"/>
        <v>65300.143968055621</v>
      </c>
      <c r="AD192" s="475">
        <f t="shared" si="149"/>
        <v>8113.0167366634378</v>
      </c>
      <c r="AE192" s="579">
        <f t="shared" si="150"/>
        <v>0.33385773876473218</v>
      </c>
      <c r="AF192" s="100">
        <f t="shared" si="151"/>
        <v>0.30375153373708563</v>
      </c>
      <c r="AG192" s="100">
        <f t="shared" si="152"/>
        <v>5.7325913508083588E-2</v>
      </c>
      <c r="AH192" s="100">
        <f t="shared" si="165"/>
        <v>0</v>
      </c>
      <c r="AI192" s="100">
        <f t="shared" si="153"/>
        <v>0.30506481399009849</v>
      </c>
      <c r="AJ192" s="100">
        <f t="shared" si="154"/>
        <v>1</v>
      </c>
      <c r="AK192" s="1250">
        <f t="shared" si="155"/>
        <v>21800.958406186517</v>
      </c>
      <c r="AL192" s="1251">
        <f t="shared" si="156"/>
        <v>0</v>
      </c>
      <c r="AM192" s="1251">
        <f t="shared" si="157"/>
        <v>0</v>
      </c>
      <c r="AN192" s="1251">
        <f t="shared" si="158"/>
        <v>21800.958406186517</v>
      </c>
      <c r="AO192" s="1022">
        <f t="shared" si="159"/>
        <v>0</v>
      </c>
    </row>
    <row r="193" spans="1:41">
      <c r="A193" s="89">
        <f>'Input data'!A133</f>
        <v>2033</v>
      </c>
      <c r="B193" s="152">
        <f>'Input data'!B133</f>
        <v>67.86660286866902</v>
      </c>
      <c r="C193" s="204">
        <f>'Input data'!C133</f>
        <v>5663.260000000002</v>
      </c>
      <c r="D193" s="475">
        <f>'Input data'!E133</f>
        <v>35521966.003645025</v>
      </c>
      <c r="E193" s="473">
        <f>'Input data'!J133*C193</f>
        <v>68134.939456506283</v>
      </c>
      <c r="F193" s="474">
        <f>'Input data'!L133</f>
        <v>103656.90546015131</v>
      </c>
      <c r="G193" s="474">
        <f>G192</f>
        <v>13687.941669523079</v>
      </c>
      <c r="H193" s="474">
        <f t="shared" si="160"/>
        <v>58744.041019304743</v>
      </c>
      <c r="I193" s="475">
        <f t="shared" si="136"/>
        <v>35521.966003645022</v>
      </c>
      <c r="J193" s="100">
        <f t="shared" si="170"/>
        <v>0.4</v>
      </c>
      <c r="K193" s="474">
        <f t="shared" si="162"/>
        <v>12022.489723479288</v>
      </c>
      <c r="L193" s="474">
        <f t="shared" si="137"/>
        <v>0</v>
      </c>
      <c r="M193" s="475">
        <f t="shared" si="163"/>
        <v>12022.489723479288</v>
      </c>
      <c r="N193" s="579">
        <f t="shared" si="169"/>
        <v>0.5</v>
      </c>
      <c r="O193" s="475">
        <f t="shared" si="138"/>
        <v>751.91700000000026</v>
      </c>
      <c r="P193" s="1043">
        <f t="shared" si="166"/>
        <v>12774.406723479287</v>
      </c>
      <c r="Q193" s="467">
        <f t="shared" si="139"/>
        <v>59657.575965348529</v>
      </c>
      <c r="R193" s="467">
        <f t="shared" si="164"/>
        <v>45969.634295825454</v>
      </c>
      <c r="S193" s="518">
        <f t="shared" si="140"/>
        <v>1.1988618587301507</v>
      </c>
      <c r="T193" s="118" t="str">
        <f t="shared" si="141"/>
        <v>No</v>
      </c>
      <c r="U193" s="1259">
        <f t="shared" si="142"/>
        <v>1</v>
      </c>
      <c r="V193" s="1247">
        <f t="shared" si="134"/>
        <v>65312.509096989794</v>
      </c>
      <c r="W193" s="1260">
        <f t="shared" si="135"/>
        <v>0.36991646811125578</v>
      </c>
      <c r="X193" s="473">
        <f t="shared" si="143"/>
        <v>21313.179602187014</v>
      </c>
      <c r="Y193" s="474">
        <f t="shared" si="144"/>
        <v>19664.905704325913</v>
      </c>
      <c r="Z193" s="116">
        <f t="shared" si="145"/>
        <v>3830.9006389526726</v>
      </c>
      <c r="AA193" s="116">
        <f t="shared" si="146"/>
        <v>0</v>
      </c>
      <c r="AB193" s="116">
        <f t="shared" si="147"/>
        <v>20503.523151524198</v>
      </c>
      <c r="AC193" s="116">
        <f t="shared" si="148"/>
        <v>65312.509096989794</v>
      </c>
      <c r="AD193" s="475">
        <f t="shared" si="149"/>
        <v>7625.2379326639348</v>
      </c>
      <c r="AE193" s="579">
        <f t="shared" si="150"/>
        <v>0.32632614941399218</v>
      </c>
      <c r="AF193" s="100">
        <f t="shared" si="151"/>
        <v>0.30108942339243638</v>
      </c>
      <c r="AG193" s="100">
        <f t="shared" si="152"/>
        <v>5.8654929842976065E-2</v>
      </c>
      <c r="AH193" s="100">
        <f t="shared" si="165"/>
        <v>0</v>
      </c>
      <c r="AI193" s="100">
        <f t="shared" si="153"/>
        <v>0.31392949735059544</v>
      </c>
      <c r="AJ193" s="100">
        <f t="shared" si="154"/>
        <v>1</v>
      </c>
      <c r="AK193" s="1250">
        <f t="shared" si="155"/>
        <v>21313.17960218701</v>
      </c>
      <c r="AL193" s="1251">
        <f t="shared" si="156"/>
        <v>0</v>
      </c>
      <c r="AM193" s="1251">
        <f t="shared" si="157"/>
        <v>0</v>
      </c>
      <c r="AN193" s="1251">
        <f t="shared" si="158"/>
        <v>21313.17960218701</v>
      </c>
      <c r="AO193" s="1022">
        <f t="shared" si="159"/>
        <v>0</v>
      </c>
    </row>
    <row r="194" spans="1:41">
      <c r="A194" s="89">
        <f>'Input data'!A134</f>
        <v>2034</v>
      </c>
      <c r="B194" s="152">
        <f>'Input data'!B134</f>
        <v>68.401606645337111</v>
      </c>
      <c r="C194" s="204">
        <f>'Input data'!C134</f>
        <v>5838.79</v>
      </c>
      <c r="D194" s="475">
        <f>'Input data'!E134</f>
        <v>32152713.47625063</v>
      </c>
      <c r="E194" s="473">
        <f>'Input data'!J134*C194</f>
        <v>70246.748895380792</v>
      </c>
      <c r="F194" s="474">
        <f>'Input data'!L134</f>
        <v>102399.46237163142</v>
      </c>
      <c r="G194" s="474">
        <f t="shared" ref="G194:G210" si="171">G193</f>
        <v>13687.941669523079</v>
      </c>
      <c r="H194" s="474">
        <f t="shared" si="160"/>
        <v>56793.929657286746</v>
      </c>
      <c r="I194" s="475">
        <f t="shared" si="136"/>
        <v>32152.713476250628</v>
      </c>
      <c r="J194" s="100">
        <f t="shared" si="170"/>
        <v>0.4</v>
      </c>
      <c r="K194" s="474">
        <f t="shared" si="162"/>
        <v>10882.158586338701</v>
      </c>
      <c r="L194" s="474">
        <f t="shared" si="137"/>
        <v>0</v>
      </c>
      <c r="M194" s="475">
        <f t="shared" si="163"/>
        <v>10882.158586338701</v>
      </c>
      <c r="N194" s="579">
        <f t="shared" si="169"/>
        <v>0.5</v>
      </c>
      <c r="O194" s="475">
        <f t="shared" si="138"/>
        <v>751.91700000000026</v>
      </c>
      <c r="P194" s="1043">
        <f t="shared" si="166"/>
        <v>11634.0755863387</v>
      </c>
      <c r="Q194" s="467">
        <f t="shared" si="139"/>
        <v>58847.79574047112</v>
      </c>
      <c r="R194" s="467">
        <f t="shared" si="164"/>
        <v>45159.854070948044</v>
      </c>
      <c r="S194" s="518">
        <f t="shared" si="140"/>
        <v>1.1416640374553204</v>
      </c>
      <c r="T194" s="118" t="str">
        <f t="shared" si="141"/>
        <v>No</v>
      </c>
      <c r="U194" s="1259">
        <f t="shared" si="142"/>
        <v>1</v>
      </c>
      <c r="V194" s="1247">
        <f t="shared" si="134"/>
        <v>62843.294716910692</v>
      </c>
      <c r="W194" s="1260">
        <f t="shared" si="135"/>
        <v>0.38629272789697089</v>
      </c>
      <c r="X194" s="473">
        <f t="shared" si="143"/>
        <v>19291.628085750377</v>
      </c>
      <c r="Y194" s="474">
        <f t="shared" si="144"/>
        <v>18486.314467814744</v>
      </c>
      <c r="Z194" s="116">
        <f t="shared" si="145"/>
        <v>3926.3322451557001</v>
      </c>
      <c r="AA194" s="116">
        <f t="shared" si="146"/>
        <v>0</v>
      </c>
      <c r="AB194" s="116">
        <f t="shared" si="147"/>
        <v>21139.019918189864</v>
      </c>
      <c r="AC194" s="116">
        <f t="shared" si="148"/>
        <v>62843.294716910692</v>
      </c>
      <c r="AD194" s="475">
        <f t="shared" si="149"/>
        <v>5603.6864162272977</v>
      </c>
      <c r="AE194" s="579">
        <f t="shared" si="150"/>
        <v>0.30697989614728355</v>
      </c>
      <c r="AF194" s="100">
        <f t="shared" si="151"/>
        <v>0.29416526538097321</v>
      </c>
      <c r="AG194" s="100">
        <f t="shared" si="152"/>
        <v>6.2478141269368417E-2</v>
      </c>
      <c r="AH194" s="100">
        <f t="shared" si="165"/>
        <v>0</v>
      </c>
      <c r="AI194" s="100">
        <f t="shared" si="153"/>
        <v>0.33637669720237473</v>
      </c>
      <c r="AJ194" s="100">
        <f t="shared" si="154"/>
        <v>1</v>
      </c>
      <c r="AK194" s="1250">
        <f t="shared" si="155"/>
        <v>19291.628085750377</v>
      </c>
      <c r="AL194" s="1251">
        <f t="shared" si="156"/>
        <v>0</v>
      </c>
      <c r="AM194" s="1251">
        <f t="shared" si="157"/>
        <v>0</v>
      </c>
      <c r="AN194" s="1251">
        <f t="shared" si="158"/>
        <v>19291.628085750377</v>
      </c>
      <c r="AO194" s="1022">
        <f t="shared" si="159"/>
        <v>0</v>
      </c>
    </row>
    <row r="195" spans="1:41">
      <c r="A195" s="89">
        <f>'Input data'!A135</f>
        <v>2035</v>
      </c>
      <c r="B195" s="152">
        <f>'Input data'!B135</f>
        <v>68.922893208527455</v>
      </c>
      <c r="C195" s="204">
        <f>'Input data'!C135</f>
        <v>5978.8699999999981</v>
      </c>
      <c r="D195" s="475">
        <f>'Input data'!E135</f>
        <v>24779864.252695084</v>
      </c>
      <c r="E195" s="473">
        <f>'Input data'!J135*C195</f>
        <v>71932.057766784754</v>
      </c>
      <c r="F195" s="474">
        <f>'Input data'!L135</f>
        <v>96711.92201947984</v>
      </c>
      <c r="G195" s="474">
        <f t="shared" si="171"/>
        <v>13687.941669523079</v>
      </c>
      <c r="H195" s="474">
        <f t="shared" si="160"/>
        <v>50841.90485981587</v>
      </c>
      <c r="I195" s="475">
        <f t="shared" si="136"/>
        <v>24779.864252695083</v>
      </c>
      <c r="J195" s="100">
        <f t="shared" si="170"/>
        <v>0.4</v>
      </c>
      <c r="K195" s="474">
        <f t="shared" si="162"/>
        <v>8386.801093629454</v>
      </c>
      <c r="L195" s="474">
        <f t="shared" si="137"/>
        <v>0</v>
      </c>
      <c r="M195" s="475">
        <f t="shared" si="163"/>
        <v>8386.801093629454</v>
      </c>
      <c r="N195" s="579">
        <f t="shared" si="169"/>
        <v>0.5</v>
      </c>
      <c r="O195" s="475">
        <f t="shared" si="138"/>
        <v>751.91700000000026</v>
      </c>
      <c r="P195" s="1043">
        <f t="shared" si="166"/>
        <v>9138.7180936294535</v>
      </c>
      <c r="Q195" s="467">
        <f t="shared" si="139"/>
        <v>55391.128435709492</v>
      </c>
      <c r="R195" s="467">
        <f t="shared" si="164"/>
        <v>41703.186766186409</v>
      </c>
      <c r="S195" s="518">
        <f t="shared" si="140"/>
        <v>1.029118544297676</v>
      </c>
      <c r="T195" s="118" t="str">
        <f t="shared" si="141"/>
        <v>No</v>
      </c>
      <c r="U195" s="1259">
        <f t="shared" si="142"/>
        <v>1</v>
      </c>
      <c r="V195" s="1247">
        <f t="shared" si="134"/>
        <v>56188.712135387403</v>
      </c>
      <c r="W195" s="1260">
        <f t="shared" si="135"/>
        <v>0.41900945651695554</v>
      </c>
      <c r="X195" s="473">
        <f t="shared" si="143"/>
        <v>14867.918551617049</v>
      </c>
      <c r="Y195" s="474">
        <f t="shared" si="144"/>
        <v>15672.131180172722</v>
      </c>
      <c r="Z195" s="116">
        <f t="shared" si="145"/>
        <v>4002.4905052646268</v>
      </c>
      <c r="AA195" s="116">
        <f t="shared" si="146"/>
        <v>0</v>
      </c>
      <c r="AB195" s="116">
        <f t="shared" si="147"/>
        <v>21646.171898333007</v>
      </c>
      <c r="AC195" s="116">
        <f t="shared" si="148"/>
        <v>56188.712135387403</v>
      </c>
      <c r="AD195" s="475">
        <f t="shared" si="149"/>
        <v>1179.9768820939698</v>
      </c>
      <c r="AE195" s="579">
        <f t="shared" si="150"/>
        <v>0.26460685761568292</v>
      </c>
      <c r="AF195" s="100">
        <f t="shared" si="151"/>
        <v>0.27891956559549769</v>
      </c>
      <c r="AG195" s="100">
        <f t="shared" si="152"/>
        <v>7.1232999532371846E-2</v>
      </c>
      <c r="AH195" s="100">
        <f t="shared" si="165"/>
        <v>0</v>
      </c>
      <c r="AI195" s="100">
        <f t="shared" si="153"/>
        <v>0.38524057725644761</v>
      </c>
      <c r="AJ195" s="100">
        <f t="shared" si="154"/>
        <v>1</v>
      </c>
      <c r="AK195" s="1250">
        <f t="shared" si="155"/>
        <v>14867.918551617049</v>
      </c>
      <c r="AL195" s="1251">
        <f t="shared" si="156"/>
        <v>0</v>
      </c>
      <c r="AM195" s="1251">
        <f t="shared" si="157"/>
        <v>0</v>
      </c>
      <c r="AN195" s="1251">
        <f t="shared" si="158"/>
        <v>14867.918551617049</v>
      </c>
      <c r="AO195" s="1022">
        <f t="shared" si="159"/>
        <v>0</v>
      </c>
    </row>
    <row r="196" spans="1:41">
      <c r="A196" s="89">
        <f>'Input data'!A136</f>
        <v>2036</v>
      </c>
      <c r="B196" s="152">
        <f>'Input data'!B136</f>
        <v>69.431445341664755</v>
      </c>
      <c r="C196" s="204">
        <f>'Input data'!C136</f>
        <v>6119.1299999999983</v>
      </c>
      <c r="D196" s="475">
        <f>'Input data'!E136</f>
        <v>11557949.273739366</v>
      </c>
      <c r="E196" s="473">
        <f>'Input data'!J136*C196</f>
        <v>73619.532226401585</v>
      </c>
      <c r="F196" s="474">
        <f>'Input data'!L136</f>
        <v>85177.481500140944</v>
      </c>
      <c r="G196" s="474">
        <f t="shared" si="171"/>
        <v>13687.941669523079</v>
      </c>
      <c r="H196" s="474">
        <f t="shared" si="160"/>
        <v>39402.053707019091</v>
      </c>
      <c r="I196" s="475">
        <f t="shared" si="136"/>
        <v>11557.949273739367</v>
      </c>
      <c r="J196" s="100">
        <f t="shared" si="170"/>
        <v>0.4</v>
      </c>
      <c r="K196" s="474">
        <f t="shared" si="162"/>
        <v>3911.8140688994454</v>
      </c>
      <c r="L196" s="474">
        <f t="shared" si="137"/>
        <v>0</v>
      </c>
      <c r="M196" s="475">
        <f t="shared" si="163"/>
        <v>3911.8140688994454</v>
      </c>
      <c r="N196" s="579">
        <f t="shared" si="169"/>
        <v>0.5</v>
      </c>
      <c r="O196" s="475">
        <f t="shared" si="138"/>
        <v>751.91700000000026</v>
      </c>
      <c r="P196" s="1043">
        <f t="shared" si="166"/>
        <v>4663.7310688994457</v>
      </c>
      <c r="Q196" s="467">
        <f t="shared" si="139"/>
        <v>48426.264307642719</v>
      </c>
      <c r="R196" s="467">
        <f t="shared" si="164"/>
        <v>34738.322638119644</v>
      </c>
      <c r="S196" s="518">
        <f t="shared" si="140"/>
        <v>0.83723960423590627</v>
      </c>
      <c r="T196" s="118" t="str">
        <f t="shared" si="141"/>
        <v>Yes</v>
      </c>
      <c r="U196" s="1259">
        <f t="shared" si="142"/>
        <v>0.83723960423590627</v>
      </c>
      <c r="V196" s="1247">
        <f t="shared" si="134"/>
        <v>50439.158862021308</v>
      </c>
      <c r="W196" s="1260">
        <f t="shared" si="135"/>
        <v>0.40783458287695618</v>
      </c>
      <c r="X196" s="473">
        <f t="shared" si="143"/>
        <v>13687.941669523072</v>
      </c>
      <c r="Y196" s="474">
        <f t="shared" si="144"/>
        <v>10518.495006649337</v>
      </c>
      <c r="Z196" s="116">
        <f t="shared" si="145"/>
        <v>4078.7466272155002</v>
      </c>
      <c r="AA196" s="116">
        <f t="shared" si="146"/>
        <v>0</v>
      </c>
      <c r="AB196" s="116">
        <f t="shared" si="147"/>
        <v>22153.975558633399</v>
      </c>
      <c r="AC196" s="116">
        <f t="shared" si="148"/>
        <v>50439.158862021308</v>
      </c>
      <c r="AD196" s="475">
        <f t="shared" si="149"/>
        <v>0</v>
      </c>
      <c r="AE196" s="579">
        <f t="shared" si="150"/>
        <v>0.27137529606643679</v>
      </c>
      <c r="AF196" s="100">
        <f t="shared" si="151"/>
        <v>0.20853827153270288</v>
      </c>
      <c r="AG196" s="100">
        <f t="shared" si="152"/>
        <v>8.086468369492647E-2</v>
      </c>
      <c r="AH196" s="100">
        <f t="shared" si="165"/>
        <v>0</v>
      </c>
      <c r="AI196" s="100">
        <f t="shared" si="153"/>
        <v>0.43922174870593383</v>
      </c>
      <c r="AJ196" s="100">
        <f t="shared" si="154"/>
        <v>1</v>
      </c>
      <c r="AK196" s="1250">
        <f t="shared" si="155"/>
        <v>6934.7695642436202</v>
      </c>
      <c r="AL196" s="1251">
        <f t="shared" si="156"/>
        <v>6395.1242696024528</v>
      </c>
      <c r="AM196" s="1251">
        <f t="shared" si="157"/>
        <v>358.04783567699775</v>
      </c>
      <c r="AN196" s="1251">
        <f t="shared" si="158"/>
        <v>13687.94166952307</v>
      </c>
      <c r="AO196" s="1022">
        <f t="shared" si="159"/>
        <v>0</v>
      </c>
    </row>
    <row r="197" spans="1:41">
      <c r="A197" s="89">
        <f>'Input data'!A137</f>
        <v>2037</v>
      </c>
      <c r="B197" s="152">
        <f>'Input data'!B137</f>
        <v>69.92691944658003</v>
      </c>
      <c r="C197" s="204">
        <f>'Input data'!C137</f>
        <v>6283.2400000000007</v>
      </c>
      <c r="D197" s="475">
        <f>'Input data'!E137</f>
        <v>6514539.8947081817</v>
      </c>
      <c r="E197" s="473">
        <f>'Input data'!J137*C197</f>
        <v>75593.947124217928</v>
      </c>
      <c r="F197" s="474">
        <f>'Input data'!L137</f>
        <v>82108.487018926113</v>
      </c>
      <c r="G197" s="474">
        <f t="shared" si="171"/>
        <v>13687.941669523079</v>
      </c>
      <c r="H197" s="474">
        <f t="shared" si="160"/>
        <v>35801.988095763634</v>
      </c>
      <c r="I197" s="475">
        <f t="shared" si="136"/>
        <v>6514.5398947081821</v>
      </c>
      <c r="J197" s="100">
        <f t="shared" si="170"/>
        <v>0.4</v>
      </c>
      <c r="K197" s="474">
        <f t="shared" si="162"/>
        <v>2204.8607593759925</v>
      </c>
      <c r="L197" s="474">
        <f t="shared" si="137"/>
        <v>0</v>
      </c>
      <c r="M197" s="475">
        <f t="shared" si="163"/>
        <v>2204.8607593759925</v>
      </c>
      <c r="N197" s="579">
        <f t="shared" si="169"/>
        <v>0.5</v>
      </c>
      <c r="O197" s="475">
        <f t="shared" si="138"/>
        <v>751.91700000000026</v>
      </c>
      <c r="P197" s="1043">
        <f t="shared" si="166"/>
        <v>2956.7777593759929</v>
      </c>
      <c r="Q197" s="467">
        <f t="shared" si="139"/>
        <v>46533.152005910728</v>
      </c>
      <c r="R197" s="467">
        <f t="shared" si="164"/>
        <v>32845.210336387652</v>
      </c>
      <c r="S197" s="518">
        <f t="shared" si="140"/>
        <v>0.77057245866506452</v>
      </c>
      <c r="T197" s="118" t="str">
        <f t="shared" si="141"/>
        <v>Yes</v>
      </c>
      <c r="U197" s="1259">
        <f t="shared" si="142"/>
        <v>0.77057245866506452</v>
      </c>
      <c r="V197" s="1247">
        <f t="shared" si="134"/>
        <v>49263.276682538475</v>
      </c>
      <c r="W197" s="1260">
        <f t="shared" si="135"/>
        <v>0.4000221113417517</v>
      </c>
      <c r="X197" s="473">
        <f t="shared" si="143"/>
        <v>13687.941669523079</v>
      </c>
      <c r="Y197" s="474">
        <f t="shared" si="144"/>
        <v>8659.2387300236496</v>
      </c>
      <c r="Z197" s="116">
        <f t="shared" si="145"/>
        <v>4167.9694432240412</v>
      </c>
      <c r="AA197" s="116">
        <f t="shared" si="146"/>
        <v>0</v>
      </c>
      <c r="AB197" s="116">
        <f t="shared" si="147"/>
        <v>22748.126839767705</v>
      </c>
      <c r="AC197" s="116">
        <f t="shared" si="148"/>
        <v>49263.276682538475</v>
      </c>
      <c r="AD197" s="475">
        <f t="shared" si="149"/>
        <v>0</v>
      </c>
      <c r="AE197" s="579">
        <f t="shared" si="150"/>
        <v>0.27785284681184869</v>
      </c>
      <c r="AF197" s="100">
        <f t="shared" si="151"/>
        <v>0.17577472131676017</v>
      </c>
      <c r="AG197" s="100">
        <f t="shared" si="152"/>
        <v>8.4606013320697185E-2</v>
      </c>
      <c r="AH197" s="100">
        <f t="shared" si="165"/>
        <v>0</v>
      </c>
      <c r="AI197" s="100">
        <f t="shared" si="153"/>
        <v>0.461766418550694</v>
      </c>
      <c r="AJ197" s="100">
        <f t="shared" si="154"/>
        <v>1</v>
      </c>
      <c r="AK197" s="1250">
        <f t="shared" si="155"/>
        <v>3908.7239368249093</v>
      </c>
      <c r="AL197" s="1251">
        <f t="shared" si="156"/>
        <v>9256.3500649536418</v>
      </c>
      <c r="AM197" s="1251">
        <f t="shared" si="157"/>
        <v>522.8676677445269</v>
      </c>
      <c r="AN197" s="1251">
        <f t="shared" si="158"/>
        <v>13687.941669523078</v>
      </c>
      <c r="AO197" s="1022">
        <f t="shared" si="159"/>
        <v>0</v>
      </c>
    </row>
    <row r="198" spans="1:41">
      <c r="A198" s="89">
        <f>'Input data'!A138</f>
        <v>2038</v>
      </c>
      <c r="B198" s="152">
        <f>'Input data'!B138</f>
        <v>70.408978817025954</v>
      </c>
      <c r="C198" s="204">
        <f>'Input data'!C138</f>
        <v>6443.4999999999982</v>
      </c>
      <c r="D198" s="475">
        <f>'Input data'!E138</f>
        <v>4950160.264487111</v>
      </c>
      <c r="E198" s="473">
        <f>'Input data'!J138*C198</f>
        <v>77522.042496370981</v>
      </c>
      <c r="F198" s="474">
        <f>'Input data'!L138</f>
        <v>82472.202760858097</v>
      </c>
      <c r="G198" s="474">
        <f t="shared" si="171"/>
        <v>13687.941669523079</v>
      </c>
      <c r="H198" s="474">
        <f t="shared" si="160"/>
        <v>35440.247346165168</v>
      </c>
      <c r="I198" s="475">
        <f t="shared" si="136"/>
        <v>4950.1602644871109</v>
      </c>
      <c r="J198" s="100">
        <f t="shared" si="170"/>
        <v>0.4</v>
      </c>
      <c r="K198" s="474">
        <f t="shared" si="162"/>
        <v>1675.3929358320131</v>
      </c>
      <c r="L198" s="474">
        <f t="shared" si="137"/>
        <v>0</v>
      </c>
      <c r="M198" s="475">
        <f t="shared" si="163"/>
        <v>1675.3929358320131</v>
      </c>
      <c r="N198" s="579">
        <f t="shared" si="169"/>
        <v>0.5</v>
      </c>
      <c r="O198" s="475">
        <f t="shared" si="138"/>
        <v>751.91700000000026</v>
      </c>
      <c r="P198" s="1043">
        <f t="shared" si="166"/>
        <v>2427.3099358320133</v>
      </c>
      <c r="Q198" s="467">
        <f t="shared" si="139"/>
        <v>46700.87907985624</v>
      </c>
      <c r="R198" s="467">
        <f t="shared" si="164"/>
        <v>33012.937410333165</v>
      </c>
      <c r="S198" s="518">
        <f t="shared" si="140"/>
        <v>0.75491302019100603</v>
      </c>
      <c r="T198" s="118" t="str">
        <f t="shared" si="141"/>
        <v>Yes</v>
      </c>
      <c r="U198" s="1259">
        <f t="shared" si="142"/>
        <v>0.75491302019100603</v>
      </c>
      <c r="V198" s="1247">
        <f t="shared" si="134"/>
        <v>49459.26535052494</v>
      </c>
      <c r="W198" s="1260">
        <f t="shared" si="135"/>
        <v>0.40029168986864183</v>
      </c>
      <c r="X198" s="473">
        <f t="shared" si="143"/>
        <v>13687.941669523078</v>
      </c>
      <c r="Y198" s="474">
        <f t="shared" si="144"/>
        <v>8187.8851714053408</v>
      </c>
      <c r="Z198" s="116">
        <f t="shared" si="145"/>
        <v>4255.0991031687627</v>
      </c>
      <c r="AA198" s="116">
        <f t="shared" si="146"/>
        <v>0</v>
      </c>
      <c r="AB198" s="116">
        <f t="shared" si="147"/>
        <v>23328.33940642776</v>
      </c>
      <c r="AC198" s="116">
        <f t="shared" si="148"/>
        <v>49459.26535052494</v>
      </c>
      <c r="AD198" s="475">
        <f t="shared" si="149"/>
        <v>0</v>
      </c>
      <c r="AE198" s="579">
        <f t="shared" si="150"/>
        <v>0.27675181935102883</v>
      </c>
      <c r="AF198" s="100">
        <f t="shared" si="151"/>
        <v>0.16554805481595045</v>
      </c>
      <c r="AG198" s="100">
        <f t="shared" si="152"/>
        <v>8.6032396013411491E-2</v>
      </c>
      <c r="AH198" s="100">
        <f t="shared" si="165"/>
        <v>0</v>
      </c>
      <c r="AI198" s="100">
        <f t="shared" si="153"/>
        <v>0.47166772981960925</v>
      </c>
      <c r="AJ198" s="100">
        <f t="shared" si="154"/>
        <v>1</v>
      </c>
      <c r="AK198" s="1250">
        <f t="shared" si="155"/>
        <v>2970.0961586922667</v>
      </c>
      <c r="AL198" s="1251">
        <f t="shared" si="156"/>
        <v>10140.342967301336</v>
      </c>
      <c r="AM198" s="1251">
        <f t="shared" si="157"/>
        <v>577.50254352947616</v>
      </c>
      <c r="AN198" s="1251">
        <f t="shared" si="158"/>
        <v>13687.941669523078</v>
      </c>
      <c r="AO198" s="1022">
        <f t="shared" si="159"/>
        <v>0</v>
      </c>
    </row>
    <row r="199" spans="1:41">
      <c r="A199" s="89">
        <f>'Input data'!A139</f>
        <v>2039</v>
      </c>
      <c r="B199" s="152">
        <f>'Input data'!B139</f>
        <v>70.877294017675013</v>
      </c>
      <c r="C199" s="204">
        <f>'Input data'!C139</f>
        <v>6615.260000000002</v>
      </c>
      <c r="D199" s="475">
        <f>'Input data'!E139</f>
        <v>3385780.6342660398</v>
      </c>
      <c r="E199" s="473">
        <f>'Input data'!J139*C199</f>
        <v>79588.494893232477</v>
      </c>
      <c r="F199" s="474">
        <f>'Input data'!L139</f>
        <v>82974.27552749851</v>
      </c>
      <c r="G199" s="474">
        <f t="shared" si="171"/>
        <v>13687.941669523079</v>
      </c>
      <c r="H199" s="474">
        <f t="shared" si="160"/>
        <v>35157.89684241038</v>
      </c>
      <c r="I199" s="475">
        <f t="shared" si="136"/>
        <v>3385.7806342660397</v>
      </c>
      <c r="J199" s="100">
        <f t="shared" si="170"/>
        <v>0.4</v>
      </c>
      <c r="K199" s="474">
        <f t="shared" si="162"/>
        <v>1145.9251122880339</v>
      </c>
      <c r="L199" s="474">
        <f t="shared" si="137"/>
        <v>0</v>
      </c>
      <c r="M199" s="475">
        <f t="shared" si="163"/>
        <v>1145.9251122880339</v>
      </c>
      <c r="N199" s="579">
        <f t="shared" si="169"/>
        <v>0.5</v>
      </c>
      <c r="O199" s="475">
        <f t="shared" si="138"/>
        <v>751.91700000000026</v>
      </c>
      <c r="P199" s="1043">
        <f t="shared" si="166"/>
        <v>1897.8421122880341</v>
      </c>
      <c r="Q199" s="467">
        <f t="shared" si="139"/>
        <v>46947.996399645432</v>
      </c>
      <c r="R199" s="467">
        <f t="shared" si="164"/>
        <v>33260.054730122356</v>
      </c>
      <c r="S199" s="518">
        <f t="shared" si="140"/>
        <v>0.74048587896173945</v>
      </c>
      <c r="T199" s="118" t="str">
        <f t="shared" si="141"/>
        <v>Yes</v>
      </c>
      <c r="U199" s="1259">
        <f t="shared" si="142"/>
        <v>0.74048587896173945</v>
      </c>
      <c r="V199" s="1247">
        <f t="shared" si="134"/>
        <v>49714.220797376176</v>
      </c>
      <c r="W199" s="1260">
        <f t="shared" si="135"/>
        <v>0.4008477870843189</v>
      </c>
      <c r="X199" s="473">
        <f t="shared" si="143"/>
        <v>13687.941669523078</v>
      </c>
      <c r="Y199" s="474">
        <f t="shared" si="144"/>
        <v>7727.6109861484929</v>
      </c>
      <c r="Z199" s="116">
        <f t="shared" si="145"/>
        <v>4348.4810474599535</v>
      </c>
      <c r="AA199" s="116">
        <f t="shared" si="146"/>
        <v>0</v>
      </c>
      <c r="AB199" s="116">
        <f t="shared" si="147"/>
        <v>23950.187094244651</v>
      </c>
      <c r="AC199" s="116">
        <f t="shared" si="148"/>
        <v>49714.220797376176</v>
      </c>
      <c r="AD199" s="475">
        <f t="shared" si="149"/>
        <v>0</v>
      </c>
      <c r="AE199" s="579">
        <f t="shared" si="150"/>
        <v>0.27533251954832011</v>
      </c>
      <c r="AF199" s="100">
        <f t="shared" si="151"/>
        <v>0.15544065384519395</v>
      </c>
      <c r="AG199" s="100">
        <f t="shared" si="152"/>
        <v>8.7469560574696931E-2</v>
      </c>
      <c r="AH199" s="100">
        <f t="shared" si="165"/>
        <v>0</v>
      </c>
      <c r="AI199" s="100">
        <f t="shared" si="153"/>
        <v>0.48175726603178898</v>
      </c>
      <c r="AJ199" s="100">
        <f t="shared" si="154"/>
        <v>1</v>
      </c>
      <c r="AK199" s="1250">
        <f t="shared" si="155"/>
        <v>2031.4683805596235</v>
      </c>
      <c r="AL199" s="1251">
        <f t="shared" si="156"/>
        <v>11023.47402965083</v>
      </c>
      <c r="AM199" s="1251">
        <f t="shared" si="157"/>
        <v>632.99925931262294</v>
      </c>
      <c r="AN199" s="1251">
        <f t="shared" si="158"/>
        <v>13687.941669523076</v>
      </c>
      <c r="AO199" s="1022">
        <f t="shared" si="159"/>
        <v>0</v>
      </c>
    </row>
    <row r="200" spans="1:41">
      <c r="A200" s="89">
        <f>'Input data'!A140</f>
        <v>2040</v>
      </c>
      <c r="B200" s="152">
        <f>'Input data'!B140</f>
        <v>71.331543257193218</v>
      </c>
      <c r="C200" s="204">
        <f>'Input data'!C140</f>
        <v>6787.6000000000013</v>
      </c>
      <c r="D200" s="475">
        <f>'Input data'!E140</f>
        <v>1821401.0040449696</v>
      </c>
      <c r="E200" s="473">
        <f>'Input data'!J140*C200</f>
        <v>81661.925296557456</v>
      </c>
      <c r="F200" s="474">
        <f>'Input data'!L140</f>
        <v>83483.326300602421</v>
      </c>
      <c r="G200" s="474">
        <f t="shared" si="171"/>
        <v>13687.941669523079</v>
      </c>
      <c r="H200" s="474">
        <f t="shared" si="160"/>
        <v>34879.55036844594</v>
      </c>
      <c r="I200" s="475">
        <f t="shared" si="136"/>
        <v>1821.4010040449696</v>
      </c>
      <c r="J200" s="100">
        <f t="shared" si="170"/>
        <v>0.4</v>
      </c>
      <c r="K200" s="474">
        <f t="shared" si="162"/>
        <v>616.45728874405495</v>
      </c>
      <c r="L200" s="474">
        <f t="shared" si="137"/>
        <v>0</v>
      </c>
      <c r="M200" s="475">
        <f t="shared" si="163"/>
        <v>616.45728874405495</v>
      </c>
      <c r="N200" s="579">
        <f t="shared" si="169"/>
        <v>0.5</v>
      </c>
      <c r="O200" s="475">
        <f t="shared" si="138"/>
        <v>751.91700000000026</v>
      </c>
      <c r="P200" s="1043">
        <f t="shared" si="166"/>
        <v>1368.3742887440553</v>
      </c>
      <c r="Q200" s="467">
        <f t="shared" si="139"/>
        <v>47199.117749224963</v>
      </c>
      <c r="R200" s="467">
        <f t="shared" si="164"/>
        <v>33511.17607970188</v>
      </c>
      <c r="S200" s="518">
        <f t="shared" si="140"/>
        <v>0.72682459208331862</v>
      </c>
      <c r="T200" s="118" t="str">
        <f t="shared" si="141"/>
        <v>Yes</v>
      </c>
      <c r="U200" s="1259">
        <f t="shared" si="142"/>
        <v>0.72682459208331862</v>
      </c>
      <c r="V200" s="1247">
        <f t="shared" si="134"/>
        <v>49972.150220900563</v>
      </c>
      <c r="W200" s="1260">
        <f t="shared" si="135"/>
        <v>0.40141160594196446</v>
      </c>
      <c r="X200" s="473">
        <f t="shared" si="143"/>
        <v>13687.941669523083</v>
      </c>
      <c r="Y200" s="474">
        <f t="shared" si="144"/>
        <v>7267.8955866785645</v>
      </c>
      <c r="Z200" s="116">
        <f t="shared" si="145"/>
        <v>4442.1783243529617</v>
      </c>
      <c r="AA200" s="116">
        <f t="shared" si="146"/>
        <v>0</v>
      </c>
      <c r="AB200" s="116">
        <f t="shared" si="147"/>
        <v>24574.134640345954</v>
      </c>
      <c r="AC200" s="116">
        <f t="shared" si="148"/>
        <v>49972.150220900563</v>
      </c>
      <c r="AD200" s="475">
        <f t="shared" si="149"/>
        <v>0</v>
      </c>
      <c r="AE200" s="579">
        <f t="shared" si="150"/>
        <v>0.27391140083058063</v>
      </c>
      <c r="AF200" s="100">
        <f t="shared" si="151"/>
        <v>0.14543892056977786</v>
      </c>
      <c r="AG200" s="100">
        <f t="shared" si="152"/>
        <v>8.8893079539632186E-2</v>
      </c>
      <c r="AH200" s="100">
        <f t="shared" si="165"/>
        <v>0</v>
      </c>
      <c r="AI200" s="100">
        <f t="shared" si="153"/>
        <v>0.49175659906000929</v>
      </c>
      <c r="AJ200" s="100">
        <f t="shared" si="154"/>
        <v>1</v>
      </c>
      <c r="AK200" s="1250">
        <f t="shared" si="155"/>
        <v>1092.8406024269816</v>
      </c>
      <c r="AL200" s="1251">
        <f t="shared" si="156"/>
        <v>11906.069471300743</v>
      </c>
      <c r="AM200" s="1251">
        <f t="shared" si="157"/>
        <v>689.03159579535554</v>
      </c>
      <c r="AN200" s="1251">
        <f t="shared" si="158"/>
        <v>13687.941669523081</v>
      </c>
      <c r="AO200" s="1022">
        <f t="shared" si="159"/>
        <v>0</v>
      </c>
    </row>
    <row r="201" spans="1:41">
      <c r="A201" s="89">
        <f>'Input data'!A141</f>
        <v>2041</v>
      </c>
      <c r="B201" s="152">
        <f>'Input data'!B141</f>
        <v>71.772879261991122</v>
      </c>
      <c r="C201" s="204">
        <f>'Input data'!C141</f>
        <v>6981.3799999999992</v>
      </c>
      <c r="D201" s="475">
        <f>'Input data'!E141</f>
        <v>1694135.0775526946</v>
      </c>
      <c r="E201" s="473">
        <f>'Input data'!J141*C201</f>
        <v>83993.301318121303</v>
      </c>
      <c r="F201" s="474">
        <f>'Input data'!L141</f>
        <v>85687.436395673998</v>
      </c>
      <c r="G201" s="474">
        <f t="shared" si="171"/>
        <v>13687.941669523079</v>
      </c>
      <c r="H201" s="474">
        <f t="shared" si="160"/>
        <v>36097.877531892707</v>
      </c>
      <c r="I201" s="475">
        <f t="shared" si="136"/>
        <v>1694.1350775526946</v>
      </c>
      <c r="J201" s="100">
        <f t="shared" si="170"/>
        <v>0.4</v>
      </c>
      <c r="K201" s="474">
        <f t="shared" si="162"/>
        <v>573.38384812296317</v>
      </c>
      <c r="L201" s="474">
        <f t="shared" si="137"/>
        <v>0</v>
      </c>
      <c r="M201" s="475">
        <f t="shared" si="163"/>
        <v>573.38384812296317</v>
      </c>
      <c r="N201" s="579">
        <f t="shared" si="169"/>
        <v>0.5</v>
      </c>
      <c r="O201" s="475">
        <f t="shared" si="138"/>
        <v>751.91700000000026</v>
      </c>
      <c r="P201" s="1043">
        <f t="shared" si="166"/>
        <v>1325.3008481229635</v>
      </c>
      <c r="Q201" s="467">
        <f t="shared" si="139"/>
        <v>48460.518353292828</v>
      </c>
      <c r="R201" s="467">
        <f t="shared" si="164"/>
        <v>34772.576683769745</v>
      </c>
      <c r="S201" s="518">
        <f t="shared" si="140"/>
        <v>0.73291774177941504</v>
      </c>
      <c r="T201" s="118" t="str">
        <f t="shared" si="141"/>
        <v>Yes</v>
      </c>
      <c r="U201" s="1259">
        <f t="shared" si="142"/>
        <v>0.73291774177941504</v>
      </c>
      <c r="V201" s="1247">
        <f t="shared" si="134"/>
        <v>50914.859711904268</v>
      </c>
      <c r="W201" s="1260">
        <f t="shared" si="135"/>
        <v>0.40580717718292303</v>
      </c>
      <c r="X201" s="473">
        <f t="shared" si="143"/>
        <v>13687.941669523079</v>
      </c>
      <c r="Y201" s="474">
        <f t="shared" si="144"/>
        <v>7403.681474340985</v>
      </c>
      <c r="Z201" s="116">
        <f t="shared" si="145"/>
        <v>4547.532033975378</v>
      </c>
      <c r="AA201" s="116">
        <f t="shared" si="146"/>
        <v>0</v>
      </c>
      <c r="AB201" s="116">
        <f t="shared" si="147"/>
        <v>25275.704534064822</v>
      </c>
      <c r="AC201" s="116">
        <f t="shared" si="148"/>
        <v>50914.859711904268</v>
      </c>
      <c r="AD201" s="475">
        <f t="shared" si="149"/>
        <v>0</v>
      </c>
      <c r="AE201" s="579">
        <f t="shared" si="150"/>
        <v>0.26883981900322784</v>
      </c>
      <c r="AF201" s="100">
        <f t="shared" si="151"/>
        <v>0.14541297994797284</v>
      </c>
      <c r="AG201" s="100">
        <f t="shared" si="152"/>
        <v>8.9316401139216572E-2</v>
      </c>
      <c r="AH201" s="100">
        <f t="shared" si="165"/>
        <v>0</v>
      </c>
      <c r="AI201" s="100">
        <f t="shared" si="153"/>
        <v>0.49643079990958272</v>
      </c>
      <c r="AJ201" s="100">
        <f t="shared" si="154"/>
        <v>1</v>
      </c>
      <c r="AK201" s="1250">
        <f t="shared" si="155"/>
        <v>1016.4810465316166</v>
      </c>
      <c r="AL201" s="1251">
        <f t="shared" si="156"/>
        <v>11972.831987555994</v>
      </c>
      <c r="AM201" s="1251">
        <f t="shared" si="157"/>
        <v>698.62863543546598</v>
      </c>
      <c r="AN201" s="1251">
        <f t="shared" si="158"/>
        <v>13687.941669523076</v>
      </c>
      <c r="AO201" s="1022">
        <f t="shared" si="159"/>
        <v>0</v>
      </c>
    </row>
    <row r="202" spans="1:41">
      <c r="A202" s="89">
        <f>'Input data'!A142</f>
        <v>2042</v>
      </c>
      <c r="B202" s="152">
        <f>'Input data'!B142</f>
        <v>72.201023455996193</v>
      </c>
      <c r="C202" s="204">
        <f>'Input data'!C142</f>
        <v>7178.2100000000019</v>
      </c>
      <c r="D202" s="475">
        <f>'Input data'!E142</f>
        <v>1566869.1510604194</v>
      </c>
      <c r="E202" s="473">
        <f>'Input data'!J142*C202</f>
        <v>86361.372028846978</v>
      </c>
      <c r="F202" s="474">
        <f>'Input data'!L142</f>
        <v>87928.241179907403</v>
      </c>
      <c r="G202" s="474">
        <f t="shared" si="171"/>
        <v>13687.941669523079</v>
      </c>
      <c r="H202" s="474">
        <f t="shared" si="160"/>
        <v>37337.260369237163</v>
      </c>
      <c r="I202" s="475">
        <f t="shared" si="136"/>
        <v>1566.8691510604194</v>
      </c>
      <c r="J202" s="100">
        <f t="shared" si="170"/>
        <v>0.4</v>
      </c>
      <c r="K202" s="474">
        <f t="shared" si="162"/>
        <v>530.31040750187128</v>
      </c>
      <c r="L202" s="474">
        <f t="shared" si="137"/>
        <v>0</v>
      </c>
      <c r="M202" s="475">
        <f t="shared" si="163"/>
        <v>530.31040750187128</v>
      </c>
      <c r="N202" s="579">
        <f t="shared" si="169"/>
        <v>0.5</v>
      </c>
      <c r="O202" s="475">
        <f t="shared" si="138"/>
        <v>751.91700000000026</v>
      </c>
      <c r="P202" s="1043">
        <f t="shared" si="166"/>
        <v>1282.2274075018715</v>
      </c>
      <c r="Q202" s="467">
        <f t="shared" si="139"/>
        <v>49742.974631258374</v>
      </c>
      <c r="R202" s="467">
        <f t="shared" si="164"/>
        <v>36055.032961735298</v>
      </c>
      <c r="S202" s="518">
        <f t="shared" si="140"/>
        <v>0.73878944859730145</v>
      </c>
      <c r="T202" s="118" t="str">
        <f t="shared" si="141"/>
        <v>Yes</v>
      </c>
      <c r="U202" s="1259">
        <f t="shared" si="142"/>
        <v>0.73878944859730145</v>
      </c>
      <c r="V202" s="1247">
        <f t="shared" si="134"/>
        <v>51873.208218172105</v>
      </c>
      <c r="W202" s="1260">
        <f t="shared" si="135"/>
        <v>0.41005065582927047</v>
      </c>
      <c r="X202" s="473">
        <f t="shared" si="143"/>
        <v>13687.941669523074</v>
      </c>
      <c r="Y202" s="474">
        <f t="shared" si="144"/>
        <v>7542.4058045036199</v>
      </c>
      <c r="Z202" s="116">
        <f t="shared" si="145"/>
        <v>4654.5439581418577</v>
      </c>
      <c r="AA202" s="116">
        <f t="shared" si="146"/>
        <v>0</v>
      </c>
      <c r="AB202" s="116">
        <f t="shared" si="147"/>
        <v>25988.316786003554</v>
      </c>
      <c r="AC202" s="116">
        <f t="shared" si="148"/>
        <v>51873.208218172105</v>
      </c>
      <c r="AD202" s="475">
        <f t="shared" si="149"/>
        <v>0</v>
      </c>
      <c r="AE202" s="579">
        <f t="shared" si="150"/>
        <v>0.26387305007150003</v>
      </c>
      <c r="AF202" s="100">
        <f t="shared" si="151"/>
        <v>0.14540079674234185</v>
      </c>
      <c r="AG202" s="100">
        <f t="shared" si="152"/>
        <v>8.9729247872339782E-2</v>
      </c>
      <c r="AH202" s="100">
        <f t="shared" si="165"/>
        <v>0</v>
      </c>
      <c r="AI202" s="100">
        <f t="shared" si="153"/>
        <v>0.50099690531381835</v>
      </c>
      <c r="AJ202" s="100">
        <f t="shared" si="154"/>
        <v>1</v>
      </c>
      <c r="AK202" s="1250">
        <f t="shared" si="155"/>
        <v>940.12149063625145</v>
      </c>
      <c r="AL202" s="1251">
        <f t="shared" si="156"/>
        <v>12039.749375803829</v>
      </c>
      <c r="AM202" s="1251">
        <f t="shared" si="157"/>
        <v>708.07080308299203</v>
      </c>
      <c r="AN202" s="1251">
        <f t="shared" si="158"/>
        <v>13687.941669523072</v>
      </c>
      <c r="AO202" s="1022">
        <f t="shared" si="159"/>
        <v>0</v>
      </c>
    </row>
    <row r="203" spans="1:41">
      <c r="A203" s="89">
        <f>'Input data'!A143</f>
        <v>2043</v>
      </c>
      <c r="B203" s="152">
        <f>'Input data'!B143</f>
        <v>72.615704257339331</v>
      </c>
      <c r="C203" s="204">
        <f>'Input data'!C143</f>
        <v>7380.12</v>
      </c>
      <c r="D203" s="475">
        <f>'Input data'!E143</f>
        <v>1439603.2245681447</v>
      </c>
      <c r="E203" s="473">
        <f>'Input data'!J143*C203</f>
        <v>88790.560451356811</v>
      </c>
      <c r="F203" s="474">
        <f>'Input data'!L143</f>
        <v>90230.163675924952</v>
      </c>
      <c r="G203" s="474">
        <f t="shared" si="171"/>
        <v>13687.941669523079</v>
      </c>
      <c r="H203" s="474">
        <f t="shared" si="160"/>
        <v>38611.712984745565</v>
      </c>
      <c r="I203" s="475">
        <f t="shared" si="136"/>
        <v>1439.6032245681447</v>
      </c>
      <c r="J203" s="100">
        <f t="shared" si="170"/>
        <v>0.4</v>
      </c>
      <c r="K203" s="474">
        <f t="shared" si="162"/>
        <v>487.23696688077951</v>
      </c>
      <c r="L203" s="474">
        <f t="shared" si="137"/>
        <v>0</v>
      </c>
      <c r="M203" s="475">
        <f t="shared" si="163"/>
        <v>487.23696688077951</v>
      </c>
      <c r="N203" s="579">
        <f t="shared" si="169"/>
        <v>0.5</v>
      </c>
      <c r="O203" s="475">
        <f t="shared" si="138"/>
        <v>751.91700000000026</v>
      </c>
      <c r="P203" s="1043">
        <f t="shared" si="166"/>
        <v>1239.1539668807798</v>
      </c>
      <c r="Q203" s="467">
        <f t="shared" si="139"/>
        <v>51060.500687387859</v>
      </c>
      <c r="R203" s="467">
        <f t="shared" si="164"/>
        <v>37372.559017864784</v>
      </c>
      <c r="S203" s="518">
        <f t="shared" si="140"/>
        <v>0.74452165512234703</v>
      </c>
      <c r="T203" s="118" t="str">
        <f t="shared" si="141"/>
        <v>Yes</v>
      </c>
      <c r="U203" s="1259">
        <f t="shared" si="142"/>
        <v>0.74452165512234703</v>
      </c>
      <c r="V203" s="1247">
        <f t="shared" si="134"/>
        <v>52857.604658060183</v>
      </c>
      <c r="W203" s="1260">
        <f t="shared" si="135"/>
        <v>0.41419141332929277</v>
      </c>
      <c r="X203" s="473">
        <f t="shared" si="143"/>
        <v>13687.941669523079</v>
      </c>
      <c r="Y203" s="474">
        <f t="shared" si="144"/>
        <v>7686.0243274207023</v>
      </c>
      <c r="Z203" s="116">
        <f t="shared" si="145"/>
        <v>4764.3177609587738</v>
      </c>
      <c r="AA203" s="116">
        <f t="shared" si="146"/>
        <v>0</v>
      </c>
      <c r="AB203" s="116">
        <f t="shared" si="147"/>
        <v>26719.320900157629</v>
      </c>
      <c r="AC203" s="116">
        <f t="shared" si="148"/>
        <v>52857.604658060183</v>
      </c>
      <c r="AD203" s="475">
        <f t="shared" si="149"/>
        <v>0</v>
      </c>
      <c r="AE203" s="579">
        <f t="shared" si="150"/>
        <v>0.25895879614809264</v>
      </c>
      <c r="AF203" s="100">
        <f t="shared" si="151"/>
        <v>0.14541000064498139</v>
      </c>
      <c r="AG203" s="100">
        <f t="shared" si="152"/>
        <v>9.0134953934812287E-2</v>
      </c>
      <c r="AH203" s="100">
        <f t="shared" si="165"/>
        <v>0</v>
      </c>
      <c r="AI203" s="100">
        <f t="shared" si="153"/>
        <v>0.50549624927211367</v>
      </c>
      <c r="AJ203" s="100">
        <f t="shared" si="154"/>
        <v>1</v>
      </c>
      <c r="AK203" s="1250">
        <f t="shared" si="155"/>
        <v>863.76193474088666</v>
      </c>
      <c r="AL203" s="1251">
        <f t="shared" si="156"/>
        <v>12106.764327308134</v>
      </c>
      <c r="AM203" s="1251">
        <f t="shared" si="157"/>
        <v>717.41540747405691</v>
      </c>
      <c r="AN203" s="1251">
        <f t="shared" si="158"/>
        <v>13687.941669523078</v>
      </c>
      <c r="AO203" s="1022">
        <f t="shared" si="159"/>
        <v>0</v>
      </c>
    </row>
    <row r="204" spans="1:41">
      <c r="A204" s="89">
        <f>'Input data'!A144</f>
        <v>2044</v>
      </c>
      <c r="B204" s="152">
        <f>'Input data'!B144</f>
        <v>73.016657364175842</v>
      </c>
      <c r="C204" s="204">
        <f>'Input data'!C144</f>
        <v>7589.87</v>
      </c>
      <c r="D204" s="475">
        <f>'Input data'!E144</f>
        <v>1312337.2980758694</v>
      </c>
      <c r="E204" s="473">
        <f>'Input data'!J144*C204</f>
        <v>91314.072271580881</v>
      </c>
      <c r="F204" s="474">
        <f>'Input data'!L144</f>
        <v>92626.409569656753</v>
      </c>
      <c r="G204" s="474">
        <f t="shared" si="171"/>
        <v>13687.941669523079</v>
      </c>
      <c r="H204" s="474">
        <f t="shared" si="160"/>
        <v>39940.2890374204</v>
      </c>
      <c r="I204" s="475">
        <f t="shared" si="136"/>
        <v>1312.3372980758695</v>
      </c>
      <c r="J204" s="100">
        <f t="shared" si="170"/>
        <v>0.4</v>
      </c>
      <c r="K204" s="474">
        <f t="shared" si="162"/>
        <v>444.16352625968761</v>
      </c>
      <c r="L204" s="474">
        <f t="shared" si="137"/>
        <v>0</v>
      </c>
      <c r="M204" s="475">
        <f t="shared" si="163"/>
        <v>444.16352625968761</v>
      </c>
      <c r="N204" s="579">
        <f t="shared" si="169"/>
        <v>0.5</v>
      </c>
      <c r="O204" s="475">
        <f t="shared" si="138"/>
        <v>751.91700000000026</v>
      </c>
      <c r="P204" s="1043">
        <f t="shared" si="166"/>
        <v>1196.0805262596878</v>
      </c>
      <c r="Q204" s="467">
        <f t="shared" si="139"/>
        <v>52432.150180683791</v>
      </c>
      <c r="R204" s="467">
        <f t="shared" si="164"/>
        <v>38744.208511160716</v>
      </c>
      <c r="S204" s="518">
        <f t="shared" si="140"/>
        <v>0.75020617120298216</v>
      </c>
      <c r="T204" s="118" t="str">
        <f t="shared" si="141"/>
        <v>Yes</v>
      </c>
      <c r="U204" s="1259">
        <f t="shared" si="142"/>
        <v>0.75020617120298216</v>
      </c>
      <c r="V204" s="1247">
        <f t="shared" si="134"/>
        <v>53882.201058496052</v>
      </c>
      <c r="W204" s="1260">
        <f t="shared" si="135"/>
        <v>0.41828468458581836</v>
      </c>
      <c r="X204" s="473">
        <f t="shared" si="143"/>
        <v>13687.941669523076</v>
      </c>
      <c r="Y204" s="474">
        <f t="shared" si="144"/>
        <v>7837.1960926989841</v>
      </c>
      <c r="Z204" s="116">
        <f t="shared" si="145"/>
        <v>4878.3539906692804</v>
      </c>
      <c r="AA204" s="116">
        <f t="shared" si="146"/>
        <v>0</v>
      </c>
      <c r="AB204" s="116">
        <f t="shared" si="147"/>
        <v>27478.709305604705</v>
      </c>
      <c r="AC204" s="116">
        <f t="shared" si="148"/>
        <v>53882.201058496052</v>
      </c>
      <c r="AD204" s="475">
        <f t="shared" si="149"/>
        <v>0</v>
      </c>
      <c r="AE204" s="579">
        <f t="shared" si="150"/>
        <v>0.25403456801371305</v>
      </c>
      <c r="AF204" s="100">
        <f t="shared" si="151"/>
        <v>0.14545055581880742</v>
      </c>
      <c r="AG204" s="100">
        <f t="shared" si="152"/>
        <v>9.0537392586713381E-2</v>
      </c>
      <c r="AH204" s="100">
        <f t="shared" si="165"/>
        <v>0</v>
      </c>
      <c r="AI204" s="100">
        <f t="shared" si="153"/>
        <v>0.509977483580766</v>
      </c>
      <c r="AJ204" s="100">
        <f t="shared" si="154"/>
        <v>0.99999999999999978</v>
      </c>
      <c r="AK204" s="1250">
        <f t="shared" si="155"/>
        <v>787.40237884552153</v>
      </c>
      <c r="AL204" s="1251">
        <f t="shared" si="156"/>
        <v>12173.812632398749</v>
      </c>
      <c r="AM204" s="1251">
        <f t="shared" si="157"/>
        <v>726.72665827880212</v>
      </c>
      <c r="AN204" s="1251">
        <f t="shared" si="158"/>
        <v>13687.941669523072</v>
      </c>
      <c r="AO204" s="1022">
        <f t="shared" si="159"/>
        <v>0</v>
      </c>
    </row>
    <row r="205" spans="1:41">
      <c r="A205" s="89">
        <f>'Input data'!A145</f>
        <v>2045</v>
      </c>
      <c r="B205" s="152">
        <f>'Input data'!B145</f>
        <v>73.40362603426334</v>
      </c>
      <c r="C205" s="204">
        <f>'Input data'!C145</f>
        <v>7808.4800000000005</v>
      </c>
      <c r="D205" s="475">
        <f>'Input data'!E145</f>
        <v>1185071.3715835942</v>
      </c>
      <c r="E205" s="473">
        <f>'Input data'!J145*C205</f>
        <v>93944.179156058526</v>
      </c>
      <c r="F205" s="474">
        <f>'Input data'!L145</f>
        <v>95129.250527642114</v>
      </c>
      <c r="G205" s="474">
        <f t="shared" si="171"/>
        <v>13687.941669523079</v>
      </c>
      <c r="H205" s="474">
        <f t="shared" si="160"/>
        <v>41330.030096893039</v>
      </c>
      <c r="I205" s="475">
        <f t="shared" si="136"/>
        <v>1185.0713715835943</v>
      </c>
      <c r="J205" s="100">
        <f t="shared" si="170"/>
        <v>0.4</v>
      </c>
      <c r="K205" s="474">
        <f t="shared" si="162"/>
        <v>401.09008563859572</v>
      </c>
      <c r="L205" s="474">
        <f t="shared" si="137"/>
        <v>0</v>
      </c>
      <c r="M205" s="475">
        <f t="shared" si="163"/>
        <v>401.09008563859572</v>
      </c>
      <c r="N205" s="579">
        <f t="shared" si="169"/>
        <v>0.5</v>
      </c>
      <c r="O205" s="475">
        <f t="shared" si="138"/>
        <v>751.91700000000026</v>
      </c>
      <c r="P205" s="1043">
        <f t="shared" si="166"/>
        <v>1153.007085638596</v>
      </c>
      <c r="Q205" s="467">
        <f t="shared" si="139"/>
        <v>53864.964680777521</v>
      </c>
      <c r="R205" s="467">
        <f t="shared" si="164"/>
        <v>40177.023011254438</v>
      </c>
      <c r="S205" s="518">
        <f t="shared" si="140"/>
        <v>0.75586187447686948</v>
      </c>
      <c r="T205" s="118" t="str">
        <f t="shared" si="141"/>
        <v>Yes</v>
      </c>
      <c r="U205" s="1259">
        <f t="shared" si="142"/>
        <v>0.75586187447686948</v>
      </c>
      <c r="V205" s="1247">
        <f t="shared" si="134"/>
        <v>54952.227516387698</v>
      </c>
      <c r="W205" s="1260">
        <f t="shared" si="135"/>
        <v>0.4223414227318022</v>
      </c>
      <c r="X205" s="473">
        <f t="shared" si="143"/>
        <v>13687.941669523083</v>
      </c>
      <c r="Y205" s="474">
        <f t="shared" si="144"/>
        <v>7996.9037925844377</v>
      </c>
      <c r="Z205" s="116">
        <f t="shared" si="145"/>
        <v>4997.2071977110627</v>
      </c>
      <c r="AA205" s="116">
        <f t="shared" si="146"/>
        <v>0</v>
      </c>
      <c r="AB205" s="116">
        <f t="shared" si="147"/>
        <v>28270.174856569116</v>
      </c>
      <c r="AC205" s="116">
        <f t="shared" si="148"/>
        <v>54952.227516387698</v>
      </c>
      <c r="AD205" s="475">
        <f t="shared" si="149"/>
        <v>0</v>
      </c>
      <c r="AE205" s="579">
        <f t="shared" si="150"/>
        <v>0.24908802223606138</v>
      </c>
      <c r="AF205" s="100">
        <f t="shared" si="151"/>
        <v>0.14552465212078297</v>
      </c>
      <c r="AG205" s="100">
        <f t="shared" si="152"/>
        <v>9.0937299970611923E-2</v>
      </c>
      <c r="AH205" s="100">
        <f t="shared" si="165"/>
        <v>0</v>
      </c>
      <c r="AI205" s="100">
        <f t="shared" si="153"/>
        <v>0.51445002567254372</v>
      </c>
      <c r="AJ205" s="100">
        <f t="shared" si="154"/>
        <v>1</v>
      </c>
      <c r="AK205" s="1250">
        <f t="shared" si="155"/>
        <v>711.04282295015662</v>
      </c>
      <c r="AL205" s="1251">
        <f t="shared" si="156"/>
        <v>12240.881088495491</v>
      </c>
      <c r="AM205" s="1251">
        <f t="shared" si="157"/>
        <v>736.01775807743343</v>
      </c>
      <c r="AN205" s="1251">
        <f t="shared" si="158"/>
        <v>13687.941669523079</v>
      </c>
      <c r="AO205" s="1022">
        <f t="shared" si="159"/>
        <v>0</v>
      </c>
    </row>
    <row r="206" spans="1:41">
      <c r="A206" s="89">
        <f>'Input data'!A146</f>
        <v>2046</v>
      </c>
      <c r="B206" s="152">
        <f>'Input data'!B146</f>
        <v>73.776422042674071</v>
      </c>
      <c r="C206" s="204">
        <f>'Input data'!C146</f>
        <v>8042.25</v>
      </c>
      <c r="D206" s="475">
        <f>'Input data'!E146</f>
        <v>990067.58809674683</v>
      </c>
      <c r="E206" s="473">
        <f>'Input data'!J146*C206</f>
        <v>96756.67669223866</v>
      </c>
      <c r="F206" s="474">
        <f>'Input data'!L146</f>
        <v>97746.744280335406</v>
      </c>
      <c r="G206" s="474">
        <f t="shared" si="171"/>
        <v>13687.941669523079</v>
      </c>
      <c r="H206" s="474">
        <f t="shared" si="160"/>
        <v>42760.859465807196</v>
      </c>
      <c r="I206" s="475">
        <f t="shared" si="136"/>
        <v>990.06758809674682</v>
      </c>
      <c r="J206" s="100">
        <f t="shared" si="170"/>
        <v>0.4</v>
      </c>
      <c r="K206" s="474">
        <f t="shared" si="162"/>
        <v>335.09061413497358</v>
      </c>
      <c r="L206" s="474">
        <f t="shared" si="137"/>
        <v>0</v>
      </c>
      <c r="M206" s="475">
        <f t="shared" si="163"/>
        <v>335.09061413497358</v>
      </c>
      <c r="N206" s="579">
        <f t="shared" si="169"/>
        <v>0.5</v>
      </c>
      <c r="O206" s="475">
        <f t="shared" si="138"/>
        <v>751.91700000000026</v>
      </c>
      <c r="P206" s="1043">
        <f t="shared" si="166"/>
        <v>1087.0076141349739</v>
      </c>
      <c r="Q206" s="467">
        <f t="shared" si="139"/>
        <v>55361.793521195308</v>
      </c>
      <c r="R206" s="467">
        <f t="shared" si="164"/>
        <v>41673.851851672225</v>
      </c>
      <c r="S206" s="518">
        <f t="shared" si="140"/>
        <v>0.76091951181135764</v>
      </c>
      <c r="T206" s="118" t="str">
        <f t="shared" si="141"/>
        <v>Yes</v>
      </c>
      <c r="U206" s="1259">
        <f t="shared" si="142"/>
        <v>0.76091951181135764</v>
      </c>
      <c r="V206" s="1247">
        <f t="shared" si="134"/>
        <v>56072.892428663195</v>
      </c>
      <c r="W206" s="1260">
        <f t="shared" si="135"/>
        <v>0.42634516534026512</v>
      </c>
      <c r="X206" s="473">
        <f t="shared" si="143"/>
        <v>13687.941669523087</v>
      </c>
      <c r="Y206" s="474">
        <f t="shared" si="144"/>
        <v>8144.1218540337695</v>
      </c>
      <c r="Z206" s="116">
        <f t="shared" si="145"/>
        <v>5124.3025465521841</v>
      </c>
      <c r="AA206" s="116">
        <f t="shared" si="146"/>
        <v>0</v>
      </c>
      <c r="AB206" s="116">
        <f t="shared" si="147"/>
        <v>29116.526358554158</v>
      </c>
      <c r="AC206" s="116">
        <f t="shared" si="148"/>
        <v>56072.892428663195</v>
      </c>
      <c r="AD206" s="475">
        <f t="shared" si="149"/>
        <v>0</v>
      </c>
      <c r="AE206" s="579">
        <f t="shared" si="150"/>
        <v>0.24410978418737894</v>
      </c>
      <c r="AF206" s="100">
        <f t="shared" si="151"/>
        <v>0.14524169346881557</v>
      </c>
      <c r="AG206" s="100">
        <f t="shared" si="152"/>
        <v>9.1386449398368402E-2</v>
      </c>
      <c r="AH206" s="100">
        <f t="shared" si="165"/>
        <v>0</v>
      </c>
      <c r="AI206" s="100">
        <f t="shared" si="153"/>
        <v>0.51926207294543714</v>
      </c>
      <c r="AJ206" s="100">
        <f t="shared" si="154"/>
        <v>1</v>
      </c>
      <c r="AK206" s="1250">
        <f t="shared" si="155"/>
        <v>594.04055285804793</v>
      </c>
      <c r="AL206" s="1251">
        <f t="shared" si="156"/>
        <v>12346.170617918286</v>
      </c>
      <c r="AM206" s="1251">
        <f t="shared" si="157"/>
        <v>747.73049874675053</v>
      </c>
      <c r="AN206" s="1251">
        <f t="shared" si="158"/>
        <v>13687.941669523085</v>
      </c>
      <c r="AO206" s="1022">
        <f t="shared" si="159"/>
        <v>0</v>
      </c>
    </row>
    <row r="207" spans="1:41">
      <c r="A207" s="89">
        <f>'Input data'!A147</f>
        <v>2047</v>
      </c>
      <c r="B207" s="152">
        <f>'Input data'!B147</f>
        <v>74.134805489166112</v>
      </c>
      <c r="C207" s="204">
        <f>'Input data'!C147</f>
        <v>8187.4100000000008</v>
      </c>
      <c r="D207" s="475">
        <f>'Input data'!E147</f>
        <v>795063.80460989953</v>
      </c>
      <c r="E207" s="473">
        <f>'Input data'!J147*C207</f>
        <v>98503.103275426867</v>
      </c>
      <c r="F207" s="474">
        <f>'Input data'!L147</f>
        <v>99298.167080036772</v>
      </c>
      <c r="G207" s="474">
        <f t="shared" si="171"/>
        <v>13687.941669523079</v>
      </c>
      <c r="H207" s="474">
        <f t="shared" si="160"/>
        <v>43579.969731747144</v>
      </c>
      <c r="I207" s="475">
        <f t="shared" si="136"/>
        <v>795.06380460989953</v>
      </c>
      <c r="J207" s="100">
        <f t="shared" si="170"/>
        <v>0.4</v>
      </c>
      <c r="K207" s="474">
        <f t="shared" si="162"/>
        <v>269.09114263135149</v>
      </c>
      <c r="L207" s="474">
        <f t="shared" si="137"/>
        <v>0</v>
      </c>
      <c r="M207" s="475">
        <f t="shared" si="163"/>
        <v>269.09114263135149</v>
      </c>
      <c r="N207" s="579">
        <f t="shared" si="169"/>
        <v>0.5</v>
      </c>
      <c r="O207" s="475">
        <f t="shared" si="138"/>
        <v>751.91700000000026</v>
      </c>
      <c r="P207" s="1043">
        <f t="shared" si="166"/>
        <v>1021.0081426313518</v>
      </c>
      <c r="Q207" s="467">
        <f t="shared" si="139"/>
        <v>56246.903258638878</v>
      </c>
      <c r="R207" s="467">
        <f t="shared" si="164"/>
        <v>42558.961589115803</v>
      </c>
      <c r="S207" s="518">
        <f t="shared" si="140"/>
        <v>0.76311752964665747</v>
      </c>
      <c r="T207" s="118" t="str">
        <f t="shared" si="141"/>
        <v>Yes</v>
      </c>
      <c r="U207" s="1259">
        <f t="shared" si="142"/>
        <v>0.76311752964665747</v>
      </c>
      <c r="V207" s="1247">
        <f t="shared" si="134"/>
        <v>56739.205490920976</v>
      </c>
      <c r="W207" s="1260">
        <f t="shared" si="135"/>
        <v>0.42859765533045768</v>
      </c>
      <c r="X207" s="473">
        <f t="shared" si="143"/>
        <v>13687.941669523078</v>
      </c>
      <c r="Y207" s="474">
        <f t="shared" si="144"/>
        <v>8205.9709351736819</v>
      </c>
      <c r="Z207" s="116">
        <f t="shared" si="145"/>
        <v>5203.2226853115508</v>
      </c>
      <c r="AA207" s="116">
        <f t="shared" si="146"/>
        <v>0</v>
      </c>
      <c r="AB207" s="116">
        <f t="shared" si="147"/>
        <v>29642.070200912669</v>
      </c>
      <c r="AC207" s="116">
        <f t="shared" si="148"/>
        <v>56739.205490920976</v>
      </c>
      <c r="AD207" s="1240">
        <f t="shared" si="149"/>
        <v>0</v>
      </c>
      <c r="AE207" s="579">
        <f t="shared" si="150"/>
        <v>0.24124309727448209</v>
      </c>
      <c r="AF207" s="100">
        <f t="shared" si="151"/>
        <v>0.1446261163541803</v>
      </c>
      <c r="AG207" s="100">
        <f t="shared" si="152"/>
        <v>9.1704186554817643E-2</v>
      </c>
      <c r="AH207" s="100">
        <f t="shared" si="165"/>
        <v>0</v>
      </c>
      <c r="AI207" s="100">
        <f t="shared" si="153"/>
        <v>0.52242659981652007</v>
      </c>
      <c r="AJ207" s="100">
        <f t="shared" si="154"/>
        <v>1</v>
      </c>
      <c r="AK207" s="1250">
        <f t="shared" si="155"/>
        <v>477.03828276593964</v>
      </c>
      <c r="AL207" s="1251">
        <f t="shared" si="156"/>
        <v>12453.460098630778</v>
      </c>
      <c r="AM207" s="1251">
        <f t="shared" si="157"/>
        <v>757.44328812635797</v>
      </c>
      <c r="AN207" s="1251">
        <f t="shared" si="158"/>
        <v>13687.941669523076</v>
      </c>
      <c r="AO207" s="1022">
        <f t="shared" si="159"/>
        <v>0</v>
      </c>
    </row>
    <row r="208" spans="1:41">
      <c r="A208" s="89">
        <f>'Input data'!A148</f>
        <v>2048</v>
      </c>
      <c r="B208" s="152">
        <f>'Input data'!B148</f>
        <v>74.478544758379343</v>
      </c>
      <c r="C208" s="204">
        <f>'Input data'!C148</f>
        <v>8322.6399999999976</v>
      </c>
      <c r="D208" s="475">
        <f>'Input data'!E148</f>
        <v>600060.02112305223</v>
      </c>
      <c r="E208" s="473">
        <f>'Input data'!J148*C208</f>
        <v>100130.06157554078</v>
      </c>
      <c r="F208" s="474">
        <f>'Input data'!L148</f>
        <v>100730.12159666383</v>
      </c>
      <c r="G208" s="474">
        <f t="shared" si="171"/>
        <v>13687.941669523079</v>
      </c>
      <c r="H208" s="474">
        <f t="shared" si="160"/>
        <v>44330.528246276022</v>
      </c>
      <c r="I208" s="475">
        <f t="shared" si="136"/>
        <v>600.06002112305225</v>
      </c>
      <c r="J208" s="100">
        <f t="shared" si="170"/>
        <v>0.4</v>
      </c>
      <c r="K208" s="474">
        <f t="shared" si="162"/>
        <v>203.0916711277294</v>
      </c>
      <c r="L208" s="474">
        <f t="shared" si="137"/>
        <v>0</v>
      </c>
      <c r="M208" s="475">
        <f t="shared" si="163"/>
        <v>203.0916711277294</v>
      </c>
      <c r="N208" s="579">
        <f t="shared" si="169"/>
        <v>0.5</v>
      </c>
      <c r="O208" s="475">
        <f t="shared" si="138"/>
        <v>751.91700000000026</v>
      </c>
      <c r="P208" s="1043">
        <f t="shared" si="166"/>
        <v>955.00867112772971</v>
      </c>
      <c r="Q208" s="467">
        <f t="shared" si="139"/>
        <v>57063.461244671365</v>
      </c>
      <c r="R208" s="467">
        <f t="shared" si="164"/>
        <v>43375.519575148282</v>
      </c>
      <c r="S208" s="518">
        <f t="shared" si="140"/>
        <v>0.76495413456384354</v>
      </c>
      <c r="T208" s="118" t="str">
        <f t="shared" si="141"/>
        <v>Yes</v>
      </c>
      <c r="U208" s="1259">
        <f t="shared" si="142"/>
        <v>0.76495413456384354</v>
      </c>
      <c r="V208" s="1247">
        <f t="shared" si="134"/>
        <v>57354.602021515551</v>
      </c>
      <c r="W208" s="1260">
        <f t="shared" si="135"/>
        <v>0.43061121030737315</v>
      </c>
      <c r="X208" s="473">
        <f t="shared" si="143"/>
        <v>13687.941669523083</v>
      </c>
      <c r="Y208" s="474">
        <f t="shared" si="144"/>
        <v>8258.2532182719169</v>
      </c>
      <c r="Z208" s="116">
        <f t="shared" si="145"/>
        <v>5276.7441124569687</v>
      </c>
      <c r="AA208" s="116">
        <f t="shared" si="146"/>
        <v>0</v>
      </c>
      <c r="AB208" s="116">
        <f t="shared" si="147"/>
        <v>30131.663021263586</v>
      </c>
      <c r="AC208" s="116">
        <f t="shared" si="148"/>
        <v>57354.602021515551</v>
      </c>
      <c r="AD208" s="1240">
        <f t="shared" si="149"/>
        <v>0</v>
      </c>
      <c r="AE208" s="579">
        <f t="shared" si="150"/>
        <v>0.23865463602011042</v>
      </c>
      <c r="AF208" s="100">
        <f t="shared" si="151"/>
        <v>0.14398588652352573</v>
      </c>
      <c r="AG208" s="100">
        <f t="shared" si="152"/>
        <v>9.2002104913525382E-2</v>
      </c>
      <c r="AH208" s="100">
        <f t="shared" si="165"/>
        <v>0</v>
      </c>
      <c r="AI208" s="100">
        <f t="shared" si="153"/>
        <v>0.52535737254283854</v>
      </c>
      <c r="AJ208" s="100">
        <f t="shared" si="154"/>
        <v>1</v>
      </c>
      <c r="AK208" s="1250">
        <f t="shared" si="155"/>
        <v>360.03601267383129</v>
      </c>
      <c r="AL208" s="1251">
        <f t="shared" si="156"/>
        <v>12561.002343122487</v>
      </c>
      <c r="AM208" s="1251">
        <f t="shared" si="157"/>
        <v>766.90331372676269</v>
      </c>
      <c r="AN208" s="1251">
        <f t="shared" si="158"/>
        <v>13687.941669523081</v>
      </c>
      <c r="AO208" s="1022">
        <f t="shared" si="159"/>
        <v>0</v>
      </c>
    </row>
    <row r="209" spans="1:41">
      <c r="A209" s="89">
        <f>'Input data'!A149</f>
        <v>2049</v>
      </c>
      <c r="B209" s="152">
        <f>'Input data'!B149</f>
        <v>74.807416768507309</v>
      </c>
      <c r="C209" s="204">
        <f>'Input data'!C149</f>
        <v>8457.3799999999992</v>
      </c>
      <c r="D209" s="475">
        <f>'Input data'!E149</f>
        <v>405056.23763620481</v>
      </c>
      <c r="E209" s="473">
        <f>'Input data'!J149*C209</f>
        <v>101751.12466329761</v>
      </c>
      <c r="F209" s="474">
        <f>'Input data'!L149</f>
        <v>102156.18090093382</v>
      </c>
      <c r="G209" s="474">
        <f t="shared" si="171"/>
        <v>13687.941669523079</v>
      </c>
      <c r="H209" s="474">
        <f t="shared" si="160"/>
        <v>45077.704045982013</v>
      </c>
      <c r="I209" s="475">
        <f t="shared" si="136"/>
        <v>405.0562376362048</v>
      </c>
      <c r="J209" s="100">
        <f t="shared" si="170"/>
        <v>0.4</v>
      </c>
      <c r="K209" s="474">
        <f t="shared" si="162"/>
        <v>137.09219962410731</v>
      </c>
      <c r="L209" s="474">
        <f t="shared" si="137"/>
        <v>0</v>
      </c>
      <c r="M209" s="475">
        <f t="shared" si="163"/>
        <v>137.09219962410731</v>
      </c>
      <c r="N209" s="579">
        <f t="shared" si="169"/>
        <v>0.5</v>
      </c>
      <c r="O209" s="475">
        <f t="shared" si="138"/>
        <v>751.91700000000026</v>
      </c>
      <c r="P209" s="1043">
        <f t="shared" si="166"/>
        <v>889.00919962410762</v>
      </c>
      <c r="Q209" s="467">
        <f t="shared" si="139"/>
        <v>57876.636515880986</v>
      </c>
      <c r="R209" s="467">
        <f t="shared" si="164"/>
        <v>44188.694846357903</v>
      </c>
      <c r="S209" s="518">
        <f t="shared" si="140"/>
        <v>0.76671755226153981</v>
      </c>
      <c r="T209" s="118" t="str">
        <f t="shared" si="141"/>
        <v>Yes</v>
      </c>
      <c r="U209" s="1259">
        <f t="shared" si="142"/>
        <v>0.76671755226153981</v>
      </c>
      <c r="V209" s="1247">
        <f t="shared" si="134"/>
        <v>57967.486054575915</v>
      </c>
      <c r="W209" s="1260">
        <f t="shared" si="135"/>
        <v>0.43256016872057879</v>
      </c>
      <c r="X209" s="473">
        <f t="shared" si="143"/>
        <v>13687.941669523083</v>
      </c>
      <c r="Y209" s="474">
        <f t="shared" si="144"/>
        <v>8310.063423722584</v>
      </c>
      <c r="Z209" s="116">
        <f t="shared" si="145"/>
        <v>5349.9991379215398</v>
      </c>
      <c r="AA209" s="116">
        <f t="shared" si="146"/>
        <v>0</v>
      </c>
      <c r="AB209" s="116">
        <f t="shared" si="147"/>
        <v>30619.481823408714</v>
      </c>
      <c r="AC209" s="116">
        <f t="shared" si="148"/>
        <v>57967.486054575915</v>
      </c>
      <c r="AD209" s="1240">
        <f t="shared" si="149"/>
        <v>0</v>
      </c>
      <c r="AE209" s="579">
        <f t="shared" si="150"/>
        <v>0.23613136606676366</v>
      </c>
      <c r="AF209" s="100">
        <f t="shared" si="151"/>
        <v>0.14335731958254541</v>
      </c>
      <c r="AG209" s="100">
        <f t="shared" si="152"/>
        <v>9.2293102600388074E-2</v>
      </c>
      <c r="AH209" s="100">
        <f t="shared" si="165"/>
        <v>0</v>
      </c>
      <c r="AI209" s="100">
        <f t="shared" si="153"/>
        <v>0.52821821175030292</v>
      </c>
      <c r="AJ209" s="100">
        <f t="shared" si="154"/>
        <v>1</v>
      </c>
      <c r="AK209" s="1250">
        <f t="shared" si="155"/>
        <v>243.03374258172283</v>
      </c>
      <c r="AL209" s="1251">
        <f t="shared" si="156"/>
        <v>12668.595773051293</v>
      </c>
      <c r="AM209" s="1251">
        <f t="shared" si="157"/>
        <v>776.31215389006582</v>
      </c>
      <c r="AN209" s="1251">
        <f t="shared" si="158"/>
        <v>13687.941669523081</v>
      </c>
      <c r="AO209" s="1022">
        <f t="shared" si="159"/>
        <v>0</v>
      </c>
    </row>
    <row r="210" spans="1:41" ht="15.75" thickBot="1">
      <c r="A210" s="141">
        <f>'Input data'!A150</f>
        <v>2050</v>
      </c>
      <c r="B210" s="593">
        <f>'Input data'!B150</f>
        <v>75.121207211856714</v>
      </c>
      <c r="C210" s="207">
        <f>'Input data'!C150</f>
        <v>8589.119999999999</v>
      </c>
      <c r="D210" s="589">
        <f>'Input data'!E150</f>
        <v>210052.45414935748</v>
      </c>
      <c r="E210" s="598">
        <f>'Input data'!J150*C210</f>
        <v>103336.09461417398</v>
      </c>
      <c r="F210" s="595">
        <f>'Input data'!L150</f>
        <v>103546.14706832333</v>
      </c>
      <c r="G210" s="595">
        <f t="shared" si="171"/>
        <v>13687.941669523079</v>
      </c>
      <c r="H210" s="595">
        <f t="shared" si="160"/>
        <v>45804.16934677228</v>
      </c>
      <c r="I210" s="589">
        <f t="shared" si="136"/>
        <v>210.05245414935749</v>
      </c>
      <c r="J210" s="581">
        <f t="shared" si="170"/>
        <v>0.4</v>
      </c>
      <c r="K210" s="595">
        <f t="shared" si="162"/>
        <v>71.092728120485219</v>
      </c>
      <c r="L210" s="595">
        <f t="shared" si="137"/>
        <v>0</v>
      </c>
      <c r="M210" s="589">
        <f t="shared" si="163"/>
        <v>71.092728120485219</v>
      </c>
      <c r="N210" s="580">
        <f t="shared" si="169"/>
        <v>0.5</v>
      </c>
      <c r="O210" s="589">
        <f t="shared" si="138"/>
        <v>751.91700000000026</v>
      </c>
      <c r="P210" s="1390">
        <f t="shared" si="166"/>
        <v>823.00972812048553</v>
      </c>
      <c r="Q210" s="1238">
        <f t="shared" si="139"/>
        <v>58669.101288174876</v>
      </c>
      <c r="R210" s="1238">
        <f t="shared" si="164"/>
        <v>44981.1596186518</v>
      </c>
      <c r="S210" s="520">
        <f t="shared" si="140"/>
        <v>0.76834302950406852</v>
      </c>
      <c r="T210" s="951" t="str">
        <f t="shared" si="141"/>
        <v>Yes</v>
      </c>
      <c r="U210" s="1261">
        <f t="shared" si="142"/>
        <v>0.76834302950406852</v>
      </c>
      <c r="V210" s="1248">
        <f t="shared" si="134"/>
        <v>58564.987449671549</v>
      </c>
      <c r="W210" s="1262">
        <f t="shared" si="135"/>
        <v>0.43440688902670288</v>
      </c>
      <c r="X210" s="598">
        <f t="shared" si="143"/>
        <v>13687.941669523072</v>
      </c>
      <c r="Y210" s="595">
        <f t="shared" si="144"/>
        <v>8358.9833578615653</v>
      </c>
      <c r="Z210" s="1264">
        <f t="shared" si="145"/>
        <v>5421.623132687032</v>
      </c>
      <c r="AA210" s="1264">
        <f t="shared" si="146"/>
        <v>0</v>
      </c>
      <c r="AB210" s="1264">
        <f t="shared" si="147"/>
        <v>31096.439289599883</v>
      </c>
      <c r="AC210" s="1264">
        <f t="shared" si="148"/>
        <v>58564.987449671549</v>
      </c>
      <c r="AD210" s="1241">
        <f t="shared" si="149"/>
        <v>0</v>
      </c>
      <c r="AE210" s="580">
        <f t="shared" si="150"/>
        <v>0.23372226761400661</v>
      </c>
      <c r="AF210" s="581">
        <f t="shared" si="151"/>
        <v>0.14273004608845768</v>
      </c>
      <c r="AG210" s="581">
        <f t="shared" si="152"/>
        <v>9.257447783705515E-2</v>
      </c>
      <c r="AH210" s="581">
        <f t="shared" si="165"/>
        <v>0</v>
      </c>
      <c r="AI210" s="581">
        <f>AB210/AC210</f>
        <v>0.53097320846048057</v>
      </c>
      <c r="AJ210" s="581">
        <f t="shared" si="154"/>
        <v>1</v>
      </c>
      <c r="AK210" s="1252">
        <f t="shared" si="155"/>
        <v>126.03147248961449</v>
      </c>
      <c r="AL210" s="1253">
        <f t="shared" si="156"/>
        <v>12776.285675322402</v>
      </c>
      <c r="AM210" s="1253">
        <f t="shared" si="157"/>
        <v>785.62452171105349</v>
      </c>
      <c r="AN210" s="1253">
        <f t="shared" si="158"/>
        <v>13687.94166952307</v>
      </c>
      <c r="AO210" s="1023">
        <f t="shared" si="159"/>
        <v>0</v>
      </c>
    </row>
  </sheetData>
  <mergeCells count="78">
    <mergeCell ref="AE94:AE95"/>
    <mergeCell ref="BC94:BC95"/>
    <mergeCell ref="AK134:AO134"/>
    <mergeCell ref="AR94:BB94"/>
    <mergeCell ref="BM94:BT94"/>
    <mergeCell ref="BE94:BL94"/>
    <mergeCell ref="BD94:BD96"/>
    <mergeCell ref="CB94:CC94"/>
    <mergeCell ref="CG94:CM94"/>
    <mergeCell ref="CM95:CM96"/>
    <mergeCell ref="CD94:CE94"/>
    <mergeCell ref="BV94:BX94"/>
    <mergeCell ref="BY94:CA94"/>
    <mergeCell ref="N174:O174"/>
    <mergeCell ref="P174:P175"/>
    <mergeCell ref="Q174:Q175"/>
    <mergeCell ref="R174:R175"/>
    <mergeCell ref="S174:S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A175:A176"/>
    <mergeCell ref="A174:D174"/>
    <mergeCell ref="E174:I174"/>
    <mergeCell ref="J174:L174"/>
    <mergeCell ref="M174:M175"/>
    <mergeCell ref="A135:A136"/>
    <mergeCell ref="P134:P135"/>
    <mergeCell ref="Q134:Q135"/>
    <mergeCell ref="A134:D134"/>
    <mergeCell ref="E134:I134"/>
    <mergeCell ref="M134:M135"/>
    <mergeCell ref="N134:O134"/>
    <mergeCell ref="J134:L134"/>
    <mergeCell ref="A36:A37"/>
    <mergeCell ref="C42:I42"/>
    <mergeCell ref="Q42:W42"/>
    <mergeCell ref="A94:D94"/>
    <mergeCell ref="E94:G94"/>
    <mergeCell ref="H94:K94"/>
    <mergeCell ref="L94:P94"/>
    <mergeCell ref="Q94:U94"/>
    <mergeCell ref="V94:V95"/>
    <mergeCell ref="W94:X94"/>
    <mergeCell ref="J42:P42"/>
    <mergeCell ref="A95:A96"/>
    <mergeCell ref="A26:A27"/>
    <mergeCell ref="B26:B27"/>
    <mergeCell ref="E26:E27"/>
    <mergeCell ref="F26:F27"/>
    <mergeCell ref="A4:A6"/>
    <mergeCell ref="B4:B6"/>
    <mergeCell ref="A8:A9"/>
    <mergeCell ref="B8:F8"/>
    <mergeCell ref="G8:I8"/>
    <mergeCell ref="H26:H27"/>
    <mergeCell ref="C29:D29"/>
    <mergeCell ref="E29:F29"/>
    <mergeCell ref="G29:H29"/>
    <mergeCell ref="G26:G27"/>
    <mergeCell ref="R134:R135"/>
    <mergeCell ref="T134:T136"/>
    <mergeCell ref="S134:S135"/>
    <mergeCell ref="V134:V135"/>
    <mergeCell ref="V174:V175"/>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28515625" defaultRowHeight="15"/>
  <cols>
    <col min="1" max="1" width="39.7109375" customWidth="1"/>
    <col min="2" max="2" width="32.85546875" customWidth="1"/>
    <col min="3" max="3" width="57.7109375" customWidth="1"/>
    <col min="4" max="4" width="35.5703125" hidden="1" customWidth="1"/>
    <col min="5" max="5" width="10.42578125" hidden="1" customWidth="1"/>
    <col min="6" max="6" width="9" hidden="1" customWidth="1"/>
    <col min="7" max="8" width="10" hidden="1" customWidth="1"/>
    <col min="9" max="9" width="1.7109375" customWidth="1"/>
    <col min="10" max="10" width="20.42578125" customWidth="1"/>
    <col min="11" max="11" width="21" customWidth="1"/>
    <col min="12" max="14" width="17.7109375" customWidth="1"/>
    <col min="15" max="15" width="17.140625" customWidth="1"/>
    <col min="16" max="16" width="12.140625" customWidth="1"/>
    <col min="24" max="24" width="17" customWidth="1"/>
    <col min="25" max="25" width="30.28515625" customWidth="1"/>
    <col min="26" max="26" width="13.42578125" customWidth="1"/>
    <col min="27" max="27" width="13.42578125" bestFit="1" customWidth="1"/>
    <col min="28" max="28" width="14.5703125" customWidth="1"/>
    <col min="29" max="29" width="12.7109375" customWidth="1"/>
    <col min="30" max="30" width="14.28515625" customWidth="1"/>
    <col min="31" max="31" width="18.28515625" bestFit="1" customWidth="1"/>
    <col min="32" max="32" width="16.85546875" customWidth="1"/>
    <col min="33" max="33" width="20.28515625" customWidth="1"/>
    <col min="34" max="34" width="13.42578125" customWidth="1"/>
    <col min="35" max="35" width="13.28515625" customWidth="1"/>
    <col min="36" max="36" width="14.5703125" customWidth="1"/>
    <col min="37" max="37" width="14.7109375" customWidth="1"/>
    <col min="38" max="38" width="12.85546875" customWidth="1"/>
    <col min="39" max="39" width="13" customWidth="1"/>
    <col min="40" max="40" width="13.5703125" customWidth="1"/>
    <col min="41" max="41" width="12.85546875" customWidth="1"/>
    <col min="42" max="42" width="14.570312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75">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5">
      <c r="A4" s="308" t="s">
        <v>352</v>
      </c>
      <c r="B4" s="308"/>
      <c r="C4" s="308" t="s">
        <v>353</v>
      </c>
      <c r="D4" s="309" t="s">
        <v>381</v>
      </c>
      <c r="E4" s="310" t="s">
        <v>382</v>
      </c>
      <c r="F4" s="311" t="s">
        <v>383</v>
      </c>
      <c r="G4" s="311"/>
      <c r="H4" s="311"/>
      <c r="I4" s="310" t="s">
        <v>384</v>
      </c>
      <c r="J4" s="1636" t="s">
        <v>545</v>
      </c>
      <c r="K4" s="1635" t="s">
        <v>546</v>
      </c>
      <c r="L4" s="1635" t="s">
        <v>547</v>
      </c>
      <c r="M4" s="1635" t="s">
        <v>548</v>
      </c>
      <c r="N4" s="1635" t="s">
        <v>498</v>
      </c>
      <c r="O4" s="1635"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6" t="s">
        <v>355</v>
      </c>
      <c r="K5" s="1635"/>
      <c r="L5" s="1635"/>
      <c r="M5" s="1635"/>
      <c r="N5" s="1635"/>
      <c r="O5" s="1635"/>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75">
      <c r="A6" s="1632"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75">
      <c r="A7" s="1632"/>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75">
      <c r="A8" s="1632"/>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63"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63"/>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63"/>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75">
      <c r="A12" s="1563"/>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63"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63"/>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30">
      <c r="A15" s="1563"/>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75">
      <c r="A16" s="1563"/>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75">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75">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75">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75">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75">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75">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75">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75">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75">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75">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75">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75">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75">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75">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75">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75">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75">
      <c r="A33" s="1633" t="s">
        <v>392</v>
      </c>
      <c r="B33" s="1633"/>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75">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75">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75">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75">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75">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4"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4"/>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4"/>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4"/>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4"/>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75">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75">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75">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75">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75">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75">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75">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75">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75">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75">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75">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75">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75">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75">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30">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75">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75">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75">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75">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75">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75">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75">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75">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75">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75">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75">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75">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75">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75">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75">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75">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75">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O4:O5"/>
    <mergeCell ref="J4:J5"/>
    <mergeCell ref="K4:K5"/>
    <mergeCell ref="L4:L5"/>
    <mergeCell ref="M4:M5"/>
    <mergeCell ref="N4:N5"/>
    <mergeCell ref="A6:A8"/>
    <mergeCell ref="A9:A12"/>
    <mergeCell ref="A13:A16"/>
    <mergeCell ref="A33:B33"/>
    <mergeCell ref="A39:A4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5"/>
  <cols>
    <col min="1" max="1" width="17.5703125" customWidth="1"/>
    <col min="2" max="2" width="80" customWidth="1"/>
    <col min="3" max="3" width="22.5703125" customWidth="1"/>
    <col min="4" max="4" width="15.140625" customWidth="1"/>
    <col min="5" max="5" width="22.28515625" customWidth="1"/>
    <col min="6" max="6" width="13.140625" customWidth="1"/>
    <col min="7" max="7" width="27.5703125" customWidth="1"/>
    <col min="10" max="10" width="13.7109375" customWidth="1"/>
    <col min="13" max="13" width="8.85546875" customWidth="1"/>
    <col min="14" max="14" width="12.28515625" customWidth="1"/>
    <col min="18" max="18" width="13.140625" customWidth="1"/>
    <col min="19" max="19" width="15.85546875" customWidth="1"/>
  </cols>
  <sheetData>
    <row r="1" spans="2:10">
      <c r="B1" s="2" t="s">
        <v>0</v>
      </c>
    </row>
    <row r="2" spans="2:10" ht="15.7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30">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7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30">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7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7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75">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5"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75" thickBot="1">
      <c r="B103" s="134"/>
      <c r="C103" s="137"/>
      <c r="D103" s="137"/>
      <c r="E103" s="137"/>
      <c r="F103" s="135"/>
      <c r="G103" s="136"/>
      <c r="H103" s="142"/>
      <c r="I103" s="142"/>
      <c r="J103" s="123"/>
    </row>
    <row r="104" spans="2:20">
      <c r="B104" s="511" t="s">
        <v>521</v>
      </c>
      <c r="C104" s="94"/>
      <c r="D104" s="94"/>
      <c r="E104" s="94"/>
      <c r="F104" s="95"/>
      <c r="G104" s="97"/>
    </row>
    <row r="105" spans="2:20" ht="15.75">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75" thickBot="1"/>
    <row r="112" spans="2:20" ht="15.75" thickBot="1">
      <c r="C112" s="1639" t="s">
        <v>267</v>
      </c>
      <c r="D112" s="1640"/>
      <c r="E112" s="1640"/>
      <c r="F112" s="1640"/>
      <c r="G112" s="1640"/>
      <c r="H112" s="1641"/>
      <c r="I112" s="1639" t="s">
        <v>268</v>
      </c>
      <c r="J112" s="1640"/>
      <c r="K112" s="1640"/>
      <c r="L112" s="1640"/>
      <c r="M112" s="1640"/>
      <c r="N112" s="1641"/>
      <c r="R112" s="255" t="s">
        <v>267</v>
      </c>
      <c r="S112" s="256" t="s">
        <v>268</v>
      </c>
    </row>
    <row r="113" spans="2:20" ht="51">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7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7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7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7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7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7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7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7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7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7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7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7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7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formula1>"""1"""</formula1>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5"/>
  <cols>
    <col min="1" max="1" width="64.7109375" customWidth="1"/>
    <col min="2" max="3" width="20.42578125" customWidth="1"/>
    <col min="4"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2.1406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3.8554687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6" max="56" width="8.85546875" style="930"/>
    <col min="57" max="57" width="11.28515625" customWidth="1"/>
    <col min="59" max="59" width="12.28515625" customWidth="1"/>
    <col min="61" max="62" width="11.28515625" customWidth="1"/>
    <col min="63" max="63" width="11.28515625" style="930" customWidth="1"/>
    <col min="64" max="64" width="11.2851562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75" thickBot="1">
      <c r="A14" s="134" t="s">
        <v>721</v>
      </c>
      <c r="B14" s="142"/>
      <c r="C14" s="142"/>
      <c r="D14" s="607">
        <f>'Waste Summary 2017 SASOW'!$L$26</f>
        <v>6.9875113374971584E-2</v>
      </c>
      <c r="E14" s="123"/>
      <c r="X14" s="1" t="s">
        <v>643</v>
      </c>
      <c r="AH14" s="1" t="s">
        <v>641</v>
      </c>
      <c r="BB14" s="266" t="s">
        <v>643</v>
      </c>
      <c r="BI14" t="s">
        <v>641</v>
      </c>
    </row>
    <row r="15" spans="1:66" ht="15.75" thickBot="1">
      <c r="N15" s="199" t="s">
        <v>267</v>
      </c>
      <c r="X15" s="2" t="s">
        <v>318</v>
      </c>
      <c r="AH15" s="2" t="s">
        <v>632</v>
      </c>
      <c r="AR15" s="2" t="s">
        <v>320</v>
      </c>
      <c r="BB15" s="1445" t="s">
        <v>319</v>
      </c>
      <c r="BC15" s="1446"/>
      <c r="BD15" s="1446"/>
      <c r="BE15" s="1446"/>
      <c r="BF15" s="1446"/>
      <c r="BG15" s="1447"/>
      <c r="BI15" s="1445" t="s">
        <v>319</v>
      </c>
      <c r="BJ15" s="1446"/>
      <c r="BK15" s="1446"/>
      <c r="BL15" s="1446"/>
      <c r="BM15" s="1446"/>
      <c r="BN15" s="1447"/>
    </row>
    <row r="16" spans="1:66" ht="60">
      <c r="A16" s="1652" t="s">
        <v>217</v>
      </c>
      <c r="B16" s="1655" t="s">
        <v>218</v>
      </c>
      <c r="C16" s="1655" t="s">
        <v>219</v>
      </c>
      <c r="D16" s="1652"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3"/>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7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15"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811.8058859361247</v>
      </c>
      <c r="Y89" s="886">
        <f>Parameters!S190</f>
        <v>0.71500000000000008</v>
      </c>
      <c r="Z89" s="887">
        <f t="shared" si="68"/>
        <v>0.4</v>
      </c>
      <c r="AA89" s="888">
        <f t="shared" si="69"/>
        <v>116.08824168886585</v>
      </c>
      <c r="AB89" s="888">
        <f t="shared" si="70"/>
        <v>116.08824168886585</v>
      </c>
      <c r="AC89" s="311">
        <f t="shared" si="71"/>
        <v>0</v>
      </c>
      <c r="AD89" s="888">
        <f t="shared" si="72"/>
        <v>10177.892060020777</v>
      </c>
      <c r="AE89" s="888">
        <f t="shared" si="73"/>
        <v>515.87971328634205</v>
      </c>
      <c r="AF89" s="889">
        <f t="shared" si="74"/>
        <v>343.91980885756135</v>
      </c>
      <c r="AH89" s="885">
        <f>'Recycling - Case 1'!AM179</f>
        <v>811.8058859361247</v>
      </c>
      <c r="AI89" s="886">
        <f>Parameters!S190</f>
        <v>0.71500000000000008</v>
      </c>
      <c r="AJ89" s="887">
        <f t="shared" si="75"/>
        <v>0.4</v>
      </c>
      <c r="AK89" s="888">
        <f t="shared" si="76"/>
        <v>116.08824168886585</v>
      </c>
      <c r="AL89" s="888">
        <f t="shared" si="77"/>
        <v>116.08824168886585</v>
      </c>
      <c r="AM89" s="311">
        <f t="shared" si="78"/>
        <v>0</v>
      </c>
      <c r="AN89" s="888">
        <f t="shared" si="79"/>
        <v>10177.892060020777</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59.308690000000006</v>
      </c>
      <c r="C90" s="728">
        <f>'Recycling - Case 1'!AK100/B90</f>
        <v>394.54747036689599</v>
      </c>
      <c r="D90" s="729">
        <f>'Recycling - Case 1'!AM100</f>
        <v>0.40584133227313579</v>
      </c>
      <c r="E90" s="729">
        <f>'Recycling - Case 1'!BE100</f>
        <v>0.22306252191072812</v>
      </c>
      <c r="F90" s="729">
        <f>'Recycling - Case 1'!BF100</f>
        <v>0.28290362436222583</v>
      </c>
      <c r="G90" s="729">
        <f>'Recycling - Case 1'!BG100</f>
        <v>6.3977278058215084E-2</v>
      </c>
      <c r="H90" s="729">
        <f>'Recycling - Case 1'!BH100</f>
        <v>0</v>
      </c>
      <c r="I90" s="729">
        <f>'Recycling - Case 1'!BI100</f>
        <v>0</v>
      </c>
      <c r="J90" s="729">
        <f>'Recycling - Case 1'!BJ100</f>
        <v>0</v>
      </c>
      <c r="K90" s="729">
        <f>'Recycling - Case 1'!BK100</f>
        <v>0.43005657566883099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734">
        <f t="shared" si="62"/>
        <v>417.91759486260537</v>
      </c>
      <c r="R90" s="734">
        <f t="shared" si="63"/>
        <v>417.91759486260537</v>
      </c>
      <c r="S90" s="737">
        <f t="shared" si="64"/>
        <v>0</v>
      </c>
      <c r="T90" s="734">
        <f t="shared" si="65"/>
        <v>13416.533445234772</v>
      </c>
      <c r="U90" s="734">
        <f t="shared" si="66"/>
        <v>666.453286019345</v>
      </c>
      <c r="V90" s="741">
        <f t="shared" si="67"/>
        <v>444.30219067956335</v>
      </c>
      <c r="W90" s="383"/>
      <c r="X90" s="885">
        <f>'Recycling - Case 1'!AM140</f>
        <v>727.80591992144798</v>
      </c>
      <c r="Y90" s="886">
        <f>Parameters!S191</f>
        <v>0.71500000000000008</v>
      </c>
      <c r="Z90" s="887">
        <f t="shared" si="68"/>
        <v>0.4</v>
      </c>
      <c r="AA90" s="888">
        <f t="shared" si="69"/>
        <v>104.07624654876709</v>
      </c>
      <c r="AB90" s="888">
        <f t="shared" si="70"/>
        <v>104.07624654876709</v>
      </c>
      <c r="AC90" s="311">
        <f t="shared" si="71"/>
        <v>0</v>
      </c>
      <c r="AD90" s="888">
        <f t="shared" si="72"/>
        <v>9785.5866534327179</v>
      </c>
      <c r="AE90" s="888">
        <f t="shared" si="73"/>
        <v>496.38165313682663</v>
      </c>
      <c r="AF90" s="889">
        <f t="shared" si="74"/>
        <v>330.92110209121773</v>
      </c>
      <c r="AH90" s="885">
        <f>'Recycling - Case 1'!AM180</f>
        <v>727.80591992144798</v>
      </c>
      <c r="AI90" s="886">
        <f>Parameters!S191</f>
        <v>0.71500000000000008</v>
      </c>
      <c r="AJ90" s="887">
        <f t="shared" si="75"/>
        <v>0.4</v>
      </c>
      <c r="AK90" s="888">
        <f t="shared" si="76"/>
        <v>104.07624654876709</v>
      </c>
      <c r="AL90" s="888">
        <f t="shared" si="77"/>
        <v>104.07624654876709</v>
      </c>
      <c r="AM90" s="311">
        <f t="shared" si="78"/>
        <v>0</v>
      </c>
      <c r="AN90" s="888">
        <f t="shared" si="79"/>
        <v>9785.5866534327179</v>
      </c>
      <c r="AO90" s="888">
        <f t="shared" si="80"/>
        <v>496.38165313682663</v>
      </c>
      <c r="AP90" s="889">
        <f t="shared" si="81"/>
        <v>330.92110209121773</v>
      </c>
      <c r="AR90" s="901">
        <f>'Recycling - Case 1'!G100</f>
        <v>538.51529150686906</v>
      </c>
      <c r="AS90" s="920">
        <v>1</v>
      </c>
      <c r="AT90" s="902">
        <f t="shared" si="82"/>
        <v>0.05</v>
      </c>
      <c r="AU90" s="903">
        <f t="shared" si="83"/>
        <v>13.462882287671727</v>
      </c>
      <c r="AV90" s="903">
        <f t="shared" si="84"/>
        <v>13.462882287671727</v>
      </c>
      <c r="AW90" s="279">
        <f t="shared" si="85"/>
        <v>0</v>
      </c>
      <c r="AX90" s="903">
        <f t="shared" si="51"/>
        <v>155.85996766925578</v>
      </c>
      <c r="AY90" s="903">
        <f t="shared" si="54"/>
        <v>8.8053439981218684</v>
      </c>
      <c r="AZ90" s="921">
        <f t="shared" si="52"/>
        <v>5.8702293320812453</v>
      </c>
      <c r="BB90" s="913">
        <f t="shared" si="86"/>
        <v>444.30219067956335</v>
      </c>
      <c r="BC90" s="914">
        <f t="shared" si="87"/>
        <v>330.92110209121773</v>
      </c>
      <c r="BD90" s="933">
        <f t="shared" si="101"/>
        <v>5.8702293320812453</v>
      </c>
      <c r="BE90" s="914">
        <f t="shared" si="60"/>
        <v>781.09352210286238</v>
      </c>
      <c r="BF90" s="145">
        <v>0</v>
      </c>
      <c r="BG90" s="927">
        <f t="shared" si="88"/>
        <v>781.09352210286238</v>
      </c>
      <c r="BI90" s="913">
        <f t="shared" si="89"/>
        <v>444.30219067956335</v>
      </c>
      <c r="BJ90" s="914">
        <f t="shared" si="90"/>
        <v>330.92110209121773</v>
      </c>
      <c r="BK90" s="933">
        <f t="shared" si="91"/>
        <v>5.8702293320812453</v>
      </c>
      <c r="BL90" s="914">
        <f t="shared" si="61"/>
        <v>781.09352210286238</v>
      </c>
      <c r="BM90" s="145">
        <v>0</v>
      </c>
      <c r="BN90" s="927">
        <f t="shared" si="92"/>
        <v>781.09352210286238</v>
      </c>
    </row>
    <row r="91" spans="1:66">
      <c r="A91" s="805">
        <f>'Input data'!A121</f>
        <v>2021</v>
      </c>
      <c r="B91" s="728">
        <f>'Input data'!B121</f>
        <v>60.158036186957922</v>
      </c>
      <c r="C91" s="728">
        <f>'Recycling - Case 1'!AK101/B91</f>
        <v>386.29826698899694</v>
      </c>
      <c r="D91" s="729">
        <f>'Recycling - Case 1'!AM101</f>
        <v>0.38743718966666807</v>
      </c>
      <c r="E91" s="729">
        <f>'Recycling - Case 1'!BE101</f>
        <v>0.21712392869416841</v>
      </c>
      <c r="F91" s="729">
        <f>'Recycling - Case 1'!BF101</f>
        <v>0.27537188155672648</v>
      </c>
      <c r="G91" s="729">
        <f>'Recycling - Case 1'!BG101</f>
        <v>6.5721683682889165E-2</v>
      </c>
      <c r="H91" s="729">
        <f>'Recycling - Case 1'!BH101</f>
        <v>0</v>
      </c>
      <c r="I91" s="729">
        <f>'Recycling - Case 1'!BI101</f>
        <v>0</v>
      </c>
      <c r="J91" s="729">
        <f>'Recycling - Case 1'!BJ101</f>
        <v>0</v>
      </c>
      <c r="K91" s="729">
        <f>'Recycling - Case 1'!BK101</f>
        <v>0.44178250606621605</v>
      </c>
      <c r="L91" s="730">
        <f t="shared" si="100"/>
        <v>1</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0.11393163908862622</v>
      </c>
      <c r="Q91" s="734">
        <f t="shared" si="62"/>
        <v>395.72150011377909</v>
      </c>
      <c r="R91" s="734">
        <f t="shared" si="63"/>
        <v>395.72150011377909</v>
      </c>
      <c r="S91" s="737">
        <f t="shared" si="64"/>
        <v>0</v>
      </c>
      <c r="T91" s="734">
        <f t="shared" si="65"/>
        <v>13157.922888019033</v>
      </c>
      <c r="U91" s="734">
        <f t="shared" si="66"/>
        <v>654.33205732951797</v>
      </c>
      <c r="V91" s="741">
        <f t="shared" si="67"/>
        <v>436.22137155301198</v>
      </c>
      <c r="W91" s="383"/>
      <c r="X91" s="885">
        <f>'Recycling - Case 1'!AM141</f>
        <v>543.06923240167498</v>
      </c>
      <c r="Y91" s="886">
        <f>Parameters!S192</f>
        <v>0.71500000000000008</v>
      </c>
      <c r="Z91" s="887">
        <f t="shared" si="68"/>
        <v>0.4</v>
      </c>
      <c r="AA91" s="888">
        <f t="shared" si="69"/>
        <v>77.658900233439539</v>
      </c>
      <c r="AB91" s="888">
        <f t="shared" si="70"/>
        <v>77.658900233439539</v>
      </c>
      <c r="AC91" s="311">
        <f t="shared" si="71"/>
        <v>0</v>
      </c>
      <c r="AD91" s="888">
        <f t="shared" si="72"/>
        <v>9385.9968609801126</v>
      </c>
      <c r="AE91" s="888">
        <f t="shared" si="73"/>
        <v>477.24869268604562</v>
      </c>
      <c r="AF91" s="889">
        <f t="shared" si="74"/>
        <v>318.16579512403041</v>
      </c>
      <c r="AH91" s="885">
        <f>'Recycling - Case 1'!AM181</f>
        <v>543.06923240167498</v>
      </c>
      <c r="AI91" s="886">
        <f>Parameters!S192</f>
        <v>0.71500000000000008</v>
      </c>
      <c r="AJ91" s="887">
        <f t="shared" si="75"/>
        <v>0.4</v>
      </c>
      <c r="AK91" s="888">
        <f t="shared" si="76"/>
        <v>77.658900233439539</v>
      </c>
      <c r="AL91" s="888">
        <f t="shared" si="77"/>
        <v>77.658900233439539</v>
      </c>
      <c r="AM91" s="311">
        <f t="shared" si="78"/>
        <v>0</v>
      </c>
      <c r="AN91" s="888">
        <f t="shared" si="79"/>
        <v>9385.9968609801126</v>
      </c>
      <c r="AO91" s="888">
        <f t="shared" si="80"/>
        <v>477.24869268604562</v>
      </c>
      <c r="AP91" s="889">
        <f t="shared" si="81"/>
        <v>318.16579512403041</v>
      </c>
      <c r="AR91" s="901">
        <f>'Recycling - Case 1'!G101</f>
        <v>550.55979220154882</v>
      </c>
      <c r="AS91" s="920">
        <v>1</v>
      </c>
      <c r="AT91" s="902">
        <f t="shared" si="82"/>
        <v>0.05</v>
      </c>
      <c r="AU91" s="903">
        <f t="shared" si="83"/>
        <v>13.76399480503872</v>
      </c>
      <c r="AV91" s="903">
        <f t="shared" si="84"/>
        <v>13.76399480503872</v>
      </c>
      <c r="AW91" s="279">
        <f t="shared" si="85"/>
        <v>0</v>
      </c>
      <c r="AX91" s="903">
        <f t="shared" si="51"/>
        <v>160.54738456153149</v>
      </c>
      <c r="AY91" s="903">
        <f t="shared" si="54"/>
        <v>9.0765779127630246</v>
      </c>
      <c r="AZ91" s="921">
        <f t="shared" si="52"/>
        <v>6.0510519418420161</v>
      </c>
      <c r="BB91" s="913">
        <f t="shared" si="86"/>
        <v>436.22137155301198</v>
      </c>
      <c r="BC91" s="914">
        <f t="shared" si="87"/>
        <v>318.16579512403041</v>
      </c>
      <c r="BD91" s="933">
        <f t="shared" si="101"/>
        <v>6.0510519418420161</v>
      </c>
      <c r="BE91" s="914">
        <f t="shared" si="60"/>
        <v>760.43821861888443</v>
      </c>
      <c r="BF91" s="145">
        <v>0</v>
      </c>
      <c r="BG91" s="927">
        <f t="shared" si="88"/>
        <v>760.43821861888443</v>
      </c>
      <c r="BI91" s="913">
        <f t="shared" si="89"/>
        <v>436.22137155301198</v>
      </c>
      <c r="BJ91" s="914">
        <f t="shared" si="90"/>
        <v>318.16579512403041</v>
      </c>
      <c r="BK91" s="933">
        <f t="shared" si="91"/>
        <v>6.0510519418420161</v>
      </c>
      <c r="BL91" s="914">
        <f t="shared" si="61"/>
        <v>760.43821861888443</v>
      </c>
      <c r="BM91" s="145">
        <v>0</v>
      </c>
      <c r="BN91" s="927">
        <f t="shared" si="92"/>
        <v>760.43821861888443</v>
      </c>
    </row>
    <row r="92" spans="1:66">
      <c r="A92" s="805">
        <f>'Input data'!A122</f>
        <v>2022</v>
      </c>
      <c r="B92" s="728">
        <f>'Input data'!B122</f>
        <v>60.963559588769527</v>
      </c>
      <c r="C92" s="728">
        <f>'Recycling - Case 1'!AK102/B92</f>
        <v>378.91987414533639</v>
      </c>
      <c r="D92" s="729">
        <f>'Recycling - Case 1'!AM102</f>
        <v>0.36952503036138484</v>
      </c>
      <c r="E92" s="729">
        <f>'Recycling - Case 1'!BE102</f>
        <v>0.21100795239603012</v>
      </c>
      <c r="F92" s="729">
        <f>'Recycling - Case 1'!BF102</f>
        <v>0.26761516901516724</v>
      </c>
      <c r="G92" s="729">
        <f>'Recycling - Case 1'!BG102</f>
        <v>6.7518193911118948E-2</v>
      </c>
      <c r="H92" s="729">
        <f>'Recycling - Case 1'!BH102</f>
        <v>0</v>
      </c>
      <c r="I92" s="729">
        <f>'Recycling - Case 1'!BI102</f>
        <v>0</v>
      </c>
      <c r="J92" s="729">
        <f>'Recycling - Case 1'!BJ102</f>
        <v>0</v>
      </c>
      <c r="K92" s="729">
        <f>'Recycling - Case 1'!BK102</f>
        <v>0.45385868467768359</v>
      </c>
      <c r="L92" s="730">
        <f t="shared" si="100"/>
        <v>0.99999999999999978</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0.11218150422688554</v>
      </c>
      <c r="Q92" s="734">
        <f t="shared" si="62"/>
        <v>374.38363515935032</v>
      </c>
      <c r="R92" s="734">
        <f t="shared" si="63"/>
        <v>374.38363515935032</v>
      </c>
      <c r="S92" s="737">
        <f t="shared" si="64"/>
        <v>0</v>
      </c>
      <c r="T92" s="734">
        <f t="shared" si="65"/>
        <v>12890.587051554468</v>
      </c>
      <c r="U92" s="734">
        <f t="shared" si="66"/>
        <v>641.7194716239153</v>
      </c>
      <c r="V92" s="741">
        <f t="shared" si="67"/>
        <v>427.81298108261018</v>
      </c>
      <c r="W92" s="383"/>
      <c r="X92" s="885">
        <f>'Recycling - Case 1'!AM142</f>
        <v>404.24372129411904</v>
      </c>
      <c r="Y92" s="886">
        <f>Parameters!S193</f>
        <v>0.71500000000000008</v>
      </c>
      <c r="Z92" s="887">
        <f t="shared" si="68"/>
        <v>0.4</v>
      </c>
      <c r="AA92" s="888">
        <f t="shared" si="69"/>
        <v>57.806852145059032</v>
      </c>
      <c r="AB92" s="888">
        <f t="shared" si="70"/>
        <v>57.806852145059032</v>
      </c>
      <c r="AC92" s="311">
        <f t="shared" si="71"/>
        <v>0</v>
      </c>
      <c r="AD92" s="888">
        <f t="shared" si="72"/>
        <v>8986.04324458068</v>
      </c>
      <c r="AE92" s="888">
        <f t="shared" si="73"/>
        <v>457.76046854449186</v>
      </c>
      <c r="AF92" s="889">
        <f t="shared" si="74"/>
        <v>305.17364569632792</v>
      </c>
      <c r="AH92" s="885">
        <f>'Recycling - Case 1'!AM182</f>
        <v>404.24372129411904</v>
      </c>
      <c r="AI92" s="886">
        <f>Parameters!S193</f>
        <v>0.71500000000000008</v>
      </c>
      <c r="AJ92" s="887">
        <f t="shared" si="75"/>
        <v>0.4</v>
      </c>
      <c r="AK92" s="888">
        <f t="shared" si="76"/>
        <v>57.806852145059032</v>
      </c>
      <c r="AL92" s="888">
        <f t="shared" si="77"/>
        <v>57.806852145059032</v>
      </c>
      <c r="AM92" s="311">
        <f t="shared" si="78"/>
        <v>0</v>
      </c>
      <c r="AN92" s="888">
        <f t="shared" si="79"/>
        <v>8986.04324458068</v>
      </c>
      <c r="AO92" s="888">
        <f t="shared" si="80"/>
        <v>457.76046854449186</v>
      </c>
      <c r="AP92" s="889">
        <f t="shared" si="81"/>
        <v>305.17364569632792</v>
      </c>
      <c r="AR92" s="901">
        <f>'Recycling - Case 1'!G102</f>
        <v>562.32241427517715</v>
      </c>
      <c r="AS92" s="920">
        <v>1</v>
      </c>
      <c r="AT92" s="902">
        <f t="shared" si="82"/>
        <v>0.05</v>
      </c>
      <c r="AU92" s="903">
        <f t="shared" si="83"/>
        <v>14.05806035687943</v>
      </c>
      <c r="AV92" s="903">
        <f t="shared" si="84"/>
        <v>14.05806035687943</v>
      </c>
      <c r="AW92" s="279">
        <f t="shared" si="85"/>
        <v>0</v>
      </c>
      <c r="AX92" s="903">
        <f t="shared" si="51"/>
        <v>165.25589309664113</v>
      </c>
      <c r="AY92" s="903">
        <f t="shared" si="54"/>
        <v>9.3495518217697722</v>
      </c>
      <c r="AZ92" s="921">
        <f t="shared" si="52"/>
        <v>6.2330345478465148</v>
      </c>
      <c r="BB92" s="913">
        <f t="shared" si="86"/>
        <v>427.81298108261018</v>
      </c>
      <c r="BC92" s="914">
        <f t="shared" si="87"/>
        <v>305.17364569632792</v>
      </c>
      <c r="BD92" s="933">
        <f t="shared" si="101"/>
        <v>6.2330345478465148</v>
      </c>
      <c r="BE92" s="914">
        <f t="shared" si="60"/>
        <v>739.2196613267846</v>
      </c>
      <c r="BF92" s="145">
        <v>0</v>
      </c>
      <c r="BG92" s="927">
        <f t="shared" si="88"/>
        <v>739.2196613267846</v>
      </c>
      <c r="BI92" s="913">
        <f t="shared" si="89"/>
        <v>427.81298108261018</v>
      </c>
      <c r="BJ92" s="914">
        <f t="shared" si="90"/>
        <v>305.17364569632792</v>
      </c>
      <c r="BK92" s="933">
        <f t="shared" si="91"/>
        <v>6.2330345478465148</v>
      </c>
      <c r="BL92" s="914">
        <f t="shared" si="61"/>
        <v>739.2196613267846</v>
      </c>
      <c r="BM92" s="145">
        <v>0</v>
      </c>
      <c r="BN92" s="927">
        <f t="shared" si="92"/>
        <v>739.2196613267846</v>
      </c>
    </row>
    <row r="93" spans="1:66">
      <c r="A93" s="805">
        <f>'Input data'!A123</f>
        <v>2023</v>
      </c>
      <c r="B93" s="728">
        <f>'Input data'!B123</f>
        <v>61.723133308607778</v>
      </c>
      <c r="C93" s="728">
        <f>'Recycling - Case 1'!AK103/B93</f>
        <v>372.35193644191264</v>
      </c>
      <c r="D93" s="729">
        <f>'Recycling - Case 1'!AM103</f>
        <v>0.35213064970472169</v>
      </c>
      <c r="E93" s="729">
        <f>'Recycling - Case 1'!BE103</f>
        <v>0.20469041353783779</v>
      </c>
      <c r="F93" s="729">
        <f>'Recycling - Case 1'!BF103</f>
        <v>0.2596028206174068</v>
      </c>
      <c r="G93" s="729">
        <f>'Recycling - Case 1'!BG103</f>
        <v>6.9373911236157743E-2</v>
      </c>
      <c r="H93" s="729">
        <f>'Recycling - Case 1'!BH103</f>
        <v>0</v>
      </c>
      <c r="I93" s="729">
        <f>'Recycling - Case 1'!BI103</f>
        <v>0</v>
      </c>
      <c r="J93" s="729">
        <f>'Recycling - Case 1'!BJ103</f>
        <v>0</v>
      </c>
      <c r="K93" s="729">
        <f>'Recycling - Case 1'!BK103</f>
        <v>0.46633285460859769</v>
      </c>
      <c r="L93" s="730">
        <f t="shared" si="100"/>
        <v>1</v>
      </c>
      <c r="N93" s="740">
        <f t="shared" si="57"/>
        <v>8092.9230168287231</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0.11037369064862014</v>
      </c>
      <c r="Q93" s="734">
        <f t="shared" si="62"/>
        <v>353.86275190293367</v>
      </c>
      <c r="R93" s="734">
        <f t="shared" si="63"/>
        <v>353.86275190293367</v>
      </c>
      <c r="S93" s="737">
        <f t="shared" si="64"/>
        <v>0</v>
      </c>
      <c r="T93" s="734">
        <f t="shared" si="65"/>
        <v>12615.768454429448</v>
      </c>
      <c r="U93" s="734">
        <f t="shared" si="66"/>
        <v>628.68134902795555</v>
      </c>
      <c r="V93" s="741">
        <f t="shared" si="67"/>
        <v>419.12089935197037</v>
      </c>
      <c r="W93" s="383"/>
      <c r="X93" s="885">
        <f>'Recycling - Case 1'!AM143</f>
        <v>310.20743040158311</v>
      </c>
      <c r="Y93" s="886">
        <f>Parameters!S194</f>
        <v>0.71500000000000008</v>
      </c>
      <c r="Z93" s="887">
        <f t="shared" si="68"/>
        <v>0.4</v>
      </c>
      <c r="AA93" s="888">
        <f t="shared" si="69"/>
        <v>44.359662547426389</v>
      </c>
      <c r="AB93" s="888">
        <f t="shared" si="70"/>
        <v>44.359662547426389</v>
      </c>
      <c r="AC93" s="311">
        <f t="shared" si="71"/>
        <v>0</v>
      </c>
      <c r="AD93" s="888">
        <f t="shared" si="72"/>
        <v>8592.1484066284356</v>
      </c>
      <c r="AE93" s="888">
        <f t="shared" si="73"/>
        <v>438.25450049967083</v>
      </c>
      <c r="AF93" s="889">
        <f t="shared" si="74"/>
        <v>292.16966699978053</v>
      </c>
      <c r="AH93" s="885">
        <f>'Recycling - Case 1'!AM183</f>
        <v>310.20743040158311</v>
      </c>
      <c r="AI93" s="886">
        <f>Parameters!S194</f>
        <v>0.71500000000000008</v>
      </c>
      <c r="AJ93" s="887">
        <f t="shared" si="75"/>
        <v>0.4</v>
      </c>
      <c r="AK93" s="888">
        <f t="shared" si="76"/>
        <v>44.359662547426389</v>
      </c>
      <c r="AL93" s="888">
        <f t="shared" si="77"/>
        <v>44.359662547426389</v>
      </c>
      <c r="AM93" s="311">
        <f t="shared" si="78"/>
        <v>0</v>
      </c>
      <c r="AN93" s="888">
        <f t="shared" si="79"/>
        <v>8592.1484066284356</v>
      </c>
      <c r="AO93" s="888">
        <f t="shared" si="80"/>
        <v>438.25450049967083</v>
      </c>
      <c r="AP93" s="889">
        <f t="shared" si="81"/>
        <v>292.16966699978053</v>
      </c>
      <c r="AR93" s="901">
        <f>'Recycling - Case 1'!G103</f>
        <v>573.77391797046732</v>
      </c>
      <c r="AS93" s="920">
        <v>1</v>
      </c>
      <c r="AT93" s="902">
        <f t="shared" si="82"/>
        <v>0.05</v>
      </c>
      <c r="AU93" s="903">
        <f t="shared" si="83"/>
        <v>14.344347949261683</v>
      </c>
      <c r="AV93" s="903">
        <f t="shared" si="84"/>
        <v>14.344347949261683</v>
      </c>
      <c r="AW93" s="279">
        <f t="shared" si="85"/>
        <v>0</v>
      </c>
      <c r="AX93" s="903">
        <f t="shared" si="51"/>
        <v>169.97648703346837</v>
      </c>
      <c r="AY93" s="903">
        <f t="shared" si="54"/>
        <v>9.6237540124344285</v>
      </c>
      <c r="AZ93" s="921">
        <f t="shared" si="52"/>
        <v>6.4158360082896193</v>
      </c>
      <c r="BB93" s="913">
        <f t="shared" si="86"/>
        <v>419.12089935197037</v>
      </c>
      <c r="BC93" s="914">
        <f t="shared" si="87"/>
        <v>292.16966699978053</v>
      </c>
      <c r="BD93" s="933">
        <f t="shared" si="101"/>
        <v>6.4158360082896193</v>
      </c>
      <c r="BE93" s="914">
        <f t="shared" si="60"/>
        <v>717.70640236004044</v>
      </c>
      <c r="BF93" s="145">
        <v>0</v>
      </c>
      <c r="BG93" s="927">
        <f t="shared" si="88"/>
        <v>717.70640236004044</v>
      </c>
      <c r="BI93" s="913">
        <f t="shared" si="89"/>
        <v>419.12089935197037</v>
      </c>
      <c r="BJ93" s="914">
        <f t="shared" si="90"/>
        <v>292.16966699978053</v>
      </c>
      <c r="BK93" s="933">
        <f t="shared" si="91"/>
        <v>6.4158360082896193</v>
      </c>
      <c r="BL93" s="914">
        <f t="shared" si="61"/>
        <v>717.70640236004044</v>
      </c>
      <c r="BM93" s="145">
        <v>0</v>
      </c>
      <c r="BN93" s="927">
        <f t="shared" si="92"/>
        <v>717.70640236004044</v>
      </c>
    </row>
    <row r="94" spans="1:66">
      <c r="A94" s="805">
        <f>'Input data'!A124</f>
        <v>2024</v>
      </c>
      <c r="B94" s="728">
        <f>'Input data'!B124</f>
        <v>62.434728280060035</v>
      </c>
      <c r="C94" s="728">
        <f>'Recycling - Case 1'!AK104/B94</f>
        <v>366.54036479696174</v>
      </c>
      <c r="D94" s="729">
        <f>'Recycling - Case 1'!AM104</f>
        <v>0.33527503922191454</v>
      </c>
      <c r="E94" s="729">
        <f>'Recycling - Case 1'!BE104</f>
        <v>0.19814369533146628</v>
      </c>
      <c r="F94" s="729">
        <f>'Recycling - Case 1'!BF104</f>
        <v>0.25129981080475039</v>
      </c>
      <c r="G94" s="729">
        <f>'Recycling - Case 1'!BG104</f>
        <v>7.1296947828478258E-2</v>
      </c>
      <c r="H94" s="729">
        <f>'Recycling - Case 1'!BH104</f>
        <v>0</v>
      </c>
      <c r="I94" s="729">
        <f>'Recycling - Case 1'!BI104</f>
        <v>0</v>
      </c>
      <c r="J94" s="729">
        <f>'Recycling - Case 1'!BJ104</f>
        <v>0</v>
      </c>
      <c r="K94" s="729">
        <f>'Recycling - Case 1'!BK104</f>
        <v>0.47925954603530513</v>
      </c>
      <c r="L94" s="730">
        <f t="shared" si="100"/>
        <v>1</v>
      </c>
      <c r="N94" s="740">
        <f t="shared" si="57"/>
        <v>7672.7183375332434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0.10850029559206133</v>
      </c>
      <c r="Q94" s="734">
        <f t="shared" si="62"/>
        <v>334.11754563397119</v>
      </c>
      <c r="R94" s="734">
        <f t="shared" si="63"/>
        <v>334.11754563397119</v>
      </c>
      <c r="S94" s="737">
        <f t="shared" si="64"/>
        <v>0</v>
      </c>
      <c r="T94" s="734">
        <f t="shared" si="65"/>
        <v>12334.607712175157</v>
      </c>
      <c r="U94" s="734">
        <f t="shared" si="66"/>
        <v>615.27828788826184</v>
      </c>
      <c r="V94" s="741">
        <f t="shared" si="67"/>
        <v>410.18552525884121</v>
      </c>
      <c r="W94" s="383"/>
      <c r="X94" s="885">
        <f>'Recycling - Case 1'!AM144</f>
        <v>163.88125320411658</v>
      </c>
      <c r="Y94" s="886">
        <f>Parameters!S195</f>
        <v>0.71500000000000008</v>
      </c>
      <c r="Z94" s="887">
        <f t="shared" si="68"/>
        <v>0.4</v>
      </c>
      <c r="AA94" s="888">
        <f t="shared" si="69"/>
        <v>23.43501920818867</v>
      </c>
      <c r="AB94" s="888">
        <f t="shared" si="70"/>
        <v>23.43501920818867</v>
      </c>
      <c r="AC94" s="311">
        <f t="shared" si="71"/>
        <v>0</v>
      </c>
      <c r="AD94" s="888">
        <f t="shared" si="72"/>
        <v>8196.5394032700824</v>
      </c>
      <c r="AE94" s="888">
        <f t="shared" si="73"/>
        <v>419.04402256654191</v>
      </c>
      <c r="AF94" s="889">
        <f t="shared" si="74"/>
        <v>279.36268171102796</v>
      </c>
      <c r="AH94" s="885">
        <f>'Recycling - Case 1'!AM184</f>
        <v>163.88125320411658</v>
      </c>
      <c r="AI94" s="886">
        <f>Parameters!S195</f>
        <v>0.71500000000000008</v>
      </c>
      <c r="AJ94" s="887">
        <f t="shared" si="75"/>
        <v>0.4</v>
      </c>
      <c r="AK94" s="888">
        <f t="shared" si="76"/>
        <v>23.43501920818867</v>
      </c>
      <c r="AL94" s="888">
        <f t="shared" si="77"/>
        <v>23.43501920818867</v>
      </c>
      <c r="AM94" s="311">
        <f t="shared" si="78"/>
        <v>0</v>
      </c>
      <c r="AN94" s="888">
        <f t="shared" si="79"/>
        <v>8196.5394032700824</v>
      </c>
      <c r="AO94" s="888">
        <f t="shared" si="80"/>
        <v>419.04402256654191</v>
      </c>
      <c r="AP94" s="889">
        <f t="shared" si="81"/>
        <v>279.36268171102796</v>
      </c>
      <c r="AR94" s="901">
        <f>'Recycling - Case 1'!G104</f>
        <v>584.88536728906297</v>
      </c>
      <c r="AS94" s="920">
        <v>1</v>
      </c>
      <c r="AT94" s="902">
        <f t="shared" si="82"/>
        <v>0.05</v>
      </c>
      <c r="AU94" s="903">
        <f t="shared" si="83"/>
        <v>14.622134182226574</v>
      </c>
      <c r="AV94" s="903">
        <f t="shared" si="84"/>
        <v>14.622134182226574</v>
      </c>
      <c r="AW94" s="279">
        <f t="shared" si="85"/>
        <v>0</v>
      </c>
      <c r="AX94" s="903">
        <f t="shared" si="51"/>
        <v>174.69996121359003</v>
      </c>
      <c r="AY94" s="903">
        <f t="shared" si="54"/>
        <v>9.8986600021049309</v>
      </c>
      <c r="AZ94" s="921">
        <f t="shared" si="52"/>
        <v>6.5991066680699539</v>
      </c>
      <c r="BB94" s="913">
        <f t="shared" si="86"/>
        <v>410.18552525884121</v>
      </c>
      <c r="BC94" s="914">
        <f t="shared" si="87"/>
        <v>279.36268171102796</v>
      </c>
      <c r="BD94" s="933">
        <f t="shared" si="101"/>
        <v>6.5991066680699539</v>
      </c>
      <c r="BE94" s="914">
        <f t="shared" si="60"/>
        <v>696.14731363793908</v>
      </c>
      <c r="BF94" s="145">
        <v>0</v>
      </c>
      <c r="BG94" s="927">
        <f t="shared" si="88"/>
        <v>696.14731363793908</v>
      </c>
      <c r="BI94" s="913">
        <f t="shared" si="89"/>
        <v>410.18552525884121</v>
      </c>
      <c r="BJ94" s="914">
        <f t="shared" si="90"/>
        <v>279.36268171102796</v>
      </c>
      <c r="BK94" s="933">
        <f t="shared" si="91"/>
        <v>6.5991066680699539</v>
      </c>
      <c r="BL94" s="914">
        <f t="shared" si="61"/>
        <v>696.14731363793908</v>
      </c>
      <c r="BM94" s="145">
        <v>0</v>
      </c>
      <c r="BN94" s="927">
        <f t="shared" si="92"/>
        <v>696.14731363793908</v>
      </c>
    </row>
    <row r="95" spans="1:66">
      <c r="A95" s="805">
        <f>'Input data'!A125</f>
        <v>2025</v>
      </c>
      <c r="B95" s="728">
        <f>'Input data'!B125</f>
        <v>63.096422221537942</v>
      </c>
      <c r="C95" s="728">
        <f>'Recycling - Case 1'!AK105/B95</f>
        <v>361.436797622646</v>
      </c>
      <c r="D95" s="729">
        <f>'Recycling - Case 1'!AM105</f>
        <v>0.31897452731035553</v>
      </c>
      <c r="E95" s="729">
        <f>'Recycling - Case 1'!BE105</f>
        <v>0.1913362076553502</v>
      </c>
      <c r="F95" s="729">
        <f>'Recycling - Case 1'!BF105</f>
        <v>0.24266607475676838</v>
      </c>
      <c r="G95" s="729">
        <f>'Recycling - Case 1'!BG105</f>
        <v>7.329658298769455E-2</v>
      </c>
      <c r="H95" s="729">
        <f>'Recycling - Case 1'!BH105</f>
        <v>0</v>
      </c>
      <c r="I95" s="729">
        <f>'Recycling - Case 1'!BI105</f>
        <v>0</v>
      </c>
      <c r="J95" s="729">
        <f>'Recycling - Case 1'!BJ105</f>
        <v>0</v>
      </c>
      <c r="K95" s="729">
        <f>'Recycling - Case 1'!BK105</f>
        <v>0.49270113460018683</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0.10655227929473404</v>
      </c>
      <c r="Q95" s="734">
        <f t="shared" si="62"/>
        <v>315.10658993569461</v>
      </c>
      <c r="R95" s="734">
        <f t="shared" si="63"/>
        <v>315.10658993569461</v>
      </c>
      <c r="S95" s="737">
        <f t="shared" si="64"/>
        <v>0</v>
      </c>
      <c r="T95" s="734">
        <f t="shared" si="65"/>
        <v>12048.148385430137</v>
      </c>
      <c r="U95" s="734">
        <f t="shared" si="66"/>
        <v>601.5659166807136</v>
      </c>
      <c r="V95" s="741">
        <f t="shared" si="67"/>
        <v>401.04394445380905</v>
      </c>
      <c r="W95" s="383"/>
      <c r="X95" s="885">
        <f>'Recycling - Case 1'!AM145</f>
        <v>80.979615980016604</v>
      </c>
      <c r="Y95" s="886">
        <f>Parameters!S196</f>
        <v>0.71500000000000008</v>
      </c>
      <c r="Z95" s="887">
        <f t="shared" si="68"/>
        <v>0.4</v>
      </c>
      <c r="AA95" s="888">
        <f t="shared" si="69"/>
        <v>11.580085085142375</v>
      </c>
      <c r="AB95" s="888">
        <f t="shared" si="70"/>
        <v>11.580085085142375</v>
      </c>
      <c r="AC95" s="311">
        <f t="shared" si="71"/>
        <v>0</v>
      </c>
      <c r="AD95" s="888">
        <f t="shared" si="72"/>
        <v>7808.3695445551684</v>
      </c>
      <c r="AE95" s="888">
        <f t="shared" si="73"/>
        <v>399.74994380005603</v>
      </c>
      <c r="AF95" s="889">
        <f t="shared" si="74"/>
        <v>266.49996253337071</v>
      </c>
      <c r="AH95" s="885">
        <f>'Recycling - Case 1'!AM185</f>
        <v>80.979615980016604</v>
      </c>
      <c r="AI95" s="886">
        <f>Parameters!S196</f>
        <v>0.71500000000000008</v>
      </c>
      <c r="AJ95" s="887">
        <f t="shared" si="75"/>
        <v>0.4</v>
      </c>
      <c r="AK95" s="888">
        <f t="shared" si="76"/>
        <v>11.580085085142375</v>
      </c>
      <c r="AL95" s="888">
        <f t="shared" si="77"/>
        <v>11.580085085142375</v>
      </c>
      <c r="AM95" s="311">
        <f t="shared" si="78"/>
        <v>0</v>
      </c>
      <c r="AN95" s="888">
        <f t="shared" si="79"/>
        <v>7808.3695445551684</v>
      </c>
      <c r="AO95" s="888">
        <f t="shared" si="80"/>
        <v>399.74994380005603</v>
      </c>
      <c r="AP95" s="889">
        <f t="shared" si="81"/>
        <v>266.49996253337071</v>
      </c>
      <c r="AR95" s="901">
        <f>'Recycling - Case 1'!G105</f>
        <v>595.62824974932994</v>
      </c>
      <c r="AS95" s="920">
        <v>1</v>
      </c>
      <c r="AT95" s="902">
        <f t="shared" si="82"/>
        <v>0.05</v>
      </c>
      <c r="AU95" s="903">
        <f t="shared" si="83"/>
        <v>14.890706243733248</v>
      </c>
      <c r="AV95" s="903">
        <f t="shared" si="84"/>
        <v>14.890706243733248</v>
      </c>
      <c r="AW95" s="279">
        <f t="shared" si="85"/>
        <v>0</v>
      </c>
      <c r="AX95" s="903">
        <f t="shared" si="51"/>
        <v>179.41693373323619</v>
      </c>
      <c r="AY95" s="903">
        <f t="shared" si="54"/>
        <v>10.173733724087073</v>
      </c>
      <c r="AZ95" s="921">
        <f t="shared" si="52"/>
        <v>6.7824891493913819</v>
      </c>
      <c r="BB95" s="913">
        <f t="shared" si="86"/>
        <v>401.04394445380905</v>
      </c>
      <c r="BC95" s="914">
        <f t="shared" si="87"/>
        <v>266.49996253337071</v>
      </c>
      <c r="BD95" s="933">
        <f t="shared" si="101"/>
        <v>6.7824891493913819</v>
      </c>
      <c r="BE95" s="914">
        <f t="shared" si="60"/>
        <v>674.32639613657113</v>
      </c>
      <c r="BF95" s="145">
        <v>0</v>
      </c>
      <c r="BG95" s="927">
        <f t="shared" si="88"/>
        <v>674.32639613657113</v>
      </c>
      <c r="BI95" s="913">
        <f t="shared" si="89"/>
        <v>401.04394445380905</v>
      </c>
      <c r="BJ95" s="914">
        <f t="shared" si="90"/>
        <v>266.49996253337071</v>
      </c>
      <c r="BK95" s="933">
        <f t="shared" si="91"/>
        <v>6.7824891493913819</v>
      </c>
      <c r="BL95" s="914">
        <f t="shared" si="61"/>
        <v>674.32639613657113</v>
      </c>
      <c r="BM95" s="145">
        <v>0</v>
      </c>
      <c r="BN95" s="927">
        <f t="shared" si="92"/>
        <v>674.32639613657113</v>
      </c>
    </row>
    <row r="96" spans="1:66">
      <c r="A96" s="805">
        <f>'Input data'!A126</f>
        <v>2026</v>
      </c>
      <c r="B96" s="728">
        <f>'Input data'!B126</f>
        <v>63.744102485123491</v>
      </c>
      <c r="C96" s="728">
        <f>'Recycling - Case 1'!AK106/B96</f>
        <v>356.84985794587237</v>
      </c>
      <c r="D96" s="729">
        <f>'Recycling - Case 1'!AM106</f>
        <v>0.30318758227987985</v>
      </c>
      <c r="E96" s="729">
        <f>'Recycling - Case 1'!BE106</f>
        <v>0.18427387178134952</v>
      </c>
      <c r="F96" s="729">
        <f>'Recycling - Case 1'!BF106</f>
        <v>0.23370912224810012</v>
      </c>
      <c r="G96" s="729">
        <f>'Recycling - Case 1'!BG106</f>
        <v>7.5371077396166788E-2</v>
      </c>
      <c r="H96" s="729">
        <f>'Recycling - Case 1'!BH106</f>
        <v>0</v>
      </c>
      <c r="I96" s="729">
        <f>'Recycling - Case 1'!BI106</f>
        <v>0</v>
      </c>
      <c r="J96" s="729">
        <f>'Recycling - Case 1'!BJ106</f>
        <v>0</v>
      </c>
      <c r="K96" s="729">
        <f>'Recycling - Case 1'!BK106</f>
        <v>0.50664592857438351</v>
      </c>
      <c r="L96" s="730">
        <f t="shared" si="100"/>
        <v>0.99999999999999989</v>
      </c>
      <c r="N96" s="740">
        <f t="shared" si="57"/>
        <v>6896.6303447470355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0.10453133617528916</v>
      </c>
      <c r="Q96" s="734">
        <f t="shared" si="62"/>
        <v>296.82246961116005</v>
      </c>
      <c r="R96" s="734">
        <f t="shared" si="63"/>
        <v>296.82246961116005</v>
      </c>
      <c r="S96" s="737">
        <f t="shared" si="64"/>
        <v>0</v>
      </c>
      <c r="T96" s="734">
        <f t="shared" si="65"/>
        <v>11757.375724583075</v>
      </c>
      <c r="U96" s="734">
        <f t="shared" si="66"/>
        <v>587.59513045822098</v>
      </c>
      <c r="V96" s="741">
        <f t="shared" si="67"/>
        <v>391.73008697214732</v>
      </c>
      <c r="W96" s="383"/>
      <c r="X96" s="885">
        <f>'Recycling - Case 1'!AM146</f>
        <v>69.781675547683321</v>
      </c>
      <c r="Y96" s="886">
        <f>Parameters!S197</f>
        <v>0.71500000000000008</v>
      </c>
      <c r="Z96" s="887">
        <f t="shared" si="68"/>
        <v>0.4</v>
      </c>
      <c r="AA96" s="888">
        <f t="shared" si="69"/>
        <v>9.9787796033187171</v>
      </c>
      <c r="AB96" s="888">
        <f t="shared" si="70"/>
        <v>9.9787796033187171</v>
      </c>
      <c r="AC96" s="311">
        <f t="shared" si="71"/>
        <v>0</v>
      </c>
      <c r="AD96" s="888">
        <f t="shared" si="72"/>
        <v>7437.5296477594338</v>
      </c>
      <c r="AE96" s="888">
        <f t="shared" si="73"/>
        <v>380.81867639905317</v>
      </c>
      <c r="AF96" s="889">
        <f t="shared" si="74"/>
        <v>253.87911759936878</v>
      </c>
      <c r="AH96" s="885">
        <f>'Recycling - Case 1'!AM186</f>
        <v>69.781675547683321</v>
      </c>
      <c r="AI96" s="886">
        <f>Parameters!S197</f>
        <v>0.71500000000000008</v>
      </c>
      <c r="AJ96" s="887">
        <f t="shared" si="75"/>
        <v>0.4</v>
      </c>
      <c r="AK96" s="888">
        <f t="shared" si="76"/>
        <v>9.9787796033187171</v>
      </c>
      <c r="AL96" s="888">
        <f t="shared" si="77"/>
        <v>9.9787796033187171</v>
      </c>
      <c r="AM96" s="311">
        <f t="shared" si="78"/>
        <v>0</v>
      </c>
      <c r="AN96" s="888">
        <f t="shared" si="79"/>
        <v>7437.5296477594338</v>
      </c>
      <c r="AO96" s="888">
        <f t="shared" si="80"/>
        <v>380.81867639905317</v>
      </c>
      <c r="AP96" s="889">
        <f t="shared" si="81"/>
        <v>253.87911759936878</v>
      </c>
      <c r="AR96" s="901">
        <f>'Recycling - Case 1'!G106</f>
        <v>606.33314388858446</v>
      </c>
      <c r="AS96" s="920">
        <v>1</v>
      </c>
      <c r="AT96" s="902">
        <f t="shared" si="82"/>
        <v>0.05</v>
      </c>
      <c r="AU96" s="903">
        <f t="shared" si="83"/>
        <v>15.158328597214613</v>
      </c>
      <c r="AV96" s="903">
        <f t="shared" si="84"/>
        <v>15.158328597214613</v>
      </c>
      <c r="AW96" s="279">
        <f t="shared" si="85"/>
        <v>0</v>
      </c>
      <c r="AX96" s="903">
        <f t="shared" si="51"/>
        <v>184.12683351161186</v>
      </c>
      <c r="AY96" s="903">
        <f t="shared" si="54"/>
        <v>10.448428818838948</v>
      </c>
      <c r="AZ96" s="921">
        <f t="shared" si="52"/>
        <v>6.9656192125592993</v>
      </c>
      <c r="BB96" s="913">
        <f t="shared" si="86"/>
        <v>391.73008697214732</v>
      </c>
      <c r="BC96" s="914">
        <f t="shared" si="87"/>
        <v>253.87911759936878</v>
      </c>
      <c r="BD96" s="933">
        <f t="shared" si="101"/>
        <v>6.9656192125592993</v>
      </c>
      <c r="BE96" s="914">
        <f t="shared" si="60"/>
        <v>652.57482378407542</v>
      </c>
      <c r="BF96" s="145">
        <v>0</v>
      </c>
      <c r="BG96" s="927">
        <f t="shared" si="88"/>
        <v>652.57482378407542</v>
      </c>
      <c r="BI96" s="913">
        <f t="shared" si="89"/>
        <v>391.73008697214732</v>
      </c>
      <c r="BJ96" s="914">
        <f t="shared" si="90"/>
        <v>253.87911759936878</v>
      </c>
      <c r="BK96" s="933">
        <f t="shared" si="91"/>
        <v>6.9656192125592993</v>
      </c>
      <c r="BL96" s="914">
        <f t="shared" si="61"/>
        <v>652.57482378407542</v>
      </c>
      <c r="BM96" s="145">
        <v>0</v>
      </c>
      <c r="BN96" s="927">
        <f t="shared" si="92"/>
        <v>652.57482378407542</v>
      </c>
    </row>
    <row r="97" spans="1:66">
      <c r="A97" s="805">
        <f>'Input data'!A127</f>
        <v>2027</v>
      </c>
      <c r="B97" s="728">
        <f>'Input data'!B127</f>
        <v>64.377188881988602</v>
      </c>
      <c r="C97" s="728">
        <f>'Recycling - Case 1'!AK107/B97</f>
        <v>352.746434738635</v>
      </c>
      <c r="D97" s="729">
        <f>'Recycling - Case 1'!AM107</f>
        <v>0.28792949365621123</v>
      </c>
      <c r="E97" s="729">
        <f>'Recycling - Case 1'!BE107</f>
        <v>0.17693597767349289</v>
      </c>
      <c r="F97" s="729">
        <f>'Recycling - Case 1'!BF107</f>
        <v>0.22440268735031096</v>
      </c>
      <c r="G97" s="729">
        <f>'Recycling - Case 1'!BG107</f>
        <v>7.7526514431206381E-2</v>
      </c>
      <c r="H97" s="729">
        <f>'Recycling - Case 1'!BH107</f>
        <v>0</v>
      </c>
      <c r="I97" s="729">
        <f>'Recycling - Case 1'!BI107</f>
        <v>0</v>
      </c>
      <c r="J97" s="729">
        <f>'Recycling - Case 1'!BJ107</f>
        <v>0</v>
      </c>
      <c r="K97" s="729">
        <f>'Recycling - Case 1'!BK107</f>
        <v>0.52113482054498961</v>
      </c>
      <c r="L97" s="730">
        <f t="shared" si="100"/>
        <v>0.99999999999999989</v>
      </c>
      <c r="N97" s="740">
        <f t="shared" si="57"/>
        <v>6538.5401545638724</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0.10243153989356868</v>
      </c>
      <c r="Q97" s="734">
        <f t="shared" si="62"/>
        <v>279.2353717575748</v>
      </c>
      <c r="R97" s="734">
        <f t="shared" si="63"/>
        <v>279.2353717575748</v>
      </c>
      <c r="S97" s="737">
        <f t="shared" si="64"/>
        <v>0</v>
      </c>
      <c r="T97" s="734">
        <f t="shared" si="65"/>
        <v>11463.197115891398</v>
      </c>
      <c r="U97" s="734">
        <f t="shared" si="66"/>
        <v>573.41398044925108</v>
      </c>
      <c r="V97" s="741">
        <f t="shared" si="67"/>
        <v>382.27598696616741</v>
      </c>
      <c r="W97" s="383"/>
      <c r="X97" s="885">
        <f>'Recycling - Case 1'!AM147</f>
        <v>32.028485246579535</v>
      </c>
      <c r="Y97" s="886">
        <f>Parameters!S198</f>
        <v>0.71500000000000008</v>
      </c>
      <c r="Z97" s="887">
        <f t="shared" si="68"/>
        <v>0.4</v>
      </c>
      <c r="AA97" s="888">
        <f t="shared" si="69"/>
        <v>4.5800733902608748</v>
      </c>
      <c r="AB97" s="888">
        <f t="shared" si="70"/>
        <v>4.5800733902608748</v>
      </c>
      <c r="AC97" s="311">
        <f t="shared" si="71"/>
        <v>0</v>
      </c>
      <c r="AD97" s="888">
        <f t="shared" si="72"/>
        <v>7079.3771199354651</v>
      </c>
      <c r="AE97" s="888">
        <f t="shared" si="73"/>
        <v>362.73260121422936</v>
      </c>
      <c r="AF97" s="889">
        <f t="shared" si="74"/>
        <v>241.82173414281957</v>
      </c>
      <c r="AH97" s="885">
        <f>'Recycling - Case 1'!AM187</f>
        <v>32.028485246579535</v>
      </c>
      <c r="AI97" s="886">
        <f>Parameters!S198</f>
        <v>0.71500000000000008</v>
      </c>
      <c r="AJ97" s="887">
        <f t="shared" si="75"/>
        <v>0.4</v>
      </c>
      <c r="AK97" s="888">
        <f t="shared" si="76"/>
        <v>4.5800733902608748</v>
      </c>
      <c r="AL97" s="888">
        <f t="shared" si="77"/>
        <v>4.5800733902608748</v>
      </c>
      <c r="AM97" s="311">
        <f t="shared" si="78"/>
        <v>0</v>
      </c>
      <c r="AN97" s="888">
        <f t="shared" si="79"/>
        <v>7079.3771199354651</v>
      </c>
      <c r="AO97" s="888">
        <f t="shared" si="80"/>
        <v>362.73260121422936</v>
      </c>
      <c r="AP97" s="889">
        <f t="shared" si="81"/>
        <v>241.82173414281957</v>
      </c>
      <c r="AR97" s="901">
        <f>'Recycling - Case 1'!G107</f>
        <v>616.99146140224809</v>
      </c>
      <c r="AS97" s="920">
        <v>1</v>
      </c>
      <c r="AT97" s="902">
        <f t="shared" si="82"/>
        <v>0.05</v>
      </c>
      <c r="AU97" s="903">
        <f t="shared" si="83"/>
        <v>15.424786535056203</v>
      </c>
      <c r="AV97" s="903">
        <f t="shared" si="84"/>
        <v>15.424786535056203</v>
      </c>
      <c r="AW97" s="279">
        <f t="shared" si="85"/>
        <v>0</v>
      </c>
      <c r="AX97" s="903">
        <f t="shared" si="51"/>
        <v>188.82890801746396</v>
      </c>
      <c r="AY97" s="903">
        <f t="shared" si="54"/>
        <v>10.7227120292041</v>
      </c>
      <c r="AZ97" s="921">
        <f t="shared" si="52"/>
        <v>7.1484746861360664</v>
      </c>
      <c r="BB97" s="913">
        <f t="shared" si="86"/>
        <v>382.27598696616741</v>
      </c>
      <c r="BC97" s="914">
        <f t="shared" si="87"/>
        <v>241.82173414281957</v>
      </c>
      <c r="BD97" s="933">
        <f t="shared" si="101"/>
        <v>7.1484746861360664</v>
      </c>
      <c r="BE97" s="914">
        <f t="shared" si="60"/>
        <v>631.24619579512307</v>
      </c>
      <c r="BF97" s="145">
        <v>0</v>
      </c>
      <c r="BG97" s="927">
        <f t="shared" si="88"/>
        <v>631.24619579512307</v>
      </c>
      <c r="BI97" s="913">
        <f t="shared" si="89"/>
        <v>382.27598696616741</v>
      </c>
      <c r="BJ97" s="914">
        <f t="shared" si="90"/>
        <v>241.82173414281957</v>
      </c>
      <c r="BK97" s="933">
        <f t="shared" si="91"/>
        <v>7.1484746861360664</v>
      </c>
      <c r="BL97" s="914">
        <f t="shared" si="61"/>
        <v>631.24619579512307</v>
      </c>
      <c r="BM97" s="145">
        <v>0</v>
      </c>
      <c r="BN97" s="927">
        <f t="shared" si="92"/>
        <v>631.24619579512307</v>
      </c>
    </row>
    <row r="98" spans="1:66">
      <c r="A98" s="805">
        <f>'Input data'!A128</f>
        <v>2028</v>
      </c>
      <c r="B98" s="728">
        <f>'Input data'!B128</f>
        <v>64.995109664264291</v>
      </c>
      <c r="C98" s="728">
        <f>'Recycling - Case 1'!AK108/B98</f>
        <v>343.38344597981381</v>
      </c>
      <c r="D98" s="729">
        <f>'Recycling - Case 1'!AM108</f>
        <v>0.27775673994967459</v>
      </c>
      <c r="E98" s="729">
        <f>'Recycling - Case 1'!BE108</f>
        <v>0.17772164669970861</v>
      </c>
      <c r="F98" s="729">
        <f>'Recycling - Case 1'!BF108</f>
        <v>0.22539912822779065</v>
      </c>
      <c r="G98" s="729">
        <f>'Recycling - Case 1'!BG108</f>
        <v>7.729573158104569E-2</v>
      </c>
      <c r="H98" s="729">
        <f>'Recycling - Case 1'!BH108</f>
        <v>0</v>
      </c>
      <c r="I98" s="729">
        <f>'Recycling - Case 1'!BI108</f>
        <v>0</v>
      </c>
      <c r="J98" s="729">
        <f>'Recycling - Case 1'!BJ108</f>
        <v>0</v>
      </c>
      <c r="K98" s="729">
        <f>'Recycling - Case 1'!BK108</f>
        <v>0.51958349349145505</v>
      </c>
      <c r="L98" s="730">
        <f t="shared" si="100"/>
        <v>1</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0.1026563652829327</v>
      </c>
      <c r="Q98" s="734">
        <f t="shared" si="62"/>
        <v>268.62207893431849</v>
      </c>
      <c r="R98" s="734">
        <f t="shared" si="63"/>
        <v>268.62207893431849</v>
      </c>
      <c r="S98" s="737">
        <f t="shared" si="64"/>
        <v>0</v>
      </c>
      <c r="T98" s="734">
        <f t="shared" si="65"/>
        <v>11172.752474421939</v>
      </c>
      <c r="U98" s="734">
        <f t="shared" si="66"/>
        <v>559.06672040377885</v>
      </c>
      <c r="V98" s="741">
        <f t="shared" si="67"/>
        <v>372.71114693585258</v>
      </c>
      <c r="W98" s="383"/>
      <c r="X98" s="885">
        <f>'Recycling - Case 1'!AM148</f>
        <v>15.542812081092457</v>
      </c>
      <c r="Y98" s="886">
        <f>Parameters!S199</f>
        <v>0.71500000000000008</v>
      </c>
      <c r="Z98" s="887">
        <f t="shared" si="68"/>
        <v>0.4</v>
      </c>
      <c r="AA98" s="888">
        <f t="shared" si="69"/>
        <v>2.2226221275962219</v>
      </c>
      <c r="AB98" s="888">
        <f t="shared" si="70"/>
        <v>2.2226221275962219</v>
      </c>
      <c r="AC98" s="311">
        <f t="shared" si="71"/>
        <v>0</v>
      </c>
      <c r="AD98" s="888">
        <f t="shared" si="72"/>
        <v>6736.3344457473304</v>
      </c>
      <c r="AE98" s="888">
        <f t="shared" si="73"/>
        <v>345.26529631573038</v>
      </c>
      <c r="AF98" s="889">
        <f t="shared" si="74"/>
        <v>230.17686421048691</v>
      </c>
      <c r="AH98" s="885">
        <f>'Recycling - Case 1'!AM188</f>
        <v>15.542812081092457</v>
      </c>
      <c r="AI98" s="886">
        <f>Parameters!S199</f>
        <v>0.71500000000000008</v>
      </c>
      <c r="AJ98" s="887">
        <f t="shared" si="75"/>
        <v>0.4</v>
      </c>
      <c r="AK98" s="888">
        <f t="shared" si="76"/>
        <v>2.2226221275962219</v>
      </c>
      <c r="AL98" s="888">
        <f t="shared" si="77"/>
        <v>2.2226221275962219</v>
      </c>
      <c r="AM98" s="311">
        <f t="shared" si="78"/>
        <v>0</v>
      </c>
      <c r="AN98" s="888">
        <f t="shared" si="79"/>
        <v>6736.3344457473304</v>
      </c>
      <c r="AO98" s="888">
        <f t="shared" si="80"/>
        <v>345.26529631573038</v>
      </c>
      <c r="AP98" s="889">
        <f t="shared" si="81"/>
        <v>230.17686421048691</v>
      </c>
      <c r="AR98" s="901">
        <f>'Recycling - Case 1'!G108</f>
        <v>627.5945283524394</v>
      </c>
      <c r="AS98" s="920">
        <v>1</v>
      </c>
      <c r="AT98" s="902">
        <f t="shared" si="82"/>
        <v>0.05</v>
      </c>
      <c r="AU98" s="903">
        <f t="shared" si="83"/>
        <v>15.689863208810985</v>
      </c>
      <c r="AV98" s="903">
        <f t="shared" si="84"/>
        <v>15.689863208810985</v>
      </c>
      <c r="AW98" s="279">
        <f t="shared" si="85"/>
        <v>0</v>
      </c>
      <c r="AX98" s="903">
        <f t="shared" si="51"/>
        <v>193.52223169510091</v>
      </c>
      <c r="AY98" s="903">
        <f t="shared" si="54"/>
        <v>10.99653953117401</v>
      </c>
      <c r="AZ98" s="921">
        <f t="shared" si="52"/>
        <v>7.3310263541160063</v>
      </c>
      <c r="BB98" s="913">
        <f t="shared" si="86"/>
        <v>372.71114693585258</v>
      </c>
      <c r="BC98" s="914">
        <f t="shared" si="87"/>
        <v>230.17686421048691</v>
      </c>
      <c r="BD98" s="933">
        <f t="shared" si="101"/>
        <v>7.3310263541160063</v>
      </c>
      <c r="BE98" s="914">
        <f t="shared" si="60"/>
        <v>610.21903750045556</v>
      </c>
      <c r="BF98" s="145">
        <v>0</v>
      </c>
      <c r="BG98" s="927">
        <f t="shared" si="88"/>
        <v>610.21903750045556</v>
      </c>
      <c r="BI98" s="913">
        <f t="shared" si="89"/>
        <v>372.71114693585258</v>
      </c>
      <c r="BJ98" s="914">
        <f t="shared" si="90"/>
        <v>230.17686421048691</v>
      </c>
      <c r="BK98" s="933">
        <f t="shared" si="91"/>
        <v>7.3310263541160063</v>
      </c>
      <c r="BL98" s="914">
        <f t="shared" si="61"/>
        <v>610.21903750045556</v>
      </c>
      <c r="BM98" s="145">
        <v>0</v>
      </c>
      <c r="BN98" s="927">
        <f t="shared" si="92"/>
        <v>610.21903750045556</v>
      </c>
    </row>
    <row r="99" spans="1:66">
      <c r="A99" s="805">
        <f>'Input data'!A129</f>
        <v>2029</v>
      </c>
      <c r="B99" s="728">
        <f>'Input data'!B129</f>
        <v>65.59730237662275</v>
      </c>
      <c r="C99" s="728">
        <f>'Recycling - Case 1'!AK109/B99</f>
        <v>334.62461297220801</v>
      </c>
      <c r="D99" s="729">
        <f>'Recycling - Case 1'!AM109</f>
        <v>0.26774700802249873</v>
      </c>
      <c r="E99" s="729">
        <f>'Recycling - Case 1'!BE109</f>
        <v>0.17846871255424368</v>
      </c>
      <c r="F99" s="729">
        <f>'Recycling - Case 1'!BF109</f>
        <v>0.22634660984000801</v>
      </c>
      <c r="G99" s="729">
        <f>'Recycling - Case 1'!BG109</f>
        <v>7.7076288047681726E-2</v>
      </c>
      <c r="H99" s="729">
        <f>'Recycling - Case 1'!BH109</f>
        <v>0</v>
      </c>
      <c r="I99" s="729">
        <f>'Recycling - Case 1'!BI109</f>
        <v>0</v>
      </c>
      <c r="J99" s="729">
        <f>'Recycling - Case 1'!BJ109</f>
        <v>0</v>
      </c>
      <c r="K99" s="729">
        <f>'Recycling - Case 1'!BK109</f>
        <v>0.51810838955806671</v>
      </c>
      <c r="L99" s="730">
        <f t="shared" si="100"/>
        <v>1</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0.10287014407021085</v>
      </c>
      <c r="Q99" s="734">
        <f t="shared" si="62"/>
        <v>258.34409970566026</v>
      </c>
      <c r="R99" s="734">
        <f t="shared" si="63"/>
        <v>258.34409970566026</v>
      </c>
      <c r="S99" s="737">
        <f t="shared" si="64"/>
        <v>0</v>
      </c>
      <c r="T99" s="734">
        <f t="shared" si="65"/>
        <v>10886.19500603897</v>
      </c>
      <c r="U99" s="734">
        <f t="shared" si="66"/>
        <v>544.90156808862946</v>
      </c>
      <c r="V99" s="741">
        <f t="shared" si="67"/>
        <v>363.26771205908631</v>
      </c>
      <c r="W99" s="383"/>
      <c r="X99" s="885">
        <f>'Recycling - Case 1'!AM149</f>
        <v>0</v>
      </c>
      <c r="Y99" s="886">
        <f>Parameters!S200</f>
        <v>0.71500000000000008</v>
      </c>
      <c r="Z99" s="887">
        <f t="shared" si="68"/>
        <v>0.4</v>
      </c>
      <c r="AA99" s="888">
        <f t="shared" si="69"/>
        <v>0</v>
      </c>
      <c r="AB99" s="888">
        <f t="shared" si="70"/>
        <v>0</v>
      </c>
      <c r="AC99" s="311">
        <f t="shared" si="71"/>
        <v>0</v>
      </c>
      <c r="AD99" s="888">
        <f t="shared" si="72"/>
        <v>6407.7995380725697</v>
      </c>
      <c r="AE99" s="888">
        <f t="shared" si="73"/>
        <v>328.53490767476097</v>
      </c>
      <c r="AF99" s="889">
        <f t="shared" si="74"/>
        <v>219.02327178317398</v>
      </c>
      <c r="AH99" s="885">
        <f>'Recycling - Case 1'!AM189</f>
        <v>0</v>
      </c>
      <c r="AI99" s="886">
        <f>Parameters!S200</f>
        <v>0.71500000000000008</v>
      </c>
      <c r="AJ99" s="887">
        <f t="shared" si="75"/>
        <v>0.4</v>
      </c>
      <c r="AK99" s="888">
        <f t="shared" si="76"/>
        <v>0</v>
      </c>
      <c r="AL99" s="888">
        <f t="shared" si="77"/>
        <v>0</v>
      </c>
      <c r="AM99" s="311">
        <f t="shared" si="78"/>
        <v>0</v>
      </c>
      <c r="AN99" s="888">
        <f t="shared" si="79"/>
        <v>6407.7995380725697</v>
      </c>
      <c r="AO99" s="888">
        <f t="shared" si="80"/>
        <v>328.53490767476097</v>
      </c>
      <c r="AP99" s="889">
        <f t="shared" si="81"/>
        <v>219.02327178317398</v>
      </c>
      <c r="AR99" s="901">
        <f>'Recycling - Case 1'!G109</f>
        <v>638.13359649176766</v>
      </c>
      <c r="AS99" s="920">
        <v>1</v>
      </c>
      <c r="AT99" s="902">
        <f t="shared" si="82"/>
        <v>0.05</v>
      </c>
      <c r="AU99" s="903">
        <f t="shared" si="83"/>
        <v>15.953339912294192</v>
      </c>
      <c r="AV99" s="903">
        <f t="shared" si="84"/>
        <v>15.953339912294192</v>
      </c>
      <c r="AW99" s="279">
        <f t="shared" si="85"/>
        <v>0</v>
      </c>
      <c r="AX99" s="903">
        <f t="shared" si="51"/>
        <v>198.20571418281381</v>
      </c>
      <c r="AY99" s="903">
        <f t="shared" si="54"/>
        <v>11.269857424581287</v>
      </c>
      <c r="AZ99" s="921">
        <f t="shared" si="52"/>
        <v>7.5132382830541919</v>
      </c>
      <c r="BB99" s="913">
        <f t="shared" si="86"/>
        <v>363.26771205908631</v>
      </c>
      <c r="BC99" s="914">
        <f t="shared" si="87"/>
        <v>219.02327178317398</v>
      </c>
      <c r="BD99" s="933">
        <f t="shared" si="101"/>
        <v>7.5132382830541919</v>
      </c>
      <c r="BE99" s="914">
        <f t="shared" si="60"/>
        <v>589.80422212531448</v>
      </c>
      <c r="BF99" s="145">
        <v>0</v>
      </c>
      <c r="BG99" s="927">
        <f t="shared" si="88"/>
        <v>589.80422212531448</v>
      </c>
      <c r="BI99" s="913">
        <f t="shared" si="89"/>
        <v>363.26771205908631</v>
      </c>
      <c r="BJ99" s="914">
        <f t="shared" si="90"/>
        <v>219.02327178317398</v>
      </c>
      <c r="BK99" s="933">
        <f t="shared" si="91"/>
        <v>7.5132382830541919</v>
      </c>
      <c r="BL99" s="914">
        <f t="shared" si="61"/>
        <v>589.80422212531448</v>
      </c>
      <c r="BM99" s="145">
        <v>0</v>
      </c>
      <c r="BN99" s="927">
        <f t="shared" si="92"/>
        <v>589.80422212531448</v>
      </c>
    </row>
    <row r="100" spans="1:66">
      <c r="A100" s="805">
        <f>'Input data'!A130</f>
        <v>2030</v>
      </c>
      <c r="B100" s="728">
        <f>'Input data'!B130</f>
        <v>66.183214701401099</v>
      </c>
      <c r="C100" s="728">
        <f>'Recycling - Case 1'!AK110/B100</f>
        <v>326.42875122195062</v>
      </c>
      <c r="D100" s="729">
        <f>'Recycling - Case 1'!AM110</f>
        <v>0.257914686407194</v>
      </c>
      <c r="E100" s="729">
        <f>'Recycling - Case 1'!BE110</f>
        <v>0.17917858059404093</v>
      </c>
      <c r="F100" s="729">
        <f>'Recycling - Case 1'!BF110</f>
        <v>0.22724691455976689</v>
      </c>
      <c r="G100" s="729">
        <f>'Recycling - Case 1'!BG110</f>
        <v>7.6867771020796366E-2</v>
      </c>
      <c r="H100" s="729">
        <f>'Recycling - Case 1'!BH110</f>
        <v>0</v>
      </c>
      <c r="I100" s="729">
        <f>'Recycling - Case 1'!BI110</f>
        <v>0</v>
      </c>
      <c r="J100" s="729">
        <f>'Recycling - Case 1'!BJ110</f>
        <v>0</v>
      </c>
      <c r="K100" s="729">
        <f>'Recycling - Case 1'!BK110</f>
        <v>0.51670673382539589</v>
      </c>
      <c r="L100" s="730">
        <f t="shared" si="100"/>
        <v>1</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0.10307327840937808</v>
      </c>
      <c r="Q100" s="734">
        <f t="shared" si="62"/>
        <v>248.39596462617786</v>
      </c>
      <c r="R100" s="734">
        <f t="shared" si="63"/>
        <v>248.39596462617786</v>
      </c>
      <c r="S100" s="737">
        <f t="shared" si="64"/>
        <v>0</v>
      </c>
      <c r="T100" s="734">
        <f t="shared" si="65"/>
        <v>10603.664975223173</v>
      </c>
      <c r="U100" s="734">
        <f t="shared" si="66"/>
        <v>530.92599544197367</v>
      </c>
      <c r="V100" s="741">
        <f t="shared" si="67"/>
        <v>353.95066362798246</v>
      </c>
      <c r="W100" s="383"/>
      <c r="X100" s="885">
        <f>'Recycling - Case 1'!AM150</f>
        <v>60.815178037186428</v>
      </c>
      <c r="Y100" s="886">
        <f>Parameters!S201</f>
        <v>0.71500000000000008</v>
      </c>
      <c r="Z100" s="887">
        <f t="shared" si="68"/>
        <v>0.4</v>
      </c>
      <c r="AA100" s="888">
        <f t="shared" si="69"/>
        <v>8.6965704593176607</v>
      </c>
      <c r="AB100" s="888">
        <f t="shared" si="70"/>
        <v>8.6965704593176607</v>
      </c>
      <c r="AC100" s="311">
        <f t="shared" si="71"/>
        <v>0</v>
      </c>
      <c r="AD100" s="888">
        <f t="shared" si="72"/>
        <v>6103.9840373760289</v>
      </c>
      <c r="AE100" s="888">
        <f t="shared" si="73"/>
        <v>312.51207115585811</v>
      </c>
      <c r="AF100" s="889">
        <f t="shared" si="74"/>
        <v>208.34138077057207</v>
      </c>
      <c r="AH100" s="885">
        <f>'Recycling - Case 1'!AM190</f>
        <v>60.815178037186428</v>
      </c>
      <c r="AI100" s="886">
        <f>Parameters!S201</f>
        <v>0.71500000000000008</v>
      </c>
      <c r="AJ100" s="887">
        <f t="shared" si="75"/>
        <v>0.4</v>
      </c>
      <c r="AK100" s="888">
        <f t="shared" si="76"/>
        <v>8.6965704593176607</v>
      </c>
      <c r="AL100" s="888">
        <f t="shared" si="77"/>
        <v>8.6965704593176607</v>
      </c>
      <c r="AM100" s="311">
        <f t="shared" si="78"/>
        <v>0</v>
      </c>
      <c r="AN100" s="888">
        <f t="shared" si="79"/>
        <v>6103.9840373760289</v>
      </c>
      <c r="AO100" s="888">
        <f t="shared" si="80"/>
        <v>312.51207115585811</v>
      </c>
      <c r="AP100" s="889">
        <f t="shared" si="81"/>
        <v>208.34138077057207</v>
      </c>
      <c r="AR100" s="901">
        <f>'Recycling - Case 1'!G110</f>
        <v>648.59985489181918</v>
      </c>
      <c r="AS100" s="920">
        <v>1</v>
      </c>
      <c r="AT100" s="902">
        <f t="shared" si="82"/>
        <v>0.05</v>
      </c>
      <c r="AU100" s="903">
        <f t="shared" si="83"/>
        <v>16.214996372295481</v>
      </c>
      <c r="AV100" s="903">
        <f t="shared" si="84"/>
        <v>16.214996372295481</v>
      </c>
      <c r="AW100" s="279">
        <f t="shared" si="85"/>
        <v>0</v>
      </c>
      <c r="AX100" s="903">
        <f t="shared" si="51"/>
        <v>202.87810834340604</v>
      </c>
      <c r="AY100" s="903">
        <f t="shared" si="54"/>
        <v>11.542602211703251</v>
      </c>
      <c r="AZ100" s="921">
        <f t="shared" si="52"/>
        <v>7.6950681411355006</v>
      </c>
      <c r="BB100" s="913">
        <f t="shared" si="86"/>
        <v>353.95066362798246</v>
      </c>
      <c r="BC100" s="914">
        <f t="shared" si="87"/>
        <v>208.34138077057207</v>
      </c>
      <c r="BD100" s="933">
        <f t="shared" si="101"/>
        <v>7.6950681411355006</v>
      </c>
      <c r="BE100" s="914">
        <f t="shared" si="60"/>
        <v>569.98711253968997</v>
      </c>
      <c r="BF100" s="145">
        <v>0</v>
      </c>
      <c r="BG100" s="927">
        <f t="shared" si="88"/>
        <v>569.98711253968997</v>
      </c>
      <c r="BI100" s="913">
        <f t="shared" si="89"/>
        <v>353.95066362798246</v>
      </c>
      <c r="BJ100" s="914">
        <f t="shared" si="90"/>
        <v>208.34138077057207</v>
      </c>
      <c r="BK100" s="933">
        <f t="shared" si="91"/>
        <v>7.6950681411355006</v>
      </c>
      <c r="BL100" s="914">
        <f t="shared" si="61"/>
        <v>569.98711253968997</v>
      </c>
      <c r="BM100" s="145">
        <v>0</v>
      </c>
      <c r="BN100" s="927">
        <f t="shared" si="92"/>
        <v>569.98711253968997</v>
      </c>
    </row>
    <row r="101" spans="1:66">
      <c r="A101" s="805">
        <f>'Input data'!A131</f>
        <v>2031</v>
      </c>
      <c r="B101" s="728">
        <f>'Input data'!B131</f>
        <v>66.757007289602299</v>
      </c>
      <c r="C101" s="728">
        <f>'Recycling - Case 1'!AK111/B101</f>
        <v>319.25467435215438</v>
      </c>
      <c r="D101" s="729">
        <f>'Recycling - Case 1'!AM111</f>
        <v>0.24906539163161315</v>
      </c>
      <c r="E101" s="729">
        <f>'Recycling - Case 1'!BE111</f>
        <v>0.17985807109695184</v>
      </c>
      <c r="F101" s="729">
        <f>'Recycling - Case 1'!BF111</f>
        <v>0.228108692344518</v>
      </c>
      <c r="G101" s="729">
        <f>'Recycling - Case 1'!BG111</f>
        <v>7.6668177108237187E-2</v>
      </c>
      <c r="H101" s="729">
        <f>'Recycling - Case 1'!BH111</f>
        <v>0</v>
      </c>
      <c r="I101" s="729">
        <f>'Recycling - Case 1'!BI111</f>
        <v>0</v>
      </c>
      <c r="J101" s="729">
        <f>'Recycling - Case 1'!BJ111</f>
        <v>0</v>
      </c>
      <c r="K101" s="729">
        <f>'Recycling - Case 1'!BK111</f>
        <v>0.51536505945029287</v>
      </c>
      <c r="L101" s="730">
        <f t="shared" si="100"/>
        <v>1</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0.10326771997674125</v>
      </c>
      <c r="Q101" s="734">
        <f t="shared" si="62"/>
        <v>238.9318566268982</v>
      </c>
      <c r="R101" s="734">
        <f t="shared" si="63"/>
        <v>238.9318566268982</v>
      </c>
      <c r="S101" s="737">
        <f t="shared" si="64"/>
        <v>0</v>
      </c>
      <c r="T101" s="734">
        <f t="shared" si="65"/>
        <v>10325.449988606815</v>
      </c>
      <c r="U101" s="734">
        <f t="shared" si="66"/>
        <v>517.14684324325617</v>
      </c>
      <c r="V101" s="741">
        <f t="shared" si="67"/>
        <v>344.76456216217076</v>
      </c>
      <c r="W101" s="383"/>
      <c r="X101" s="885">
        <f>'Recycling - Case 1'!AM151</f>
        <v>91.561066693136311</v>
      </c>
      <c r="Y101" s="886">
        <f>Parameters!S202</f>
        <v>0.71500000000000008</v>
      </c>
      <c r="Z101" s="887">
        <f t="shared" si="68"/>
        <v>0.4</v>
      </c>
      <c r="AA101" s="888">
        <f t="shared" si="69"/>
        <v>13.093232537118494</v>
      </c>
      <c r="AB101" s="888">
        <f t="shared" si="70"/>
        <v>13.093232537118494</v>
      </c>
      <c r="AC101" s="311">
        <f t="shared" si="71"/>
        <v>0</v>
      </c>
      <c r="AD101" s="888">
        <f t="shared" si="72"/>
        <v>5819.3824555718638</v>
      </c>
      <c r="AE101" s="888">
        <f t="shared" si="73"/>
        <v>297.69481434128409</v>
      </c>
      <c r="AF101" s="889">
        <f t="shared" si="74"/>
        <v>198.46320956085606</v>
      </c>
      <c r="AH101" s="885">
        <f>'Recycling - Case 1'!AM191</f>
        <v>91.561066693136311</v>
      </c>
      <c r="AI101" s="886">
        <f>Parameters!S202</f>
        <v>0.71500000000000008</v>
      </c>
      <c r="AJ101" s="887">
        <f t="shared" si="75"/>
        <v>0.4</v>
      </c>
      <c r="AK101" s="888">
        <f t="shared" si="76"/>
        <v>13.093232537118494</v>
      </c>
      <c r="AL101" s="888">
        <f t="shared" si="77"/>
        <v>13.093232537118494</v>
      </c>
      <c r="AM101" s="311">
        <f t="shared" si="78"/>
        <v>0</v>
      </c>
      <c r="AN101" s="888">
        <f t="shared" si="79"/>
        <v>5819.3824555718638</v>
      </c>
      <c r="AO101" s="888">
        <f t="shared" si="80"/>
        <v>297.69481434128409</v>
      </c>
      <c r="AP101" s="889">
        <f t="shared" si="81"/>
        <v>198.46320956085606</v>
      </c>
      <c r="AR101" s="901">
        <f>'Recycling - Case 1'!G111</f>
        <v>659.03086034178807</v>
      </c>
      <c r="AS101" s="920">
        <v>1</v>
      </c>
      <c r="AT101" s="902">
        <f t="shared" si="82"/>
        <v>0.05</v>
      </c>
      <c r="AU101" s="903">
        <f t="shared" si="83"/>
        <v>16.475771508544703</v>
      </c>
      <c r="AV101" s="903">
        <f t="shared" si="84"/>
        <v>16.475771508544703</v>
      </c>
      <c r="AW101" s="279">
        <f t="shared" si="85"/>
        <v>0</v>
      </c>
      <c r="AX101" s="903">
        <f t="shared" si="51"/>
        <v>207.53917858702718</v>
      </c>
      <c r="AY101" s="903">
        <f t="shared" si="54"/>
        <v>11.814701264923572</v>
      </c>
      <c r="AZ101" s="921">
        <f t="shared" si="52"/>
        <v>7.8764675099490482</v>
      </c>
      <c r="BB101" s="913">
        <f t="shared" si="86"/>
        <v>344.76456216217076</v>
      </c>
      <c r="BC101" s="914">
        <f t="shared" si="87"/>
        <v>198.46320956085606</v>
      </c>
      <c r="BD101" s="933">
        <f t="shared" si="101"/>
        <v>7.8764675099490482</v>
      </c>
      <c r="BE101" s="914">
        <f t="shared" si="60"/>
        <v>551.10423923297583</v>
      </c>
      <c r="BF101" s="145">
        <v>0</v>
      </c>
      <c r="BG101" s="927">
        <f t="shared" si="88"/>
        <v>551.10423923297583</v>
      </c>
      <c r="BI101" s="913">
        <f t="shared" si="89"/>
        <v>344.76456216217076</v>
      </c>
      <c r="BJ101" s="914">
        <f t="shared" si="90"/>
        <v>198.46320956085606</v>
      </c>
      <c r="BK101" s="933">
        <f t="shared" si="91"/>
        <v>7.8764675099490482</v>
      </c>
      <c r="BL101" s="914">
        <f t="shared" si="61"/>
        <v>551.10423923297583</v>
      </c>
      <c r="BM101" s="145">
        <v>0</v>
      </c>
      <c r="BN101" s="927">
        <f t="shared" si="92"/>
        <v>551.10423923297583</v>
      </c>
    </row>
    <row r="102" spans="1:66">
      <c r="A102" s="805">
        <f>'Input data'!A132</f>
        <v>2032</v>
      </c>
      <c r="B102" s="728">
        <f>'Input data'!B132</f>
        <v>67.318270994163854</v>
      </c>
      <c r="C102" s="728">
        <f>'Recycling - Case 1'!AK112/B102</f>
        <v>312.24912732879937</v>
      </c>
      <c r="D102" s="729">
        <f>'Recycling - Case 1'!AM112</f>
        <v>0.23997967584037713</v>
      </c>
      <c r="E102" s="729">
        <f>'Recycling - Case 1'!BE112</f>
        <v>0.18050819788361064</v>
      </c>
      <c r="F102" s="729">
        <f>'Recycling - Case 1'!BF112</f>
        <v>0.22893322899310087</v>
      </c>
      <c r="G102" s="729">
        <f>'Recycling - Case 1'!BG112</f>
        <v>7.647720850977581E-2</v>
      </c>
      <c r="H102" s="729">
        <f>'Recycling - Case 1'!BH112</f>
        <v>0</v>
      </c>
      <c r="I102" s="729">
        <f>'Recycling - Case 1'!BI112</f>
        <v>0</v>
      </c>
      <c r="J102" s="729">
        <f>'Recycling - Case 1'!BJ112</f>
        <v>0</v>
      </c>
      <c r="K102" s="729">
        <f>'Recycling - Case 1'!BK112</f>
        <v>0.51408136461351273</v>
      </c>
      <c r="L102" s="730">
        <f t="shared" si="100"/>
        <v>1</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0.10345375888507209</v>
      </c>
      <c r="Q102" s="734">
        <f t="shared" si="62"/>
        <v>229.22748723722731</v>
      </c>
      <c r="R102" s="734">
        <f t="shared" si="63"/>
        <v>229.22748723722731</v>
      </c>
      <c r="S102" s="737">
        <f t="shared" si="64"/>
        <v>0</v>
      </c>
      <c r="T102" s="734">
        <f t="shared" si="65"/>
        <v>10051.099337610593</v>
      </c>
      <c r="U102" s="734">
        <f t="shared" si="66"/>
        <v>503.57813823345026</v>
      </c>
      <c r="V102" s="741">
        <f t="shared" si="67"/>
        <v>335.71875882230017</v>
      </c>
      <c r="W102" s="383"/>
      <c r="X102" s="885">
        <f>'Recycling - Case 1'!AM152</f>
        <v>142.84499166916319</v>
      </c>
      <c r="Y102" s="886">
        <f>Parameters!S203</f>
        <v>0.71500000000000008</v>
      </c>
      <c r="Z102" s="887">
        <f t="shared" si="68"/>
        <v>0.4</v>
      </c>
      <c r="AA102" s="888">
        <f t="shared" si="69"/>
        <v>20.42683380869034</v>
      </c>
      <c r="AB102" s="888">
        <f t="shared" si="70"/>
        <v>20.42683380869034</v>
      </c>
      <c r="AC102" s="311">
        <f t="shared" si="71"/>
        <v>0</v>
      </c>
      <c r="AD102" s="888">
        <f t="shared" si="72"/>
        <v>5555.9946579718662</v>
      </c>
      <c r="AE102" s="888">
        <f t="shared" si="73"/>
        <v>283.81463140868783</v>
      </c>
      <c r="AF102" s="889">
        <f t="shared" si="74"/>
        <v>189.20975427245855</v>
      </c>
      <c r="AH102" s="885">
        <f>'Recycling - Case 1'!AM192</f>
        <v>142.84499166916319</v>
      </c>
      <c r="AI102" s="886">
        <f>Parameters!S203</f>
        <v>0.71500000000000008</v>
      </c>
      <c r="AJ102" s="887">
        <f t="shared" si="75"/>
        <v>0.4</v>
      </c>
      <c r="AK102" s="888">
        <f t="shared" si="76"/>
        <v>20.42683380869034</v>
      </c>
      <c r="AL102" s="888">
        <f t="shared" si="77"/>
        <v>20.42683380869034</v>
      </c>
      <c r="AM102" s="311">
        <f t="shared" si="78"/>
        <v>0</v>
      </c>
      <c r="AN102" s="888">
        <f t="shared" si="79"/>
        <v>5555.9946579718662</v>
      </c>
      <c r="AO102" s="888">
        <f t="shared" si="80"/>
        <v>283.81463140868783</v>
      </c>
      <c r="AP102" s="889">
        <f t="shared" si="81"/>
        <v>189.20975427245855</v>
      </c>
      <c r="AR102" s="901">
        <f>'Recycling - Case 1'!G112</f>
        <v>669.41992567162379</v>
      </c>
      <c r="AS102" s="920">
        <v>1</v>
      </c>
      <c r="AT102" s="902">
        <f t="shared" si="82"/>
        <v>0.05</v>
      </c>
      <c r="AU102" s="903">
        <f t="shared" si="83"/>
        <v>16.735498141790597</v>
      </c>
      <c r="AV102" s="903">
        <f t="shared" si="84"/>
        <v>16.735498141790597</v>
      </c>
      <c r="AW102" s="279">
        <f t="shared" si="85"/>
        <v>0</v>
      </c>
      <c r="AX102" s="903">
        <f t="shared" si="51"/>
        <v>212.18853586426036</v>
      </c>
      <c r="AY102" s="903">
        <f t="shared" si="54"/>
        <v>12.086140864557429</v>
      </c>
      <c r="AZ102" s="921">
        <f t="shared" si="52"/>
        <v>8.0574272430382852</v>
      </c>
      <c r="BB102" s="913">
        <f t="shared" si="86"/>
        <v>335.71875882230017</v>
      </c>
      <c r="BC102" s="914">
        <f t="shared" si="87"/>
        <v>189.20975427245855</v>
      </c>
      <c r="BD102" s="933">
        <f t="shared" si="101"/>
        <v>8.0574272430382852</v>
      </c>
      <c r="BE102" s="914">
        <f t="shared" si="60"/>
        <v>532.98594033779705</v>
      </c>
      <c r="BF102" s="145">
        <v>0</v>
      </c>
      <c r="BG102" s="927">
        <f t="shared" si="88"/>
        <v>532.98594033779705</v>
      </c>
      <c r="BI102" s="913">
        <f t="shared" si="89"/>
        <v>335.71875882230017</v>
      </c>
      <c r="BJ102" s="914">
        <f t="shared" si="90"/>
        <v>189.20975427245855</v>
      </c>
      <c r="BK102" s="933">
        <f t="shared" si="91"/>
        <v>8.0574272430382852</v>
      </c>
      <c r="BL102" s="914">
        <f t="shared" si="61"/>
        <v>532.98594033779705</v>
      </c>
      <c r="BM102" s="145">
        <v>0</v>
      </c>
      <c r="BN102" s="927">
        <f t="shared" si="92"/>
        <v>532.98594033779705</v>
      </c>
    </row>
    <row r="103" spans="1:66">
      <c r="A103" s="805">
        <f>'Input data'!A133</f>
        <v>2033</v>
      </c>
      <c r="B103" s="728">
        <f>'Input data'!B133</f>
        <v>67.86660286866902</v>
      </c>
      <c r="C103" s="728">
        <f>'Recycling - Case 1'!AK113/B103</f>
        <v>305.40463859885216</v>
      </c>
      <c r="D103" s="729">
        <f>'Recycling - Case 1'!AM113</f>
        <v>0.23064740780656715</v>
      </c>
      <c r="E103" s="729">
        <f>'Recycling - Case 1'!BE113</f>
        <v>0.18112991656503788</v>
      </c>
      <c r="F103" s="729">
        <f>'Recycling - Case 1'!BF113</f>
        <v>0.22972173647881766</v>
      </c>
      <c r="G103" s="729">
        <f>'Recycling - Case 1'!BG113</f>
        <v>7.6294584523707437E-2</v>
      </c>
      <c r="H103" s="729">
        <f>'Recycling - Case 1'!BH113</f>
        <v>0</v>
      </c>
      <c r="I103" s="729">
        <f>'Recycling - Case 1'!BI113</f>
        <v>0</v>
      </c>
      <c r="J103" s="729">
        <f>'Recycling - Case 1'!BJ113</f>
        <v>0</v>
      </c>
      <c r="K103" s="729">
        <f>'Recycling - Case 1'!BK113</f>
        <v>0.51285376243243697</v>
      </c>
      <c r="L103" s="730">
        <f t="shared" si="100"/>
        <v>0.99999999999999989</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0.1036316685900022</v>
      </c>
      <c r="Q103" s="734">
        <f t="shared" si="62"/>
        <v>219.28491072122253</v>
      </c>
      <c r="R103" s="734">
        <f t="shared" si="63"/>
        <v>219.28491072122253</v>
      </c>
      <c r="S103" s="737">
        <f t="shared" si="64"/>
        <v>0</v>
      </c>
      <c r="T103" s="734">
        <f t="shared" si="65"/>
        <v>9780.1863492360535</v>
      </c>
      <c r="U103" s="734">
        <f t="shared" si="66"/>
        <v>490.19789909576076</v>
      </c>
      <c r="V103" s="741">
        <f t="shared" si="67"/>
        <v>326.79859939717386</v>
      </c>
      <c r="W103" s="383"/>
      <c r="X103" s="885">
        <f>'Recycling - Case 1'!AM153</f>
        <v>120.29937628015264</v>
      </c>
      <c r="Y103" s="886">
        <f>Parameters!S204</f>
        <v>0.71500000000000008</v>
      </c>
      <c r="Z103" s="887">
        <f t="shared" si="68"/>
        <v>0.4</v>
      </c>
      <c r="AA103" s="888">
        <f t="shared" si="69"/>
        <v>17.20281080806183</v>
      </c>
      <c r="AB103" s="888">
        <f t="shared" si="70"/>
        <v>17.20281080806183</v>
      </c>
      <c r="AC103" s="311">
        <f t="shared" si="71"/>
        <v>0</v>
      </c>
      <c r="AD103" s="888">
        <f t="shared" si="72"/>
        <v>5302.2284118396819</v>
      </c>
      <c r="AE103" s="888">
        <f t="shared" si="73"/>
        <v>270.9690569402465</v>
      </c>
      <c r="AF103" s="889">
        <f t="shared" si="74"/>
        <v>180.64603796016434</v>
      </c>
      <c r="AH103" s="885">
        <f>'Recycling - Case 1'!AM193</f>
        <v>120.29937628015264</v>
      </c>
      <c r="AI103" s="886">
        <f>Parameters!S204</f>
        <v>0.71500000000000008</v>
      </c>
      <c r="AJ103" s="887">
        <f t="shared" si="75"/>
        <v>0.4</v>
      </c>
      <c r="AK103" s="888">
        <f t="shared" si="76"/>
        <v>17.20281080806183</v>
      </c>
      <c r="AL103" s="888">
        <f t="shared" si="77"/>
        <v>17.20281080806183</v>
      </c>
      <c r="AM103" s="311">
        <f t="shared" si="78"/>
        <v>0</v>
      </c>
      <c r="AN103" s="888">
        <f t="shared" si="79"/>
        <v>5302.2284118396819</v>
      </c>
      <c r="AO103" s="888">
        <f t="shared" si="80"/>
        <v>270.9690569402465</v>
      </c>
      <c r="AP103" s="889">
        <f t="shared" si="81"/>
        <v>180.64603796016434</v>
      </c>
      <c r="AR103" s="901">
        <f>'Recycling - Case 1'!G113</f>
        <v>679.76030795158988</v>
      </c>
      <c r="AS103" s="920">
        <v>1</v>
      </c>
      <c r="AT103" s="902">
        <f t="shared" si="82"/>
        <v>0.05</v>
      </c>
      <c r="AU103" s="903">
        <f t="shared" si="83"/>
        <v>16.994007698789748</v>
      </c>
      <c r="AV103" s="903">
        <f t="shared" si="84"/>
        <v>16.994007698789748</v>
      </c>
      <c r="AW103" s="279">
        <f t="shared" si="85"/>
        <v>0</v>
      </c>
      <c r="AX103" s="903">
        <f t="shared" si="51"/>
        <v>216.82564520891952</v>
      </c>
      <c r="AY103" s="903">
        <f t="shared" si="54"/>
        <v>12.356898354130569</v>
      </c>
      <c r="AZ103" s="921">
        <f t="shared" si="52"/>
        <v>8.2379322360870457</v>
      </c>
      <c r="BB103" s="913">
        <f t="shared" si="86"/>
        <v>326.79859939717386</v>
      </c>
      <c r="BC103" s="914">
        <f t="shared" si="87"/>
        <v>180.64603796016434</v>
      </c>
      <c r="BD103" s="933">
        <f t="shared" si="101"/>
        <v>8.2379322360870457</v>
      </c>
      <c r="BE103" s="914">
        <f t="shared" si="60"/>
        <v>515.68256959342523</v>
      </c>
      <c r="BF103" s="145">
        <v>0</v>
      </c>
      <c r="BG103" s="927">
        <f t="shared" si="88"/>
        <v>515.68256959342523</v>
      </c>
      <c r="BI103" s="913">
        <f t="shared" si="89"/>
        <v>326.79859939717386</v>
      </c>
      <c r="BJ103" s="914">
        <f t="shared" si="90"/>
        <v>180.64603796016434</v>
      </c>
      <c r="BK103" s="933">
        <f t="shared" si="91"/>
        <v>8.2379322360870457</v>
      </c>
      <c r="BL103" s="914">
        <f t="shared" si="61"/>
        <v>515.68256959342523</v>
      </c>
      <c r="BM103" s="145">
        <v>0</v>
      </c>
      <c r="BN103" s="927">
        <f t="shared" si="92"/>
        <v>515.68256959342523</v>
      </c>
    </row>
    <row r="104" spans="1:66">
      <c r="A104" s="805">
        <f>'Input data'!A134</f>
        <v>2034</v>
      </c>
      <c r="B104" s="728">
        <f>'Input data'!B134</f>
        <v>68.401606645337111</v>
      </c>
      <c r="C104" s="728">
        <f>'Recycling - Case 1'!AK114/B104</f>
        <v>298.71400453337344</v>
      </c>
      <c r="D104" s="729">
        <f>'Recycling - Case 1'!AM114</f>
        <v>0.2210576358009923</v>
      </c>
      <c r="E104" s="729">
        <f>'Recycling - Case 1'!BE114</f>
        <v>0.18172412786562825</v>
      </c>
      <c r="F104" s="729">
        <f>'Recycling - Case 1'!BF114</f>
        <v>0.23047535716387968</v>
      </c>
      <c r="G104" s="729">
        <f>'Recycling - Case 1'!BG114</f>
        <v>7.6120040570754985E-2</v>
      </c>
      <c r="H104" s="729">
        <f>'Recycling - Case 1'!BH114</f>
        <v>0</v>
      </c>
      <c r="I104" s="729">
        <f>'Recycling - Case 1'!BI114</f>
        <v>0</v>
      </c>
      <c r="J104" s="729">
        <f>'Recycling - Case 1'!BJ114</f>
        <v>0</v>
      </c>
      <c r="K104" s="729">
        <f>'Recycling - Case 1'!BK114</f>
        <v>0.51168047439973696</v>
      </c>
      <c r="L104" s="730">
        <f t="shared" si="100"/>
        <v>0.99999999999999989</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0.10380170684092217</v>
      </c>
      <c r="Q104" s="734">
        <f t="shared" si="62"/>
        <v>209.10612842909813</v>
      </c>
      <c r="R104" s="734">
        <f t="shared" si="63"/>
        <v>209.10612842909813</v>
      </c>
      <c r="S104" s="737">
        <f t="shared" si="64"/>
        <v>0</v>
      </c>
      <c r="T104" s="734">
        <f t="shared" si="65"/>
        <v>9512.3071609226499</v>
      </c>
      <c r="U104" s="734">
        <f t="shared" si="66"/>
        <v>476.98531674250313</v>
      </c>
      <c r="V104" s="741">
        <f t="shared" si="67"/>
        <v>317.99021116166875</v>
      </c>
      <c r="W104" s="383"/>
      <c r="X104" s="885">
        <f>'Recycling - Case 1'!AM154</f>
        <v>206.05440434384724</v>
      </c>
      <c r="Y104" s="886">
        <f>Parameters!S205</f>
        <v>0.71500000000000008</v>
      </c>
      <c r="Z104" s="887">
        <f t="shared" si="68"/>
        <v>0.4</v>
      </c>
      <c r="AA104" s="888">
        <f t="shared" si="69"/>
        <v>29.465779821170159</v>
      </c>
      <c r="AB104" s="888">
        <f t="shared" si="70"/>
        <v>29.465779821170159</v>
      </c>
      <c r="AC104" s="311">
        <f t="shared" si="71"/>
        <v>0</v>
      </c>
      <c r="AD104" s="888">
        <f t="shared" si="72"/>
        <v>5073.1014605867658</v>
      </c>
      <c r="AE104" s="888">
        <f t="shared" si="73"/>
        <v>258.59273107408643</v>
      </c>
      <c r="AF104" s="889">
        <f t="shared" si="74"/>
        <v>172.39515404939095</v>
      </c>
      <c r="AH104" s="885">
        <f>'Recycling - Case 1'!AM194</f>
        <v>206.05440434384724</v>
      </c>
      <c r="AI104" s="886">
        <f>Parameters!S205</f>
        <v>0.71500000000000008</v>
      </c>
      <c r="AJ104" s="887">
        <f t="shared" si="75"/>
        <v>0.4</v>
      </c>
      <c r="AK104" s="888">
        <f t="shared" si="76"/>
        <v>29.465779821170159</v>
      </c>
      <c r="AL104" s="888">
        <f t="shared" si="77"/>
        <v>29.465779821170159</v>
      </c>
      <c r="AM104" s="311">
        <f t="shared" si="78"/>
        <v>0</v>
      </c>
      <c r="AN104" s="888">
        <f t="shared" si="79"/>
        <v>5073.1014605867658</v>
      </c>
      <c r="AO104" s="888">
        <f t="shared" si="80"/>
        <v>258.59273107408643</v>
      </c>
      <c r="AP104" s="889">
        <f t="shared" si="81"/>
        <v>172.39515404939095</v>
      </c>
      <c r="AR104" s="901">
        <f>'Recycling - Case 1'!G114</f>
        <v>690.04521554713313</v>
      </c>
      <c r="AS104" s="920">
        <v>1</v>
      </c>
      <c r="AT104" s="902">
        <f t="shared" si="82"/>
        <v>0.05</v>
      </c>
      <c r="AU104" s="903">
        <f t="shared" si="83"/>
        <v>17.25113038867833</v>
      </c>
      <c r="AV104" s="903">
        <f t="shared" si="84"/>
        <v>17.25113038867833</v>
      </c>
      <c r="AW104" s="279">
        <f t="shared" si="85"/>
        <v>0</v>
      </c>
      <c r="AX104" s="903">
        <f t="shared" si="51"/>
        <v>221.4498330179602</v>
      </c>
      <c r="AY104" s="903">
        <f t="shared" si="54"/>
        <v>12.626942579637635</v>
      </c>
      <c r="AZ104" s="921">
        <f t="shared" si="52"/>
        <v>8.4179617197584236</v>
      </c>
      <c r="BB104" s="913">
        <f t="shared" si="86"/>
        <v>317.99021116166875</v>
      </c>
      <c r="BC104" s="914">
        <f t="shared" si="87"/>
        <v>172.39515404939095</v>
      </c>
      <c r="BD104" s="933">
        <f t="shared" si="101"/>
        <v>8.4179617197584236</v>
      </c>
      <c r="BE104" s="914">
        <f t="shared" si="60"/>
        <v>498.80332693081812</v>
      </c>
      <c r="BF104" s="145">
        <v>0</v>
      </c>
      <c r="BG104" s="927">
        <f t="shared" si="88"/>
        <v>498.80332693081812</v>
      </c>
      <c r="BI104" s="913">
        <f t="shared" si="89"/>
        <v>317.99021116166875</v>
      </c>
      <c r="BJ104" s="914">
        <f t="shared" si="90"/>
        <v>172.39515404939095</v>
      </c>
      <c r="BK104" s="933">
        <f t="shared" si="91"/>
        <v>8.4179617197584236</v>
      </c>
      <c r="BL104" s="914">
        <f t="shared" si="61"/>
        <v>498.80332693081812</v>
      </c>
      <c r="BM104" s="145">
        <v>0</v>
      </c>
      <c r="BN104" s="927">
        <f t="shared" si="92"/>
        <v>498.80332693081812</v>
      </c>
    </row>
    <row r="105" spans="1:66">
      <c r="A105" s="805">
        <f>'Input data'!A135</f>
        <v>2035</v>
      </c>
      <c r="B105" s="728">
        <f>'Input data'!B135</f>
        <v>68.922893208527455</v>
      </c>
      <c r="C105" s="728">
        <f>'Recycling - Case 1'!AK115/B105</f>
        <v>292.17027460517204</v>
      </c>
      <c r="D105" s="729">
        <f>'Recycling - Case 1'!AM115</f>
        <v>0.21119851890495761</v>
      </c>
      <c r="E105" s="729">
        <f>'Recycling - Case 1'!BE115</f>
        <v>0.18229168069370558</v>
      </c>
      <c r="F105" s="729">
        <f>'Recycling - Case 1'!BF115</f>
        <v>0.23119516769370221</v>
      </c>
      <c r="G105" s="729">
        <f>'Recycling - Case 1'!BG115</f>
        <v>7.5953327292122425E-2</v>
      </c>
      <c r="H105" s="729">
        <f>'Recycling - Case 1'!BH115</f>
        <v>0</v>
      </c>
      <c r="I105" s="729">
        <f>'Recycling - Case 1'!BI115</f>
        <v>0</v>
      </c>
      <c r="J105" s="729">
        <f>'Recycling - Case 1'!BJ115</f>
        <v>0</v>
      </c>
      <c r="K105" s="729">
        <f>'Recycling - Case 1'!BK115</f>
        <v>0.51055982432046976</v>
      </c>
      <c r="L105" s="730">
        <f t="shared" si="100"/>
        <v>1</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0.10396411655964526</v>
      </c>
      <c r="Q105" s="734">
        <f t="shared" si="62"/>
        <v>198.69309371978667</v>
      </c>
      <c r="R105" s="734">
        <f t="shared" si="63"/>
        <v>198.69309371978667</v>
      </c>
      <c r="S105" s="737">
        <f t="shared" si="64"/>
        <v>0</v>
      </c>
      <c r="T105" s="734">
        <f t="shared" si="65"/>
        <v>9247.0795600782603</v>
      </c>
      <c r="U105" s="734">
        <f t="shared" si="66"/>
        <v>463.92069456417681</v>
      </c>
      <c r="V105" s="741">
        <f t="shared" si="67"/>
        <v>309.28046304278456</v>
      </c>
      <c r="W105" s="383"/>
      <c r="X105" s="885">
        <f>'Recycling - Case 1'!AM155</f>
        <v>463.36632276180433</v>
      </c>
      <c r="Y105" s="886">
        <f>Parameters!S206</f>
        <v>0.71500000000000008</v>
      </c>
      <c r="Z105" s="887">
        <f t="shared" si="68"/>
        <v>0.4</v>
      </c>
      <c r="AA105" s="888">
        <f t="shared" si="69"/>
        <v>66.261384154938028</v>
      </c>
      <c r="AB105" s="888">
        <f t="shared" si="70"/>
        <v>66.261384154938028</v>
      </c>
      <c r="AC105" s="311">
        <f t="shared" si="71"/>
        <v>0</v>
      </c>
      <c r="AD105" s="888">
        <f t="shared" si="72"/>
        <v>4891.944766942619</v>
      </c>
      <c r="AE105" s="888">
        <f t="shared" si="73"/>
        <v>247.41807779908487</v>
      </c>
      <c r="AF105" s="889">
        <f t="shared" si="74"/>
        <v>164.9453851993899</v>
      </c>
      <c r="AH105" s="885">
        <f>'Recycling - Case 1'!AM195</f>
        <v>463.36632276180433</v>
      </c>
      <c r="AI105" s="886">
        <f>Parameters!S206</f>
        <v>0.71500000000000008</v>
      </c>
      <c r="AJ105" s="887">
        <f t="shared" si="75"/>
        <v>0.4</v>
      </c>
      <c r="AK105" s="888">
        <f t="shared" si="76"/>
        <v>66.261384154938028</v>
      </c>
      <c r="AL105" s="888">
        <f t="shared" si="77"/>
        <v>66.261384154938028</v>
      </c>
      <c r="AM105" s="311">
        <f t="shared" si="78"/>
        <v>0</v>
      </c>
      <c r="AN105" s="888">
        <f t="shared" si="79"/>
        <v>4891.944766942619</v>
      </c>
      <c r="AO105" s="888">
        <f t="shared" si="80"/>
        <v>247.41807779908487</v>
      </c>
      <c r="AP105" s="889">
        <f t="shared" si="81"/>
        <v>164.9453851993899</v>
      </c>
      <c r="AR105" s="901">
        <f>'Recycling - Case 1'!G115</f>
        <v>700.26781533471831</v>
      </c>
      <c r="AS105" s="920">
        <v>1</v>
      </c>
      <c r="AT105" s="902">
        <f t="shared" si="82"/>
        <v>0.05</v>
      </c>
      <c r="AU105" s="903">
        <f t="shared" si="83"/>
        <v>17.506695383367958</v>
      </c>
      <c r="AV105" s="903">
        <f t="shared" si="84"/>
        <v>17.506695383367958</v>
      </c>
      <c r="AW105" s="279">
        <f t="shared" si="85"/>
        <v>0</v>
      </c>
      <c r="AX105" s="903">
        <f t="shared" si="51"/>
        <v>226.06029408783701</v>
      </c>
      <c r="AY105" s="903">
        <f t="shared" si="54"/>
        <v>12.896234313491151</v>
      </c>
      <c r="AZ105" s="921">
        <f t="shared" si="52"/>
        <v>8.597489542327434</v>
      </c>
      <c r="BB105" s="913">
        <f t="shared" si="86"/>
        <v>309.28046304278456</v>
      </c>
      <c r="BC105" s="914">
        <f t="shared" si="87"/>
        <v>164.9453851993899</v>
      </c>
      <c r="BD105" s="933">
        <f t="shared" si="101"/>
        <v>8.597489542327434</v>
      </c>
      <c r="BE105" s="914">
        <f t="shared" si="60"/>
        <v>482.82333778450192</v>
      </c>
      <c r="BF105" s="145">
        <v>0</v>
      </c>
      <c r="BG105" s="927">
        <f t="shared" si="88"/>
        <v>482.82333778450192</v>
      </c>
      <c r="BI105" s="913">
        <f t="shared" si="89"/>
        <v>309.28046304278456</v>
      </c>
      <c r="BJ105" s="914">
        <f t="shared" si="90"/>
        <v>164.9453851993899</v>
      </c>
      <c r="BK105" s="933">
        <f t="shared" si="91"/>
        <v>8.597489542327434</v>
      </c>
      <c r="BL105" s="914">
        <f t="shared" si="61"/>
        <v>482.82333778450192</v>
      </c>
      <c r="BM105" s="145">
        <v>0</v>
      </c>
      <c r="BN105" s="927">
        <f t="shared" si="92"/>
        <v>482.82333778450192</v>
      </c>
    </row>
    <row r="106" spans="1:66">
      <c r="A106" s="805">
        <f>'Input data'!A136</f>
        <v>2036</v>
      </c>
      <c r="B106" s="728">
        <f>'Input data'!B136</f>
        <v>69.431445341664755</v>
      </c>
      <c r="C106" s="728">
        <f>'Recycling - Case 1'!AK116/B106</f>
        <v>285.7632994619641</v>
      </c>
      <c r="D106" s="729">
        <f>'Recycling - Case 1'!AM116</f>
        <v>0.20105571903567421</v>
      </c>
      <c r="E106" s="729">
        <f>'Recycling - Case 1'!BE116</f>
        <v>0.18283481836652277</v>
      </c>
      <c r="F106" s="729">
        <f>'Recycling - Case 1'!BF116</f>
        <v>0.23188401320146146</v>
      </c>
      <c r="G106" s="729">
        <f>'Recycling - Case 1'!BG116</f>
        <v>7.5793785734570962E-2</v>
      </c>
      <c r="H106" s="729">
        <f>'Recycling - Case 1'!BH116</f>
        <v>0</v>
      </c>
      <c r="I106" s="729">
        <f>'Recycling - Case 1'!BI116</f>
        <v>0</v>
      </c>
      <c r="J106" s="729">
        <f>'Recycling - Case 1'!BJ116</f>
        <v>0</v>
      </c>
      <c r="K106" s="729">
        <f>'Recycling - Case 1'!BK116</f>
        <v>0.50948738269744498</v>
      </c>
      <c r="L106" s="730">
        <f t="shared" si="100"/>
        <v>1.0000000000000002</v>
      </c>
      <c r="N106" s="740">
        <f t="shared" si="57"/>
        <v>3989.1382594538381</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0.10411953968909909</v>
      </c>
      <c r="Q106" s="734">
        <f t="shared" si="62"/>
        <v>188.04846260688731</v>
      </c>
      <c r="R106" s="734">
        <f t="shared" si="63"/>
        <v>188.04846260688731</v>
      </c>
      <c r="S106" s="737">
        <f t="shared" si="64"/>
        <v>0</v>
      </c>
      <c r="T106" s="734">
        <f t="shared" si="65"/>
        <v>8984.142630852446</v>
      </c>
      <c r="U106" s="734">
        <f t="shared" si="66"/>
        <v>450.985391832701</v>
      </c>
      <c r="V106" s="741">
        <f t="shared" si="67"/>
        <v>300.65692788846735</v>
      </c>
      <c r="W106" s="383"/>
      <c r="X106" s="885">
        <f>'Recycling - Case 1'!AM156</f>
        <v>974.53796802372619</v>
      </c>
      <c r="Y106" s="886">
        <f>Parameters!S207</f>
        <v>0.71500000000000008</v>
      </c>
      <c r="Z106" s="887">
        <f t="shared" si="68"/>
        <v>0.4</v>
      </c>
      <c r="AA106" s="888">
        <f t="shared" si="69"/>
        <v>139.35892942739287</v>
      </c>
      <c r="AB106" s="888">
        <f t="shared" si="70"/>
        <v>139.35892942739287</v>
      </c>
      <c r="AC106" s="311">
        <f t="shared" si="71"/>
        <v>0</v>
      </c>
      <c r="AD106" s="888">
        <f t="shared" si="72"/>
        <v>4792.7207347754993</v>
      </c>
      <c r="AE106" s="888">
        <f t="shared" si="73"/>
        <v>238.58296159451197</v>
      </c>
      <c r="AF106" s="889">
        <f t="shared" si="74"/>
        <v>159.05530772967464</v>
      </c>
      <c r="AH106" s="885">
        <f>'Recycling - Case 1'!AM196</f>
        <v>974.53796802372619</v>
      </c>
      <c r="AI106" s="886">
        <f>Parameters!S207</f>
        <v>0.71500000000000008</v>
      </c>
      <c r="AJ106" s="887">
        <f t="shared" si="75"/>
        <v>0.4</v>
      </c>
      <c r="AK106" s="888">
        <f t="shared" si="76"/>
        <v>139.35892942739287</v>
      </c>
      <c r="AL106" s="888">
        <f t="shared" si="77"/>
        <v>139.35892942739287</v>
      </c>
      <c r="AM106" s="311">
        <f t="shared" si="78"/>
        <v>0</v>
      </c>
      <c r="AN106" s="888">
        <f t="shared" si="79"/>
        <v>4792.7207347754993</v>
      </c>
      <c r="AO106" s="888">
        <f t="shared" si="80"/>
        <v>238.58296159451197</v>
      </c>
      <c r="AP106" s="889">
        <f t="shared" si="81"/>
        <v>159.05530772967464</v>
      </c>
      <c r="AR106" s="901">
        <f>'Recycling - Case 1'!G116</f>
        <v>710.43519961649861</v>
      </c>
      <c r="AS106" s="920">
        <v>1</v>
      </c>
      <c r="AT106" s="902">
        <f t="shared" si="82"/>
        <v>0.05</v>
      </c>
      <c r="AU106" s="903">
        <f t="shared" si="83"/>
        <v>17.760879990412466</v>
      </c>
      <c r="AV106" s="903">
        <f t="shared" si="84"/>
        <v>17.760879990412466</v>
      </c>
      <c r="AW106" s="279">
        <f t="shared" si="85"/>
        <v>0</v>
      </c>
      <c r="AX106" s="903">
        <f t="shared" si="51"/>
        <v>230.65644741396238</v>
      </c>
      <c r="AY106" s="903">
        <f t="shared" si="54"/>
        <v>13.164726664287089</v>
      </c>
      <c r="AZ106" s="921">
        <f t="shared" si="52"/>
        <v>8.7764844428580595</v>
      </c>
      <c r="BB106" s="913">
        <f t="shared" si="86"/>
        <v>300.65692788846735</v>
      </c>
      <c r="BC106" s="914">
        <f t="shared" si="87"/>
        <v>159.05530772967464</v>
      </c>
      <c r="BD106" s="933">
        <f t="shared" si="101"/>
        <v>8.7764844428580595</v>
      </c>
      <c r="BE106" s="914">
        <f t="shared" si="60"/>
        <v>468.48872006100009</v>
      </c>
      <c r="BF106" s="145">
        <v>0</v>
      </c>
      <c r="BG106" s="927">
        <f t="shared" si="88"/>
        <v>468.48872006100009</v>
      </c>
      <c r="BI106" s="913">
        <f t="shared" si="89"/>
        <v>300.65692788846735</v>
      </c>
      <c r="BJ106" s="914">
        <f t="shared" si="90"/>
        <v>159.05530772967464</v>
      </c>
      <c r="BK106" s="933">
        <f t="shared" si="91"/>
        <v>8.7764844428580595</v>
      </c>
      <c r="BL106" s="914">
        <f t="shared" si="61"/>
        <v>468.48872006100009</v>
      </c>
      <c r="BM106" s="145">
        <v>0</v>
      </c>
      <c r="BN106" s="927">
        <f t="shared" si="92"/>
        <v>468.48872006100009</v>
      </c>
    </row>
    <row r="107" spans="1:66">
      <c r="A107" s="805">
        <f>'Input data'!A137</f>
        <v>2037</v>
      </c>
      <c r="B107" s="728">
        <f>'Input data'!B137</f>
        <v>69.92691944658003</v>
      </c>
      <c r="C107" s="728">
        <f>'Recycling - Case 1'!AK117/B107</f>
        <v>282.82989705470089</v>
      </c>
      <c r="D107" s="729">
        <f>'Recycling - Case 1'!AM117</f>
        <v>0.19721532649595414</v>
      </c>
      <c r="E107" s="729">
        <f>'Recycling - Case 1'!BE117</f>
        <v>0.18335424733491409</v>
      </c>
      <c r="F107" s="729">
        <f>'Recycling - Case 1'!BF117</f>
        <v>0.23254278965793598</v>
      </c>
      <c r="G107" s="729">
        <f>'Recycling - Case 1'!BG117</f>
        <v>7.5641208384845449E-2</v>
      </c>
      <c r="H107" s="729">
        <f>'Recycling - Case 1'!BH117</f>
        <v>0</v>
      </c>
      <c r="I107" s="729">
        <f>'Recycling - Case 1'!BI117</f>
        <v>0</v>
      </c>
      <c r="J107" s="729">
        <f>'Recycling - Case 1'!BJ117</f>
        <v>0</v>
      </c>
      <c r="K107" s="729">
        <f>'Recycling - Case 1'!BK117</f>
        <v>0.50846175462230436</v>
      </c>
      <c r="L107" s="730">
        <f t="shared" si="100"/>
        <v>0.99999999999999989</v>
      </c>
      <c r="N107" s="740">
        <f t="shared" si="57"/>
        <v>3900.4110186862772</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0.10426817838576249</v>
      </c>
      <c r="Q107" s="734">
        <f t="shared" si="62"/>
        <v>185.50090694860779</v>
      </c>
      <c r="R107" s="734">
        <f t="shared" si="63"/>
        <v>185.50090694860779</v>
      </c>
      <c r="S107" s="737">
        <f t="shared" si="64"/>
        <v>0</v>
      </c>
      <c r="T107" s="734">
        <f t="shared" si="65"/>
        <v>8731.4817313267104</v>
      </c>
      <c r="U107" s="734">
        <f t="shared" si="66"/>
        <v>438.16180647434305</v>
      </c>
      <c r="V107" s="741">
        <f t="shared" si="67"/>
        <v>292.10787098289535</v>
      </c>
      <c r="W107" s="383"/>
      <c r="X107" s="885">
        <f>'Recycling - Case 1'!AM157</f>
        <v>1146.7409365746641</v>
      </c>
      <c r="Y107" s="886">
        <f>Parameters!S208</f>
        <v>0.71500000000000008</v>
      </c>
      <c r="Z107" s="887">
        <f t="shared" si="68"/>
        <v>0.4</v>
      </c>
      <c r="AA107" s="888">
        <f t="shared" si="69"/>
        <v>163.98395393017699</v>
      </c>
      <c r="AB107" s="888">
        <f t="shared" si="70"/>
        <v>163.98395393017699</v>
      </c>
      <c r="AC107" s="311">
        <f t="shared" si="71"/>
        <v>0</v>
      </c>
      <c r="AD107" s="888">
        <f t="shared" si="72"/>
        <v>4722.9609402633141</v>
      </c>
      <c r="AE107" s="888">
        <f t="shared" si="73"/>
        <v>233.74374844236189</v>
      </c>
      <c r="AF107" s="889">
        <f t="shared" si="74"/>
        <v>155.82916562824127</v>
      </c>
      <c r="AH107" s="885">
        <f>'Recycling - Case 1'!AM197</f>
        <v>1146.7409365746641</v>
      </c>
      <c r="AI107" s="886">
        <f>Parameters!S208</f>
        <v>0.71500000000000008</v>
      </c>
      <c r="AJ107" s="887">
        <f t="shared" si="75"/>
        <v>0.4</v>
      </c>
      <c r="AK107" s="888">
        <f t="shared" si="76"/>
        <v>163.98395393017699</v>
      </c>
      <c r="AL107" s="888">
        <f t="shared" si="77"/>
        <v>163.98395393017699</v>
      </c>
      <c r="AM107" s="311">
        <f t="shared" si="78"/>
        <v>0</v>
      </c>
      <c r="AN107" s="888">
        <f t="shared" si="79"/>
        <v>4722.9609402633141</v>
      </c>
      <c r="AO107" s="888">
        <f t="shared" si="80"/>
        <v>233.74374844236189</v>
      </c>
      <c r="AP107" s="889">
        <f t="shared" si="81"/>
        <v>155.82916562824127</v>
      </c>
      <c r="AR107" s="901">
        <f>'Recycling - Case 1'!G117</f>
        <v>720.54107650919866</v>
      </c>
      <c r="AS107" s="920">
        <v>1</v>
      </c>
      <c r="AT107" s="902">
        <f t="shared" si="82"/>
        <v>0.05</v>
      </c>
      <c r="AU107" s="903">
        <f t="shared" si="83"/>
        <v>18.013526912729969</v>
      </c>
      <c r="AV107" s="903">
        <f t="shared" si="84"/>
        <v>18.013526912729969</v>
      </c>
      <c r="AW107" s="279">
        <f t="shared" si="85"/>
        <v>0</v>
      </c>
      <c r="AX107" s="903">
        <f t="shared" si="51"/>
        <v>235.23758852974004</v>
      </c>
      <c r="AY107" s="903">
        <f t="shared" si="54"/>
        <v>13.432385796952307</v>
      </c>
      <c r="AZ107" s="921">
        <f t="shared" si="52"/>
        <v>8.9549238646348712</v>
      </c>
      <c r="BB107" s="913">
        <f t="shared" si="86"/>
        <v>292.10787098289535</v>
      </c>
      <c r="BC107" s="914">
        <f t="shared" si="87"/>
        <v>155.82916562824127</v>
      </c>
      <c r="BD107" s="933">
        <f t="shared" si="101"/>
        <v>8.9549238646348712</v>
      </c>
      <c r="BE107" s="914">
        <f t="shared" si="60"/>
        <v>456.89196047577144</v>
      </c>
      <c r="BF107" s="145">
        <v>0</v>
      </c>
      <c r="BG107" s="927">
        <f t="shared" si="88"/>
        <v>456.89196047577144</v>
      </c>
      <c r="BI107" s="913">
        <f t="shared" si="89"/>
        <v>292.10787098289535</v>
      </c>
      <c r="BJ107" s="914">
        <f t="shared" si="90"/>
        <v>155.82916562824127</v>
      </c>
      <c r="BK107" s="933">
        <f t="shared" si="91"/>
        <v>8.9549238646348712</v>
      </c>
      <c r="BL107" s="914">
        <f t="shared" si="61"/>
        <v>456.89196047577144</v>
      </c>
      <c r="BM107" s="145">
        <v>0</v>
      </c>
      <c r="BN107" s="927">
        <f t="shared" si="92"/>
        <v>456.89196047577144</v>
      </c>
    </row>
    <row r="108" spans="1:66">
      <c r="A108" s="805">
        <f>'Input data'!A138</f>
        <v>2038</v>
      </c>
      <c r="B108" s="728">
        <f>'Input data'!B138</f>
        <v>70.408978817025954</v>
      </c>
      <c r="C108" s="728">
        <f>'Recycling - Case 1'!AK118/B108</f>
        <v>278.48572455384976</v>
      </c>
      <c r="D108" s="729">
        <f>'Recycling - Case 1'!AM118</f>
        <v>0.19039526960365166</v>
      </c>
      <c r="E108" s="729">
        <f>'Recycling - Case 1'!BE118</f>
        <v>0.18385063477134553</v>
      </c>
      <c r="F108" s="729">
        <f>'Recycling - Case 1'!BF118</f>
        <v>0.23317234321830743</v>
      </c>
      <c r="G108" s="729">
        <f>'Recycling - Case 1'!BG118</f>
        <v>7.5495399267340335E-2</v>
      </c>
      <c r="H108" s="729">
        <f>'Recycling - Case 1'!BH118</f>
        <v>0</v>
      </c>
      <c r="I108" s="729">
        <f>'Recycling - Case 1'!BI118</f>
        <v>0</v>
      </c>
      <c r="J108" s="729">
        <f>'Recycling - Case 1'!BJ118</f>
        <v>0</v>
      </c>
      <c r="K108" s="729">
        <f>'Recycling - Case 1'!BK118</f>
        <v>0.5074816227430069</v>
      </c>
      <c r="L108" s="730">
        <f t="shared" si="100"/>
        <v>1.0000000000000002</v>
      </c>
      <c r="N108" s="740">
        <f t="shared" si="57"/>
        <v>3733.2505464568658</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0.10441022356629946</v>
      </c>
      <c r="Q108" s="734">
        <f t="shared" si="62"/>
        <v>179.10828636281036</v>
      </c>
      <c r="R108" s="734">
        <f t="shared" si="63"/>
        <v>179.10828636281036</v>
      </c>
      <c r="S108" s="737">
        <f t="shared" si="64"/>
        <v>0</v>
      </c>
      <c r="T108" s="734">
        <f t="shared" si="65"/>
        <v>8484.7506286912158</v>
      </c>
      <c r="U108" s="734">
        <f t="shared" si="66"/>
        <v>425.83938899830565</v>
      </c>
      <c r="V108" s="741">
        <f t="shared" si="67"/>
        <v>283.89292599887045</v>
      </c>
      <c r="W108" s="383"/>
      <c r="X108" s="885">
        <f>'Recycling - Case 1'!AM158</f>
        <v>1172.7459552236119</v>
      </c>
      <c r="Y108" s="886">
        <f>Parameters!S209</f>
        <v>0.71500000000000008</v>
      </c>
      <c r="Z108" s="887">
        <f t="shared" si="68"/>
        <v>0.4</v>
      </c>
      <c r="AA108" s="888">
        <f t="shared" si="69"/>
        <v>167.70267159697653</v>
      </c>
      <c r="AB108" s="888">
        <f t="shared" si="70"/>
        <v>167.70267159697653</v>
      </c>
      <c r="AC108" s="311">
        <f t="shared" si="71"/>
        <v>0</v>
      </c>
      <c r="AD108" s="888">
        <f t="shared" si="72"/>
        <v>4660.3220887430007</v>
      </c>
      <c r="AE108" s="888">
        <f t="shared" si="73"/>
        <v>230.34152311729068</v>
      </c>
      <c r="AF108" s="889">
        <f t="shared" si="74"/>
        <v>153.56101541152711</v>
      </c>
      <c r="AH108" s="885">
        <f>'Recycling - Case 1'!AM198</f>
        <v>1172.7459552236119</v>
      </c>
      <c r="AI108" s="886">
        <f>Parameters!S209</f>
        <v>0.71500000000000008</v>
      </c>
      <c r="AJ108" s="887">
        <f t="shared" si="75"/>
        <v>0.4</v>
      </c>
      <c r="AK108" s="888">
        <f t="shared" si="76"/>
        <v>167.70267159697653</v>
      </c>
      <c r="AL108" s="888">
        <f t="shared" si="77"/>
        <v>167.70267159697653</v>
      </c>
      <c r="AM108" s="311">
        <f t="shared" si="78"/>
        <v>0</v>
      </c>
      <c r="AN108" s="888">
        <f t="shared" si="79"/>
        <v>4660.3220887430007</v>
      </c>
      <c r="AO108" s="888">
        <f t="shared" si="80"/>
        <v>230.34152311729068</v>
      </c>
      <c r="AP108" s="889">
        <f t="shared" si="81"/>
        <v>153.56101541152711</v>
      </c>
      <c r="AR108" s="901">
        <f>'Recycling - Case 1'!G118</f>
        <v>730.57912665869344</v>
      </c>
      <c r="AS108" s="920">
        <v>1</v>
      </c>
      <c r="AT108" s="902">
        <f t="shared" si="82"/>
        <v>0.05</v>
      </c>
      <c r="AU108" s="903">
        <f t="shared" si="83"/>
        <v>18.264478166467338</v>
      </c>
      <c r="AV108" s="903">
        <f t="shared" si="84"/>
        <v>18.264478166467338</v>
      </c>
      <c r="AW108" s="279">
        <f t="shared" si="85"/>
        <v>0</v>
      </c>
      <c r="AX108" s="903">
        <f t="shared" si="51"/>
        <v>239.8028960096614</v>
      </c>
      <c r="AY108" s="903">
        <f t="shared" si="54"/>
        <v>13.699170686545994</v>
      </c>
      <c r="AZ108" s="921">
        <f t="shared" si="52"/>
        <v>9.1327804576973293</v>
      </c>
      <c r="BB108" s="913">
        <f t="shared" si="86"/>
        <v>283.89292599887045</v>
      </c>
      <c r="BC108" s="914">
        <f t="shared" si="87"/>
        <v>153.56101541152711</v>
      </c>
      <c r="BD108" s="933">
        <f t="shared" si="101"/>
        <v>9.1327804576973293</v>
      </c>
      <c r="BE108" s="914">
        <f t="shared" si="60"/>
        <v>446.58672186809486</v>
      </c>
      <c r="BF108" s="145">
        <v>0</v>
      </c>
      <c r="BG108" s="927">
        <f t="shared" si="88"/>
        <v>446.58672186809486</v>
      </c>
      <c r="BI108" s="913">
        <f t="shared" si="89"/>
        <v>283.89292599887045</v>
      </c>
      <c r="BJ108" s="914">
        <f t="shared" si="90"/>
        <v>153.56101541152711</v>
      </c>
      <c r="BK108" s="933">
        <f t="shared" si="91"/>
        <v>9.1327804576973293</v>
      </c>
      <c r="BL108" s="914">
        <f t="shared" si="61"/>
        <v>446.58672186809486</v>
      </c>
      <c r="BM108" s="145">
        <v>0</v>
      </c>
      <c r="BN108" s="927">
        <f t="shared" si="92"/>
        <v>446.58672186809486</v>
      </c>
    </row>
    <row r="109" spans="1:66">
      <c r="A109" s="805">
        <f>'Input data'!A139</f>
        <v>2039</v>
      </c>
      <c r="B109" s="728">
        <f>'Input data'!B139</f>
        <v>70.877294017675013</v>
      </c>
      <c r="C109" s="728">
        <f>'Recycling - Case 1'!AK119/B109</f>
        <v>274.23576722259378</v>
      </c>
      <c r="D109" s="729">
        <f>'Recycling - Case 1'!AM119</f>
        <v>0.18346831952153009</v>
      </c>
      <c r="E109" s="729">
        <f>'Recycling - Case 1'!BE119</f>
        <v>0.18432461055391075</v>
      </c>
      <c r="F109" s="729">
        <f>'Recycling - Case 1'!BF119</f>
        <v>0.23377347273840351</v>
      </c>
      <c r="G109" s="729">
        <f>'Recycling - Case 1'!BG119</f>
        <v>7.5356173361319237E-2</v>
      </c>
      <c r="H109" s="729">
        <f>'Recycling - Case 1'!BH119</f>
        <v>0</v>
      </c>
      <c r="I109" s="729">
        <f>'Recycling - Case 1'!BI119</f>
        <v>0</v>
      </c>
      <c r="J109" s="729">
        <f>'Recycling - Case 1'!BJ119</f>
        <v>0</v>
      </c>
      <c r="K109" s="729">
        <f>'Recycling - Case 1'!BK119</f>
        <v>0.50654574334636637</v>
      </c>
      <c r="L109" s="730">
        <f t="shared" si="100"/>
        <v>0.99999999999999978</v>
      </c>
      <c r="N109" s="740">
        <f t="shared" si="57"/>
        <v>3566.0900742274539</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0.10454585547529502</v>
      </c>
      <c r="Q109" s="734">
        <f t="shared" si="62"/>
        <v>172.56902857589824</v>
      </c>
      <c r="R109" s="734">
        <f t="shared" si="63"/>
        <v>172.56902857589824</v>
      </c>
      <c r="S109" s="737">
        <f t="shared" si="64"/>
        <v>0</v>
      </c>
      <c r="T109" s="734">
        <f t="shared" si="65"/>
        <v>8243.5134861379138</v>
      </c>
      <c r="U109" s="734">
        <f t="shared" si="66"/>
        <v>413.80617112919919</v>
      </c>
      <c r="V109" s="741">
        <f t="shared" si="67"/>
        <v>275.87078075279948</v>
      </c>
      <c r="W109" s="383"/>
      <c r="X109" s="885">
        <f>'Recycling - Case 1'!AM159</f>
        <v>1200.9483133291608</v>
      </c>
      <c r="Y109" s="886">
        <f>Parameters!S210</f>
        <v>0.71500000000000008</v>
      </c>
      <c r="Z109" s="887">
        <f t="shared" si="68"/>
        <v>0.4</v>
      </c>
      <c r="AA109" s="888">
        <f t="shared" si="69"/>
        <v>171.73560880607002</v>
      </c>
      <c r="AB109" s="888">
        <f t="shared" si="70"/>
        <v>171.73560880607002</v>
      </c>
      <c r="AC109" s="311">
        <f t="shared" si="71"/>
        <v>0</v>
      </c>
      <c r="AD109" s="888">
        <f t="shared" si="72"/>
        <v>4604.7711072690399</v>
      </c>
      <c r="AE109" s="888">
        <f t="shared" si="73"/>
        <v>227.28659028003068</v>
      </c>
      <c r="AF109" s="889">
        <f t="shared" si="74"/>
        <v>151.52439352002045</v>
      </c>
      <c r="AH109" s="885">
        <f>'Recycling - Case 1'!AM199</f>
        <v>1200.9483133291608</v>
      </c>
      <c r="AI109" s="886">
        <f>Parameters!S210</f>
        <v>0.71500000000000008</v>
      </c>
      <c r="AJ109" s="887">
        <f t="shared" si="75"/>
        <v>0.4</v>
      </c>
      <c r="AK109" s="888">
        <f t="shared" si="76"/>
        <v>171.73560880607002</v>
      </c>
      <c r="AL109" s="888">
        <f t="shared" si="77"/>
        <v>171.73560880607002</v>
      </c>
      <c r="AM109" s="311">
        <f t="shared" si="78"/>
        <v>0</v>
      </c>
      <c r="AN109" s="888">
        <f t="shared" si="79"/>
        <v>4604.7711072690399</v>
      </c>
      <c r="AO109" s="888">
        <f t="shared" si="80"/>
        <v>227.28659028003068</v>
      </c>
      <c r="AP109" s="889">
        <f t="shared" si="81"/>
        <v>151.52439352002045</v>
      </c>
      <c r="AR109" s="901">
        <f>'Recycling - Case 1'!G119</f>
        <v>740.54300968163386</v>
      </c>
      <c r="AS109" s="920">
        <v>1</v>
      </c>
      <c r="AT109" s="902">
        <f t="shared" si="82"/>
        <v>0.05</v>
      </c>
      <c r="AU109" s="903">
        <f t="shared" si="83"/>
        <v>18.513575242040847</v>
      </c>
      <c r="AV109" s="903">
        <f t="shared" si="84"/>
        <v>18.513575242040847</v>
      </c>
      <c r="AW109" s="279">
        <f t="shared" si="85"/>
        <v>0</v>
      </c>
      <c r="AX109" s="903">
        <f t="shared" si="51"/>
        <v>244.35143775473171</v>
      </c>
      <c r="AY109" s="903">
        <f t="shared" si="54"/>
        <v>13.965033496970532</v>
      </c>
      <c r="AZ109" s="921">
        <f t="shared" si="52"/>
        <v>9.3100223313136876</v>
      </c>
      <c r="BB109" s="913">
        <f t="shared" si="86"/>
        <v>275.87078075279948</v>
      </c>
      <c r="BC109" s="914">
        <f t="shared" si="87"/>
        <v>151.52439352002045</v>
      </c>
      <c r="BD109" s="933">
        <f t="shared" si="101"/>
        <v>9.3100223313136876</v>
      </c>
      <c r="BE109" s="914">
        <f t="shared" si="60"/>
        <v>436.70519660413362</v>
      </c>
      <c r="BF109" s="145">
        <v>0</v>
      </c>
      <c r="BG109" s="927">
        <f t="shared" si="88"/>
        <v>436.70519660413362</v>
      </c>
      <c r="BI109" s="913">
        <f t="shared" si="89"/>
        <v>275.87078075279948</v>
      </c>
      <c r="BJ109" s="914">
        <f t="shared" si="90"/>
        <v>151.52439352002045</v>
      </c>
      <c r="BK109" s="933">
        <f t="shared" si="91"/>
        <v>9.3100223313136876</v>
      </c>
      <c r="BL109" s="914">
        <f t="shared" si="61"/>
        <v>436.70519660413362</v>
      </c>
      <c r="BM109" s="145">
        <v>0</v>
      </c>
      <c r="BN109" s="927">
        <f t="shared" si="92"/>
        <v>436.70519660413362</v>
      </c>
    </row>
    <row r="110" spans="1:66">
      <c r="A110" s="805">
        <f>'Input data'!A140</f>
        <v>2040</v>
      </c>
      <c r="B110" s="728">
        <f>'Input data'!B140</f>
        <v>71.331543257193218</v>
      </c>
      <c r="C110" s="728">
        <f>'Recycling - Case 1'!AK120/B110</f>
        <v>270.07616459812459</v>
      </c>
      <c r="D110" s="729">
        <f>'Recycling - Case 1'!AM120</f>
        <v>0.17643075478708894</v>
      </c>
      <c r="E110" s="729">
        <f>'Recycling - Case 1'!BE120</f>
        <v>0.18477676910796842</v>
      </c>
      <c r="F110" s="729">
        <f>'Recycling - Case 1'!BF120</f>
        <v>0.23434693211039298</v>
      </c>
      <c r="G110" s="729">
        <f>'Recycling - Case 1'!BG120</f>
        <v>7.5223356059951785E-2</v>
      </c>
      <c r="H110" s="729">
        <f>'Recycling - Case 1'!BH120</f>
        <v>0</v>
      </c>
      <c r="I110" s="729">
        <f>'Recycling - Case 1'!BI120</f>
        <v>0</v>
      </c>
      <c r="J110" s="729">
        <f>'Recycling - Case 1'!BJ120</f>
        <v>0</v>
      </c>
      <c r="K110" s="729">
        <f>'Recycling - Case 1'!BK120</f>
        <v>0.50565294272168693</v>
      </c>
      <c r="L110" s="730">
        <f t="shared" si="100"/>
        <v>1</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0.10467524421225458</v>
      </c>
      <c r="Q110" s="734">
        <f t="shared" si="62"/>
        <v>165.8841902921607</v>
      </c>
      <c r="R110" s="734">
        <f t="shared" si="63"/>
        <v>165.8841902921607</v>
      </c>
      <c r="S110" s="737">
        <f t="shared" si="64"/>
        <v>0</v>
      </c>
      <c r="T110" s="734">
        <f t="shared" si="65"/>
        <v>8007.3567795750032</v>
      </c>
      <c r="U110" s="734">
        <f t="shared" si="66"/>
        <v>402.04089685507131</v>
      </c>
      <c r="V110" s="741">
        <f t="shared" si="67"/>
        <v>268.02726457004752</v>
      </c>
      <c r="W110" s="383"/>
      <c r="X110" s="885">
        <f>'Recycling - Case 1'!AM160</f>
        <v>1230.7158279705438</v>
      </c>
      <c r="Y110" s="886">
        <f>Parameters!S211</f>
        <v>0.71500000000000008</v>
      </c>
      <c r="Z110" s="887">
        <f t="shared" si="68"/>
        <v>0.4</v>
      </c>
      <c r="AA110" s="888">
        <f t="shared" si="69"/>
        <v>175.99236339978779</v>
      </c>
      <c r="AB110" s="888">
        <f t="shared" si="70"/>
        <v>175.99236339978779</v>
      </c>
      <c r="AC110" s="311">
        <f t="shared" si="71"/>
        <v>0</v>
      </c>
      <c r="AD110" s="888">
        <f t="shared" si="72"/>
        <v>4556.186133724832</v>
      </c>
      <c r="AE110" s="888">
        <f t="shared" si="73"/>
        <v>224.57733694399542</v>
      </c>
      <c r="AF110" s="889">
        <f t="shared" si="74"/>
        <v>149.71822462933028</v>
      </c>
      <c r="AH110" s="885">
        <f>'Recycling - Case 1'!AM200</f>
        <v>1230.7158279705438</v>
      </c>
      <c r="AI110" s="886">
        <f>Parameters!S211</f>
        <v>0.71500000000000008</v>
      </c>
      <c r="AJ110" s="887">
        <f t="shared" si="75"/>
        <v>0.4</v>
      </c>
      <c r="AK110" s="888">
        <f t="shared" si="76"/>
        <v>175.99236339978779</v>
      </c>
      <c r="AL110" s="888">
        <f t="shared" si="77"/>
        <v>175.99236339978779</v>
      </c>
      <c r="AM110" s="311">
        <f t="shared" si="78"/>
        <v>0</v>
      </c>
      <c r="AN110" s="888">
        <f t="shared" si="79"/>
        <v>4556.186133724832</v>
      </c>
      <c r="AO110" s="888">
        <f t="shared" si="80"/>
        <v>224.57733694399542</v>
      </c>
      <c r="AP110" s="889">
        <f t="shared" si="81"/>
        <v>149.71822462933028</v>
      </c>
      <c r="AR110" s="901">
        <f>'Recycling - Case 1'!G120</f>
        <v>750.42637070851572</v>
      </c>
      <c r="AS110" s="920">
        <v>1</v>
      </c>
      <c r="AT110" s="902">
        <f t="shared" si="82"/>
        <v>0.05</v>
      </c>
      <c r="AU110" s="903">
        <f t="shared" si="83"/>
        <v>18.760659267712892</v>
      </c>
      <c r="AV110" s="903">
        <f t="shared" si="84"/>
        <v>18.760659267712892</v>
      </c>
      <c r="AW110" s="279">
        <f t="shared" si="85"/>
        <v>0</v>
      </c>
      <c r="AX110" s="903">
        <f t="shared" si="51"/>
        <v>248.88217707543839</v>
      </c>
      <c r="AY110" s="903">
        <f t="shared" si="54"/>
        <v>14.229919947006218</v>
      </c>
      <c r="AZ110" s="921">
        <f t="shared" si="52"/>
        <v>9.486613298004146</v>
      </c>
      <c r="BB110" s="913">
        <f t="shared" si="86"/>
        <v>268.02726457004752</v>
      </c>
      <c r="BC110" s="914">
        <f t="shared" si="87"/>
        <v>149.71822462933028</v>
      </c>
      <c r="BD110" s="933">
        <f t="shared" si="101"/>
        <v>9.486613298004146</v>
      </c>
      <c r="BE110" s="914">
        <f t="shared" si="60"/>
        <v>427.23210249738196</v>
      </c>
      <c r="BF110" s="145">
        <v>0</v>
      </c>
      <c r="BG110" s="927">
        <f t="shared" si="88"/>
        <v>427.23210249738196</v>
      </c>
      <c r="BI110" s="913">
        <f t="shared" si="89"/>
        <v>268.02726457004752</v>
      </c>
      <c r="BJ110" s="914">
        <f t="shared" si="90"/>
        <v>149.71822462933028</v>
      </c>
      <c r="BK110" s="933">
        <f t="shared" si="91"/>
        <v>9.486613298004146</v>
      </c>
      <c r="BL110" s="914">
        <f t="shared" si="61"/>
        <v>427.23210249738196</v>
      </c>
      <c r="BM110" s="145">
        <v>0</v>
      </c>
      <c r="BN110" s="927">
        <f t="shared" si="92"/>
        <v>427.23210249738196</v>
      </c>
    </row>
    <row r="111" spans="1:66">
      <c r="A111" s="805">
        <f>'Input data'!A141</f>
        <v>2041</v>
      </c>
      <c r="B111" s="728">
        <f>'Input data'!B141</f>
        <v>71.772879261991122</v>
      </c>
      <c r="C111" s="728">
        <f>'Recycling - Case 1'!AK121/B111</f>
        <v>266.00003632612436</v>
      </c>
      <c r="D111" s="729">
        <f>'Recycling - Case 1'!AM121</f>
        <v>0.16927712072285847</v>
      </c>
      <c r="E111" s="729">
        <f>'Recycling - Case 1'!BE121</f>
        <v>0.18520909648160166</v>
      </c>
      <c r="F111" s="729">
        <f>'Recycling - Case 1'!BF121</f>
        <v>0.23489524018054375</v>
      </c>
      <c r="G111" s="729">
        <f>'Recycling - Case 1'!BG121</f>
        <v>7.5096363980385966E-2</v>
      </c>
      <c r="H111" s="729">
        <f>'Recycling - Case 1'!BH121</f>
        <v>0</v>
      </c>
      <c r="I111" s="729">
        <f>'Recycling - Case 1'!BI121</f>
        <v>0</v>
      </c>
      <c r="J111" s="729">
        <f>'Recycling - Case 1'!BJ121</f>
        <v>0</v>
      </c>
      <c r="K111" s="729">
        <f>'Recycling - Case 1'!BK121</f>
        <v>0.50479929935746859</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0.10479895810050338</v>
      </c>
      <c r="Q111" s="734">
        <f t="shared" si="62"/>
        <v>159.05543041781985</v>
      </c>
      <c r="R111" s="734">
        <f t="shared" si="63"/>
        <v>159.05543041781985</v>
      </c>
      <c r="S111" s="737">
        <f t="shared" si="64"/>
        <v>0</v>
      </c>
      <c r="T111" s="734">
        <f t="shared" si="65"/>
        <v>7775.8888116248409</v>
      </c>
      <c r="U111" s="734">
        <f t="shared" si="66"/>
        <v>390.52339836798217</v>
      </c>
      <c r="V111" s="741">
        <f t="shared" si="67"/>
        <v>260.34893224532146</v>
      </c>
      <c r="W111" s="383"/>
      <c r="X111" s="885">
        <f>'Recycling - Case 1'!AM161</f>
        <v>1174.0741210432154</v>
      </c>
      <c r="Y111" s="886">
        <f>Parameters!S212</f>
        <v>0.71500000000000008</v>
      </c>
      <c r="Z111" s="887">
        <f t="shared" si="68"/>
        <v>0.4</v>
      </c>
      <c r="AA111" s="888">
        <f t="shared" si="69"/>
        <v>167.89259930917984</v>
      </c>
      <c r="AB111" s="888">
        <f t="shared" si="70"/>
        <v>167.89259930917984</v>
      </c>
      <c r="AC111" s="311">
        <f t="shared" si="71"/>
        <v>0</v>
      </c>
      <c r="AD111" s="888">
        <f t="shared" si="72"/>
        <v>4501.870913210385</v>
      </c>
      <c r="AE111" s="888">
        <f t="shared" si="73"/>
        <v>222.20781982362683</v>
      </c>
      <c r="AF111" s="889">
        <f t="shared" si="74"/>
        <v>148.13854654908457</v>
      </c>
      <c r="AH111" s="885">
        <f>'Recycling - Case 1'!AM201</f>
        <v>1174.0741210432154</v>
      </c>
      <c r="AI111" s="886">
        <f>Parameters!S212</f>
        <v>0.71500000000000008</v>
      </c>
      <c r="AJ111" s="887">
        <f t="shared" si="75"/>
        <v>0.4</v>
      </c>
      <c r="AK111" s="888">
        <f t="shared" si="76"/>
        <v>167.89259930917984</v>
      </c>
      <c r="AL111" s="888">
        <f t="shared" si="77"/>
        <v>167.89259930917984</v>
      </c>
      <c r="AM111" s="311">
        <f t="shared" si="78"/>
        <v>0</v>
      </c>
      <c r="AN111" s="888">
        <f t="shared" si="79"/>
        <v>4501.870913210385</v>
      </c>
      <c r="AO111" s="888">
        <f t="shared" si="80"/>
        <v>222.20781982362683</v>
      </c>
      <c r="AP111" s="889">
        <f t="shared" si="81"/>
        <v>148.13854654908457</v>
      </c>
      <c r="AR111" s="901">
        <f>'Recycling - Case 1'!G121</f>
        <v>760.23838067267377</v>
      </c>
      <c r="AS111" s="920">
        <v>1</v>
      </c>
      <c r="AT111" s="902">
        <f t="shared" si="82"/>
        <v>0.05</v>
      </c>
      <c r="AU111" s="903">
        <f t="shared" si="83"/>
        <v>19.005959516816844</v>
      </c>
      <c r="AV111" s="903">
        <f t="shared" si="84"/>
        <v>19.005959516816844</v>
      </c>
      <c r="AW111" s="279">
        <f t="shared" si="85"/>
        <v>0</v>
      </c>
      <c r="AX111" s="903">
        <f t="shared" si="51"/>
        <v>253.39436692769948</v>
      </c>
      <c r="AY111" s="903">
        <f t="shared" si="54"/>
        <v>14.493769664555755</v>
      </c>
      <c r="AZ111" s="921">
        <f t="shared" si="52"/>
        <v>9.6625131097038359</v>
      </c>
      <c r="BB111" s="913">
        <f t="shared" si="86"/>
        <v>260.34893224532146</v>
      </c>
      <c r="BC111" s="914">
        <f t="shared" si="87"/>
        <v>148.13854654908457</v>
      </c>
      <c r="BD111" s="933">
        <f t="shared" si="101"/>
        <v>9.6625131097038359</v>
      </c>
      <c r="BE111" s="914">
        <f t="shared" si="60"/>
        <v>418.14999190410981</v>
      </c>
      <c r="BF111" s="145">
        <v>0</v>
      </c>
      <c r="BG111" s="927">
        <f t="shared" si="88"/>
        <v>418.14999190410981</v>
      </c>
      <c r="BI111" s="913">
        <f t="shared" si="89"/>
        <v>260.34893224532146</v>
      </c>
      <c r="BJ111" s="914">
        <f t="shared" si="90"/>
        <v>148.13854654908457</v>
      </c>
      <c r="BK111" s="933">
        <f t="shared" si="91"/>
        <v>9.6625131097038359</v>
      </c>
      <c r="BL111" s="914">
        <f t="shared" si="61"/>
        <v>418.14999190410981</v>
      </c>
      <c r="BM111" s="145">
        <v>0</v>
      </c>
      <c r="BN111" s="927">
        <f t="shared" si="92"/>
        <v>418.14999190410981</v>
      </c>
    </row>
    <row r="112" spans="1:66">
      <c r="A112" s="805">
        <f>'Input data'!A142</f>
        <v>2042</v>
      </c>
      <c r="B112" s="728">
        <f>'Input data'!B142</f>
        <v>72.201023455996193</v>
      </c>
      <c r="C112" s="728">
        <f>'Recycling - Case 1'!AK122/B112</f>
        <v>262.0040204829383</v>
      </c>
      <c r="D112" s="729">
        <f>'Recycling - Case 1'!AM122</f>
        <v>0.16200324534887112</v>
      </c>
      <c r="E112" s="729">
        <f>'Recycling - Case 1'!BE122</f>
        <v>0.18562208290747126</v>
      </c>
      <c r="F112" s="729">
        <f>'Recycling - Case 1'!BF122</f>
        <v>0.23541901869649579</v>
      </c>
      <c r="G112" s="729">
        <f>'Recycling - Case 1'!BG122</f>
        <v>7.497505312141145E-2</v>
      </c>
      <c r="H112" s="729">
        <f>'Recycling - Case 1'!BH122</f>
        <v>0</v>
      </c>
      <c r="I112" s="729">
        <f>'Recycling - Case 1'!BI122</f>
        <v>0</v>
      </c>
      <c r="J112" s="729">
        <f>'Recycling - Case 1'!BJ122</f>
        <v>0</v>
      </c>
      <c r="K112" s="729">
        <f>'Recycling - Case 1'!BK122</f>
        <v>0.50398384527462148</v>
      </c>
      <c r="L112" s="730">
        <f t="shared" si="100"/>
        <v>1</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0.10491713742398442</v>
      </c>
      <c r="Q112" s="734">
        <f t="shared" si="62"/>
        <v>152.08367470969537</v>
      </c>
      <c r="R112" s="734">
        <f t="shared" si="63"/>
        <v>152.08367470969537</v>
      </c>
      <c r="S112" s="737">
        <f t="shared" si="64"/>
        <v>0</v>
      </c>
      <c r="T112" s="734">
        <f t="shared" si="65"/>
        <v>7548.7379139731338</v>
      </c>
      <c r="U112" s="734">
        <f t="shared" si="66"/>
        <v>379.23457236140246</v>
      </c>
      <c r="V112" s="741">
        <f t="shared" si="67"/>
        <v>252.82304824093498</v>
      </c>
      <c r="W112" s="383"/>
      <c r="X112" s="885">
        <f>'Recycling - Case 1'!AM162</f>
        <v>1119.9982525062928</v>
      </c>
      <c r="Y112" s="886">
        <f>Parameters!S213</f>
        <v>0.71500000000000008</v>
      </c>
      <c r="Z112" s="887">
        <f t="shared" si="68"/>
        <v>0.4</v>
      </c>
      <c r="AA112" s="888">
        <f t="shared" si="69"/>
        <v>160.15975010839989</v>
      </c>
      <c r="AB112" s="888">
        <f t="shared" si="70"/>
        <v>160.15975010839989</v>
      </c>
      <c r="AC112" s="311">
        <f t="shared" si="71"/>
        <v>0</v>
      </c>
      <c r="AD112" s="888">
        <f t="shared" si="72"/>
        <v>4442.4718280580182</v>
      </c>
      <c r="AE112" s="888">
        <f t="shared" si="73"/>
        <v>219.55883526076661</v>
      </c>
      <c r="AF112" s="889">
        <f t="shared" si="74"/>
        <v>146.37255684051107</v>
      </c>
      <c r="AH112" s="885">
        <f>'Recycling - Case 1'!AM202</f>
        <v>1119.9982525062928</v>
      </c>
      <c r="AI112" s="886">
        <f>Parameters!S213</f>
        <v>0.71500000000000008</v>
      </c>
      <c r="AJ112" s="887">
        <f t="shared" si="75"/>
        <v>0.4</v>
      </c>
      <c r="AK112" s="888">
        <f t="shared" si="76"/>
        <v>160.15975010839989</v>
      </c>
      <c r="AL112" s="888">
        <f t="shared" si="77"/>
        <v>160.15975010839989</v>
      </c>
      <c r="AM112" s="311">
        <f t="shared" si="78"/>
        <v>0</v>
      </c>
      <c r="AN112" s="888">
        <f t="shared" si="79"/>
        <v>4442.4718280580182</v>
      </c>
      <c r="AO112" s="888">
        <f t="shared" si="80"/>
        <v>219.55883526076661</v>
      </c>
      <c r="AP112" s="889">
        <f t="shared" si="81"/>
        <v>146.37255684051107</v>
      </c>
      <c r="AR112" s="901">
        <f>'Recycling - Case 1'!G122</f>
        <v>769.9732787449791</v>
      </c>
      <c r="AS112" s="920">
        <v>1</v>
      </c>
      <c r="AT112" s="902">
        <f t="shared" si="82"/>
        <v>0.05</v>
      </c>
      <c r="AU112" s="903">
        <f t="shared" si="83"/>
        <v>19.249331968624478</v>
      </c>
      <c r="AV112" s="903">
        <f t="shared" si="84"/>
        <v>19.249331968624478</v>
      </c>
      <c r="AW112" s="279">
        <f t="shared" si="85"/>
        <v>0</v>
      </c>
      <c r="AX112" s="903">
        <f t="shared" si="51"/>
        <v>257.88715975116537</v>
      </c>
      <c r="AY112" s="903">
        <f t="shared" si="54"/>
        <v>14.7565391451586</v>
      </c>
      <c r="AZ112" s="921">
        <f t="shared" si="52"/>
        <v>9.8376927634390672</v>
      </c>
      <c r="BB112" s="913">
        <f t="shared" si="86"/>
        <v>252.82304824093498</v>
      </c>
      <c r="BC112" s="914">
        <f t="shared" si="87"/>
        <v>146.37255684051107</v>
      </c>
      <c r="BD112" s="933">
        <f t="shared" si="101"/>
        <v>9.8376927634390672</v>
      </c>
      <c r="BE112" s="914">
        <f t="shared" si="60"/>
        <v>409.03329784488511</v>
      </c>
      <c r="BF112" s="145">
        <v>0</v>
      </c>
      <c r="BG112" s="927">
        <f t="shared" si="88"/>
        <v>409.03329784488511</v>
      </c>
      <c r="BI112" s="913">
        <f t="shared" si="89"/>
        <v>252.82304824093498</v>
      </c>
      <c r="BJ112" s="914">
        <f t="shared" si="90"/>
        <v>146.37255684051107</v>
      </c>
      <c r="BK112" s="933">
        <f t="shared" si="91"/>
        <v>9.8376927634390672</v>
      </c>
      <c r="BL112" s="914">
        <f t="shared" si="61"/>
        <v>409.03329784488511</v>
      </c>
      <c r="BM112" s="145">
        <v>0</v>
      </c>
      <c r="BN112" s="927">
        <f t="shared" si="92"/>
        <v>409.03329784488511</v>
      </c>
    </row>
    <row r="113" spans="1:66">
      <c r="A113" s="805">
        <f>'Input data'!A143</f>
        <v>2043</v>
      </c>
      <c r="B113" s="728">
        <f>'Input data'!B143</f>
        <v>72.615704257339331</v>
      </c>
      <c r="C113" s="728">
        <f>'Recycling - Case 1'!AK123/B113</f>
        <v>258.08485462629619</v>
      </c>
      <c r="D113" s="729">
        <f>'Recycling - Case 1'!AM123</f>
        <v>0.15460466899990297</v>
      </c>
      <c r="E113" s="729">
        <f>'Recycling - Case 1'!BE123</f>
        <v>0.18601619180640164</v>
      </c>
      <c r="F113" s="729">
        <f>'Recycling - Case 1'!BF123</f>
        <v>0.23591885540122656</v>
      </c>
      <c r="G113" s="729">
        <f>'Recycling - Case 1'!BG123</f>
        <v>7.4859287357541465E-2</v>
      </c>
      <c r="H113" s="729">
        <f>'Recycling - Case 1'!BH123</f>
        <v>0</v>
      </c>
      <c r="I113" s="729">
        <f>'Recycling - Case 1'!BI123</f>
        <v>0</v>
      </c>
      <c r="J113" s="729">
        <f>'Recycling - Case 1'!BJ123</f>
        <v>0</v>
      </c>
      <c r="K113" s="729">
        <f>'Recycling - Case 1'!BK123</f>
        <v>0.50320566543483047</v>
      </c>
      <c r="L113" s="730">
        <f t="shared" si="100"/>
        <v>1</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0.10502991479422215</v>
      </c>
      <c r="Q113" s="734">
        <f t="shared" si="62"/>
        <v>144.9698378733199</v>
      </c>
      <c r="R113" s="734">
        <f t="shared" si="63"/>
        <v>144.9698378733199</v>
      </c>
      <c r="S113" s="737">
        <f t="shared" si="64"/>
        <v>0</v>
      </c>
      <c r="T113" s="734">
        <f t="shared" si="65"/>
        <v>7325.5514594887045</v>
      </c>
      <c r="U113" s="734">
        <f t="shared" si="66"/>
        <v>368.15629235774929</v>
      </c>
      <c r="V113" s="741">
        <f t="shared" si="67"/>
        <v>245.43752823849954</v>
      </c>
      <c r="W113" s="383"/>
      <c r="X113" s="885">
        <f>'Recycling - Case 1'!AM163</f>
        <v>1068.5094314895287</v>
      </c>
      <c r="Y113" s="886">
        <f>Parameters!S214</f>
        <v>0.71500000000000008</v>
      </c>
      <c r="Z113" s="887">
        <f t="shared" si="68"/>
        <v>0.4</v>
      </c>
      <c r="AA113" s="888">
        <f t="shared" si="69"/>
        <v>152.79684870300261</v>
      </c>
      <c r="AB113" s="888">
        <f t="shared" si="70"/>
        <v>152.79684870300261</v>
      </c>
      <c r="AC113" s="311">
        <f t="shared" si="71"/>
        <v>0</v>
      </c>
      <c r="AD113" s="888">
        <f t="shared" si="72"/>
        <v>4378.6067690672662</v>
      </c>
      <c r="AE113" s="888">
        <f t="shared" si="73"/>
        <v>216.66190769375461</v>
      </c>
      <c r="AF113" s="889">
        <f t="shared" si="74"/>
        <v>144.4412717958364</v>
      </c>
      <c r="AH113" s="885">
        <f>'Recycling - Case 1'!AM203</f>
        <v>1068.5094314895287</v>
      </c>
      <c r="AI113" s="886">
        <f>Parameters!S214</f>
        <v>0.71500000000000008</v>
      </c>
      <c r="AJ113" s="887">
        <f t="shared" si="75"/>
        <v>0.4</v>
      </c>
      <c r="AK113" s="888">
        <f t="shared" si="76"/>
        <v>152.79684870300261</v>
      </c>
      <c r="AL113" s="888">
        <f t="shared" si="77"/>
        <v>152.79684870300261</v>
      </c>
      <c r="AM113" s="311">
        <f t="shared" si="78"/>
        <v>0</v>
      </c>
      <c r="AN113" s="888">
        <f t="shared" si="79"/>
        <v>4378.6067690672662</v>
      </c>
      <c r="AO113" s="888">
        <f t="shared" si="80"/>
        <v>216.66190769375461</v>
      </c>
      <c r="AP113" s="889">
        <f t="shared" si="81"/>
        <v>144.4412717958364</v>
      </c>
      <c r="AR113" s="901">
        <f>'Recycling - Case 1'!G123</f>
        <v>779.62529893675719</v>
      </c>
      <c r="AS113" s="920">
        <v>1</v>
      </c>
      <c r="AT113" s="902">
        <f t="shared" si="82"/>
        <v>0.05</v>
      </c>
      <c r="AU113" s="903">
        <f t="shared" si="83"/>
        <v>19.49063247341893</v>
      </c>
      <c r="AV113" s="903">
        <f t="shared" si="84"/>
        <v>19.49063247341893</v>
      </c>
      <c r="AW113" s="279">
        <f t="shared" si="85"/>
        <v>0</v>
      </c>
      <c r="AX113" s="903">
        <f t="shared" si="51"/>
        <v>262.35961319384182</v>
      </c>
      <c r="AY113" s="903">
        <f t="shared" si="54"/>
        <v>15.018179030742477</v>
      </c>
      <c r="AZ113" s="921">
        <f t="shared" si="52"/>
        <v>10.012119353828318</v>
      </c>
      <c r="BB113" s="913">
        <f t="shared" si="86"/>
        <v>245.43752823849954</v>
      </c>
      <c r="BC113" s="914">
        <f t="shared" si="87"/>
        <v>144.4412717958364</v>
      </c>
      <c r="BD113" s="933">
        <f t="shared" si="101"/>
        <v>10.012119353828318</v>
      </c>
      <c r="BE113" s="914">
        <f t="shared" si="60"/>
        <v>399.89091938816426</v>
      </c>
      <c r="BF113" s="145">
        <v>0</v>
      </c>
      <c r="BG113" s="927">
        <f t="shared" si="88"/>
        <v>399.89091938816426</v>
      </c>
      <c r="BI113" s="913">
        <f t="shared" si="89"/>
        <v>245.43752823849954</v>
      </c>
      <c r="BJ113" s="914">
        <f t="shared" si="90"/>
        <v>144.4412717958364</v>
      </c>
      <c r="BK113" s="933">
        <f t="shared" si="91"/>
        <v>10.012119353828318</v>
      </c>
      <c r="BL113" s="914">
        <f t="shared" si="61"/>
        <v>399.89091938816426</v>
      </c>
      <c r="BM113" s="145">
        <v>0</v>
      </c>
      <c r="BN113" s="927">
        <f t="shared" si="92"/>
        <v>399.89091938816426</v>
      </c>
    </row>
    <row r="114" spans="1:66">
      <c r="A114" s="805">
        <f>'Input data'!A144</f>
        <v>2044</v>
      </c>
      <c r="B114" s="728">
        <f>'Input data'!B144</f>
        <v>73.016657364175842</v>
      </c>
      <c r="C114" s="728">
        <f>'Recycling - Case 1'!AK124/B114</f>
        <v>254.23937076330594</v>
      </c>
      <c r="D114" s="729">
        <f>'Recycling - Case 1'!AM124</f>
        <v>0.14707662728514656</v>
      </c>
      <c r="E114" s="729">
        <f>'Recycling - Case 1'!BE124</f>
        <v>0.18639186096891835</v>
      </c>
      <c r="F114" s="729">
        <f>'Recycling - Case 1'!BF124</f>
        <v>0.23639530553156105</v>
      </c>
      <c r="G114" s="729">
        <f>'Recycling - Case 1'!BG124</f>
        <v>7.4748938091947173E-2</v>
      </c>
      <c r="H114" s="729">
        <f>'Recycling - Case 1'!BH124</f>
        <v>0</v>
      </c>
      <c r="I114" s="729">
        <f>'Recycling - Case 1'!BI124</f>
        <v>0</v>
      </c>
      <c r="J114" s="729">
        <f>'Recycling - Case 1'!BJ124</f>
        <v>0</v>
      </c>
      <c r="K114" s="729">
        <f>'Recycling - Case 1'!BK124</f>
        <v>0.50246389540757364</v>
      </c>
      <c r="L114" s="730">
        <f t="shared" si="100"/>
        <v>1.0000000000000002</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0.10513741548842884</v>
      </c>
      <c r="Q114" s="734">
        <f t="shared" si="62"/>
        <v>137.71482512425783</v>
      </c>
      <c r="R114" s="734">
        <f t="shared" si="63"/>
        <v>137.71482512425783</v>
      </c>
      <c r="S114" s="737">
        <f t="shared" si="64"/>
        <v>0</v>
      </c>
      <c r="T114" s="734">
        <f t="shared" si="65"/>
        <v>7105.9949240840642</v>
      </c>
      <c r="U114" s="734">
        <f t="shared" si="66"/>
        <v>357.27136052889847</v>
      </c>
      <c r="V114" s="741">
        <f t="shared" si="67"/>
        <v>238.18090701926565</v>
      </c>
      <c r="W114" s="383"/>
      <c r="X114" s="885">
        <f>'Recycling - Case 1'!AM164</f>
        <v>1019.6160609398783</v>
      </c>
      <c r="Y114" s="886">
        <f>Parameters!S215</f>
        <v>0.71500000000000008</v>
      </c>
      <c r="Z114" s="887">
        <f t="shared" si="68"/>
        <v>0.4</v>
      </c>
      <c r="AA114" s="888">
        <f t="shared" si="69"/>
        <v>145.80509671440259</v>
      </c>
      <c r="AB114" s="888">
        <f t="shared" si="70"/>
        <v>145.80509671440259</v>
      </c>
      <c r="AC114" s="311">
        <f t="shared" si="71"/>
        <v>0</v>
      </c>
      <c r="AD114" s="888">
        <f t="shared" si="72"/>
        <v>4310.8646937691892</v>
      </c>
      <c r="AE114" s="888">
        <f t="shared" si="73"/>
        <v>213.54717201247976</v>
      </c>
      <c r="AF114" s="889">
        <f t="shared" si="74"/>
        <v>142.36478134165318</v>
      </c>
      <c r="AH114" s="885">
        <f>'Recycling - Case 1'!AM204</f>
        <v>1019.6160609398783</v>
      </c>
      <c r="AI114" s="886">
        <f>Parameters!S215</f>
        <v>0.71500000000000008</v>
      </c>
      <c r="AJ114" s="887">
        <f t="shared" si="75"/>
        <v>0.4</v>
      </c>
      <c r="AK114" s="888">
        <f t="shared" si="76"/>
        <v>145.80509671440259</v>
      </c>
      <c r="AL114" s="888">
        <f t="shared" si="77"/>
        <v>145.80509671440259</v>
      </c>
      <c r="AM114" s="311">
        <f t="shared" si="78"/>
        <v>0</v>
      </c>
      <c r="AN114" s="888">
        <f t="shared" si="79"/>
        <v>4310.8646937691892</v>
      </c>
      <c r="AO114" s="888">
        <f t="shared" si="80"/>
        <v>213.54717201247976</v>
      </c>
      <c r="AP114" s="889">
        <f t="shared" si="81"/>
        <v>142.36478134165318</v>
      </c>
      <c r="AR114" s="901">
        <f>'Recycling - Case 1'!G124</f>
        <v>789.18867570762859</v>
      </c>
      <c r="AS114" s="920">
        <v>1</v>
      </c>
      <c r="AT114" s="902">
        <f t="shared" si="82"/>
        <v>0.05</v>
      </c>
      <c r="AU114" s="903">
        <f t="shared" si="83"/>
        <v>19.729716892690718</v>
      </c>
      <c r="AV114" s="903">
        <f t="shared" si="84"/>
        <v>19.729716892690718</v>
      </c>
      <c r="AW114" s="279">
        <f t="shared" si="85"/>
        <v>0</v>
      </c>
      <c r="AX114" s="903">
        <f t="shared" si="51"/>
        <v>266.81069564353305</v>
      </c>
      <c r="AY114" s="903">
        <f t="shared" si="54"/>
        <v>15.278634442999472</v>
      </c>
      <c r="AZ114" s="921">
        <f t="shared" si="52"/>
        <v>10.185756295332981</v>
      </c>
      <c r="BB114" s="913">
        <f t="shared" si="86"/>
        <v>238.18090701926565</v>
      </c>
      <c r="BC114" s="914">
        <f t="shared" si="87"/>
        <v>142.36478134165318</v>
      </c>
      <c r="BD114" s="933">
        <f t="shared" si="101"/>
        <v>10.185756295332981</v>
      </c>
      <c r="BE114" s="914">
        <f t="shared" si="60"/>
        <v>390.73144465625177</v>
      </c>
      <c r="BF114" s="145">
        <v>0</v>
      </c>
      <c r="BG114" s="927">
        <f t="shared" si="88"/>
        <v>390.73144465625177</v>
      </c>
      <c r="BI114" s="913">
        <f t="shared" si="89"/>
        <v>238.18090701926565</v>
      </c>
      <c r="BJ114" s="914">
        <f t="shared" si="90"/>
        <v>142.36478134165318</v>
      </c>
      <c r="BK114" s="933">
        <f t="shared" si="91"/>
        <v>10.185756295332981</v>
      </c>
      <c r="BL114" s="914">
        <f t="shared" si="61"/>
        <v>390.73144465625177</v>
      </c>
      <c r="BM114" s="145">
        <v>0</v>
      </c>
      <c r="BN114" s="927">
        <f t="shared" si="92"/>
        <v>390.73144465625177</v>
      </c>
    </row>
    <row r="115" spans="1:66">
      <c r="A115" s="805">
        <f>'Input data'!A145</f>
        <v>2045</v>
      </c>
      <c r="B115" s="728">
        <f>'Input data'!B145</f>
        <v>73.40362603426334</v>
      </c>
      <c r="C115" s="728">
        <f>'Recycling - Case 1'!AK125/B115</f>
        <v>250.46449053096063</v>
      </c>
      <c r="D115" s="729">
        <f>'Recycling - Case 1'!AM125</f>
        <v>0.13941403264687863</v>
      </c>
      <c r="E115" s="729">
        <f>'Recycling - Case 1'!BE125</f>
        <v>0.1867495036556448</v>
      </c>
      <c r="F115" s="729">
        <f>'Recycling - Case 1'!BF125</f>
        <v>0.2368488932137717</v>
      </c>
      <c r="G115" s="729">
        <f>'Recycling - Case 1'!BG125</f>
        <v>7.4643883933226615E-2</v>
      </c>
      <c r="H115" s="729">
        <f>'Recycling - Case 1'!BH125</f>
        <v>0</v>
      </c>
      <c r="I115" s="729">
        <f>'Recycling - Case 1'!BI125</f>
        <v>0</v>
      </c>
      <c r="J115" s="729">
        <f>'Recycling - Case 1'!BJ125</f>
        <v>0</v>
      </c>
      <c r="K115" s="729">
        <f>'Recycling - Case 1'!BK125</f>
        <v>0.5017577191973569</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0.10523975776439171</v>
      </c>
      <c r="Q115" s="734">
        <f t="shared" si="62"/>
        <v>130.31953370538886</v>
      </c>
      <c r="R115" s="734">
        <f t="shared" si="63"/>
        <v>130.31953370538886</v>
      </c>
      <c r="S115" s="737">
        <f t="shared" si="64"/>
        <v>0</v>
      </c>
      <c r="T115" s="734">
        <f t="shared" si="65"/>
        <v>6889.7509958468681</v>
      </c>
      <c r="U115" s="734">
        <f t="shared" si="66"/>
        <v>346.56346194258481</v>
      </c>
      <c r="V115" s="741">
        <f t="shared" si="67"/>
        <v>231.0423079617232</v>
      </c>
      <c r="W115" s="383"/>
      <c r="X115" s="885">
        <f>'Recycling - Case 1'!AM165</f>
        <v>973.23823070993865</v>
      </c>
      <c r="Y115" s="886">
        <f>Parameters!S216</f>
        <v>0.71500000000000008</v>
      </c>
      <c r="Z115" s="887">
        <f t="shared" si="68"/>
        <v>0.4</v>
      </c>
      <c r="AA115" s="888">
        <f t="shared" si="69"/>
        <v>139.17306699152124</v>
      </c>
      <c r="AB115" s="888">
        <f t="shared" si="70"/>
        <v>139.17306699152124</v>
      </c>
      <c r="AC115" s="311">
        <f t="shared" si="71"/>
        <v>0</v>
      </c>
      <c r="AD115" s="888">
        <f t="shared" si="72"/>
        <v>4239.7944087460337</v>
      </c>
      <c r="AE115" s="888">
        <f t="shared" si="73"/>
        <v>210.24335201467659</v>
      </c>
      <c r="AF115" s="889">
        <f t="shared" si="74"/>
        <v>140.16223467645105</v>
      </c>
      <c r="AH115" s="885">
        <f>'Recycling - Case 1'!AM205</f>
        <v>973.23823070993865</v>
      </c>
      <c r="AI115" s="886">
        <f>Parameters!S216</f>
        <v>0.71500000000000008</v>
      </c>
      <c r="AJ115" s="887">
        <f t="shared" si="75"/>
        <v>0.4</v>
      </c>
      <c r="AK115" s="888">
        <f t="shared" si="76"/>
        <v>139.17306699152124</v>
      </c>
      <c r="AL115" s="888">
        <f t="shared" si="77"/>
        <v>139.17306699152124</v>
      </c>
      <c r="AM115" s="311">
        <f t="shared" si="78"/>
        <v>0</v>
      </c>
      <c r="AN115" s="888">
        <f t="shared" si="79"/>
        <v>4239.7944087460337</v>
      </c>
      <c r="AO115" s="888">
        <f t="shared" si="80"/>
        <v>210.24335201467659</v>
      </c>
      <c r="AP115" s="889">
        <f t="shared" si="81"/>
        <v>140.16223467645105</v>
      </c>
      <c r="AR115" s="901">
        <f>'Recycling - Case 1'!G125</f>
        <v>798.65764962893218</v>
      </c>
      <c r="AS115" s="920">
        <v>1</v>
      </c>
      <c r="AT115" s="902">
        <f t="shared" si="82"/>
        <v>0.05</v>
      </c>
      <c r="AU115" s="903">
        <f t="shared" si="83"/>
        <v>19.966441240723306</v>
      </c>
      <c r="AV115" s="903">
        <f t="shared" si="84"/>
        <v>19.966441240723306</v>
      </c>
      <c r="AW115" s="279">
        <f t="shared" si="85"/>
        <v>0</v>
      </c>
      <c r="AX115" s="903">
        <f t="shared" si="51"/>
        <v>271.23929157874414</v>
      </c>
      <c r="AY115" s="903">
        <f t="shared" si="54"/>
        <v>15.537845305512205</v>
      </c>
      <c r="AZ115" s="921">
        <f t="shared" si="52"/>
        <v>10.358563537008136</v>
      </c>
      <c r="BB115" s="913">
        <f t="shared" si="86"/>
        <v>231.0423079617232</v>
      </c>
      <c r="BC115" s="914">
        <f t="shared" si="87"/>
        <v>140.16223467645105</v>
      </c>
      <c r="BD115" s="933">
        <f t="shared" si="101"/>
        <v>10.358563537008136</v>
      </c>
      <c r="BE115" s="914">
        <f t="shared" si="60"/>
        <v>381.56310617518238</v>
      </c>
      <c r="BF115" s="145">
        <v>0</v>
      </c>
      <c r="BG115" s="927">
        <f t="shared" si="88"/>
        <v>381.56310617518238</v>
      </c>
      <c r="BI115" s="913">
        <f t="shared" si="89"/>
        <v>231.0423079617232</v>
      </c>
      <c r="BJ115" s="914">
        <f t="shared" si="90"/>
        <v>140.16223467645105</v>
      </c>
      <c r="BK115" s="933">
        <f t="shared" si="91"/>
        <v>10.358563537008136</v>
      </c>
      <c r="BL115" s="914">
        <f t="shared" si="61"/>
        <v>381.56310617518238</v>
      </c>
      <c r="BM115" s="145">
        <v>0</v>
      </c>
      <c r="BN115" s="927">
        <f t="shared" si="92"/>
        <v>381.56310617518238</v>
      </c>
    </row>
    <row r="116" spans="1:66">
      <c r="A116" s="805">
        <f>'Input data'!A146</f>
        <v>2046</v>
      </c>
      <c r="B116" s="728">
        <f>'Input data'!B146</f>
        <v>73.776422042674071</v>
      </c>
      <c r="C116" s="728">
        <f>'Recycling - Case 1'!AK126/B116</f>
        <v>246.75711094049637</v>
      </c>
      <c r="D116" s="729">
        <f>'Recycling - Case 1'!AM126</f>
        <v>0.13161140460313792</v>
      </c>
      <c r="E116" s="729">
        <f>'Recycling - Case 1'!BE126</f>
        <v>0.18708956462456611</v>
      </c>
      <c r="F116" s="729">
        <f>'Recycling - Case 1'!BF126</f>
        <v>0.23728018252130711</v>
      </c>
      <c r="G116" s="729">
        <f>'Recycling - Case 1'!BG126</f>
        <v>7.4543994237925654E-2</v>
      </c>
      <c r="H116" s="729">
        <f>'Recycling - Case 1'!BH126</f>
        <v>0</v>
      </c>
      <c r="I116" s="729">
        <f>'Recycling - Case 1'!BI126</f>
        <v>0</v>
      </c>
      <c r="J116" s="729">
        <f>'Recycling - Case 1'!BJ126</f>
        <v>0</v>
      </c>
      <c r="K116" s="729">
        <f>'Recycling - Case 1'!BK126</f>
        <v>0.50108625861620115</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0.10533706889311661</v>
      </c>
      <c r="Q116" s="734">
        <f t="shared" si="62"/>
        <v>122.78487271223344</v>
      </c>
      <c r="R116" s="734">
        <f t="shared" si="63"/>
        <v>122.78487271223344</v>
      </c>
      <c r="S116" s="737">
        <f t="shared" si="64"/>
        <v>0</v>
      </c>
      <c r="T116" s="734">
        <f>R116+(T115*$C$8)</f>
        <v>6676.5187474448712</v>
      </c>
      <c r="U116" s="734">
        <f t="shared" si="66"/>
        <v>336.01712111423046</v>
      </c>
      <c r="V116" s="741">
        <f t="shared" si="67"/>
        <v>224.01141407615364</v>
      </c>
      <c r="W116" s="383"/>
      <c r="X116" s="885">
        <f>'Recycling - Case 1'!AM166</f>
        <v>932.52310904294541</v>
      </c>
      <c r="Y116" s="886">
        <f>Parameters!S217</f>
        <v>0.71500000000000008</v>
      </c>
      <c r="Z116" s="887">
        <f t="shared" si="68"/>
        <v>0.4</v>
      </c>
      <c r="AA116" s="888">
        <f t="shared" si="69"/>
        <v>133.35080459314122</v>
      </c>
      <c r="AB116" s="888">
        <f t="shared" si="70"/>
        <v>133.35080459314122</v>
      </c>
      <c r="AC116" s="311">
        <f t="shared" si="71"/>
        <v>0</v>
      </c>
      <c r="AD116" s="888">
        <f t="shared" si="72"/>
        <v>4166.3680000259756</v>
      </c>
      <c r="AE116" s="888">
        <f t="shared" si="73"/>
        <v>206.77721331319901</v>
      </c>
      <c r="AF116" s="889">
        <f t="shared" si="74"/>
        <v>137.85147554213268</v>
      </c>
      <c r="AH116" s="885">
        <f>'Recycling - Case 1'!AM206</f>
        <v>932.52310904294541</v>
      </c>
      <c r="AI116" s="886">
        <f>Parameters!S217</f>
        <v>0.71500000000000008</v>
      </c>
      <c r="AJ116" s="887">
        <f t="shared" si="75"/>
        <v>0.4</v>
      </c>
      <c r="AK116" s="888">
        <f t="shared" si="76"/>
        <v>133.35080459314122</v>
      </c>
      <c r="AL116" s="888">
        <f t="shared" si="77"/>
        <v>133.35080459314122</v>
      </c>
      <c r="AM116" s="311">
        <f t="shared" si="78"/>
        <v>0</v>
      </c>
      <c r="AN116" s="888">
        <f t="shared" si="79"/>
        <v>4166.3680000259756</v>
      </c>
      <c r="AO116" s="888">
        <f t="shared" si="80"/>
        <v>206.77721331319901</v>
      </c>
      <c r="AP116" s="889">
        <f t="shared" si="81"/>
        <v>137.85147554213268</v>
      </c>
      <c r="AR116" s="901">
        <f>'Recycling - Case 1'!G126</f>
        <v>808.0271377377203</v>
      </c>
      <c r="AS116" s="920">
        <v>1</v>
      </c>
      <c r="AT116" s="902">
        <f t="shared" si="82"/>
        <v>0.05</v>
      </c>
      <c r="AU116" s="903">
        <f t="shared" si="83"/>
        <v>20.20067844344301</v>
      </c>
      <c r="AV116" s="903">
        <f t="shared" si="84"/>
        <v>20.20067844344301</v>
      </c>
      <c r="AW116" s="279">
        <f t="shared" si="85"/>
        <v>0</v>
      </c>
      <c r="AX116" s="903">
        <f t="shared" si="51"/>
        <v>275.64422336682105</v>
      </c>
      <c r="AY116" s="903">
        <f t="shared" si="54"/>
        <v>15.795746655366123</v>
      </c>
      <c r="AZ116" s="921">
        <f t="shared" si="52"/>
        <v>10.530497770244082</v>
      </c>
      <c r="BB116" s="913">
        <f t="shared" si="86"/>
        <v>224.01141407615364</v>
      </c>
      <c r="BC116" s="914">
        <f t="shared" si="87"/>
        <v>137.85147554213268</v>
      </c>
      <c r="BD116" s="933">
        <f t="shared" si="101"/>
        <v>10.530497770244082</v>
      </c>
      <c r="BE116" s="914">
        <f t="shared" si="60"/>
        <v>372.39338738853041</v>
      </c>
      <c r="BF116" s="145">
        <v>0</v>
      </c>
      <c r="BG116" s="927">
        <f t="shared" si="88"/>
        <v>372.39338738853041</v>
      </c>
      <c r="BI116" s="913">
        <f t="shared" si="89"/>
        <v>224.01141407615364</v>
      </c>
      <c r="BJ116" s="914">
        <f t="shared" si="90"/>
        <v>137.85147554213268</v>
      </c>
      <c r="BK116" s="933">
        <f t="shared" si="91"/>
        <v>10.530497770244082</v>
      </c>
      <c r="BL116" s="914">
        <f t="shared" si="61"/>
        <v>372.39338738853041</v>
      </c>
      <c r="BM116" s="145">
        <v>0</v>
      </c>
      <c r="BN116" s="927">
        <f t="shared" si="92"/>
        <v>372.39338738853041</v>
      </c>
    </row>
    <row r="117" spans="1:66">
      <c r="A117" s="805">
        <f>'Input data'!A147</f>
        <v>2047</v>
      </c>
      <c r="B117" s="728">
        <f>'Input data'!B147</f>
        <v>74.134805489166112</v>
      </c>
      <c r="C117" s="728">
        <f>'Recycling - Case 1'!AK127/B117</f>
        <v>243.11432871953377</v>
      </c>
      <c r="D117" s="729">
        <f>'Recycling - Case 1'!AM127</f>
        <v>0.12366295426107875</v>
      </c>
      <c r="E117" s="729">
        <f>'Recycling - Case 1'!BE127</f>
        <v>0.1874124098881475</v>
      </c>
      <c r="F117" s="729">
        <f>'Recycling - Case 1'!BF127</f>
        <v>0.23768963765699272</v>
      </c>
      <c r="G117" s="729">
        <f>'Recycling - Case 1'!BG127</f>
        <v>7.4449161493342256E-2</v>
      </c>
      <c r="H117" s="729">
        <f>'Recycling - Case 1'!BH127</f>
        <v>0</v>
      </c>
      <c r="I117" s="729">
        <f>'Recycling - Case 1'!BI127</f>
        <v>0</v>
      </c>
      <c r="J117" s="729">
        <f>'Recycling - Case 1'!BJ127</f>
        <v>0</v>
      </c>
      <c r="K117" s="729">
        <f>'Recycling - Case 1'!BK127</f>
        <v>0.5004487909615174</v>
      </c>
      <c r="L117" s="730">
        <f t="shared" si="100"/>
        <v>0.99999999999999989</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0.10542945361195756</v>
      </c>
      <c r="Q117" s="734">
        <f t="shared" si="62"/>
        <v>115.11172398864841</v>
      </c>
      <c r="R117" s="734">
        <f t="shared" si="63"/>
        <v>115.11172398864841</v>
      </c>
      <c r="S117" s="737">
        <f t="shared" si="64"/>
        <v>0</v>
      </c>
      <c r="T117" s="734">
        <f t="shared" ref="T117:T120" si="102">R117+(T116*$C$8)</f>
        <v>6466.012809788861</v>
      </c>
      <c r="U117" s="734">
        <f t="shared" si="66"/>
        <v>325.61766164465837</v>
      </c>
      <c r="V117" s="741">
        <f t="shared" si="67"/>
        <v>217.07844109643892</v>
      </c>
      <c r="W117" s="383"/>
      <c r="X117" s="885">
        <f>'Recycling - Case 1'!AM167</f>
        <v>891.78691754892134</v>
      </c>
      <c r="Y117" s="886">
        <f>Parameters!S218</f>
        <v>0.71500000000000008</v>
      </c>
      <c r="Z117" s="887">
        <f t="shared" si="68"/>
        <v>0.4</v>
      </c>
      <c r="AA117" s="888">
        <f t="shared" si="69"/>
        <v>127.52552920949577</v>
      </c>
      <c r="AB117" s="888">
        <f t="shared" si="70"/>
        <v>127.52552920949577</v>
      </c>
      <c r="AC117" s="311">
        <f t="shared" si="71"/>
        <v>0</v>
      </c>
      <c r="AD117" s="888">
        <f t="shared" si="72"/>
        <v>4090.6973641323953</v>
      </c>
      <c r="AE117" s="888">
        <f t="shared" si="73"/>
        <v>203.196165103076</v>
      </c>
      <c r="AF117" s="889">
        <f t="shared" si="74"/>
        <v>135.46411006871733</v>
      </c>
      <c r="AH117" s="885">
        <f>'Recycling - Case 1'!AM207</f>
        <v>891.78691754892134</v>
      </c>
      <c r="AI117" s="886">
        <f>Parameters!S218</f>
        <v>0.71500000000000008</v>
      </c>
      <c r="AJ117" s="887">
        <f t="shared" si="75"/>
        <v>0.4</v>
      </c>
      <c r="AK117" s="888">
        <f t="shared" si="76"/>
        <v>127.52552920949577</v>
      </c>
      <c r="AL117" s="888">
        <f t="shared" si="77"/>
        <v>127.52552920949577</v>
      </c>
      <c r="AM117" s="311">
        <f t="shared" si="78"/>
        <v>0</v>
      </c>
      <c r="AN117" s="888">
        <f t="shared" si="79"/>
        <v>4090.6973641323953</v>
      </c>
      <c r="AO117" s="888">
        <f t="shared" si="80"/>
        <v>203.196165103076</v>
      </c>
      <c r="AP117" s="889">
        <f t="shared" si="81"/>
        <v>135.46411006871733</v>
      </c>
      <c r="AR117" s="901">
        <f>'Recycling - Case 1'!G127</f>
        <v>817.29143315853844</v>
      </c>
      <c r="AS117" s="920">
        <v>1</v>
      </c>
      <c r="AT117" s="902">
        <f t="shared" si="82"/>
        <v>0.05</v>
      </c>
      <c r="AU117" s="903">
        <f t="shared" si="83"/>
        <v>20.432285828963462</v>
      </c>
      <c r="AV117" s="903">
        <f t="shared" si="84"/>
        <v>20.432285828963462</v>
      </c>
      <c r="AW117" s="279">
        <f t="shared" si="85"/>
        <v>0</v>
      </c>
      <c r="AX117" s="903">
        <f t="shared" si="51"/>
        <v>280.02423928321019</v>
      </c>
      <c r="AY117" s="903">
        <f t="shared" si="54"/>
        <v>16.052269912574353</v>
      </c>
      <c r="AZ117" s="921">
        <f t="shared" si="52"/>
        <v>10.701513275049569</v>
      </c>
      <c r="BB117" s="913">
        <f t="shared" si="86"/>
        <v>217.07844109643892</v>
      </c>
      <c r="BC117" s="914">
        <f t="shared" si="87"/>
        <v>135.46411006871733</v>
      </c>
      <c r="BD117" s="933">
        <f t="shared" si="101"/>
        <v>10.701513275049569</v>
      </c>
      <c r="BE117" s="914">
        <f t="shared" si="60"/>
        <v>363.24406444020588</v>
      </c>
      <c r="BF117" s="145">
        <v>0</v>
      </c>
      <c r="BG117" s="927">
        <f t="shared" si="88"/>
        <v>363.24406444020588</v>
      </c>
      <c r="BI117" s="913">
        <f t="shared" si="89"/>
        <v>217.07844109643892</v>
      </c>
      <c r="BJ117" s="914">
        <f t="shared" si="90"/>
        <v>135.46411006871733</v>
      </c>
      <c r="BK117" s="933">
        <f t="shared" si="91"/>
        <v>10.701513275049569</v>
      </c>
      <c r="BL117" s="914">
        <f t="shared" si="61"/>
        <v>363.24406444020588</v>
      </c>
      <c r="BM117" s="145">
        <v>0</v>
      </c>
      <c r="BN117" s="927">
        <f t="shared" si="92"/>
        <v>363.24406444020588</v>
      </c>
    </row>
    <row r="118" spans="1:66">
      <c r="A118" s="805">
        <f>'Input data'!A148</f>
        <v>2048</v>
      </c>
      <c r="B118" s="728">
        <f>'Input data'!B148</f>
        <v>74.478544758379343</v>
      </c>
      <c r="C118" s="728">
        <f>'Recycling - Case 1'!AK128/B118</f>
        <v>242.51711417831729</v>
      </c>
      <c r="D118" s="729">
        <f>'Recycling - Case 1'!AM128</f>
        <v>0.12339533799167211</v>
      </c>
      <c r="E118" s="729">
        <f>'Recycling - Case 1'!BE128</f>
        <v>0.18771838392523235</v>
      </c>
      <c r="F118" s="729">
        <f>'Recycling - Case 1'!BF128</f>
        <v>0.23807769551319638</v>
      </c>
      <c r="G118" s="729">
        <f>'Recycling - Case 1'!BG128</f>
        <v>7.4359284512072216E-2</v>
      </c>
      <c r="H118" s="729">
        <f>'Recycling - Case 1'!BH128</f>
        <v>0</v>
      </c>
      <c r="I118" s="729">
        <f>'Recycling - Case 1'!BI128</f>
        <v>0</v>
      </c>
      <c r="J118" s="729">
        <f>'Recycling - Case 1'!BJ128</f>
        <v>0</v>
      </c>
      <c r="K118" s="729">
        <f>'Recycling - Case 1'!BK128</f>
        <v>0.49984463604949891</v>
      </c>
      <c r="L118" s="730">
        <f t="shared" si="100"/>
        <v>0.99999999999999989</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0.10551701049625302</v>
      </c>
      <c r="Q118" s="734">
        <f t="shared" si="62"/>
        <v>116.00104408801207</v>
      </c>
      <c r="R118" s="734">
        <f t="shared" si="63"/>
        <v>116.00104408801207</v>
      </c>
      <c r="S118" s="737">
        <f t="shared" si="64"/>
        <v>0</v>
      </c>
      <c r="T118" s="734">
        <f t="shared" si="102"/>
        <v>6266.6626879577152</v>
      </c>
      <c r="U118" s="734">
        <f t="shared" si="66"/>
        <v>315.35116591915795</v>
      </c>
      <c r="V118" s="741">
        <f t="shared" si="67"/>
        <v>210.23411061277196</v>
      </c>
      <c r="W118" s="383"/>
      <c r="X118" s="885">
        <f>'Recycling - Case 1'!AM168</f>
        <v>853.27311352631443</v>
      </c>
      <c r="Y118" s="886">
        <f>Parameters!S219</f>
        <v>0.71500000000000008</v>
      </c>
      <c r="Z118" s="887">
        <f t="shared" si="68"/>
        <v>0.4</v>
      </c>
      <c r="AA118" s="888">
        <f t="shared" si="69"/>
        <v>122.01805523426299</v>
      </c>
      <c r="AB118" s="888">
        <f t="shared" si="70"/>
        <v>122.01805523426299</v>
      </c>
      <c r="AC118" s="311">
        <f t="shared" si="71"/>
        <v>0</v>
      </c>
      <c r="AD118" s="888">
        <f t="shared" si="72"/>
        <v>4013.2097547245094</v>
      </c>
      <c r="AE118" s="888">
        <f t="shared" si="73"/>
        <v>199.50566464214916</v>
      </c>
      <c r="AF118" s="889">
        <f t="shared" si="74"/>
        <v>133.00377642809943</v>
      </c>
      <c r="AH118" s="885">
        <f>'Recycling - Case 1'!AM208</f>
        <v>853.27311352631443</v>
      </c>
      <c r="AI118" s="886">
        <f>Parameters!S219</f>
        <v>0.71500000000000008</v>
      </c>
      <c r="AJ118" s="887">
        <f t="shared" si="75"/>
        <v>0.4</v>
      </c>
      <c r="AK118" s="888">
        <f t="shared" si="76"/>
        <v>122.01805523426299</v>
      </c>
      <c r="AL118" s="888">
        <f t="shared" si="77"/>
        <v>122.01805523426299</v>
      </c>
      <c r="AM118" s="311">
        <f t="shared" si="78"/>
        <v>0</v>
      </c>
      <c r="AN118" s="888">
        <f t="shared" si="79"/>
        <v>4013.2097547245094</v>
      </c>
      <c r="AO118" s="888">
        <f t="shared" si="80"/>
        <v>199.50566464214916</v>
      </c>
      <c r="AP118" s="889">
        <f t="shared" si="81"/>
        <v>133.00377642809943</v>
      </c>
      <c r="AR118" s="901">
        <f>'Recycling - Case 1'!G128</f>
        <v>826.44485183852362</v>
      </c>
      <c r="AS118" s="920">
        <v>1</v>
      </c>
      <c r="AT118" s="902">
        <f t="shared" si="82"/>
        <v>0.05</v>
      </c>
      <c r="AU118" s="903">
        <f t="shared" si="83"/>
        <v>20.661121295963092</v>
      </c>
      <c r="AV118" s="903">
        <f t="shared" si="84"/>
        <v>20.661121295963092</v>
      </c>
      <c r="AW118" s="279">
        <f t="shared" si="85"/>
        <v>0</v>
      </c>
      <c r="AX118" s="903">
        <f t="shared" si="51"/>
        <v>284.37801839679958</v>
      </c>
      <c r="AY118" s="903">
        <f t="shared" si="54"/>
        <v>16.307342182373688</v>
      </c>
      <c r="AZ118" s="921">
        <f t="shared" si="52"/>
        <v>10.871561454915792</v>
      </c>
      <c r="BB118" s="913">
        <f t="shared" si="86"/>
        <v>210.23411061277196</v>
      </c>
      <c r="BC118" s="914">
        <f t="shared" si="87"/>
        <v>133.00377642809943</v>
      </c>
      <c r="BD118" s="933">
        <f t="shared" si="101"/>
        <v>10.871561454915792</v>
      </c>
      <c r="BE118" s="914">
        <f t="shared" si="60"/>
        <v>354.10944849578721</v>
      </c>
      <c r="BF118" s="145">
        <v>0</v>
      </c>
      <c r="BG118" s="927">
        <f t="shared" si="88"/>
        <v>354.10944849578721</v>
      </c>
      <c r="BI118" s="913">
        <f t="shared" si="89"/>
        <v>210.23411061277196</v>
      </c>
      <c r="BJ118" s="914">
        <f t="shared" si="90"/>
        <v>133.00377642809943</v>
      </c>
      <c r="BK118" s="933">
        <f t="shared" si="91"/>
        <v>10.871561454915792</v>
      </c>
      <c r="BL118" s="914">
        <f t="shared" si="61"/>
        <v>354.10944849578721</v>
      </c>
      <c r="BM118" s="145">
        <v>0</v>
      </c>
      <c r="BN118" s="927">
        <f t="shared" si="92"/>
        <v>354.10944849578721</v>
      </c>
    </row>
    <row r="119" spans="1:66">
      <c r="A119" s="805">
        <f>'Input data'!A149</f>
        <v>2049</v>
      </c>
      <c r="B119" s="728">
        <f>'Input data'!B149</f>
        <v>74.807416768507309</v>
      </c>
      <c r="C119" s="728">
        <f>'Recycling - Case 1'!AK129/B119</f>
        <v>241.95099602428795</v>
      </c>
      <c r="D119" s="729">
        <f>'Recycling - Case 1'!AM129</f>
        <v>0.12314031313639018</v>
      </c>
      <c r="E119" s="729">
        <f>'Recycling - Case 1'!BE129</f>
        <v>0.1880078105002326</v>
      </c>
      <c r="F119" s="729">
        <f>'Recycling - Case 1'!BF129</f>
        <v>0.23844476671078244</v>
      </c>
      <c r="G119" s="729">
        <f>'Recycling - Case 1'!BG129</f>
        <v>7.4274268191379847E-2</v>
      </c>
      <c r="H119" s="729">
        <f>'Recycling - Case 1'!BH129</f>
        <v>0</v>
      </c>
      <c r="I119" s="729">
        <f>'Recycling - Case 1'!BI129</f>
        <v>0</v>
      </c>
      <c r="J119" s="729">
        <f>'Recycling - Case 1'!BJ129</f>
        <v>0</v>
      </c>
      <c r="K119" s="729">
        <f>'Recycling - Case 1'!BK129</f>
        <v>0.49927315459760518</v>
      </c>
      <c r="L119" s="730">
        <f t="shared" si="100"/>
        <v>1</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0.10559983219374332</v>
      </c>
      <c r="Q119" s="734">
        <f t="shared" si="62"/>
        <v>116.88644014392686</v>
      </c>
      <c r="R119" s="734">
        <f t="shared" si="63"/>
        <v>116.88644014392686</v>
      </c>
      <c r="S119" s="737">
        <f t="shared" si="64"/>
        <v>0</v>
      </c>
      <c r="T119" s="734">
        <f t="shared" si="102"/>
        <v>6077.920382350042</v>
      </c>
      <c r="U119" s="734">
        <f t="shared" si="66"/>
        <v>305.62874575160021</v>
      </c>
      <c r="V119" s="741">
        <f t="shared" si="67"/>
        <v>203.75249716773348</v>
      </c>
      <c r="W119" s="383"/>
      <c r="X119" s="885">
        <f>'Recycling - Case 1'!AM169</f>
        <v>817.12447112531868</v>
      </c>
      <c r="Y119" s="886">
        <f>Parameters!S220</f>
        <v>0.71500000000000008</v>
      </c>
      <c r="Z119" s="887">
        <f t="shared" si="68"/>
        <v>0.4</v>
      </c>
      <c r="AA119" s="888">
        <f t="shared" si="69"/>
        <v>116.8487993709206</v>
      </c>
      <c r="AB119" s="888">
        <f t="shared" si="70"/>
        <v>116.8487993709206</v>
      </c>
      <c r="AC119" s="311">
        <f t="shared" si="71"/>
        <v>0</v>
      </c>
      <c r="AD119" s="888">
        <f t="shared" si="72"/>
        <v>3934.3320047581669</v>
      </c>
      <c r="AE119" s="888">
        <f t="shared" si="73"/>
        <v>195.72654933726267</v>
      </c>
      <c r="AF119" s="889">
        <f t="shared" si="74"/>
        <v>130.48436622484178</v>
      </c>
      <c r="AH119" s="885">
        <f>'Recycling - Case 1'!AM209</f>
        <v>817.12447112531868</v>
      </c>
      <c r="AI119" s="886">
        <f>Parameters!S220</f>
        <v>0.71500000000000008</v>
      </c>
      <c r="AJ119" s="887">
        <f t="shared" si="75"/>
        <v>0.4</v>
      </c>
      <c r="AK119" s="888">
        <f t="shared" si="76"/>
        <v>116.8487993709206</v>
      </c>
      <c r="AL119" s="888">
        <f t="shared" si="77"/>
        <v>116.8487993709206</v>
      </c>
      <c r="AM119" s="311">
        <f t="shared" si="78"/>
        <v>0</v>
      </c>
      <c r="AN119" s="888">
        <f t="shared" si="79"/>
        <v>3934.3320047581669</v>
      </c>
      <c r="AO119" s="888">
        <f t="shared" si="80"/>
        <v>195.72654933726267</v>
      </c>
      <c r="AP119" s="889">
        <f t="shared" si="81"/>
        <v>130.48436622484178</v>
      </c>
      <c r="AR119" s="901">
        <f>'Recycling - Case 1'!G129</f>
        <v>835.48173830804035</v>
      </c>
      <c r="AS119" s="920">
        <v>1</v>
      </c>
      <c r="AT119" s="902">
        <f t="shared" si="82"/>
        <v>0.05</v>
      </c>
      <c r="AU119" s="903">
        <f t="shared" si="83"/>
        <v>20.887043457701012</v>
      </c>
      <c r="AV119" s="903">
        <f t="shared" si="84"/>
        <v>20.887043457701012</v>
      </c>
      <c r="AW119" s="279">
        <f t="shared" si="85"/>
        <v>0</v>
      </c>
      <c r="AX119" s="903">
        <f t="shared" si="51"/>
        <v>288.70417531477585</v>
      </c>
      <c r="AY119" s="903">
        <f t="shared" si="54"/>
        <v>16.56088653972472</v>
      </c>
      <c r="AZ119" s="921">
        <f t="shared" si="52"/>
        <v>11.040591026483147</v>
      </c>
      <c r="BB119" s="913">
        <f t="shared" si="86"/>
        <v>203.75249716773348</v>
      </c>
      <c r="BC119" s="914">
        <f t="shared" si="87"/>
        <v>130.48436622484178</v>
      </c>
      <c r="BD119" s="933">
        <f t="shared" si="101"/>
        <v>11.040591026483147</v>
      </c>
      <c r="BE119" s="914">
        <f t="shared" si="60"/>
        <v>345.27745441905842</v>
      </c>
      <c r="BF119" s="145">
        <v>0</v>
      </c>
      <c r="BG119" s="927">
        <f t="shared" si="88"/>
        <v>345.27745441905842</v>
      </c>
      <c r="BI119" s="913">
        <f t="shared" si="89"/>
        <v>203.75249716773348</v>
      </c>
      <c r="BJ119" s="914">
        <f t="shared" si="90"/>
        <v>130.48436622484178</v>
      </c>
      <c r="BK119" s="933">
        <f t="shared" si="91"/>
        <v>11.040591026483147</v>
      </c>
      <c r="BL119" s="914">
        <f t="shared" si="61"/>
        <v>345.27745441905842</v>
      </c>
      <c r="BM119" s="145">
        <v>0</v>
      </c>
      <c r="BN119" s="927">
        <f t="shared" si="92"/>
        <v>345.27745441905842</v>
      </c>
    </row>
    <row r="120" spans="1:66" ht="15.75" thickBot="1">
      <c r="A120" s="806">
        <f>'Input data'!A150</f>
        <v>2050</v>
      </c>
      <c r="B120" s="731">
        <f>'Input data'!B150</f>
        <v>75.121207211856714</v>
      </c>
      <c r="C120" s="731">
        <f>'Recycling - Case 1'!AK130/B120</f>
        <v>241.41557493950873</v>
      </c>
      <c r="D120" s="732">
        <f>'Recycling - Case 1'!AM130</f>
        <v>0.1228979057316115</v>
      </c>
      <c r="E120" s="732">
        <f>'Recycling - Case 1'!BE130</f>
        <v>0.18828099342402493</v>
      </c>
      <c r="F120" s="732">
        <f>'Recycling - Case 1'!BF130</f>
        <v>0.23879123656413426</v>
      </c>
      <c r="G120" s="732">
        <f>'Recycling - Case 1'!BG130</f>
        <v>7.419402328969181E-2</v>
      </c>
      <c r="H120" s="732">
        <f>'Recycling - Case 1'!BH130</f>
        <v>0</v>
      </c>
      <c r="I120" s="732">
        <f>'Recycling - Case 1'!BI130</f>
        <v>0</v>
      </c>
      <c r="J120" s="732">
        <f>'Recycling - Case 1'!BJ130</f>
        <v>0</v>
      </c>
      <c r="K120" s="732">
        <f>'Recycling - Case 1'!BK130</f>
        <v>0.49873374672214921</v>
      </c>
      <c r="L120" s="733">
        <f t="shared" si="100"/>
        <v>1.0000000000000002</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0.10567800564230731</v>
      </c>
      <c r="Q120" s="745">
        <f t="shared" si="62"/>
        <v>117.76790218287029</v>
      </c>
      <c r="R120" s="745">
        <f t="shared" si="63"/>
        <v>117.76790218287029</v>
      </c>
      <c r="S120" s="746">
        <f t="shared" si="64"/>
        <v>0</v>
      </c>
      <c r="T120" s="745">
        <f t="shared" si="102"/>
        <v>5899.2646096468598</v>
      </c>
      <c r="U120" s="745">
        <f t="shared" si="66"/>
        <v>296.42367488605186</v>
      </c>
      <c r="V120" s="747">
        <f t="shared" si="67"/>
        <v>197.61578325736789</v>
      </c>
      <c r="W120" s="383"/>
      <c r="X120" s="890">
        <f>'Recycling - Case 1'!AM170</f>
        <v>783.19090643963887</v>
      </c>
      <c r="Y120" s="891">
        <f>Parameters!S221</f>
        <v>0.71500000000000008</v>
      </c>
      <c r="Z120" s="892">
        <f t="shared" si="68"/>
        <v>0.4</v>
      </c>
      <c r="AA120" s="893">
        <f t="shared" si="69"/>
        <v>111.99629962086837</v>
      </c>
      <c r="AB120" s="893">
        <f t="shared" si="70"/>
        <v>111.99629962086837</v>
      </c>
      <c r="AC120" s="894">
        <f t="shared" si="71"/>
        <v>0</v>
      </c>
      <c r="AD120" s="893">
        <f t="shared" si="72"/>
        <v>3854.4486683017199</v>
      </c>
      <c r="AE120" s="893">
        <f t="shared" si="73"/>
        <v>191.87963607731535</v>
      </c>
      <c r="AF120" s="895">
        <f t="shared" si="74"/>
        <v>127.9197573848769</v>
      </c>
      <c r="AH120" s="890">
        <f>'Recycling - Case 1'!AM210</f>
        <v>783.19090643963887</v>
      </c>
      <c r="AI120" s="891">
        <f>Parameters!S221</f>
        <v>0.71500000000000008</v>
      </c>
      <c r="AJ120" s="892">
        <f t="shared" si="75"/>
        <v>0.4</v>
      </c>
      <c r="AK120" s="893">
        <f t="shared" si="76"/>
        <v>111.99629962086837</v>
      </c>
      <c r="AL120" s="893">
        <f t="shared" si="77"/>
        <v>111.99629962086837</v>
      </c>
      <c r="AM120" s="894">
        <f t="shared" si="78"/>
        <v>0</v>
      </c>
      <c r="AN120" s="893">
        <f t="shared" si="79"/>
        <v>3854.4486683017199</v>
      </c>
      <c r="AO120" s="893">
        <f t="shared" si="80"/>
        <v>191.87963607731535</v>
      </c>
      <c r="AP120" s="895">
        <f t="shared" si="81"/>
        <v>127.9197573848769</v>
      </c>
      <c r="AR120" s="905">
        <f>'Recycling - Case 1'!G130</f>
        <v>844.3964714575875</v>
      </c>
      <c r="AS120" s="922">
        <f>Parameters!R221</f>
        <v>1</v>
      </c>
      <c r="AT120" s="906">
        <f t="shared" si="82"/>
        <v>0.05</v>
      </c>
      <c r="AU120" s="907">
        <f t="shared" si="83"/>
        <v>21.109911786439689</v>
      </c>
      <c r="AV120" s="907">
        <f t="shared" si="84"/>
        <v>21.109911786439689</v>
      </c>
      <c r="AW120" s="908">
        <f t="shared" si="85"/>
        <v>0</v>
      </c>
      <c r="AX120" s="907">
        <f t="shared" si="51"/>
        <v>293.00126479558475</v>
      </c>
      <c r="AY120" s="907">
        <f t="shared" si="54"/>
        <v>16.812822305630799</v>
      </c>
      <c r="AZ120" s="923">
        <f t="shared" si="52"/>
        <v>11.208548203753866</v>
      </c>
      <c r="BB120" s="915">
        <f t="shared" si="86"/>
        <v>197.61578325736789</v>
      </c>
      <c r="BC120" s="916">
        <f t="shared" si="87"/>
        <v>127.9197573848769</v>
      </c>
      <c r="BD120" s="934">
        <f t="shared" si="101"/>
        <v>11.208548203753866</v>
      </c>
      <c r="BE120" s="916">
        <f t="shared" si="60"/>
        <v>336.74408884599865</v>
      </c>
      <c r="BF120" s="917">
        <v>0</v>
      </c>
      <c r="BG120" s="928">
        <f t="shared" si="88"/>
        <v>336.74408884599865</v>
      </c>
      <c r="BI120" s="915">
        <f t="shared" si="89"/>
        <v>197.61578325736789</v>
      </c>
      <c r="BJ120" s="916">
        <f t="shared" si="90"/>
        <v>127.9197573848769</v>
      </c>
      <c r="BK120" s="934">
        <f t="shared" si="91"/>
        <v>11.208548203753866</v>
      </c>
      <c r="BL120" s="916">
        <f t="shared" si="61"/>
        <v>336.74408884599865</v>
      </c>
      <c r="BM120" s="917">
        <v>0</v>
      </c>
      <c r="BN120" s="928">
        <f t="shared" si="92"/>
        <v>336.74408884599865</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 ref="L16:L17"/>
    <mergeCell ref="A16:A18"/>
    <mergeCell ref="B16:B17"/>
    <mergeCell ref="C16:C17"/>
    <mergeCell ref="D16:D17"/>
    <mergeCell ref="E16:E17"/>
    <mergeCell ref="F16:F17"/>
    <mergeCell ref="G16:G17"/>
    <mergeCell ref="H16:H17"/>
    <mergeCell ref="I16:I17"/>
    <mergeCell ref="J16:J17"/>
    <mergeCell ref="K16:K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3.57031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6.425781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6" max="56" width="8.85546875" style="930"/>
    <col min="57" max="57" width="11.28515625" customWidth="1"/>
    <col min="59" max="59" width="12.28515625" customWidth="1"/>
    <col min="61" max="62" width="11.28515625" customWidth="1"/>
    <col min="63" max="63" width="11.28515625" style="930" customWidth="1"/>
    <col min="64" max="64" width="11.2851562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7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75" thickBot="1">
      <c r="A13" s="133" t="s">
        <v>722</v>
      </c>
      <c r="B13" s="95">
        <v>2017</v>
      </c>
      <c r="C13" s="95"/>
      <c r="D13" s="383">
        <f>'Waste Summary 2017 SASOW'!$L$25</f>
        <v>2.197312110627072E-2</v>
      </c>
      <c r="E13" s="114"/>
      <c r="N13" s="199" t="s">
        <v>267</v>
      </c>
      <c r="X13" s="2" t="s">
        <v>318</v>
      </c>
      <c r="AH13" s="2" t="s">
        <v>318</v>
      </c>
      <c r="AR13" s="2" t="s">
        <v>320</v>
      </c>
      <c r="BB13" s="1445" t="s">
        <v>319</v>
      </c>
      <c r="BC13" s="1446"/>
      <c r="BD13" s="1446"/>
      <c r="BE13" s="1446"/>
      <c r="BF13" s="1446"/>
      <c r="BG13" s="1447"/>
      <c r="BI13" s="1445" t="s">
        <v>319</v>
      </c>
      <c r="BJ13" s="1446"/>
      <c r="BK13" s="1446"/>
      <c r="BL13" s="1446"/>
      <c r="BM13" s="1446"/>
      <c r="BN13" s="1447"/>
    </row>
    <row r="14" spans="1:66" ht="15.7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75" thickBot="1">
      <c r="N15" s="199"/>
      <c r="X15" s="2"/>
      <c r="AH15" s="2"/>
      <c r="AR15" s="2"/>
      <c r="BB15" s="698"/>
      <c r="BC15" s="146"/>
      <c r="BD15" s="146"/>
      <c r="BE15" s="146"/>
      <c r="BF15" s="146"/>
      <c r="BG15" s="1024"/>
      <c r="BI15" s="698"/>
      <c r="BJ15" s="146"/>
      <c r="BK15" s="146"/>
      <c r="BL15" s="146"/>
      <c r="BM15" s="146"/>
      <c r="BN15" s="1024"/>
    </row>
    <row r="16" spans="1:66" ht="115.15" customHeight="1">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59"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9"/>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60"/>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7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15"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910.07310094199636</v>
      </c>
      <c r="Y89" s="751">
        <f>Parameters!S224</f>
        <v>0.71500000000000008</v>
      </c>
      <c r="Z89" s="751">
        <f t="shared" si="63"/>
        <v>0.4</v>
      </c>
      <c r="AA89" s="752">
        <f t="shared" si="64"/>
        <v>130.14045343470551</v>
      </c>
      <c r="AB89" s="752">
        <f t="shared" si="65"/>
        <v>130.14045343470551</v>
      </c>
      <c r="AC89" s="753">
        <f t="shared" si="66"/>
        <v>0</v>
      </c>
      <c r="AD89" s="752">
        <f t="shared" si="67"/>
        <v>10196.152603802611</v>
      </c>
      <c r="AE89" s="752">
        <f t="shared" si="68"/>
        <v>516.09547908374179</v>
      </c>
      <c r="AF89" s="754">
        <f t="shared" si="69"/>
        <v>344.06365272249451</v>
      </c>
      <c r="AH89" s="750">
        <f>'Recycling - Case 2'!AM179</f>
        <v>910.07310094199636</v>
      </c>
      <c r="AI89" s="751">
        <f>Parameters!S224</f>
        <v>0.71500000000000008</v>
      </c>
      <c r="AJ89" s="751">
        <f t="shared" si="70"/>
        <v>0.4</v>
      </c>
      <c r="AK89" s="752">
        <f t="shared" si="71"/>
        <v>130.14045343470551</v>
      </c>
      <c r="AL89" s="752">
        <f t="shared" si="72"/>
        <v>130.14045343470551</v>
      </c>
      <c r="AM89" s="753">
        <f t="shared" si="73"/>
        <v>0</v>
      </c>
      <c r="AN89" s="752">
        <f t="shared" si="74"/>
        <v>10196.152603802611</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59.308690000000006</v>
      </c>
      <c r="C90" s="728">
        <f>'Recycling - Case 2'!AK100/B90</f>
        <v>397.49323210110077</v>
      </c>
      <c r="D90" s="729">
        <f>'Recycling - Case 2'!AM100</f>
        <v>0.38289463315638228</v>
      </c>
      <c r="E90" s="729">
        <f>'Recycling - Case 2'!BE100</f>
        <v>0.22354491991078579</v>
      </c>
      <c r="F90" s="729">
        <f>'Recycling - Case 2'!BF100</f>
        <v>0.28351543553262054</v>
      </c>
      <c r="G90" s="729">
        <f>'Recycling - Case 2'!BG100</f>
        <v>6.1771817655591317E-2</v>
      </c>
      <c r="H90" s="729">
        <f>'Recycling - Case 2'!BH100</f>
        <v>0</v>
      </c>
      <c r="I90" s="729">
        <f>'Recycling - Case 2'!BI100</f>
        <v>0</v>
      </c>
      <c r="J90" s="729">
        <f>'Recycling - Case 2'!BJ100</f>
        <v>0</v>
      </c>
      <c r="K90" s="729">
        <f>'Recycling - Case 2'!BK100</f>
        <v>0.43116782690100253</v>
      </c>
      <c r="L90" s="730">
        <f t="shared" si="89"/>
        <v>1.0000000000000002</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2'!AM140</f>
        <v>705.06336976725561</v>
      </c>
      <c r="Y90" s="751">
        <f>Parameters!S225</f>
        <v>0.71500000000000008</v>
      </c>
      <c r="Z90" s="751">
        <f t="shared" si="63"/>
        <v>0.4</v>
      </c>
      <c r="AA90" s="752">
        <f t="shared" si="64"/>
        <v>100.82406187671756</v>
      </c>
      <c r="AB90" s="752">
        <f t="shared" si="65"/>
        <v>100.82406187671756</v>
      </c>
      <c r="AC90" s="753">
        <f t="shared" si="66"/>
        <v>0</v>
      </c>
      <c r="AD90" s="752">
        <f t="shared" si="67"/>
        <v>9799.7044353133315</v>
      </c>
      <c r="AE90" s="752">
        <f t="shared" si="68"/>
        <v>497.27223036599662</v>
      </c>
      <c r="AF90" s="754">
        <f t="shared" si="69"/>
        <v>331.51482024399775</v>
      </c>
      <c r="AH90" s="750">
        <f>'Recycling - Case 2'!AM180</f>
        <v>705.06336976725561</v>
      </c>
      <c r="AI90" s="751">
        <f>Parameters!S225</f>
        <v>0.71500000000000008</v>
      </c>
      <c r="AJ90" s="751">
        <f t="shared" si="70"/>
        <v>0.4</v>
      </c>
      <c r="AK90" s="752">
        <f t="shared" si="71"/>
        <v>100.82406187671756</v>
      </c>
      <c r="AL90" s="752">
        <f t="shared" si="72"/>
        <v>100.82406187671756</v>
      </c>
      <c r="AM90" s="753">
        <f t="shared" si="73"/>
        <v>0</v>
      </c>
      <c r="AN90" s="752">
        <f t="shared" si="74"/>
        <v>9799.7044353133315</v>
      </c>
      <c r="AO90" s="752">
        <f t="shared" si="75"/>
        <v>497.27223036599662</v>
      </c>
      <c r="AP90" s="754">
        <f t="shared" si="76"/>
        <v>331.51482024399775</v>
      </c>
      <c r="AR90" s="901">
        <f>'Recycling - Case 2'!G100</f>
        <v>558.22933891619243</v>
      </c>
      <c r="AS90" s="902">
        <v>1</v>
      </c>
      <c r="AT90" s="902">
        <f t="shared" si="77"/>
        <v>0.05</v>
      </c>
      <c r="AU90" s="903">
        <f t="shared" si="78"/>
        <v>13.955733472904811</v>
      </c>
      <c r="AV90" s="903">
        <f t="shared" si="79"/>
        <v>13.955733472904811</v>
      </c>
      <c r="AW90" s="279">
        <f t="shared" si="80"/>
        <v>0</v>
      </c>
      <c r="AX90" s="903">
        <f t="shared" si="44"/>
        <v>156.79843349348261</v>
      </c>
      <c r="AY90" s="903">
        <f t="shared" si="49"/>
        <v>8.8328992684872976</v>
      </c>
      <c r="AZ90" s="904">
        <f t="shared" si="47"/>
        <v>5.8885995123248653</v>
      </c>
      <c r="BB90" s="913">
        <f t="shared" si="81"/>
        <v>444.77283615219312</v>
      </c>
      <c r="BC90" s="914">
        <f t="shared" si="82"/>
        <v>331.51482024399775</v>
      </c>
      <c r="BD90" s="933">
        <f t="shared" si="90"/>
        <v>5.8885995123248653</v>
      </c>
      <c r="BE90" s="914">
        <f t="shared" si="54"/>
        <v>782.17625590851571</v>
      </c>
      <c r="BF90" s="145">
        <v>0</v>
      </c>
      <c r="BG90" s="927">
        <f t="shared" si="83"/>
        <v>782.17625590851571</v>
      </c>
      <c r="BI90" s="913">
        <f t="shared" si="84"/>
        <v>444.77283615219312</v>
      </c>
      <c r="BJ90" s="914">
        <f t="shared" si="85"/>
        <v>331.51482024399775</v>
      </c>
      <c r="BK90" s="933">
        <f t="shared" si="86"/>
        <v>5.8885995123248653</v>
      </c>
      <c r="BL90" s="914">
        <f t="shared" si="55"/>
        <v>782.17625590851571</v>
      </c>
      <c r="BM90" s="145">
        <v>0</v>
      </c>
      <c r="BN90" s="927">
        <f t="shared" si="87"/>
        <v>782.17625590851571</v>
      </c>
    </row>
    <row r="91" spans="1:66">
      <c r="A91" s="805">
        <f>'Input data'!A121</f>
        <v>2021</v>
      </c>
      <c r="B91" s="728">
        <f>'Input data'!B121</f>
        <v>60.158036186957922</v>
      </c>
      <c r="C91" s="728">
        <f>'Recycling - Case 2'!AK101/B91</f>
        <v>382.24654715425936</v>
      </c>
      <c r="D91" s="729">
        <f>'Recycling - Case 2'!AM101</f>
        <v>0.31500573833716877</v>
      </c>
      <c r="E91" s="729">
        <f>'Recycling - Case 2'!BE101</f>
        <v>0.19734832282227849</v>
      </c>
      <c r="F91" s="729">
        <f>'Recycling - Case 2'!BF101</f>
        <v>0.25029106328571465</v>
      </c>
      <c r="G91" s="729">
        <f>'Recycling - Case 2'!BG101</f>
        <v>6.8380506709101077E-2</v>
      </c>
      <c r="H91" s="729">
        <f>'Recycling - Case 2'!BH101</f>
        <v>0</v>
      </c>
      <c r="I91" s="729">
        <f>'Recycling - Case 2'!BI101</f>
        <v>0</v>
      </c>
      <c r="J91" s="729">
        <f>'Recycling - Case 2'!BJ101</f>
        <v>0</v>
      </c>
      <c r="K91" s="729">
        <f>'Recycling - Case 2'!BK101</f>
        <v>0.48398010718290579</v>
      </c>
      <c r="L91" s="730">
        <f t="shared" si="89"/>
        <v>1</v>
      </c>
      <c r="N91" s="740">
        <f t="shared" si="56"/>
        <v>7243.6204632745166</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0.10701266376412513</v>
      </c>
      <c r="Q91" s="734">
        <f t="shared" si="57"/>
        <v>315.13199652784539</v>
      </c>
      <c r="R91" s="734">
        <f t="shared" si="58"/>
        <v>315.13199652784539</v>
      </c>
      <c r="S91" s="737">
        <f t="shared" si="59"/>
        <v>0</v>
      </c>
      <c r="T91" s="734">
        <f t="shared" si="60"/>
        <v>13083.881573103767</v>
      </c>
      <c r="U91" s="734">
        <f t="shared" si="61"/>
        <v>654.66779014194015</v>
      </c>
      <c r="V91" s="741">
        <f t="shared" si="62"/>
        <v>436.44519342796008</v>
      </c>
      <c r="X91" s="750">
        <f>'Recycling - Case 2'!AM141</f>
        <v>106.96009198147247</v>
      </c>
      <c r="Y91" s="751">
        <f>Parameters!S226</f>
        <v>0.71500000000000008</v>
      </c>
      <c r="Z91" s="751">
        <f t="shared" si="63"/>
        <v>0.4</v>
      </c>
      <c r="AA91" s="752">
        <f t="shared" si="64"/>
        <v>15.295293153350567</v>
      </c>
      <c r="AB91" s="752">
        <f t="shared" si="65"/>
        <v>15.295293153350567</v>
      </c>
      <c r="AC91" s="753">
        <f t="shared" si="66"/>
        <v>0</v>
      </c>
      <c r="AD91" s="752">
        <f t="shared" si="67"/>
        <v>9337.0625034335462</v>
      </c>
      <c r="AE91" s="752">
        <f t="shared" si="68"/>
        <v>477.93722503313654</v>
      </c>
      <c r="AF91" s="754">
        <f t="shared" si="69"/>
        <v>318.62481668875768</v>
      </c>
      <c r="AH91" s="750">
        <f>'Recycling - Case 2'!AM181</f>
        <v>106.96009198147247</v>
      </c>
      <c r="AI91" s="751">
        <f>Parameters!S226</f>
        <v>0.71500000000000008</v>
      </c>
      <c r="AJ91" s="751">
        <f t="shared" si="70"/>
        <v>0.4</v>
      </c>
      <c r="AK91" s="752">
        <f t="shared" si="71"/>
        <v>15.295293153350567</v>
      </c>
      <c r="AL91" s="752">
        <f t="shared" si="72"/>
        <v>15.295293153350567</v>
      </c>
      <c r="AM91" s="753">
        <f t="shared" si="73"/>
        <v>0</v>
      </c>
      <c r="AN91" s="752">
        <f t="shared" si="74"/>
        <v>9337.0625034335462</v>
      </c>
      <c r="AO91" s="752">
        <f t="shared" si="75"/>
        <v>477.93722503313654</v>
      </c>
      <c r="AP91" s="754">
        <f t="shared" si="76"/>
        <v>318.62481668875768</v>
      </c>
      <c r="AR91" s="901">
        <f>'Recycling - Case 2'!G101</f>
        <v>577.22161590038002</v>
      </c>
      <c r="AS91" s="902">
        <v>1</v>
      </c>
      <c r="AT91" s="902">
        <f t="shared" si="77"/>
        <v>0.05</v>
      </c>
      <c r="AU91" s="903">
        <f t="shared" si="78"/>
        <v>14.430540397509501</v>
      </c>
      <c r="AV91" s="903">
        <f t="shared" si="79"/>
        <v>14.430540397509501</v>
      </c>
      <c r="AW91" s="279">
        <f t="shared" si="80"/>
        <v>0</v>
      </c>
      <c r="AX91" s="903">
        <f t="shared" si="44"/>
        <v>162.09774398323998</v>
      </c>
      <c r="AY91" s="903">
        <f t="shared" si="49"/>
        <v>9.1312299077521164</v>
      </c>
      <c r="AZ91" s="904">
        <f t="shared" si="47"/>
        <v>6.0874866051680776</v>
      </c>
      <c r="BB91" s="913">
        <f t="shared" si="81"/>
        <v>436.44519342796008</v>
      </c>
      <c r="BC91" s="914">
        <f t="shared" si="82"/>
        <v>318.62481668875768</v>
      </c>
      <c r="BD91" s="933">
        <f t="shared" si="90"/>
        <v>6.0874866051680776</v>
      </c>
      <c r="BE91" s="914">
        <f t="shared" si="54"/>
        <v>761.15749672188588</v>
      </c>
      <c r="BF91" s="145">
        <v>0</v>
      </c>
      <c r="BG91" s="927">
        <f t="shared" si="83"/>
        <v>761.15749672188588</v>
      </c>
      <c r="BI91" s="913">
        <f t="shared" si="84"/>
        <v>436.44519342796008</v>
      </c>
      <c r="BJ91" s="914">
        <f t="shared" si="85"/>
        <v>318.62481668875768</v>
      </c>
      <c r="BK91" s="933">
        <f t="shared" si="86"/>
        <v>6.0874866051680776</v>
      </c>
      <c r="BL91" s="914">
        <f t="shared" si="55"/>
        <v>761.15749672188588</v>
      </c>
      <c r="BM91" s="145">
        <v>0</v>
      </c>
      <c r="BN91" s="927">
        <f t="shared" si="87"/>
        <v>761.15749672188588</v>
      </c>
    </row>
    <row r="92" spans="1:66">
      <c r="A92" s="805">
        <f>'Input data'!A122</f>
        <v>2022</v>
      </c>
      <c r="B92" s="728">
        <f>'Input data'!B122</f>
        <v>60.963559588769527</v>
      </c>
      <c r="C92" s="728">
        <f>'Recycling - Case 2'!AK102/B92</f>
        <v>356.25328786410034</v>
      </c>
      <c r="D92" s="729">
        <f>'Recycling - Case 2'!AM102</f>
        <v>0.25655656750596006</v>
      </c>
      <c r="E92" s="729">
        <f>'Recycling - Case 2'!BE102</f>
        <v>0.18333212384716571</v>
      </c>
      <c r="F92" s="729">
        <f>'Recycling - Case 2'!BF102</f>
        <v>0.23251473109025766</v>
      </c>
      <c r="G92" s="729">
        <f>'Recycling - Case 2'!BG102</f>
        <v>7.1391410584716569E-2</v>
      </c>
      <c r="H92" s="729">
        <f>'Recycling - Case 2'!BH102</f>
        <v>0</v>
      </c>
      <c r="I92" s="729">
        <f>'Recycling - Case 2'!BI102</f>
        <v>0</v>
      </c>
      <c r="J92" s="729">
        <f>'Recycling - Case 2'!BJ102</f>
        <v>0</v>
      </c>
      <c r="K92" s="729">
        <f>'Recycling - Case 2'!BK102</f>
        <v>0.51276173447786022</v>
      </c>
      <c r="L92" s="730">
        <f t="shared" si="89"/>
        <v>1</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0.10255932902901302</v>
      </c>
      <c r="Q92" s="734">
        <f t="shared" si="57"/>
        <v>238.25577699065704</v>
      </c>
      <c r="R92" s="734">
        <f t="shared" si="58"/>
        <v>238.25577699065704</v>
      </c>
      <c r="S92" s="737">
        <f t="shared" si="59"/>
        <v>0</v>
      </c>
      <c r="T92" s="734">
        <f t="shared" si="60"/>
        <v>12684.028916009649</v>
      </c>
      <c r="U92" s="734">
        <f t="shared" si="61"/>
        <v>638.10843408477388</v>
      </c>
      <c r="V92" s="741">
        <f t="shared" si="62"/>
        <v>425.4056227231826</v>
      </c>
      <c r="X92" s="750">
        <f>'Recycling - Case 2'!AM142</f>
        <v>0</v>
      </c>
      <c r="Y92" s="751">
        <f>Parameters!S227</f>
        <v>0.71500000000000008</v>
      </c>
      <c r="Z92" s="751">
        <f t="shared" si="63"/>
        <v>0.4</v>
      </c>
      <c r="AA92" s="752">
        <f t="shared" si="64"/>
        <v>0</v>
      </c>
      <c r="AB92" s="752">
        <f t="shared" si="65"/>
        <v>0</v>
      </c>
      <c r="AC92" s="753">
        <f t="shared" si="66"/>
        <v>0</v>
      </c>
      <c r="AD92" s="752">
        <f t="shared" si="67"/>
        <v>8881.6885916682877</v>
      </c>
      <c r="AE92" s="752">
        <f t="shared" si="68"/>
        <v>455.37391176525796</v>
      </c>
      <c r="AF92" s="754">
        <f t="shared" si="69"/>
        <v>303.58260784350529</v>
      </c>
      <c r="AH92" s="750">
        <f>'Recycling - Case 2'!AM182</f>
        <v>0</v>
      </c>
      <c r="AI92" s="751">
        <f>Parameters!S227</f>
        <v>0.71500000000000008</v>
      </c>
      <c r="AJ92" s="751">
        <f t="shared" si="70"/>
        <v>0.4</v>
      </c>
      <c r="AK92" s="752">
        <f t="shared" si="71"/>
        <v>0</v>
      </c>
      <c r="AL92" s="752">
        <f t="shared" si="72"/>
        <v>0</v>
      </c>
      <c r="AM92" s="753">
        <f t="shared" si="73"/>
        <v>0</v>
      </c>
      <c r="AN92" s="752">
        <f t="shared" si="74"/>
        <v>8881.6885916682877</v>
      </c>
      <c r="AO92" s="752">
        <f t="shared" si="75"/>
        <v>455.37391176525796</v>
      </c>
      <c r="AP92" s="754">
        <f t="shared" si="76"/>
        <v>303.58260784350529</v>
      </c>
      <c r="AR92" s="901">
        <f>'Recycling - Case 2'!G102</f>
        <v>596.09595021552889</v>
      </c>
      <c r="AS92" s="902">
        <v>1</v>
      </c>
      <c r="AT92" s="902">
        <f t="shared" si="77"/>
        <v>0.05</v>
      </c>
      <c r="AU92" s="903">
        <f t="shared" si="78"/>
        <v>14.902398755388223</v>
      </c>
      <c r="AV92" s="903">
        <f t="shared" si="79"/>
        <v>14.902398755388223</v>
      </c>
      <c r="AW92" s="279">
        <f t="shared" si="80"/>
        <v>0</v>
      </c>
      <c r="AX92" s="903">
        <f t="shared" si="44"/>
        <v>167.56030501282316</v>
      </c>
      <c r="AY92" s="903">
        <f t="shared" si="49"/>
        <v>9.4398377258050203</v>
      </c>
      <c r="AZ92" s="904">
        <f t="shared" si="47"/>
        <v>6.2932251505366805</v>
      </c>
      <c r="BB92" s="913">
        <f t="shared" si="81"/>
        <v>425.4056227231826</v>
      </c>
      <c r="BC92" s="914">
        <f t="shared" si="82"/>
        <v>303.58260784350529</v>
      </c>
      <c r="BD92" s="933">
        <f t="shared" si="90"/>
        <v>6.2932251505366805</v>
      </c>
      <c r="BE92" s="914">
        <f t="shared" si="54"/>
        <v>735.28145571722462</v>
      </c>
      <c r="BF92" s="145">
        <v>0</v>
      </c>
      <c r="BG92" s="927">
        <f t="shared" si="83"/>
        <v>735.28145571722462</v>
      </c>
      <c r="BI92" s="913">
        <f t="shared" si="84"/>
        <v>425.4056227231826</v>
      </c>
      <c r="BJ92" s="914">
        <f t="shared" si="85"/>
        <v>303.58260784350529</v>
      </c>
      <c r="BK92" s="933">
        <f t="shared" si="86"/>
        <v>6.2932251505366805</v>
      </c>
      <c r="BL92" s="914">
        <f t="shared" si="55"/>
        <v>735.28145571722462</v>
      </c>
      <c r="BM92" s="145">
        <v>0</v>
      </c>
      <c r="BN92" s="927">
        <f t="shared" si="87"/>
        <v>735.28145571722462</v>
      </c>
    </row>
    <row r="93" spans="1:66">
      <c r="A93" s="805">
        <f>'Input data'!A123</f>
        <v>2023</v>
      </c>
      <c r="B93" s="728">
        <f>'Input data'!B123</f>
        <v>61.723133308607778</v>
      </c>
      <c r="C93" s="728">
        <f>'Recycling - Case 2'!AK103/B93</f>
        <v>348.03669716347173</v>
      </c>
      <c r="D93" s="729">
        <f>'Recycling - Case 2'!AM103</f>
        <v>0.243818797602951</v>
      </c>
      <c r="E93" s="729">
        <f>'Recycling - Case 2'!BE103</f>
        <v>0.18686877391877027</v>
      </c>
      <c r="F93" s="729">
        <f>'Recycling - Case 2'!BF103</f>
        <v>0.23700016017438794</v>
      </c>
      <c r="G93" s="729">
        <f>'Recycling - Case 2'!BG103</f>
        <v>6.9457546980760509E-2</v>
      </c>
      <c r="H93" s="729">
        <f>'Recycling - Case 2'!BH103</f>
        <v>0</v>
      </c>
      <c r="I93" s="729">
        <f>'Recycling - Case 2'!BI103</f>
        <v>0</v>
      </c>
      <c r="J93" s="729">
        <f>'Recycling - Case 2'!BJ103</f>
        <v>0</v>
      </c>
      <c r="K93" s="729">
        <f>'Recycling - Case 2'!BK103</f>
        <v>0.50667351892608126</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0.10321336691499733</v>
      </c>
      <c r="Q93" s="734">
        <f t="shared" si="57"/>
        <v>231.00258752592782</v>
      </c>
      <c r="R93" s="734">
        <f t="shared" si="58"/>
        <v>231.00258752592782</v>
      </c>
      <c r="S93" s="737">
        <f t="shared" si="59"/>
        <v>0</v>
      </c>
      <c r="T93" s="734">
        <f t="shared" si="60"/>
        <v>12296.424113652201</v>
      </c>
      <c r="U93" s="734">
        <f t="shared" si="61"/>
        <v>618.60738988337516</v>
      </c>
      <c r="V93" s="741">
        <f t="shared" si="62"/>
        <v>412.40492658891679</v>
      </c>
      <c r="X93" s="750">
        <f>'Recycling - Case 2'!AM143</f>
        <v>0</v>
      </c>
      <c r="Y93" s="751">
        <f>Parameters!S228</f>
        <v>0.71500000000000008</v>
      </c>
      <c r="Z93" s="751">
        <f t="shared" si="63"/>
        <v>0.4</v>
      </c>
      <c r="AA93" s="752">
        <f t="shared" si="64"/>
        <v>0</v>
      </c>
      <c r="AB93" s="752">
        <f t="shared" si="65"/>
        <v>0</v>
      </c>
      <c r="AC93" s="753">
        <f t="shared" si="66"/>
        <v>0</v>
      </c>
      <c r="AD93" s="752">
        <f t="shared" si="67"/>
        <v>8448.5235276471831</v>
      </c>
      <c r="AE93" s="752">
        <f t="shared" si="68"/>
        <v>433.16506402110525</v>
      </c>
      <c r="AF93" s="754">
        <f t="shared" si="69"/>
        <v>288.77670934740348</v>
      </c>
      <c r="AH93" s="750">
        <f>'Recycling - Case 2'!AM183</f>
        <v>0</v>
      </c>
      <c r="AI93" s="751">
        <f>Parameters!S228</f>
        <v>0.71500000000000008</v>
      </c>
      <c r="AJ93" s="751">
        <f t="shared" si="70"/>
        <v>0.4</v>
      </c>
      <c r="AK93" s="752">
        <f t="shared" si="71"/>
        <v>0</v>
      </c>
      <c r="AL93" s="752">
        <f t="shared" si="72"/>
        <v>0</v>
      </c>
      <c r="AM93" s="753">
        <f t="shared" si="73"/>
        <v>0</v>
      </c>
      <c r="AN93" s="752">
        <f t="shared" si="74"/>
        <v>8448.5235276471831</v>
      </c>
      <c r="AO93" s="752">
        <f t="shared" si="75"/>
        <v>433.16506402110525</v>
      </c>
      <c r="AP93" s="754">
        <f t="shared" si="76"/>
        <v>288.77670934740348</v>
      </c>
      <c r="AR93" s="901">
        <f>'Recycling - Case 2'!G103</f>
        <v>614.8071215801873</v>
      </c>
      <c r="AS93" s="902">
        <v>1</v>
      </c>
      <c r="AT93" s="902">
        <f t="shared" si="77"/>
        <v>0.05</v>
      </c>
      <c r="AU93" s="903">
        <f t="shared" si="78"/>
        <v>15.370178039504683</v>
      </c>
      <c r="AV93" s="903">
        <f t="shared" si="79"/>
        <v>15.370178039504683</v>
      </c>
      <c r="AW93" s="279">
        <f t="shared" si="80"/>
        <v>0</v>
      </c>
      <c r="AX93" s="903">
        <f t="shared" si="44"/>
        <v>173.17253053714055</v>
      </c>
      <c r="AY93" s="903">
        <f t="shared" si="49"/>
        <v>9.7579525151873039</v>
      </c>
      <c r="AZ93" s="904">
        <f t="shared" si="47"/>
        <v>6.5053016767915359</v>
      </c>
      <c r="BB93" s="913">
        <f t="shared" si="81"/>
        <v>412.40492658891679</v>
      </c>
      <c r="BC93" s="914">
        <f t="shared" si="82"/>
        <v>288.77670934740348</v>
      </c>
      <c r="BD93" s="933">
        <f t="shared" si="90"/>
        <v>6.5053016767915359</v>
      </c>
      <c r="BE93" s="914">
        <f t="shared" si="54"/>
        <v>707.68693761311181</v>
      </c>
      <c r="BF93" s="145">
        <v>0</v>
      </c>
      <c r="BG93" s="927">
        <f t="shared" si="83"/>
        <v>707.68693761311181</v>
      </c>
      <c r="BI93" s="913">
        <f t="shared" si="84"/>
        <v>412.40492658891679</v>
      </c>
      <c r="BJ93" s="914">
        <f t="shared" si="85"/>
        <v>288.77670934740348</v>
      </c>
      <c r="BK93" s="933">
        <f t="shared" si="86"/>
        <v>6.5053016767915359</v>
      </c>
      <c r="BL93" s="914">
        <f t="shared" si="55"/>
        <v>707.68693761311181</v>
      </c>
      <c r="BM93" s="145">
        <v>0</v>
      </c>
      <c r="BN93" s="927">
        <f t="shared" si="87"/>
        <v>707.68693761311181</v>
      </c>
    </row>
    <row r="94" spans="1:66">
      <c r="A94" s="805">
        <f>'Input data'!A124</f>
        <v>2024</v>
      </c>
      <c r="B94" s="728">
        <f>'Input data'!B124</f>
        <v>62.434728280060035</v>
      </c>
      <c r="C94" s="728">
        <f>'Recycling - Case 2'!AK104/B94</f>
        <v>340.20728429901806</v>
      </c>
      <c r="D94" s="729">
        <f>'Recycling - Case 2'!AM104</f>
        <v>0.23084749837767912</v>
      </c>
      <c r="E94" s="729">
        <f>'Recycling - Case 2'!BE104</f>
        <v>0.19037047103364385</v>
      </c>
      <c r="F94" s="729">
        <f>'Recycling - Case 2'!BF104</f>
        <v>0.24144125945332898</v>
      </c>
      <c r="G94" s="729">
        <f>'Recycling - Case 2'!BG104</f>
        <v>6.7516160892816757E-2</v>
      </c>
      <c r="H94" s="729">
        <f>'Recycling - Case 2'!BH104</f>
        <v>0</v>
      </c>
      <c r="I94" s="729">
        <f>'Recycling - Case 2'!BI104</f>
        <v>0</v>
      </c>
      <c r="J94" s="729">
        <f>'Recycling - Case 2'!BJ104</f>
        <v>0</v>
      </c>
      <c r="K94" s="729">
        <f>'Recycling - Case 2'!BK104</f>
        <v>0.50067210862021039</v>
      </c>
      <c r="L94" s="730">
        <f t="shared" si="89"/>
        <v>1</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0.10385028690283907</v>
      </c>
      <c r="Q94" s="734">
        <f t="shared" si="57"/>
        <v>222.8802681353622</v>
      </c>
      <c r="R94" s="734">
        <f t="shared" si="58"/>
        <v>222.8802681353622</v>
      </c>
      <c r="S94" s="737">
        <f t="shared" si="59"/>
        <v>0</v>
      </c>
      <c r="T94" s="734">
        <f t="shared" si="60"/>
        <v>11919.600701181449</v>
      </c>
      <c r="U94" s="734">
        <f t="shared" si="61"/>
        <v>599.70368060611543</v>
      </c>
      <c r="V94" s="741">
        <f t="shared" si="62"/>
        <v>399.8024537374103</v>
      </c>
      <c r="X94" s="750">
        <f>'Recycling - Case 2'!AM144</f>
        <v>0</v>
      </c>
      <c r="Y94" s="751">
        <f>Parameters!S229</f>
        <v>0.71500000000000008</v>
      </c>
      <c r="Z94" s="751">
        <f t="shared" si="63"/>
        <v>0.4</v>
      </c>
      <c r="AA94" s="752">
        <f t="shared" si="64"/>
        <v>0</v>
      </c>
      <c r="AB94" s="752">
        <f t="shared" si="65"/>
        <v>0</v>
      </c>
      <c r="AC94" s="753">
        <f t="shared" si="66"/>
        <v>0</v>
      </c>
      <c r="AD94" s="752">
        <f t="shared" si="67"/>
        <v>8036.4841730845719</v>
      </c>
      <c r="AE94" s="752">
        <f t="shared" si="68"/>
        <v>412.03935456261092</v>
      </c>
      <c r="AF94" s="754">
        <f t="shared" si="69"/>
        <v>274.69290304174064</v>
      </c>
      <c r="AH94" s="750">
        <f>'Recycling - Case 2'!AM184</f>
        <v>0</v>
      </c>
      <c r="AI94" s="751">
        <f>Parameters!S229</f>
        <v>0.71500000000000008</v>
      </c>
      <c r="AJ94" s="751">
        <f t="shared" si="70"/>
        <v>0.4</v>
      </c>
      <c r="AK94" s="752">
        <f t="shared" si="71"/>
        <v>0</v>
      </c>
      <c r="AL94" s="752">
        <f t="shared" si="72"/>
        <v>0</v>
      </c>
      <c r="AM94" s="753">
        <f t="shared" si="73"/>
        <v>0</v>
      </c>
      <c r="AN94" s="752">
        <f t="shared" si="74"/>
        <v>8036.4841730845719</v>
      </c>
      <c r="AO94" s="752">
        <f t="shared" si="75"/>
        <v>412.03935456261092</v>
      </c>
      <c r="AP94" s="754">
        <f t="shared" si="76"/>
        <v>274.69290304174064</v>
      </c>
      <c r="AR94" s="901">
        <f>'Recycling - Case 2'!G104</f>
        <v>633.30934671551393</v>
      </c>
      <c r="AS94" s="902">
        <v>1</v>
      </c>
      <c r="AT94" s="902">
        <f t="shared" si="77"/>
        <v>0.05</v>
      </c>
      <c r="AU94" s="903">
        <f t="shared" si="78"/>
        <v>15.832733667887849</v>
      </c>
      <c r="AV94" s="903">
        <f t="shared" si="79"/>
        <v>15.832733667887849</v>
      </c>
      <c r="AW94" s="279">
        <f t="shared" si="80"/>
        <v>0</v>
      </c>
      <c r="AX94" s="903">
        <f t="shared" si="44"/>
        <v>178.92048111880209</v>
      </c>
      <c r="AY94" s="903">
        <f t="shared" si="49"/>
        <v>10.084783086226311</v>
      </c>
      <c r="AZ94" s="904">
        <f t="shared" si="47"/>
        <v>6.7231887241508739</v>
      </c>
      <c r="BB94" s="913">
        <f t="shared" si="81"/>
        <v>399.8024537374103</v>
      </c>
      <c r="BC94" s="914">
        <f t="shared" si="82"/>
        <v>274.69290304174064</v>
      </c>
      <c r="BD94" s="933">
        <f t="shared" si="90"/>
        <v>6.7231887241508739</v>
      </c>
      <c r="BE94" s="914">
        <f t="shared" si="54"/>
        <v>681.21854550330181</v>
      </c>
      <c r="BF94" s="145">
        <v>0</v>
      </c>
      <c r="BG94" s="927">
        <f t="shared" si="83"/>
        <v>681.21854550330181</v>
      </c>
      <c r="BI94" s="913">
        <f t="shared" si="84"/>
        <v>399.8024537374103</v>
      </c>
      <c r="BJ94" s="914">
        <f t="shared" si="85"/>
        <v>274.69290304174064</v>
      </c>
      <c r="BK94" s="933">
        <f t="shared" si="86"/>
        <v>6.7231887241508739</v>
      </c>
      <c r="BL94" s="914">
        <f t="shared" si="55"/>
        <v>681.21854550330181</v>
      </c>
      <c r="BM94" s="145">
        <v>0</v>
      </c>
      <c r="BN94" s="927">
        <f t="shared" si="87"/>
        <v>681.21854550330181</v>
      </c>
    </row>
    <row r="95" spans="1:66">
      <c r="A95" s="805">
        <f>'Input data'!A125</f>
        <v>2025</v>
      </c>
      <c r="B95" s="728">
        <f>'Input data'!B125</f>
        <v>63.096422221537942</v>
      </c>
      <c r="C95" s="728">
        <f>'Recycling - Case 2'!AK105/B95</f>
        <v>332.7333416203744</v>
      </c>
      <c r="D95" s="729">
        <f>'Recycling - Case 2'!AM105</f>
        <v>0.21763319177705398</v>
      </c>
      <c r="E95" s="729">
        <f>'Recycling - Case 2'!BE105</f>
        <v>0.19384322214759417</v>
      </c>
      <c r="F95" s="729">
        <f>'Recycling - Case 2'!BF105</f>
        <v>0.24584564737214615</v>
      </c>
      <c r="G95" s="729">
        <f>'Recycling - Case 2'!BG105</f>
        <v>6.5564023011120492E-2</v>
      </c>
      <c r="H95" s="729">
        <f>'Recycling - Case 2'!BH105</f>
        <v>0</v>
      </c>
      <c r="I95" s="729">
        <f>'Recycling - Case 2'!BI105</f>
        <v>0</v>
      </c>
      <c r="J95" s="729">
        <f>'Recycling - Case 2'!BJ105</f>
        <v>0</v>
      </c>
      <c r="K95" s="729">
        <f>'Recycling - Case 2'!BK105</f>
        <v>0.4947471074691393</v>
      </c>
      <c r="L95" s="730">
        <f t="shared" si="89"/>
        <v>1</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0.10447122200101655</v>
      </c>
      <c r="Q95" s="734">
        <f t="shared" si="57"/>
        <v>213.88259225040457</v>
      </c>
      <c r="R95" s="734">
        <f t="shared" si="58"/>
        <v>213.88259225040457</v>
      </c>
      <c r="S95" s="737">
        <f t="shared" si="59"/>
        <v>0</v>
      </c>
      <c r="T95" s="734">
        <f t="shared" si="60"/>
        <v>11552.157507513541</v>
      </c>
      <c r="U95" s="734">
        <f t="shared" si="61"/>
        <v>581.32578591831202</v>
      </c>
      <c r="V95" s="741">
        <f t="shared" si="62"/>
        <v>387.55052394554133</v>
      </c>
      <c r="X95" s="750">
        <f>'Recycling - Case 2'!AM145</f>
        <v>0</v>
      </c>
      <c r="Y95" s="751">
        <f>Parameters!S230</f>
        <v>0.71500000000000008</v>
      </c>
      <c r="Z95" s="751">
        <f t="shared" si="63"/>
        <v>0.4</v>
      </c>
      <c r="AA95" s="752">
        <f t="shared" si="64"/>
        <v>0</v>
      </c>
      <c r="AB95" s="752">
        <f t="shared" si="65"/>
        <v>0</v>
      </c>
      <c r="AC95" s="753">
        <f t="shared" si="66"/>
        <v>0</v>
      </c>
      <c r="AD95" s="752">
        <f t="shared" si="67"/>
        <v>7644.5402149723341</v>
      </c>
      <c r="AE95" s="752">
        <f t="shared" si="68"/>
        <v>391.94395811223802</v>
      </c>
      <c r="AF95" s="754">
        <f t="shared" si="69"/>
        <v>261.29597207482533</v>
      </c>
      <c r="AH95" s="750">
        <f>'Recycling - Case 2'!AM185</f>
        <v>0</v>
      </c>
      <c r="AI95" s="751">
        <f>Parameters!S230</f>
        <v>0.71500000000000008</v>
      </c>
      <c r="AJ95" s="751">
        <f t="shared" si="70"/>
        <v>0.4</v>
      </c>
      <c r="AK95" s="752">
        <f t="shared" si="71"/>
        <v>0</v>
      </c>
      <c r="AL95" s="752">
        <f t="shared" si="72"/>
        <v>0</v>
      </c>
      <c r="AM95" s="753">
        <f t="shared" si="73"/>
        <v>0</v>
      </c>
      <c r="AN95" s="752">
        <f t="shared" si="74"/>
        <v>7644.5402149723341</v>
      </c>
      <c r="AO95" s="752">
        <f t="shared" si="75"/>
        <v>391.94395811223802</v>
      </c>
      <c r="AP95" s="754">
        <f t="shared" si="76"/>
        <v>261.29597207482533</v>
      </c>
      <c r="AR95" s="901">
        <f>'Recycling - Case 2'!G105</f>
        <v>651.55646123780184</v>
      </c>
      <c r="AS95" s="902">
        <v>1</v>
      </c>
      <c r="AT95" s="902">
        <f t="shared" si="77"/>
        <v>0.05</v>
      </c>
      <c r="AU95" s="903">
        <f t="shared" si="78"/>
        <v>16.288911530945047</v>
      </c>
      <c r="AV95" s="903">
        <f t="shared" si="79"/>
        <v>16.288911530945047</v>
      </c>
      <c r="AW95" s="279">
        <f t="shared" si="80"/>
        <v>0</v>
      </c>
      <c r="AX95" s="903">
        <f t="shared" si="44"/>
        <v>184.78987498046308</v>
      </c>
      <c r="AY95" s="903">
        <f t="shared" si="49"/>
        <v>10.41951766928406</v>
      </c>
      <c r="AZ95" s="904">
        <f t="shared" si="47"/>
        <v>6.9463451128560401</v>
      </c>
      <c r="BB95" s="913">
        <f t="shared" si="81"/>
        <v>387.55052394554133</v>
      </c>
      <c r="BC95" s="914">
        <f t="shared" si="82"/>
        <v>261.29597207482533</v>
      </c>
      <c r="BD95" s="933">
        <f t="shared" si="90"/>
        <v>6.9463451128560401</v>
      </c>
      <c r="BE95" s="914">
        <f t="shared" si="54"/>
        <v>655.79284113322274</v>
      </c>
      <c r="BF95" s="145">
        <v>0</v>
      </c>
      <c r="BG95" s="927">
        <f t="shared" si="83"/>
        <v>655.79284113322274</v>
      </c>
      <c r="BI95" s="913">
        <f t="shared" si="84"/>
        <v>387.55052394554133</v>
      </c>
      <c r="BJ95" s="914">
        <f t="shared" si="85"/>
        <v>261.29597207482533</v>
      </c>
      <c r="BK95" s="933">
        <f t="shared" si="86"/>
        <v>6.9463451128560401</v>
      </c>
      <c r="BL95" s="914">
        <f t="shared" si="55"/>
        <v>655.79284113322274</v>
      </c>
      <c r="BM95" s="145">
        <v>0</v>
      </c>
      <c r="BN95" s="927">
        <f t="shared" si="87"/>
        <v>655.79284113322274</v>
      </c>
    </row>
    <row r="96" spans="1:66">
      <c r="A96" s="805">
        <f>'Input data'!A126</f>
        <v>2026</v>
      </c>
      <c r="B96" s="728">
        <f>'Input data'!B126</f>
        <v>63.744102485123491</v>
      </c>
      <c r="C96" s="728">
        <f>'Recycling - Case 2'!AK106/B96</f>
        <v>325.46501213179619</v>
      </c>
      <c r="D96" s="729">
        <f>'Recycling - Case 2'!AM106</f>
        <v>0.20411814272303072</v>
      </c>
      <c r="E96" s="729">
        <f>'Recycling - Case 2'!BE106</f>
        <v>0.19734412686232164</v>
      </c>
      <c r="F96" s="729">
        <f>'Recycling - Case 2'!BF106</f>
        <v>0.25028574167332845</v>
      </c>
      <c r="G96" s="729">
        <f>'Recycling - Case 2'!BG106</f>
        <v>6.3584508476007218E-2</v>
      </c>
      <c r="H96" s="729">
        <f>'Recycling - Case 2'!BH106</f>
        <v>0</v>
      </c>
      <c r="I96" s="729">
        <f>'Recycling - Case 2'!BI106</f>
        <v>0</v>
      </c>
      <c r="J96" s="729">
        <f>'Recycling - Case 2'!BJ106</f>
        <v>0</v>
      </c>
      <c r="K96" s="729">
        <f>'Recycling - Case 2'!BK106</f>
        <v>0.48878562298834255</v>
      </c>
      <c r="L96" s="730">
        <f t="shared" si="89"/>
        <v>0.99999999999999978</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0.10509257075441683</v>
      </c>
      <c r="Q96" s="734">
        <f t="shared" si="57"/>
        <v>204.03320431064532</v>
      </c>
      <c r="R96" s="734">
        <f t="shared" si="58"/>
        <v>204.03320431064532</v>
      </c>
      <c r="S96" s="737">
        <f t="shared" si="59"/>
        <v>0</v>
      </c>
      <c r="T96" s="734">
        <f t="shared" si="60"/>
        <v>11192.785341924353</v>
      </c>
      <c r="U96" s="734">
        <f t="shared" si="61"/>
        <v>563.40536989983252</v>
      </c>
      <c r="V96" s="741">
        <f t="shared" si="62"/>
        <v>375.60357993322168</v>
      </c>
      <c r="X96" s="750">
        <f>'Recycling - Case 2'!AM146</f>
        <v>0</v>
      </c>
      <c r="Y96" s="751">
        <f>Parameters!S231</f>
        <v>0.71500000000000008</v>
      </c>
      <c r="Z96" s="751">
        <f t="shared" si="63"/>
        <v>0.4</v>
      </c>
      <c r="AA96" s="752">
        <f t="shared" si="64"/>
        <v>0</v>
      </c>
      <c r="AB96" s="752">
        <f t="shared" si="65"/>
        <v>0</v>
      </c>
      <c r="AC96" s="753">
        <f t="shared" si="66"/>
        <v>0</v>
      </c>
      <c r="AD96" s="752">
        <f t="shared" si="67"/>
        <v>7271.711589260698</v>
      </c>
      <c r="AE96" s="752">
        <f t="shared" si="68"/>
        <v>372.82862571163611</v>
      </c>
      <c r="AF96" s="754">
        <f t="shared" si="69"/>
        <v>248.55241714109073</v>
      </c>
      <c r="AH96" s="750">
        <f>'Recycling - Case 2'!AM186</f>
        <v>0</v>
      </c>
      <c r="AI96" s="751">
        <f>Parameters!S231</f>
        <v>0.71500000000000008</v>
      </c>
      <c r="AJ96" s="751">
        <f t="shared" si="70"/>
        <v>0.4</v>
      </c>
      <c r="AK96" s="752">
        <f t="shared" si="71"/>
        <v>0</v>
      </c>
      <c r="AL96" s="752">
        <f t="shared" si="72"/>
        <v>0</v>
      </c>
      <c r="AM96" s="753">
        <f t="shared" si="73"/>
        <v>0</v>
      </c>
      <c r="AN96" s="752">
        <f t="shared" si="74"/>
        <v>7271.711589260698</v>
      </c>
      <c r="AO96" s="752">
        <f t="shared" si="75"/>
        <v>372.82862571163611</v>
      </c>
      <c r="AP96" s="754">
        <f t="shared" si="76"/>
        <v>248.55241714109073</v>
      </c>
      <c r="AR96" s="901">
        <f>'Recycling - Case 2'!G106</f>
        <v>669.89824329255828</v>
      </c>
      <c r="AS96" s="902">
        <v>1</v>
      </c>
      <c r="AT96" s="902">
        <f t="shared" si="77"/>
        <v>0.05</v>
      </c>
      <c r="AU96" s="903">
        <f t="shared" si="78"/>
        <v>16.747456082313956</v>
      </c>
      <c r="AV96" s="903">
        <f t="shared" si="79"/>
        <v>16.747456082313956</v>
      </c>
      <c r="AW96" s="279">
        <f t="shared" si="80"/>
        <v>0</v>
      </c>
      <c r="AX96" s="903">
        <f t="shared" si="44"/>
        <v>190.7760065043814</v>
      </c>
      <c r="AY96" s="903">
        <f t="shared" si="49"/>
        <v>10.761324558395636</v>
      </c>
      <c r="AZ96" s="904">
        <f t="shared" si="47"/>
        <v>7.1742163722637571</v>
      </c>
      <c r="BB96" s="913">
        <f t="shared" si="81"/>
        <v>375.60357993322168</v>
      </c>
      <c r="BC96" s="914">
        <f t="shared" si="82"/>
        <v>248.55241714109073</v>
      </c>
      <c r="BD96" s="933">
        <f t="shared" si="90"/>
        <v>7.1742163722637571</v>
      </c>
      <c r="BE96" s="914">
        <f t="shared" si="54"/>
        <v>631.33021344657618</v>
      </c>
      <c r="BF96" s="145">
        <v>0</v>
      </c>
      <c r="BG96" s="927">
        <f t="shared" si="83"/>
        <v>631.33021344657618</v>
      </c>
      <c r="BI96" s="913">
        <f t="shared" si="84"/>
        <v>375.60357993322168</v>
      </c>
      <c r="BJ96" s="914">
        <f t="shared" si="85"/>
        <v>248.55241714109073</v>
      </c>
      <c r="BK96" s="933">
        <f t="shared" si="86"/>
        <v>7.1742163722637571</v>
      </c>
      <c r="BL96" s="914">
        <f t="shared" si="55"/>
        <v>631.33021344657618</v>
      </c>
      <c r="BM96" s="145">
        <v>0</v>
      </c>
      <c r="BN96" s="927">
        <f t="shared" si="87"/>
        <v>631.33021344657618</v>
      </c>
    </row>
    <row r="97" spans="1:66">
      <c r="A97" s="805">
        <f>'Input data'!A127</f>
        <v>2027</v>
      </c>
      <c r="B97" s="728">
        <f>'Input data'!B127</f>
        <v>64.377188881988602</v>
      </c>
      <c r="C97" s="728">
        <f>'Recycling - Case 2'!AK107/B97</f>
        <v>318.39006064448699</v>
      </c>
      <c r="D97" s="729">
        <f>'Recycling - Case 2'!AM107</f>
        <v>0.19029126986065473</v>
      </c>
      <c r="E97" s="729">
        <f>'Recycling - Case 2'!BE107</f>
        <v>0.20087664854625667</v>
      </c>
      <c r="F97" s="729">
        <f>'Recycling - Case 2'!BF107</f>
        <v>0.25476593484501392</v>
      </c>
      <c r="G97" s="729">
        <f>'Recycling - Case 2'!BG107</f>
        <v>6.1575617769207475E-2</v>
      </c>
      <c r="H97" s="729">
        <f>'Recycling - Case 2'!BH107</f>
        <v>0</v>
      </c>
      <c r="I97" s="729">
        <f>'Recycling - Case 2'!BI107</f>
        <v>0</v>
      </c>
      <c r="J97" s="729">
        <f>'Recycling - Case 2'!BJ107</f>
        <v>0</v>
      </c>
      <c r="K97" s="729">
        <f>'Recycling - Case 2'!BK107</f>
        <v>0.48278179883952188</v>
      </c>
      <c r="L97" s="730">
        <f t="shared" si="89"/>
        <v>1</v>
      </c>
      <c r="N97" s="740">
        <f t="shared" si="56"/>
        <v>3900.4110186862777</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0.10571493135862428</v>
      </c>
      <c r="Q97" s="734">
        <f t="shared" si="57"/>
        <v>193.32012373542912</v>
      </c>
      <c r="R97" s="734">
        <f t="shared" si="58"/>
        <v>193.32012373542912</v>
      </c>
      <c r="S97" s="737">
        <f t="shared" si="59"/>
        <v>0</v>
      </c>
      <c r="T97" s="734">
        <f t="shared" si="60"/>
        <v>10840.226883094159</v>
      </c>
      <c r="U97" s="734">
        <f t="shared" si="61"/>
        <v>545.87858256562311</v>
      </c>
      <c r="V97" s="741">
        <f t="shared" si="62"/>
        <v>363.91905504374876</v>
      </c>
      <c r="X97" s="750">
        <f>'Recycling - Case 2'!AM147</f>
        <v>0</v>
      </c>
      <c r="Y97" s="751">
        <f>Parameters!S232</f>
        <v>0.71500000000000008</v>
      </c>
      <c r="Z97" s="751">
        <f t="shared" si="63"/>
        <v>0.4</v>
      </c>
      <c r="AA97" s="752">
        <f t="shared" si="64"/>
        <v>0</v>
      </c>
      <c r="AB97" s="752">
        <f t="shared" si="65"/>
        <v>0</v>
      </c>
      <c r="AC97" s="753">
        <f t="shared" si="66"/>
        <v>0</v>
      </c>
      <c r="AD97" s="752">
        <f t="shared" si="67"/>
        <v>6917.066030187626</v>
      </c>
      <c r="AE97" s="752">
        <f t="shared" si="68"/>
        <v>354.64555907307175</v>
      </c>
      <c r="AF97" s="754">
        <f t="shared" si="69"/>
        <v>236.43037271538117</v>
      </c>
      <c r="AH97" s="750">
        <f>'Recycling - Case 2'!AM187</f>
        <v>0</v>
      </c>
      <c r="AI97" s="751">
        <f>Parameters!S232</f>
        <v>0.71500000000000008</v>
      </c>
      <c r="AJ97" s="751">
        <f t="shared" si="70"/>
        <v>0.4</v>
      </c>
      <c r="AK97" s="752">
        <f t="shared" si="71"/>
        <v>0</v>
      </c>
      <c r="AL97" s="752">
        <f t="shared" si="72"/>
        <v>0</v>
      </c>
      <c r="AM97" s="753">
        <f t="shared" si="73"/>
        <v>0</v>
      </c>
      <c r="AN97" s="752">
        <f t="shared" si="74"/>
        <v>6917.066030187626</v>
      </c>
      <c r="AO97" s="752">
        <f t="shared" si="75"/>
        <v>354.64555907307175</v>
      </c>
      <c r="AP97" s="754">
        <f t="shared" si="76"/>
        <v>236.43037271538117</v>
      </c>
      <c r="AR97" s="901">
        <f>'Recycling - Case 2'!G107</f>
        <v>688.32080362278316</v>
      </c>
      <c r="AS97" s="902">
        <v>1</v>
      </c>
      <c r="AT97" s="902">
        <f t="shared" si="77"/>
        <v>0.05</v>
      </c>
      <c r="AU97" s="903">
        <f t="shared" si="78"/>
        <v>17.20802009056958</v>
      </c>
      <c r="AV97" s="903">
        <f t="shared" si="79"/>
        <v>17.20802009056958</v>
      </c>
      <c r="AW97" s="279">
        <f t="shared" si="80"/>
        <v>0</v>
      </c>
      <c r="AX97" s="903">
        <f t="shared" si="44"/>
        <v>196.87409687523393</v>
      </c>
      <c r="AY97" s="903">
        <f t="shared" si="49"/>
        <v>11.109929719717051</v>
      </c>
      <c r="AZ97" s="904">
        <f t="shared" si="47"/>
        <v>7.406619813144701</v>
      </c>
      <c r="BB97" s="913">
        <f t="shared" si="81"/>
        <v>363.91905504374876</v>
      </c>
      <c r="BC97" s="914">
        <f t="shared" si="82"/>
        <v>236.43037271538117</v>
      </c>
      <c r="BD97" s="933">
        <f t="shared" si="90"/>
        <v>7.406619813144701</v>
      </c>
      <c r="BE97" s="914">
        <f t="shared" si="54"/>
        <v>607.75604757227461</v>
      </c>
      <c r="BF97" s="145">
        <v>0</v>
      </c>
      <c r="BG97" s="927">
        <f t="shared" si="83"/>
        <v>607.75604757227461</v>
      </c>
      <c r="BI97" s="913">
        <f t="shared" si="84"/>
        <v>363.91905504374876</v>
      </c>
      <c r="BJ97" s="914">
        <f t="shared" si="85"/>
        <v>236.43037271538117</v>
      </c>
      <c r="BK97" s="933">
        <f t="shared" si="86"/>
        <v>7.406619813144701</v>
      </c>
      <c r="BL97" s="914">
        <f t="shared" si="55"/>
        <v>607.75604757227461</v>
      </c>
      <c r="BM97" s="145">
        <v>0</v>
      </c>
      <c r="BN97" s="927">
        <f t="shared" si="87"/>
        <v>607.75604757227461</v>
      </c>
    </row>
    <row r="98" spans="1:66">
      <c r="A98" s="805">
        <f>'Input data'!A128</f>
        <v>2028</v>
      </c>
      <c r="B98" s="728">
        <f>'Input data'!B128</f>
        <v>64.995109664264291</v>
      </c>
      <c r="C98" s="728">
        <f>'Recycling - Case 2'!AK108/B98</f>
        <v>311.49658519290148</v>
      </c>
      <c r="D98" s="729">
        <f>'Recycling - Case 2'!AM108</f>
        <v>0.17614014021645041</v>
      </c>
      <c r="E98" s="729">
        <f>'Recycling - Case 2'!BE108</f>
        <v>0.20444431630117751</v>
      </c>
      <c r="F98" s="729">
        <f>'Recycling - Case 2'!BF108</f>
        <v>0.25929070274300842</v>
      </c>
      <c r="G98" s="729">
        <f>'Recycling - Case 2'!BG108</f>
        <v>5.953528747159359E-2</v>
      </c>
      <c r="H98" s="729">
        <f>'Recycling - Case 2'!BH108</f>
        <v>0</v>
      </c>
      <c r="I98" s="729">
        <f>'Recycling - Case 2'!BI108</f>
        <v>0</v>
      </c>
      <c r="J98" s="729">
        <f>'Recycling - Case 2'!BJ108</f>
        <v>0</v>
      </c>
      <c r="K98" s="729">
        <f>'Recycling - Case 2'!BK108</f>
        <v>0.47672969348422056</v>
      </c>
      <c r="L98" s="730">
        <f t="shared" si="89"/>
        <v>1</v>
      </c>
      <c r="N98" s="740">
        <f t="shared" si="56"/>
        <v>3566.0900742274534</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0.10633890298241575</v>
      </c>
      <c r="Q98" s="734">
        <f t="shared" si="57"/>
        <v>181.73106792752563</v>
      </c>
      <c r="R98" s="734">
        <f t="shared" si="58"/>
        <v>181.73106792752563</v>
      </c>
      <c r="S98" s="737">
        <f t="shared" si="59"/>
        <v>0</v>
      </c>
      <c r="T98" s="734">
        <f t="shared" si="60"/>
        <v>10493.273847390352</v>
      </c>
      <c r="U98" s="734">
        <f t="shared" si="61"/>
        <v>528.6841036313333</v>
      </c>
      <c r="V98" s="741">
        <f t="shared" si="62"/>
        <v>352.45606908755553</v>
      </c>
      <c r="X98" s="750">
        <f>'Recycling - Case 2'!AM148</f>
        <v>0</v>
      </c>
      <c r="Y98" s="751">
        <f>Parameters!S233</f>
        <v>0.71500000000000008</v>
      </c>
      <c r="Z98" s="751">
        <f t="shared" si="63"/>
        <v>0.4</v>
      </c>
      <c r="AA98" s="752">
        <f t="shared" si="64"/>
        <v>0</v>
      </c>
      <c r="AB98" s="752">
        <f t="shared" si="65"/>
        <v>0</v>
      </c>
      <c r="AC98" s="753">
        <f t="shared" si="66"/>
        <v>0</v>
      </c>
      <c r="AD98" s="752">
        <f t="shared" si="67"/>
        <v>6579.716739128814</v>
      </c>
      <c r="AE98" s="752">
        <f t="shared" si="68"/>
        <v>337.34929105881201</v>
      </c>
      <c r="AF98" s="754">
        <f t="shared" si="69"/>
        <v>224.89952737254134</v>
      </c>
      <c r="AH98" s="750">
        <f>'Recycling - Case 2'!AM188</f>
        <v>0</v>
      </c>
      <c r="AI98" s="751">
        <f>Parameters!S233</f>
        <v>0.71500000000000008</v>
      </c>
      <c r="AJ98" s="751">
        <f t="shared" si="70"/>
        <v>0.4</v>
      </c>
      <c r="AK98" s="752">
        <f t="shared" si="71"/>
        <v>0</v>
      </c>
      <c r="AL98" s="752">
        <f t="shared" si="72"/>
        <v>0</v>
      </c>
      <c r="AM98" s="753">
        <f t="shared" si="73"/>
        <v>0</v>
      </c>
      <c r="AN98" s="752">
        <f t="shared" si="74"/>
        <v>6579.716739128814</v>
      </c>
      <c r="AO98" s="752">
        <f t="shared" si="75"/>
        <v>337.34929105881201</v>
      </c>
      <c r="AP98" s="754">
        <f t="shared" si="76"/>
        <v>224.89952737254134</v>
      </c>
      <c r="AR98" s="901">
        <f>'Recycling - Case 2'!G108</f>
        <v>706.80992048834287</v>
      </c>
      <c r="AS98" s="902">
        <v>1</v>
      </c>
      <c r="AT98" s="902">
        <f t="shared" si="77"/>
        <v>0.05</v>
      </c>
      <c r="AU98" s="903">
        <f t="shared" si="78"/>
        <v>17.670248012208571</v>
      </c>
      <c r="AV98" s="903">
        <f t="shared" si="79"/>
        <v>17.670248012208571</v>
      </c>
      <c r="AW98" s="279">
        <f t="shared" si="80"/>
        <v>0</v>
      </c>
      <c r="AX98" s="903">
        <f t="shared" si="44"/>
        <v>203.07929003073343</v>
      </c>
      <c r="AY98" s="903">
        <f t="shared" si="49"/>
        <v>11.465054856709049</v>
      </c>
      <c r="AZ98" s="904">
        <f t="shared" si="47"/>
        <v>7.6433699044726993</v>
      </c>
      <c r="BB98" s="913">
        <f t="shared" si="81"/>
        <v>352.45606908755553</v>
      </c>
      <c r="BC98" s="914">
        <f t="shared" si="82"/>
        <v>224.89952737254134</v>
      </c>
      <c r="BD98" s="933">
        <f t="shared" si="90"/>
        <v>7.6433699044726993</v>
      </c>
      <c r="BE98" s="914">
        <f t="shared" si="54"/>
        <v>584.99896636456958</v>
      </c>
      <c r="BF98" s="145">
        <v>0</v>
      </c>
      <c r="BG98" s="927">
        <f t="shared" si="83"/>
        <v>584.99896636456958</v>
      </c>
      <c r="BI98" s="913">
        <f t="shared" si="84"/>
        <v>352.45606908755553</v>
      </c>
      <c r="BJ98" s="914">
        <f t="shared" si="85"/>
        <v>224.89952737254134</v>
      </c>
      <c r="BK98" s="933">
        <f t="shared" si="86"/>
        <v>7.6433699044726993</v>
      </c>
      <c r="BL98" s="914">
        <f t="shared" si="55"/>
        <v>584.99896636456958</v>
      </c>
      <c r="BM98" s="145">
        <v>0</v>
      </c>
      <c r="BN98" s="927">
        <f t="shared" si="87"/>
        <v>584.99896636456958</v>
      </c>
    </row>
    <row r="99" spans="1:66">
      <c r="A99" s="805">
        <f>'Input data'!A129</f>
        <v>2029</v>
      </c>
      <c r="B99" s="728">
        <f>'Input data'!B129</f>
        <v>65.59730237662275</v>
      </c>
      <c r="C99" s="728">
        <f>'Recycling - Case 2'!AK109/B99</f>
        <v>304.77298702298305</v>
      </c>
      <c r="D99" s="729">
        <f>'Recycling - Case 2'!AM109</f>
        <v>0.16165080693454689</v>
      </c>
      <c r="E99" s="729">
        <f>'Recycling - Case 2'!BE109</f>
        <v>0.20805073761018861</v>
      </c>
      <c r="F99" s="729">
        <f>'Recycling - Case 2'!BF109</f>
        <v>0.26386462063184468</v>
      </c>
      <c r="G99" s="729">
        <f>'Recycling - Case 2'!BG109</f>
        <v>5.7461382594890288E-2</v>
      </c>
      <c r="H99" s="729">
        <f>'Recycling - Case 2'!BH109</f>
        <v>0</v>
      </c>
      <c r="I99" s="729">
        <f>'Recycling - Case 2'!BI109</f>
        <v>0</v>
      </c>
      <c r="J99" s="729">
        <f>'Recycling - Case 2'!BJ109</f>
        <v>0</v>
      </c>
      <c r="K99" s="729">
        <f>'Recycling - Case 2'!BK109</f>
        <v>0.47062325916307651</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0.10696508780585334</v>
      </c>
      <c r="Q99" s="734">
        <f t="shared" si="57"/>
        <v>169.25341334550589</v>
      </c>
      <c r="R99" s="734">
        <f t="shared" si="58"/>
        <v>169.25341334550589</v>
      </c>
      <c r="S99" s="737">
        <f t="shared" si="59"/>
        <v>0</v>
      </c>
      <c r="T99" s="734">
        <f t="shared" si="60"/>
        <v>10150.764256327024</v>
      </c>
      <c r="U99" s="734">
        <f t="shared" si="61"/>
        <v>511.76300440883426</v>
      </c>
      <c r="V99" s="741">
        <f t="shared" si="62"/>
        <v>341.17533627255619</v>
      </c>
      <c r="X99" s="750">
        <f>'Recycling - Case 2'!AM149</f>
        <v>0</v>
      </c>
      <c r="Y99" s="751">
        <f>Parameters!S234</f>
        <v>0.71500000000000008</v>
      </c>
      <c r="Z99" s="751">
        <f t="shared" si="63"/>
        <v>0.4</v>
      </c>
      <c r="AA99" s="752">
        <f t="shared" si="64"/>
        <v>0</v>
      </c>
      <c r="AB99" s="752">
        <f t="shared" si="65"/>
        <v>0</v>
      </c>
      <c r="AC99" s="753">
        <f t="shared" si="66"/>
        <v>0</v>
      </c>
      <c r="AD99" s="752">
        <f t="shared" si="67"/>
        <v>6258.8201671392162</v>
      </c>
      <c r="AE99" s="752">
        <f t="shared" si="68"/>
        <v>320.89657198959759</v>
      </c>
      <c r="AF99" s="754">
        <f t="shared" si="69"/>
        <v>213.93104799306505</v>
      </c>
      <c r="AH99" s="750">
        <f>'Recycling - Case 2'!AM189</f>
        <v>0</v>
      </c>
      <c r="AI99" s="751">
        <f>Parameters!S234</f>
        <v>0.71500000000000008</v>
      </c>
      <c r="AJ99" s="751">
        <f t="shared" si="70"/>
        <v>0.4</v>
      </c>
      <c r="AK99" s="752">
        <f t="shared" si="71"/>
        <v>0</v>
      </c>
      <c r="AL99" s="752">
        <f t="shared" si="72"/>
        <v>0</v>
      </c>
      <c r="AM99" s="753">
        <f t="shared" si="73"/>
        <v>0</v>
      </c>
      <c r="AN99" s="752">
        <f t="shared" si="74"/>
        <v>6258.8201671392162</v>
      </c>
      <c r="AO99" s="752">
        <f t="shared" si="75"/>
        <v>320.89657198959759</v>
      </c>
      <c r="AP99" s="754">
        <f t="shared" si="76"/>
        <v>213.93104799306505</v>
      </c>
      <c r="AR99" s="901">
        <f>'Recycling - Case 2'!G109</f>
        <v>725.35105679827302</v>
      </c>
      <c r="AS99" s="902">
        <v>1</v>
      </c>
      <c r="AT99" s="902">
        <f t="shared" si="77"/>
        <v>0.05</v>
      </c>
      <c r="AU99" s="903">
        <f t="shared" si="78"/>
        <v>18.133776419956828</v>
      </c>
      <c r="AV99" s="903">
        <f t="shared" si="79"/>
        <v>18.133776419956828</v>
      </c>
      <c r="AW99" s="279">
        <f t="shared" si="80"/>
        <v>0</v>
      </c>
      <c r="AX99" s="903">
        <f t="shared" si="44"/>
        <v>209.38664927637086</v>
      </c>
      <c r="AY99" s="903">
        <f t="shared" si="49"/>
        <v>11.82641717431939</v>
      </c>
      <c r="AZ99" s="904">
        <f t="shared" si="47"/>
        <v>7.8842781162129265</v>
      </c>
      <c r="BB99" s="913">
        <f t="shared" si="81"/>
        <v>341.17533627255619</v>
      </c>
      <c r="BC99" s="914">
        <f t="shared" si="82"/>
        <v>213.93104799306505</v>
      </c>
      <c r="BD99" s="933">
        <f t="shared" si="90"/>
        <v>7.8842781162129265</v>
      </c>
      <c r="BE99" s="914">
        <f t="shared" si="54"/>
        <v>562.99066238183423</v>
      </c>
      <c r="BF99" s="145">
        <v>0</v>
      </c>
      <c r="BG99" s="927">
        <f t="shared" si="83"/>
        <v>562.99066238183423</v>
      </c>
      <c r="BI99" s="913">
        <f t="shared" si="84"/>
        <v>341.17533627255619</v>
      </c>
      <c r="BJ99" s="914">
        <f t="shared" si="85"/>
        <v>213.93104799306505</v>
      </c>
      <c r="BK99" s="933">
        <f t="shared" si="86"/>
        <v>7.8842781162129265</v>
      </c>
      <c r="BL99" s="914">
        <f t="shared" si="55"/>
        <v>562.99066238183423</v>
      </c>
      <c r="BM99" s="145">
        <v>0</v>
      </c>
      <c r="BN99" s="927">
        <f t="shared" si="87"/>
        <v>562.99066238183423</v>
      </c>
    </row>
    <row r="100" spans="1:66">
      <c r="A100" s="805">
        <f>'Input data'!A130</f>
        <v>2030</v>
      </c>
      <c r="B100" s="728">
        <f>'Input data'!B130</f>
        <v>66.183214701401099</v>
      </c>
      <c r="C100" s="728">
        <f>'Recycling - Case 2'!AK110/B100</f>
        <v>298.20794115922075</v>
      </c>
      <c r="D100" s="729">
        <f>'Recycling - Case 2'!AM110</f>
        <v>0.14680762595651292</v>
      </c>
      <c r="E100" s="729">
        <f>'Recycling - Case 2'!BE110</f>
        <v>0.21169961154794095</v>
      </c>
      <c r="F100" s="729">
        <f>'Recycling - Case 2'!BF110</f>
        <v>0.26849237993891523</v>
      </c>
      <c r="G100" s="729">
        <f>'Recycling - Case 2'!BG110</f>
        <v>5.5351688445270809E-2</v>
      </c>
      <c r="H100" s="729">
        <f>'Recycling - Case 2'!BH110</f>
        <v>0</v>
      </c>
      <c r="I100" s="729">
        <f>'Recycling - Case 2'!BI110</f>
        <v>0</v>
      </c>
      <c r="J100" s="729">
        <f>'Recycling - Case 2'!BJ110</f>
        <v>0</v>
      </c>
      <c r="K100" s="729">
        <f>'Recycling - Case 2'!BK110</f>
        <v>0.46445632006787302</v>
      </c>
      <c r="L100" s="730">
        <f t="shared" si="89"/>
        <v>1</v>
      </c>
      <c r="N100" s="740">
        <f t="shared" si="56"/>
        <v>2897.4481853098064</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0.10759409309808252</v>
      </c>
      <c r="Q100" s="734">
        <f t="shared" si="57"/>
        <v>155.87415489854678</v>
      </c>
      <c r="R100" s="734">
        <f t="shared" si="58"/>
        <v>155.87415489854678</v>
      </c>
      <c r="S100" s="737">
        <f t="shared" si="59"/>
        <v>0</v>
      </c>
      <c r="T100" s="734">
        <f t="shared" si="60"/>
        <v>9811.5797966869195</v>
      </c>
      <c r="U100" s="734">
        <f t="shared" si="61"/>
        <v>495.05861453865066</v>
      </c>
      <c r="V100" s="741">
        <f t="shared" si="62"/>
        <v>330.03907635910042</v>
      </c>
      <c r="X100" s="750">
        <f>'Recycling - Case 2'!AM150</f>
        <v>0</v>
      </c>
      <c r="Y100" s="751">
        <f>Parameters!S235</f>
        <v>0.71500000000000008</v>
      </c>
      <c r="Z100" s="751">
        <f t="shared" si="63"/>
        <v>0.4</v>
      </c>
      <c r="AA100" s="752">
        <f t="shared" si="64"/>
        <v>0</v>
      </c>
      <c r="AB100" s="752">
        <f t="shared" si="65"/>
        <v>0</v>
      </c>
      <c r="AC100" s="753">
        <f t="shared" si="66"/>
        <v>0</v>
      </c>
      <c r="AD100" s="752">
        <f t="shared" si="67"/>
        <v>5953.5739056412995</v>
      </c>
      <c r="AE100" s="752">
        <f t="shared" si="68"/>
        <v>305.24626149791686</v>
      </c>
      <c r="AF100" s="754">
        <f t="shared" si="69"/>
        <v>203.49750766527791</v>
      </c>
      <c r="AH100" s="750">
        <f>'Recycling - Case 2'!AM190</f>
        <v>0</v>
      </c>
      <c r="AI100" s="751">
        <f>Parameters!S235</f>
        <v>0.71500000000000008</v>
      </c>
      <c r="AJ100" s="751">
        <f t="shared" si="70"/>
        <v>0.4</v>
      </c>
      <c r="AK100" s="752">
        <f t="shared" si="71"/>
        <v>0</v>
      </c>
      <c r="AL100" s="752">
        <f t="shared" si="72"/>
        <v>0</v>
      </c>
      <c r="AM100" s="753">
        <f t="shared" si="73"/>
        <v>0</v>
      </c>
      <c r="AN100" s="752">
        <f t="shared" si="74"/>
        <v>5953.5739056412995</v>
      </c>
      <c r="AO100" s="752">
        <f t="shared" si="75"/>
        <v>305.24626149791686</v>
      </c>
      <c r="AP100" s="754">
        <f t="shared" si="76"/>
        <v>203.49750766527791</v>
      </c>
      <c r="AR100" s="901">
        <f>'Recycling - Case 2'!G110</f>
        <v>743.92937810459534</v>
      </c>
      <c r="AS100" s="902">
        <v>1</v>
      </c>
      <c r="AT100" s="902">
        <f t="shared" si="77"/>
        <v>0.05</v>
      </c>
      <c r="AU100" s="903">
        <f t="shared" si="78"/>
        <v>18.598234452614886</v>
      </c>
      <c r="AV100" s="903">
        <f t="shared" si="79"/>
        <v>18.598234452614886</v>
      </c>
      <c r="AW100" s="279">
        <f t="shared" si="80"/>
        <v>0</v>
      </c>
      <c r="AX100" s="903">
        <f t="shared" si="44"/>
        <v>215.79115454714497</v>
      </c>
      <c r="AY100" s="903">
        <f t="shared" si="49"/>
        <v>12.193729181840787</v>
      </c>
      <c r="AZ100" s="904">
        <f t="shared" si="47"/>
        <v>8.1291527878938581</v>
      </c>
      <c r="BB100" s="913">
        <f t="shared" si="81"/>
        <v>330.03907635910042</v>
      </c>
      <c r="BC100" s="914">
        <f t="shared" si="82"/>
        <v>203.49750766527791</v>
      </c>
      <c r="BD100" s="933">
        <f t="shared" si="90"/>
        <v>8.1291527878938581</v>
      </c>
      <c r="BE100" s="914">
        <f t="shared" si="54"/>
        <v>541.66573681227214</v>
      </c>
      <c r="BF100" s="145">
        <v>0</v>
      </c>
      <c r="BG100" s="927">
        <f t="shared" si="83"/>
        <v>541.66573681227214</v>
      </c>
      <c r="BI100" s="913">
        <f t="shared" si="84"/>
        <v>330.03907635910042</v>
      </c>
      <c r="BJ100" s="914">
        <f t="shared" si="85"/>
        <v>203.49750766527791</v>
      </c>
      <c r="BK100" s="933">
        <f t="shared" si="86"/>
        <v>8.1291527878938581</v>
      </c>
      <c r="BL100" s="914">
        <f t="shared" si="55"/>
        <v>541.66573681227214</v>
      </c>
      <c r="BM100" s="145">
        <v>0</v>
      </c>
      <c r="BN100" s="927">
        <f t="shared" si="87"/>
        <v>541.66573681227214</v>
      </c>
    </row>
    <row r="101" spans="1:66">
      <c r="A101" s="805">
        <f>'Input data'!A131</f>
        <v>2031</v>
      </c>
      <c r="B101" s="728">
        <f>'Input data'!B131</f>
        <v>66.757007289602299</v>
      </c>
      <c r="C101" s="728">
        <f>'Recycling - Case 2'!AK111/B101</f>
        <v>289.7737653587709</v>
      </c>
      <c r="D101" s="729">
        <f>'Recycling - Case 2'!AM111</f>
        <v>0.13249950113825337</v>
      </c>
      <c r="E101" s="729">
        <f>'Recycling - Case 2'!BE111</f>
        <v>0.21240232854872365</v>
      </c>
      <c r="F101" s="729">
        <f>'Recycling - Case 2'!BF111</f>
        <v>0.26938361520658582</v>
      </c>
      <c r="G101" s="729">
        <f>'Recycling - Case 2'!BG111</f>
        <v>5.5181956644461475E-2</v>
      </c>
      <c r="H101" s="729">
        <f>'Recycling - Case 2'!BH111</f>
        <v>0</v>
      </c>
      <c r="I101" s="729">
        <f>'Recycling - Case 2'!BI111</f>
        <v>0</v>
      </c>
      <c r="J101" s="729">
        <f>'Recycling - Case 2'!BJ111</f>
        <v>0</v>
      </c>
      <c r="K101" s="729">
        <f>'Recycling - Case 2'!BK111</f>
        <v>0.4630320996002289</v>
      </c>
      <c r="L101" s="730">
        <f t="shared" si="89"/>
        <v>0.99999999999999978</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0.1078098549814103</v>
      </c>
      <c r="Q101" s="734">
        <f t="shared" si="57"/>
        <v>138.16518806752336</v>
      </c>
      <c r="R101" s="734">
        <f t="shared" si="58"/>
        <v>138.16518806752336</v>
      </c>
      <c r="S101" s="737">
        <f t="shared" si="59"/>
        <v>0</v>
      </c>
      <c r="T101" s="734">
        <f t="shared" si="60"/>
        <v>9471.2285915128541</v>
      </c>
      <c r="U101" s="734">
        <f t="shared" si="61"/>
        <v>478.51639324158845</v>
      </c>
      <c r="V101" s="741">
        <f t="shared" si="62"/>
        <v>319.01092882772565</v>
      </c>
      <c r="X101" s="750">
        <f>'Recycling - Case 2'!AM151</f>
        <v>0</v>
      </c>
      <c r="Y101" s="751">
        <f>Parameters!S236</f>
        <v>0.71500000000000008</v>
      </c>
      <c r="Z101" s="751">
        <f t="shared" si="63"/>
        <v>0.4</v>
      </c>
      <c r="AA101" s="752">
        <f t="shared" si="64"/>
        <v>0</v>
      </c>
      <c r="AB101" s="752">
        <f t="shared" si="65"/>
        <v>0</v>
      </c>
      <c r="AC101" s="753">
        <f t="shared" si="66"/>
        <v>0</v>
      </c>
      <c r="AD101" s="752">
        <f t="shared" si="67"/>
        <v>5663.2146799856419</v>
      </c>
      <c r="AE101" s="752">
        <f t="shared" si="68"/>
        <v>290.35922565565795</v>
      </c>
      <c r="AF101" s="754">
        <f t="shared" si="69"/>
        <v>193.57281710377197</v>
      </c>
      <c r="AH101" s="750">
        <f>'Recycling - Case 2'!AM191</f>
        <v>0</v>
      </c>
      <c r="AI101" s="751">
        <f>Parameters!S236</f>
        <v>0.71500000000000008</v>
      </c>
      <c r="AJ101" s="751">
        <f t="shared" si="70"/>
        <v>0.4</v>
      </c>
      <c r="AK101" s="752">
        <f t="shared" si="71"/>
        <v>0</v>
      </c>
      <c r="AL101" s="752">
        <f t="shared" si="72"/>
        <v>0</v>
      </c>
      <c r="AM101" s="753">
        <f t="shared" si="73"/>
        <v>0</v>
      </c>
      <c r="AN101" s="752">
        <f t="shared" si="74"/>
        <v>5663.2146799856419</v>
      </c>
      <c r="AO101" s="752">
        <f t="shared" si="75"/>
        <v>290.35922565565795</v>
      </c>
      <c r="AP101" s="754">
        <f t="shared" si="76"/>
        <v>193.57281710377197</v>
      </c>
      <c r="AR101" s="901">
        <f>'Recycling - Case 2'!G111</f>
        <v>750.37906727770996</v>
      </c>
      <c r="AS101" s="902">
        <v>1</v>
      </c>
      <c r="AT101" s="902">
        <f t="shared" si="77"/>
        <v>0.05</v>
      </c>
      <c r="AU101" s="903">
        <f t="shared" si="78"/>
        <v>18.759476681942751</v>
      </c>
      <c r="AV101" s="903">
        <f t="shared" si="79"/>
        <v>18.759476681942751</v>
      </c>
      <c r="AW101" s="279">
        <f t="shared" si="80"/>
        <v>0</v>
      </c>
      <c r="AX101" s="903">
        <f t="shared" si="44"/>
        <v>221.98393269564127</v>
      </c>
      <c r="AY101" s="903">
        <f t="shared" si="49"/>
        <v>12.566698533446456</v>
      </c>
      <c r="AZ101" s="904">
        <f t="shared" si="47"/>
        <v>8.3777990222976371</v>
      </c>
      <c r="BB101" s="913">
        <f t="shared" si="81"/>
        <v>319.01092882772565</v>
      </c>
      <c r="BC101" s="914">
        <f t="shared" si="82"/>
        <v>193.57281710377197</v>
      </c>
      <c r="BD101" s="933">
        <f t="shared" si="90"/>
        <v>8.3777990222976371</v>
      </c>
      <c r="BE101" s="914">
        <f t="shared" si="54"/>
        <v>520.96154495379517</v>
      </c>
      <c r="BF101" s="145">
        <v>0</v>
      </c>
      <c r="BG101" s="927">
        <f t="shared" si="83"/>
        <v>520.96154495379517</v>
      </c>
      <c r="BI101" s="913">
        <f t="shared" si="84"/>
        <v>319.01092882772565</v>
      </c>
      <c r="BJ101" s="914">
        <f t="shared" si="85"/>
        <v>193.57281710377197</v>
      </c>
      <c r="BK101" s="933">
        <f t="shared" si="86"/>
        <v>8.3777990222976371</v>
      </c>
      <c r="BL101" s="914">
        <f t="shared" si="55"/>
        <v>520.96154495379517</v>
      </c>
      <c r="BM101" s="145">
        <v>0</v>
      </c>
      <c r="BN101" s="927">
        <f t="shared" si="87"/>
        <v>520.96154495379517</v>
      </c>
    </row>
    <row r="102" spans="1:66">
      <c r="A102" s="805">
        <f>'Input data'!A132</f>
        <v>2032</v>
      </c>
      <c r="B102" s="728">
        <f>'Input data'!B132</f>
        <v>67.318270994163854</v>
      </c>
      <c r="C102" s="728">
        <f>'Recycling - Case 2'!AK112/B102</f>
        <v>281.52381458283861</v>
      </c>
      <c r="D102" s="729">
        <f>'Recycling - Case 2'!AM112</f>
        <v>0.11760457979495348</v>
      </c>
      <c r="E102" s="729">
        <f>'Recycling - Case 2'!BE112</f>
        <v>0.21307405864748558</v>
      </c>
      <c r="F102" s="729">
        <f>'Recycling - Case 2'!BF112</f>
        <v>0.27023555069940242</v>
      </c>
      <c r="G102" s="729">
        <f>'Recycling - Case 2'!BG112</f>
        <v>5.5019709311333487E-2</v>
      </c>
      <c r="H102" s="729">
        <f>'Recycling - Case 2'!BH112</f>
        <v>0</v>
      </c>
      <c r="I102" s="729">
        <f>'Recycling - Case 2'!BI112</f>
        <v>0</v>
      </c>
      <c r="J102" s="729">
        <f>'Recycling - Case 2'!BJ112</f>
        <v>0</v>
      </c>
      <c r="K102" s="729">
        <f>'Recycling - Case 2'!BK112</f>
        <v>0.46167068134177863</v>
      </c>
      <c r="L102" s="730">
        <f t="shared" si="89"/>
        <v>1</v>
      </c>
      <c r="N102" s="740">
        <f t="shared" si="56"/>
        <v>2228.8062963921584</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0.10801610266153672</v>
      </c>
      <c r="Q102" s="734">
        <f t="shared" si="57"/>
        <v>120.37348486188741</v>
      </c>
      <c r="R102" s="734">
        <f t="shared" si="58"/>
        <v>120.37348486188741</v>
      </c>
      <c r="S102" s="737">
        <f t="shared" si="59"/>
        <v>0</v>
      </c>
      <c r="T102" s="734">
        <f t="shared" si="60"/>
        <v>9129.6848072813682</v>
      </c>
      <c r="U102" s="734">
        <f t="shared" si="61"/>
        <v>461.9172690933737</v>
      </c>
      <c r="V102" s="741">
        <f t="shared" si="62"/>
        <v>307.94484606224916</v>
      </c>
      <c r="X102" s="750">
        <f>'Recycling - Case 2'!AM152</f>
        <v>0</v>
      </c>
      <c r="Y102" s="751">
        <f>Parameters!S237</f>
        <v>0.71500000000000008</v>
      </c>
      <c r="Z102" s="751">
        <f t="shared" si="63"/>
        <v>0.4</v>
      </c>
      <c r="AA102" s="752">
        <f t="shared" si="64"/>
        <v>0</v>
      </c>
      <c r="AB102" s="752">
        <f t="shared" si="65"/>
        <v>0</v>
      </c>
      <c r="AC102" s="753">
        <f t="shared" si="66"/>
        <v>0</v>
      </c>
      <c r="AD102" s="752">
        <f t="shared" si="67"/>
        <v>5387.016440866737</v>
      </c>
      <c r="AE102" s="752">
        <f t="shared" si="68"/>
        <v>276.19823911890444</v>
      </c>
      <c r="AF102" s="754">
        <f t="shared" si="69"/>
        <v>184.13215941260296</v>
      </c>
      <c r="AH102" s="750">
        <f>'Recycling - Case 2'!AM192</f>
        <v>0</v>
      </c>
      <c r="AI102" s="751">
        <f>Parameters!S237</f>
        <v>0.71500000000000008</v>
      </c>
      <c r="AJ102" s="751">
        <f t="shared" si="70"/>
        <v>0.4</v>
      </c>
      <c r="AK102" s="752">
        <f t="shared" si="71"/>
        <v>0</v>
      </c>
      <c r="AL102" s="752">
        <f t="shared" si="72"/>
        <v>0</v>
      </c>
      <c r="AM102" s="753">
        <f t="shared" si="73"/>
        <v>0</v>
      </c>
      <c r="AN102" s="752">
        <f t="shared" si="74"/>
        <v>5387.016440866737</v>
      </c>
      <c r="AO102" s="752">
        <f t="shared" si="75"/>
        <v>276.19823911890444</v>
      </c>
      <c r="AP102" s="754">
        <f t="shared" si="76"/>
        <v>184.13215941260296</v>
      </c>
      <c r="AR102" s="901">
        <f>'Recycling - Case 2'!G112</f>
        <v>756.68792611104072</v>
      </c>
      <c r="AS102" s="902">
        <v>1</v>
      </c>
      <c r="AT102" s="902">
        <f t="shared" si="77"/>
        <v>0.05</v>
      </c>
      <c r="AU102" s="903">
        <f t="shared" si="78"/>
        <v>18.91719815277602</v>
      </c>
      <c r="AV102" s="903">
        <f t="shared" si="79"/>
        <v>18.91719815277602</v>
      </c>
      <c r="AW102" s="279">
        <f t="shared" si="80"/>
        <v>0</v>
      </c>
      <c r="AX102" s="903">
        <f t="shared" si="44"/>
        <v>227.97379299108388</v>
      </c>
      <c r="AY102" s="903">
        <f t="shared" si="49"/>
        <v>12.927337857333409</v>
      </c>
      <c r="AZ102" s="904">
        <f t="shared" si="47"/>
        <v>8.6182252382222728</v>
      </c>
      <c r="BB102" s="913">
        <f t="shared" si="81"/>
        <v>307.94484606224916</v>
      </c>
      <c r="BC102" s="914">
        <f t="shared" si="82"/>
        <v>184.13215941260296</v>
      </c>
      <c r="BD102" s="933">
        <f t="shared" si="90"/>
        <v>8.6182252382222728</v>
      </c>
      <c r="BE102" s="914">
        <f t="shared" si="54"/>
        <v>500.69523071307441</v>
      </c>
      <c r="BF102" s="145">
        <v>0</v>
      </c>
      <c r="BG102" s="927">
        <f t="shared" si="83"/>
        <v>500.69523071307441</v>
      </c>
      <c r="BI102" s="913">
        <f t="shared" si="84"/>
        <v>307.94484606224916</v>
      </c>
      <c r="BJ102" s="914">
        <f t="shared" si="85"/>
        <v>184.13215941260296</v>
      </c>
      <c r="BK102" s="933">
        <f t="shared" si="86"/>
        <v>8.6182252382222728</v>
      </c>
      <c r="BL102" s="914">
        <f t="shared" si="55"/>
        <v>500.69523071307441</v>
      </c>
      <c r="BM102" s="145">
        <v>0</v>
      </c>
      <c r="BN102" s="927">
        <f t="shared" si="87"/>
        <v>500.69523071307441</v>
      </c>
    </row>
    <row r="103" spans="1:66">
      <c r="A103" s="805">
        <f>'Input data'!A133</f>
        <v>2033</v>
      </c>
      <c r="B103" s="728">
        <f>'Input data'!B133</f>
        <v>67.86660286866902</v>
      </c>
      <c r="C103" s="728">
        <f>'Recycling - Case 2'!AK113/B103</f>
        <v>280.33967009543602</v>
      </c>
      <c r="D103" s="729">
        <f>'Recycling - Case 2'!AM113</f>
        <v>0.11714713111046716</v>
      </c>
      <c r="E103" s="729">
        <f>'Recycling - Case 2'!BE113</f>
        <v>0.21371587076272405</v>
      </c>
      <c r="F103" s="729">
        <f>'Recycling - Case 2'!BF113</f>
        <v>0.27104954209520138</v>
      </c>
      <c r="G103" s="729">
        <f>'Recycling - Case 2'!BG113</f>
        <v>5.4864688263060339E-2</v>
      </c>
      <c r="H103" s="729">
        <f>'Recycling - Case 2'!BH113</f>
        <v>0</v>
      </c>
      <c r="I103" s="729">
        <f>'Recycling - Case 2'!BI113</f>
        <v>0</v>
      </c>
      <c r="J103" s="729">
        <f>'Recycling - Case 2'!BJ113</f>
        <v>0</v>
      </c>
      <c r="K103" s="729">
        <f>'Recycling - Case 2'!BK113</f>
        <v>0.46036989887901436</v>
      </c>
      <c r="L103" s="730">
        <f t="shared" si="89"/>
        <v>1</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0.10821316433867302</v>
      </c>
      <c r="Q103" s="734">
        <f t="shared" si="57"/>
        <v>120.5930910152769</v>
      </c>
      <c r="R103" s="734">
        <f t="shared" si="58"/>
        <v>120.5930910152769</v>
      </c>
      <c r="S103" s="737">
        <f t="shared" si="59"/>
        <v>0</v>
      </c>
      <c r="T103" s="734">
        <f t="shared" si="60"/>
        <v>8805.0179161184442</v>
      </c>
      <c r="U103" s="734">
        <f t="shared" si="61"/>
        <v>445.25998217820018</v>
      </c>
      <c r="V103" s="741">
        <f t="shared" si="62"/>
        <v>296.83998811880014</v>
      </c>
      <c r="X103" s="750">
        <f>'Recycling - Case 2'!AM153</f>
        <v>0</v>
      </c>
      <c r="Y103" s="751">
        <f>Parameters!S238</f>
        <v>0.71500000000000008</v>
      </c>
      <c r="Z103" s="751">
        <f t="shared" si="63"/>
        <v>0.4</v>
      </c>
      <c r="AA103" s="752">
        <f t="shared" si="64"/>
        <v>0</v>
      </c>
      <c r="AB103" s="752">
        <f t="shared" si="65"/>
        <v>0</v>
      </c>
      <c r="AC103" s="753">
        <f t="shared" si="66"/>
        <v>0</v>
      </c>
      <c r="AD103" s="752">
        <f t="shared" si="67"/>
        <v>5124.2885488215506</v>
      </c>
      <c r="AE103" s="752">
        <f t="shared" si="68"/>
        <v>262.72789204518608</v>
      </c>
      <c r="AF103" s="754">
        <f t="shared" si="69"/>
        <v>175.15192803012405</v>
      </c>
      <c r="AH103" s="750">
        <f>'Recycling - Case 2'!AM193</f>
        <v>0</v>
      </c>
      <c r="AI103" s="751">
        <f>Parameters!S238</f>
        <v>0.71500000000000008</v>
      </c>
      <c r="AJ103" s="751">
        <f t="shared" si="70"/>
        <v>0.4</v>
      </c>
      <c r="AK103" s="752">
        <f t="shared" si="71"/>
        <v>0</v>
      </c>
      <c r="AL103" s="752">
        <f t="shared" si="72"/>
        <v>0</v>
      </c>
      <c r="AM103" s="753">
        <f t="shared" si="73"/>
        <v>0</v>
      </c>
      <c r="AN103" s="752">
        <f t="shared" si="74"/>
        <v>5124.2885488215506</v>
      </c>
      <c r="AO103" s="752">
        <f t="shared" si="75"/>
        <v>262.72789204518608</v>
      </c>
      <c r="AP103" s="754">
        <f t="shared" si="76"/>
        <v>175.15192803012405</v>
      </c>
      <c r="AR103" s="901">
        <f>'Recycling - Case 2'!G113</f>
        <v>762.85142530393978</v>
      </c>
      <c r="AS103" s="902">
        <v>1</v>
      </c>
      <c r="AT103" s="902">
        <f t="shared" si="77"/>
        <v>0.05</v>
      </c>
      <c r="AU103" s="903">
        <f t="shared" si="78"/>
        <v>19.071285632598496</v>
      </c>
      <c r="AV103" s="903">
        <f t="shared" si="79"/>
        <v>19.071285632598496</v>
      </c>
      <c r="AW103" s="279">
        <f t="shared" si="80"/>
        <v>0</v>
      </c>
      <c r="AX103" s="903">
        <f t="shared" si="44"/>
        <v>233.76891845827868</v>
      </c>
      <c r="AY103" s="903">
        <f t="shared" si="49"/>
        <v>13.2761601654037</v>
      </c>
      <c r="AZ103" s="904">
        <f t="shared" si="47"/>
        <v>8.850773443602467</v>
      </c>
      <c r="BB103" s="913">
        <f t="shared" si="81"/>
        <v>296.83998811880014</v>
      </c>
      <c r="BC103" s="914">
        <f t="shared" si="82"/>
        <v>175.15192803012405</v>
      </c>
      <c r="BD103" s="933">
        <f t="shared" si="90"/>
        <v>8.850773443602467</v>
      </c>
      <c r="BE103" s="914">
        <f t="shared" si="54"/>
        <v>480.84268959252665</v>
      </c>
      <c r="BF103" s="145">
        <v>0</v>
      </c>
      <c r="BG103" s="927">
        <f t="shared" si="83"/>
        <v>480.84268959252665</v>
      </c>
      <c r="BI103" s="913">
        <f t="shared" si="84"/>
        <v>296.83998811880014</v>
      </c>
      <c r="BJ103" s="914">
        <f t="shared" si="85"/>
        <v>175.15192803012405</v>
      </c>
      <c r="BK103" s="933">
        <f t="shared" si="86"/>
        <v>8.850773443602467</v>
      </c>
      <c r="BL103" s="914">
        <f t="shared" si="55"/>
        <v>480.84268959252665</v>
      </c>
      <c r="BM103" s="145">
        <v>0</v>
      </c>
      <c r="BN103" s="927">
        <f t="shared" si="87"/>
        <v>480.84268959252665</v>
      </c>
    </row>
    <row r="104" spans="1:66">
      <c r="A104" s="805">
        <f>'Input data'!A134</f>
        <v>2034</v>
      </c>
      <c r="B104" s="728">
        <f>'Input data'!B134</f>
        <v>68.401606645337111</v>
      </c>
      <c r="C104" s="728">
        <f>'Recycling - Case 2'!AK114/B104</f>
        <v>279.20336824162263</v>
      </c>
      <c r="D104" s="729">
        <f>'Recycling - Case 2'!AM114</f>
        <v>0.11670390014275267</v>
      </c>
      <c r="E104" s="729">
        <f>'Recycling - Case 2'!BE114</f>
        <v>0.21432877007065254</v>
      </c>
      <c r="F104" s="729">
        <f>'Recycling - Case 2'!BF114</f>
        <v>0.27182686422935831</v>
      </c>
      <c r="G104" s="729">
        <f>'Recycling - Case 2'!BG114</f>
        <v>5.4716650712903409E-2</v>
      </c>
      <c r="H104" s="729">
        <f>'Recycling - Case 2'!BH114</f>
        <v>0</v>
      </c>
      <c r="I104" s="729">
        <f>'Recycling - Case 2'!BI114</f>
        <v>0</v>
      </c>
      <c r="J104" s="729">
        <f>'Recycling - Case 2'!BJ114</f>
        <v>0</v>
      </c>
      <c r="K104" s="729">
        <f>'Recycling - Case 2'!BK114</f>
        <v>0.45912771498708599</v>
      </c>
      <c r="L104" s="730">
        <f t="shared" si="89"/>
        <v>1.0000000000000002</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0.10840134864163092</v>
      </c>
      <c r="Q104" s="734">
        <f t="shared" si="57"/>
        <v>120.80280419493427</v>
      </c>
      <c r="R104" s="734">
        <f t="shared" si="58"/>
        <v>120.80280419493427</v>
      </c>
      <c r="S104" s="737">
        <f t="shared" si="59"/>
        <v>0</v>
      </c>
      <c r="T104" s="734">
        <f t="shared" si="60"/>
        <v>8496.3949292627585</v>
      </c>
      <c r="U104" s="734">
        <f t="shared" si="61"/>
        <v>429.42579105062032</v>
      </c>
      <c r="V104" s="741">
        <f t="shared" si="62"/>
        <v>286.28386070041353</v>
      </c>
      <c r="X104" s="750">
        <f>'Recycling - Case 2'!AM154</f>
        <v>0</v>
      </c>
      <c r="Y104" s="751">
        <f>Parameters!S239</f>
        <v>0.71500000000000008</v>
      </c>
      <c r="Z104" s="751">
        <f t="shared" si="63"/>
        <v>0.4</v>
      </c>
      <c r="AA104" s="752">
        <f t="shared" si="64"/>
        <v>0</v>
      </c>
      <c r="AB104" s="752">
        <f t="shared" si="65"/>
        <v>0</v>
      </c>
      <c r="AC104" s="753">
        <f t="shared" si="66"/>
        <v>0</v>
      </c>
      <c r="AD104" s="752">
        <f t="shared" si="67"/>
        <v>4874.3740472711224</v>
      </c>
      <c r="AE104" s="752">
        <f t="shared" si="68"/>
        <v>249.91450155042804</v>
      </c>
      <c r="AF104" s="754">
        <f t="shared" si="69"/>
        <v>166.60966770028537</v>
      </c>
      <c r="AH104" s="750">
        <f>'Recycling - Case 2'!AM194</f>
        <v>0</v>
      </c>
      <c r="AI104" s="751">
        <f>Parameters!S239</f>
        <v>0.71500000000000008</v>
      </c>
      <c r="AJ104" s="751">
        <f t="shared" si="70"/>
        <v>0.4</v>
      </c>
      <c r="AK104" s="752">
        <f t="shared" si="71"/>
        <v>0</v>
      </c>
      <c r="AL104" s="752">
        <f t="shared" si="72"/>
        <v>0</v>
      </c>
      <c r="AM104" s="753">
        <f t="shared" si="73"/>
        <v>0</v>
      </c>
      <c r="AN104" s="752">
        <f t="shared" si="74"/>
        <v>4874.3740472711224</v>
      </c>
      <c r="AO104" s="752">
        <f t="shared" si="75"/>
        <v>249.91450155042804</v>
      </c>
      <c r="AP104" s="754">
        <f t="shared" si="76"/>
        <v>166.60966770028537</v>
      </c>
      <c r="AR104" s="901">
        <f>'Recycling - Case 2'!G114</f>
        <v>768.86511062666079</v>
      </c>
      <c r="AS104" s="902">
        <v>1</v>
      </c>
      <c r="AT104" s="902">
        <f t="shared" si="77"/>
        <v>0.05</v>
      </c>
      <c r="AU104" s="903">
        <f t="shared" si="78"/>
        <v>19.221627765666522</v>
      </c>
      <c r="AV104" s="903">
        <f t="shared" si="79"/>
        <v>19.221627765666522</v>
      </c>
      <c r="AW104" s="279">
        <f t="shared" si="80"/>
        <v>0</v>
      </c>
      <c r="AX104" s="903">
        <f t="shared" si="44"/>
        <v>239.37690422402159</v>
      </c>
      <c r="AY104" s="903">
        <f t="shared" si="49"/>
        <v>13.613641999923587</v>
      </c>
      <c r="AZ104" s="904">
        <f t="shared" si="47"/>
        <v>9.0757613332823919</v>
      </c>
      <c r="BB104" s="913">
        <f t="shared" si="81"/>
        <v>286.28386070041353</v>
      </c>
      <c r="BC104" s="914">
        <f t="shared" si="82"/>
        <v>166.60966770028537</v>
      </c>
      <c r="BD104" s="933">
        <f t="shared" si="90"/>
        <v>9.0757613332823919</v>
      </c>
      <c r="BE104" s="914">
        <f t="shared" si="54"/>
        <v>461.96928973398127</v>
      </c>
      <c r="BF104" s="145">
        <v>0</v>
      </c>
      <c r="BG104" s="927">
        <f t="shared" si="83"/>
        <v>461.96928973398127</v>
      </c>
      <c r="BI104" s="913">
        <f t="shared" si="84"/>
        <v>286.28386070041353</v>
      </c>
      <c r="BJ104" s="914">
        <f t="shared" si="85"/>
        <v>166.60966770028537</v>
      </c>
      <c r="BK104" s="933">
        <f t="shared" si="86"/>
        <v>9.0757613332823919</v>
      </c>
      <c r="BL104" s="914">
        <f t="shared" si="55"/>
        <v>461.96928973398127</v>
      </c>
      <c r="BM104" s="145">
        <v>0</v>
      </c>
      <c r="BN104" s="927">
        <f t="shared" si="87"/>
        <v>461.96928973398127</v>
      </c>
    </row>
    <row r="105" spans="1:66">
      <c r="A105" s="805">
        <f>'Input data'!A135</f>
        <v>2035</v>
      </c>
      <c r="B105" s="728">
        <f>'Input data'!B135</f>
        <v>68.922893208527455</v>
      </c>
      <c r="C105" s="728">
        <f>'Recycling - Case 2'!AK115/B105</f>
        <v>278.113864363495</v>
      </c>
      <c r="D105" s="729">
        <f>'Recycling - Case 2'!AM115</f>
        <v>0.11627495674850458</v>
      </c>
      <c r="E105" s="729">
        <f>'Recycling - Case 2'!BE115</f>
        <v>0.21491370180582497</v>
      </c>
      <c r="F105" s="729">
        <f>'Recycling - Case 2'!BF115</f>
        <v>0.2725687159150082</v>
      </c>
      <c r="G105" s="729">
        <f>'Recycling - Case 2'!BG115</f>
        <v>5.4575368352222223E-2</v>
      </c>
      <c r="H105" s="729">
        <f>'Recycling - Case 2'!BH115</f>
        <v>0</v>
      </c>
      <c r="I105" s="729">
        <f>'Recycling - Case 2'!BI115</f>
        <v>0</v>
      </c>
      <c r="J105" s="729">
        <f>'Recycling - Case 2'!BJ115</f>
        <v>0</v>
      </c>
      <c r="K105" s="729">
        <f>'Recycling - Case 2'!BK115</f>
        <v>0.45794221392694456</v>
      </c>
      <c r="L105" s="730">
        <f t="shared" si="89"/>
        <v>1</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0.10858094579476429</v>
      </c>
      <c r="Q105" s="734">
        <f t="shared" si="57"/>
        <v>121.00294782779315</v>
      </c>
      <c r="R105" s="734">
        <f t="shared" si="58"/>
        <v>121.00294782779315</v>
      </c>
      <c r="S105" s="737">
        <f t="shared" si="59"/>
        <v>0</v>
      </c>
      <c r="T105" s="734">
        <f t="shared" si="60"/>
        <v>8203.0238067211922</v>
      </c>
      <c r="U105" s="734">
        <f t="shared" si="61"/>
        <v>414.37407036935997</v>
      </c>
      <c r="V105" s="741">
        <f t="shared" si="62"/>
        <v>276.24938024623998</v>
      </c>
      <c r="X105" s="750">
        <f>'Recycling - Case 2'!AM155</f>
        <v>0</v>
      </c>
      <c r="Y105" s="751">
        <f>Parameters!S240</f>
        <v>0.71500000000000008</v>
      </c>
      <c r="Z105" s="751">
        <f t="shared" si="63"/>
        <v>0.4</v>
      </c>
      <c r="AA105" s="752">
        <f t="shared" si="64"/>
        <v>0</v>
      </c>
      <c r="AB105" s="752">
        <f t="shared" si="65"/>
        <v>0</v>
      </c>
      <c r="AC105" s="753">
        <f t="shared" si="66"/>
        <v>0</v>
      </c>
      <c r="AD105" s="752">
        <f t="shared" si="67"/>
        <v>4636.6480197869259</v>
      </c>
      <c r="AE105" s="752">
        <f t="shared" si="68"/>
        <v>237.72602748419646</v>
      </c>
      <c r="AF105" s="754">
        <f t="shared" si="69"/>
        <v>158.48401832279765</v>
      </c>
      <c r="AH105" s="750">
        <f>'Recycling - Case 2'!AM195</f>
        <v>0</v>
      </c>
      <c r="AI105" s="751">
        <f>Parameters!S240</f>
        <v>0.71500000000000008</v>
      </c>
      <c r="AJ105" s="751">
        <f t="shared" si="70"/>
        <v>0.4</v>
      </c>
      <c r="AK105" s="752">
        <f t="shared" si="71"/>
        <v>0</v>
      </c>
      <c r="AL105" s="752">
        <f t="shared" si="72"/>
        <v>0</v>
      </c>
      <c r="AM105" s="753">
        <f t="shared" si="73"/>
        <v>0</v>
      </c>
      <c r="AN105" s="752">
        <f t="shared" si="74"/>
        <v>4636.6480197869259</v>
      </c>
      <c r="AO105" s="752">
        <f t="shared" si="75"/>
        <v>237.72602748419646</v>
      </c>
      <c r="AP105" s="754">
        <f t="shared" si="76"/>
        <v>158.48401832279765</v>
      </c>
      <c r="AR105" s="901">
        <f>'Recycling - Case 2'!G115</f>
        <v>774.72460824275743</v>
      </c>
      <c r="AS105" s="902">
        <v>1</v>
      </c>
      <c r="AT105" s="902">
        <f t="shared" si="77"/>
        <v>0.05</v>
      </c>
      <c r="AU105" s="903">
        <f t="shared" si="78"/>
        <v>19.368115206068936</v>
      </c>
      <c r="AV105" s="903">
        <f t="shared" si="79"/>
        <v>19.368115206068936</v>
      </c>
      <c r="AW105" s="279">
        <f t="shared" si="80"/>
        <v>0</v>
      </c>
      <c r="AX105" s="903">
        <f t="shared" si="44"/>
        <v>244.80479376344601</v>
      </c>
      <c r="AY105" s="903">
        <f t="shared" si="49"/>
        <v>13.940225666644519</v>
      </c>
      <c r="AZ105" s="904">
        <f t="shared" si="47"/>
        <v>9.2934837777630133</v>
      </c>
      <c r="BB105" s="913">
        <f t="shared" si="81"/>
        <v>276.24938024623998</v>
      </c>
      <c r="BC105" s="914">
        <f t="shared" si="82"/>
        <v>158.48401832279765</v>
      </c>
      <c r="BD105" s="933">
        <f t="shared" si="90"/>
        <v>9.2934837777630133</v>
      </c>
      <c r="BE105" s="914">
        <f t="shared" si="54"/>
        <v>444.02688234680062</v>
      </c>
      <c r="BF105" s="145">
        <v>0</v>
      </c>
      <c r="BG105" s="927">
        <f t="shared" si="83"/>
        <v>444.02688234680062</v>
      </c>
      <c r="BI105" s="913">
        <f t="shared" si="84"/>
        <v>276.24938024623998</v>
      </c>
      <c r="BJ105" s="914">
        <f t="shared" si="85"/>
        <v>158.48401832279765</v>
      </c>
      <c r="BK105" s="933">
        <f t="shared" si="86"/>
        <v>9.2934837777630133</v>
      </c>
      <c r="BL105" s="914">
        <f t="shared" si="55"/>
        <v>444.02688234680062</v>
      </c>
      <c r="BM105" s="145">
        <v>0</v>
      </c>
      <c r="BN105" s="927">
        <f t="shared" si="87"/>
        <v>444.02688234680062</v>
      </c>
    </row>
    <row r="106" spans="1:66">
      <c r="A106" s="805">
        <f>'Input data'!A136</f>
        <v>2036</v>
      </c>
      <c r="B106" s="728">
        <f>'Input data'!B136</f>
        <v>69.431445341664755</v>
      </c>
      <c r="C106" s="728">
        <f>'Recycling - Case 2'!AK116/B106</f>
        <v>277.06737814422632</v>
      </c>
      <c r="D106" s="729">
        <f>'Recycling - Case 2'!AM116</f>
        <v>0.11585925323193705</v>
      </c>
      <c r="E106" s="729">
        <f>'Recycling - Case 2'!BE116</f>
        <v>0.2154730406447421</v>
      </c>
      <c r="F106" s="729">
        <f>'Recycling - Case 2'!BF116</f>
        <v>0.27327810888439075</v>
      </c>
      <c r="G106" s="729">
        <f>'Recycling - Case 2'!BG116</f>
        <v>5.4440267609979921E-2</v>
      </c>
      <c r="H106" s="729">
        <f>'Recycling - Case 2'!BH116</f>
        <v>0</v>
      </c>
      <c r="I106" s="729">
        <f>'Recycling - Case 2'!BI116</f>
        <v>0</v>
      </c>
      <c r="J106" s="729">
        <f>'Recycling - Case 2'!BJ116</f>
        <v>0</v>
      </c>
      <c r="K106" s="729">
        <f>'Recycling - Case 2'!BK116</f>
        <v>0.4568085828608871</v>
      </c>
      <c r="L106" s="730">
        <f t="shared" si="89"/>
        <v>0.99999999999999989</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0.10875268491758143</v>
      </c>
      <c r="Q106" s="734">
        <f t="shared" si="57"/>
        <v>121.19433444692901</v>
      </c>
      <c r="R106" s="734">
        <f t="shared" si="58"/>
        <v>121.19433444692901</v>
      </c>
      <c r="S106" s="737">
        <f t="shared" si="59"/>
        <v>0</v>
      </c>
      <c r="T106" s="734">
        <f t="shared" si="60"/>
        <v>7924.1519492799853</v>
      </c>
      <c r="U106" s="734">
        <f t="shared" si="61"/>
        <v>400.06619188813625</v>
      </c>
      <c r="V106" s="741">
        <f t="shared" si="62"/>
        <v>266.71079459209085</v>
      </c>
      <c r="X106" s="750">
        <f>'Recycling - Case 2'!AM156</f>
        <v>358.04783567699775</v>
      </c>
      <c r="Y106" s="751">
        <f>Parameters!S241</f>
        <v>0.71500000000000008</v>
      </c>
      <c r="Z106" s="751">
        <f t="shared" si="63"/>
        <v>0.4</v>
      </c>
      <c r="AA106" s="752">
        <f t="shared" si="64"/>
        <v>51.200840501810688</v>
      </c>
      <c r="AB106" s="752">
        <f t="shared" si="65"/>
        <v>51.200840501810688</v>
      </c>
      <c r="AC106" s="753">
        <f t="shared" si="66"/>
        <v>0</v>
      </c>
      <c r="AD106" s="752">
        <f t="shared" si="67"/>
        <v>4461.7168679761035</v>
      </c>
      <c r="AE106" s="752">
        <f t="shared" si="68"/>
        <v>226.13199231263312</v>
      </c>
      <c r="AF106" s="754">
        <f t="shared" si="69"/>
        <v>150.75466154175541</v>
      </c>
      <c r="AH106" s="750">
        <f>'Recycling - Case 2'!AM196</f>
        <v>358.04783567699775</v>
      </c>
      <c r="AI106" s="751">
        <f>Parameters!S241</f>
        <v>0.71500000000000008</v>
      </c>
      <c r="AJ106" s="751">
        <f t="shared" si="70"/>
        <v>0.4</v>
      </c>
      <c r="AK106" s="752">
        <f t="shared" si="71"/>
        <v>51.200840501810688</v>
      </c>
      <c r="AL106" s="752">
        <f t="shared" si="72"/>
        <v>51.200840501810688</v>
      </c>
      <c r="AM106" s="753">
        <f t="shared" si="73"/>
        <v>0</v>
      </c>
      <c r="AN106" s="752">
        <f t="shared" si="74"/>
        <v>4461.7168679761035</v>
      </c>
      <c r="AO106" s="752">
        <f t="shared" si="75"/>
        <v>226.13199231263312</v>
      </c>
      <c r="AP106" s="754">
        <f t="shared" si="76"/>
        <v>150.75466154175541</v>
      </c>
      <c r="AR106" s="901">
        <f>'Recycling - Case 2'!G116</f>
        <v>780.44096508407279</v>
      </c>
      <c r="AS106" s="902">
        <v>1</v>
      </c>
      <c r="AT106" s="902">
        <f t="shared" si="77"/>
        <v>0.05</v>
      </c>
      <c r="AU106" s="903">
        <f t="shared" si="78"/>
        <v>19.51102412710182</v>
      </c>
      <c r="AV106" s="903">
        <f t="shared" si="79"/>
        <v>19.51102412710182</v>
      </c>
      <c r="AW106" s="279">
        <f t="shared" si="80"/>
        <v>0</v>
      </c>
      <c r="AX106" s="903">
        <f t="shared" si="44"/>
        <v>250.05949654492176</v>
      </c>
      <c r="AY106" s="903">
        <f t="shared" si="49"/>
        <v>14.256321345626079</v>
      </c>
      <c r="AZ106" s="904">
        <f t="shared" si="47"/>
        <v>9.5042142304173858</v>
      </c>
      <c r="BB106" s="913">
        <f t="shared" si="81"/>
        <v>266.71079459209085</v>
      </c>
      <c r="BC106" s="914">
        <f t="shared" si="82"/>
        <v>150.75466154175541</v>
      </c>
      <c r="BD106" s="933">
        <f t="shared" si="90"/>
        <v>9.5042142304173858</v>
      </c>
      <c r="BE106" s="914">
        <f t="shared" si="54"/>
        <v>426.96967036426366</v>
      </c>
      <c r="BF106" s="145">
        <v>0</v>
      </c>
      <c r="BG106" s="927">
        <f t="shared" si="83"/>
        <v>426.96967036426366</v>
      </c>
      <c r="BI106" s="913">
        <f t="shared" si="84"/>
        <v>266.71079459209085</v>
      </c>
      <c r="BJ106" s="914">
        <f t="shared" si="85"/>
        <v>150.75466154175541</v>
      </c>
      <c r="BK106" s="933">
        <f t="shared" si="86"/>
        <v>9.5042142304173858</v>
      </c>
      <c r="BL106" s="914">
        <f t="shared" si="55"/>
        <v>426.96967036426366</v>
      </c>
      <c r="BM106" s="145">
        <v>0</v>
      </c>
      <c r="BN106" s="927">
        <f t="shared" si="87"/>
        <v>426.96967036426366</v>
      </c>
    </row>
    <row r="107" spans="1:66">
      <c r="A107" s="805">
        <f>'Input data'!A137</f>
        <v>2037</v>
      </c>
      <c r="B107" s="728">
        <f>'Input data'!B137</f>
        <v>69.92691944658003</v>
      </c>
      <c r="C107" s="728">
        <f>'Recycling - Case 2'!AK117/B107</f>
        <v>276.06302624969959</v>
      </c>
      <c r="D107" s="729">
        <f>'Recycling - Case 2'!AM117</f>
        <v>0.11545684486454556</v>
      </c>
      <c r="E107" s="729">
        <f>'Recycling - Case 2'!BE117</f>
        <v>0.21600757048859831</v>
      </c>
      <c r="F107" s="729">
        <f>'Recycling - Case 2'!BF117</f>
        <v>0.27395603733629453</v>
      </c>
      <c r="G107" s="729">
        <f>'Recycling - Case 2'!BG117</f>
        <v>5.4311159145430221E-2</v>
      </c>
      <c r="H107" s="729">
        <f>'Recycling - Case 2'!BH117</f>
        <v>0</v>
      </c>
      <c r="I107" s="729">
        <f>'Recycling - Case 2'!BI117</f>
        <v>0</v>
      </c>
      <c r="J107" s="729">
        <f>'Recycling - Case 2'!BJ117</f>
        <v>0</v>
      </c>
      <c r="K107" s="729">
        <f>'Recycling - Case 2'!BK117</f>
        <v>0.45572523302967693</v>
      </c>
      <c r="L107" s="730">
        <f t="shared" si="89"/>
        <v>1</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0.10891680669872074</v>
      </c>
      <c r="Q107" s="734">
        <f t="shared" si="57"/>
        <v>121.3772322765182</v>
      </c>
      <c r="R107" s="734">
        <f t="shared" si="58"/>
        <v>121.3772322765182</v>
      </c>
      <c r="S107" s="737">
        <f t="shared" si="59"/>
        <v>0</v>
      </c>
      <c r="T107" s="734">
        <f t="shared" si="60"/>
        <v>7659.0637306463295</v>
      </c>
      <c r="U107" s="734">
        <f t="shared" si="61"/>
        <v>386.46545091017373</v>
      </c>
      <c r="V107" s="741">
        <f t="shared" si="62"/>
        <v>257.64363394011582</v>
      </c>
      <c r="X107" s="750">
        <f>'Recycling - Case 2'!AM157</f>
        <v>522.8676677445269</v>
      </c>
      <c r="Y107" s="751">
        <f>Parameters!S242</f>
        <v>0.71500000000000008</v>
      </c>
      <c r="Z107" s="751">
        <f t="shared" si="63"/>
        <v>0.4</v>
      </c>
      <c r="AA107" s="752">
        <f t="shared" si="64"/>
        <v>74.770076487467364</v>
      </c>
      <c r="AB107" s="752">
        <f t="shared" si="65"/>
        <v>74.770076487467364</v>
      </c>
      <c r="AC107" s="753">
        <f t="shared" si="66"/>
        <v>0</v>
      </c>
      <c r="AD107" s="752">
        <f t="shared" si="67"/>
        <v>4318.8864450975043</v>
      </c>
      <c r="AE107" s="752">
        <f t="shared" si="68"/>
        <v>217.60049936606634</v>
      </c>
      <c r="AF107" s="754">
        <f t="shared" si="69"/>
        <v>145.06699957737757</v>
      </c>
      <c r="AH107" s="750">
        <f>'Recycling - Case 2'!AM197</f>
        <v>522.8676677445269</v>
      </c>
      <c r="AI107" s="751">
        <f>Parameters!S242</f>
        <v>0.71500000000000008</v>
      </c>
      <c r="AJ107" s="751">
        <f t="shared" si="70"/>
        <v>0.4</v>
      </c>
      <c r="AK107" s="752">
        <f t="shared" si="71"/>
        <v>74.770076487467364</v>
      </c>
      <c r="AL107" s="752">
        <f t="shared" si="72"/>
        <v>74.770076487467364</v>
      </c>
      <c r="AM107" s="753">
        <f t="shared" si="73"/>
        <v>0</v>
      </c>
      <c r="AN107" s="752">
        <f t="shared" si="74"/>
        <v>4318.8864450975043</v>
      </c>
      <c r="AO107" s="752">
        <f t="shared" si="75"/>
        <v>217.60049936606634</v>
      </c>
      <c r="AP107" s="754">
        <f t="shared" si="76"/>
        <v>145.06699957737757</v>
      </c>
      <c r="AR107" s="901">
        <f>'Recycling - Case 2'!G117</f>
        <v>786.01031895120593</v>
      </c>
      <c r="AS107" s="902">
        <v>1</v>
      </c>
      <c r="AT107" s="902">
        <f t="shared" si="77"/>
        <v>0.05</v>
      </c>
      <c r="AU107" s="903">
        <f t="shared" si="78"/>
        <v>19.65025797378015</v>
      </c>
      <c r="AV107" s="903">
        <f t="shared" si="79"/>
        <v>19.65025797378015</v>
      </c>
      <c r="AW107" s="279">
        <f t="shared" si="80"/>
        <v>0</v>
      </c>
      <c r="AX107" s="903">
        <f t="shared" si="44"/>
        <v>255.14742310572046</v>
      </c>
      <c r="AY107" s="903">
        <f t="shared" si="49"/>
        <v>14.562331412981464</v>
      </c>
      <c r="AZ107" s="904">
        <f t="shared" si="47"/>
        <v>9.7082209419876424</v>
      </c>
      <c r="BB107" s="913">
        <f t="shared" si="81"/>
        <v>257.64363394011582</v>
      </c>
      <c r="BC107" s="914">
        <f t="shared" si="82"/>
        <v>145.06699957737757</v>
      </c>
      <c r="BD107" s="933">
        <f t="shared" si="90"/>
        <v>9.7082209419876424</v>
      </c>
      <c r="BE107" s="914">
        <f t="shared" si="54"/>
        <v>412.41885445948105</v>
      </c>
      <c r="BF107" s="145">
        <v>0</v>
      </c>
      <c r="BG107" s="927">
        <f t="shared" si="83"/>
        <v>412.41885445948105</v>
      </c>
      <c r="BI107" s="913">
        <f t="shared" si="84"/>
        <v>257.64363394011582</v>
      </c>
      <c r="BJ107" s="914">
        <f t="shared" si="85"/>
        <v>145.06699957737757</v>
      </c>
      <c r="BK107" s="933">
        <f t="shared" si="86"/>
        <v>9.7082209419876424</v>
      </c>
      <c r="BL107" s="914">
        <f t="shared" si="55"/>
        <v>412.41885445948105</v>
      </c>
      <c r="BM107" s="145">
        <v>0</v>
      </c>
      <c r="BN107" s="927">
        <f t="shared" si="87"/>
        <v>412.41885445948105</v>
      </c>
    </row>
    <row r="108" spans="1:66">
      <c r="A108" s="805">
        <f>'Input data'!A138</f>
        <v>2038</v>
      </c>
      <c r="B108" s="728">
        <f>'Input data'!B138</f>
        <v>70.408978817025954</v>
      </c>
      <c r="C108" s="728">
        <f>'Recycling - Case 2'!AK118/B108</f>
        <v>275.09996670491103</v>
      </c>
      <c r="D108" s="729">
        <f>'Recycling - Case 2'!AM118</f>
        <v>0.11506778218926127</v>
      </c>
      <c r="E108" s="729">
        <f>'Recycling - Case 2'!BE118</f>
        <v>0.21651803019976976</v>
      </c>
      <c r="F108" s="729">
        <f>'Recycling - Case 2'!BF118</f>
        <v>0.2746034383481018</v>
      </c>
      <c r="G108" s="729">
        <f>'Recycling - Case 2'!BG118</f>
        <v>5.418786449634496E-2</v>
      </c>
      <c r="H108" s="729">
        <f>'Recycling - Case 2'!BH118</f>
        <v>0</v>
      </c>
      <c r="I108" s="729">
        <f>'Recycling - Case 2'!BI118</f>
        <v>0</v>
      </c>
      <c r="J108" s="729">
        <f>'Recycling - Case 2'!BJ118</f>
        <v>0</v>
      </c>
      <c r="K108" s="729">
        <f>'Recycling - Case 2'!BK118</f>
        <v>0.45469066695578342</v>
      </c>
      <c r="L108" s="730">
        <f t="shared" si="89"/>
        <v>0.99999999999999989</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0.1090735379981238</v>
      </c>
      <c r="Q108" s="734">
        <f t="shared" si="57"/>
        <v>121.55189412999384</v>
      </c>
      <c r="R108" s="734">
        <f t="shared" si="58"/>
        <v>121.55189412999384</v>
      </c>
      <c r="S108" s="737">
        <f t="shared" si="59"/>
        <v>0</v>
      </c>
      <c r="T108" s="734">
        <f t="shared" si="60"/>
        <v>7407.0786788469941</v>
      </c>
      <c r="U108" s="734">
        <f t="shared" si="61"/>
        <v>373.53694592932976</v>
      </c>
      <c r="V108" s="741">
        <f t="shared" si="62"/>
        <v>249.02463061955316</v>
      </c>
      <c r="X108" s="750">
        <f>'Recycling - Case 2'!AM158</f>
        <v>577.50254352947616</v>
      </c>
      <c r="Y108" s="751">
        <f>Parameters!S243</f>
        <v>0.71500000000000008</v>
      </c>
      <c r="Z108" s="751">
        <f t="shared" si="63"/>
        <v>0.4</v>
      </c>
      <c r="AA108" s="752">
        <f t="shared" si="64"/>
        <v>82.582863724715111</v>
      </c>
      <c r="AB108" s="752">
        <f t="shared" si="65"/>
        <v>82.582863724715111</v>
      </c>
      <c r="AC108" s="753">
        <f t="shared" si="66"/>
        <v>0</v>
      </c>
      <c r="AD108" s="752">
        <f t="shared" si="67"/>
        <v>4190.834731378749</v>
      </c>
      <c r="AE108" s="752">
        <f t="shared" si="68"/>
        <v>210.63457744347068</v>
      </c>
      <c r="AF108" s="754">
        <f t="shared" si="69"/>
        <v>140.42305162898046</v>
      </c>
      <c r="AH108" s="750">
        <f>'Recycling - Case 2'!AM198</f>
        <v>577.50254352947616</v>
      </c>
      <c r="AI108" s="751">
        <f>Parameters!S243</f>
        <v>0.71500000000000008</v>
      </c>
      <c r="AJ108" s="751">
        <f t="shared" si="70"/>
        <v>0.4</v>
      </c>
      <c r="AK108" s="752">
        <f t="shared" si="71"/>
        <v>82.582863724715111</v>
      </c>
      <c r="AL108" s="752">
        <f t="shared" si="72"/>
        <v>82.582863724715111</v>
      </c>
      <c r="AM108" s="753">
        <f t="shared" si="73"/>
        <v>0</v>
      </c>
      <c r="AN108" s="752">
        <f t="shared" si="74"/>
        <v>4190.834731378749</v>
      </c>
      <c r="AO108" s="752">
        <f t="shared" si="75"/>
        <v>210.63457744347068</v>
      </c>
      <c r="AP108" s="754">
        <f t="shared" si="76"/>
        <v>140.42305162898046</v>
      </c>
      <c r="AR108" s="901">
        <f>'Recycling - Case 2'!G118</f>
        <v>791.42888511308411</v>
      </c>
      <c r="AS108" s="902">
        <v>1</v>
      </c>
      <c r="AT108" s="902">
        <f t="shared" si="77"/>
        <v>0.05</v>
      </c>
      <c r="AU108" s="903">
        <f t="shared" si="78"/>
        <v>19.785722127827103</v>
      </c>
      <c r="AV108" s="903">
        <f t="shared" si="79"/>
        <v>19.785722127827103</v>
      </c>
      <c r="AW108" s="279">
        <f t="shared" si="80"/>
        <v>0</v>
      </c>
      <c r="AX108" s="903">
        <f t="shared" si="44"/>
        <v>260.07451604420891</v>
      </c>
      <c r="AY108" s="903">
        <f t="shared" si="49"/>
        <v>14.858629189338666</v>
      </c>
      <c r="AZ108" s="904">
        <f t="shared" si="47"/>
        <v>9.9057527928924447</v>
      </c>
      <c r="BB108" s="913">
        <f t="shared" si="81"/>
        <v>249.02463061955316</v>
      </c>
      <c r="BC108" s="914">
        <f t="shared" si="82"/>
        <v>140.42305162898046</v>
      </c>
      <c r="BD108" s="933">
        <f t="shared" si="90"/>
        <v>9.9057527928924447</v>
      </c>
      <c r="BE108" s="914">
        <f t="shared" si="54"/>
        <v>399.35343504142605</v>
      </c>
      <c r="BF108" s="145">
        <v>0</v>
      </c>
      <c r="BG108" s="927">
        <f t="shared" si="83"/>
        <v>399.35343504142605</v>
      </c>
      <c r="BI108" s="913">
        <f t="shared" si="84"/>
        <v>249.02463061955316</v>
      </c>
      <c r="BJ108" s="914">
        <f t="shared" si="85"/>
        <v>140.42305162898046</v>
      </c>
      <c r="BK108" s="933">
        <f t="shared" si="86"/>
        <v>9.9057527928924447</v>
      </c>
      <c r="BL108" s="914">
        <f t="shared" si="55"/>
        <v>399.35343504142605</v>
      </c>
      <c r="BM108" s="145">
        <v>0</v>
      </c>
      <c r="BN108" s="927">
        <f t="shared" si="87"/>
        <v>399.35343504142605</v>
      </c>
    </row>
    <row r="109" spans="1:66">
      <c r="A109" s="805">
        <f>'Input data'!A139</f>
        <v>2039</v>
      </c>
      <c r="B109" s="728">
        <f>'Input data'!B139</f>
        <v>70.877294017675013</v>
      </c>
      <c r="C109" s="728">
        <f>'Recycling - Case 2'!AK119/B109</f>
        <v>274.17739749232885</v>
      </c>
      <c r="D109" s="729">
        <f>'Recycling - Case 2'!AM119</f>
        <v>0.11469211135108814</v>
      </c>
      <c r="E109" s="729">
        <f>'Recycling - Case 2'!BE119</f>
        <v>0.21700511602566844</v>
      </c>
      <c r="F109" s="729">
        <f>'Recycling - Case 2'!BF119</f>
        <v>0.27522119494989145</v>
      </c>
      <c r="G109" s="729">
        <f>'Recycling - Case 2'!BG119</f>
        <v>5.4070215493565166E-2</v>
      </c>
      <c r="H109" s="729">
        <f>'Recycling - Case 2'!BH119</f>
        <v>0</v>
      </c>
      <c r="I109" s="729">
        <f>'Recycling - Case 2'!BI119</f>
        <v>0</v>
      </c>
      <c r="J109" s="729">
        <f>'Recycling - Case 2'!BJ119</f>
        <v>0</v>
      </c>
      <c r="K109" s="729">
        <f>'Recycling - Case 2'!BK119</f>
        <v>0.45370347353087498</v>
      </c>
      <c r="L109" s="730">
        <f t="shared" si="89"/>
        <v>1</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0.10922309259125462</v>
      </c>
      <c r="Q109" s="734">
        <f t="shared" si="57"/>
        <v>121.71855823940601</v>
      </c>
      <c r="R109" s="734">
        <f t="shared" si="58"/>
        <v>121.71855823940601</v>
      </c>
      <c r="S109" s="737">
        <f t="shared" si="59"/>
        <v>0</v>
      </c>
      <c r="T109" s="734">
        <f t="shared" si="60"/>
        <v>7167.5497471505414</v>
      </c>
      <c r="U109" s="734">
        <f t="shared" si="61"/>
        <v>361.24748993585882</v>
      </c>
      <c r="V109" s="741">
        <f t="shared" si="62"/>
        <v>240.83165995723922</v>
      </c>
      <c r="X109" s="750">
        <f>'Recycling - Case 2'!AM159</f>
        <v>632.99925931262294</v>
      </c>
      <c r="Y109" s="751">
        <f>Parameters!S244</f>
        <v>0.71500000000000008</v>
      </c>
      <c r="Z109" s="751">
        <f t="shared" si="63"/>
        <v>0.4</v>
      </c>
      <c r="AA109" s="752">
        <f t="shared" si="64"/>
        <v>90.518894081705085</v>
      </c>
      <c r="AB109" s="752">
        <f t="shared" si="65"/>
        <v>90.518894081705085</v>
      </c>
      <c r="AC109" s="753">
        <f t="shared" si="66"/>
        <v>0</v>
      </c>
      <c r="AD109" s="752">
        <f t="shared" si="67"/>
        <v>4076.964203788717</v>
      </c>
      <c r="AE109" s="752">
        <f t="shared" si="68"/>
        <v>204.38942167173718</v>
      </c>
      <c r="AF109" s="754">
        <f t="shared" si="69"/>
        <v>136.25961444782479</v>
      </c>
      <c r="AH109" s="750">
        <f>'Recycling - Case 2'!AM199</f>
        <v>632.99925931262294</v>
      </c>
      <c r="AI109" s="751">
        <f>Parameters!S244</f>
        <v>0.71500000000000008</v>
      </c>
      <c r="AJ109" s="751">
        <f t="shared" si="70"/>
        <v>0.4</v>
      </c>
      <c r="AK109" s="752">
        <f t="shared" si="71"/>
        <v>90.518894081705085</v>
      </c>
      <c r="AL109" s="752">
        <f t="shared" si="72"/>
        <v>90.518894081705085</v>
      </c>
      <c r="AM109" s="753">
        <f t="shared" si="73"/>
        <v>0</v>
      </c>
      <c r="AN109" s="752">
        <f t="shared" si="74"/>
        <v>4076.964203788717</v>
      </c>
      <c r="AO109" s="752">
        <f t="shared" si="75"/>
        <v>204.38942167173718</v>
      </c>
      <c r="AP109" s="754">
        <f t="shared" si="76"/>
        <v>136.25961444782479</v>
      </c>
      <c r="AR109" s="901">
        <f>'Recycling - Case 2'!G119</f>
        <v>796.6929605670739</v>
      </c>
      <c r="AS109" s="902">
        <v>1</v>
      </c>
      <c r="AT109" s="902">
        <f t="shared" si="77"/>
        <v>0.05</v>
      </c>
      <c r="AU109" s="903">
        <f t="shared" si="78"/>
        <v>19.917324014176849</v>
      </c>
      <c r="AV109" s="903">
        <f t="shared" si="79"/>
        <v>19.917324014176849</v>
      </c>
      <c r="AW109" s="279">
        <f t="shared" si="80"/>
        <v>0</v>
      </c>
      <c r="AX109" s="903">
        <f t="shared" si="44"/>
        <v>264.84627931370045</v>
      </c>
      <c r="AY109" s="903">
        <f t="shared" si="49"/>
        <v>15.145560744685294</v>
      </c>
      <c r="AZ109" s="904">
        <f t="shared" si="47"/>
        <v>10.097040496456863</v>
      </c>
      <c r="BB109" s="913">
        <f t="shared" si="81"/>
        <v>240.83165995723922</v>
      </c>
      <c r="BC109" s="914">
        <f t="shared" si="82"/>
        <v>136.25961444782479</v>
      </c>
      <c r="BD109" s="933">
        <f t="shared" si="90"/>
        <v>10.097040496456863</v>
      </c>
      <c r="BE109" s="914">
        <f t="shared" si="54"/>
        <v>387.18831490152093</v>
      </c>
      <c r="BF109" s="145">
        <v>0</v>
      </c>
      <c r="BG109" s="927">
        <f t="shared" si="83"/>
        <v>387.18831490152093</v>
      </c>
      <c r="BI109" s="913">
        <f t="shared" si="84"/>
        <v>240.83165995723922</v>
      </c>
      <c r="BJ109" s="914">
        <f t="shared" si="85"/>
        <v>136.25961444782479</v>
      </c>
      <c r="BK109" s="933">
        <f t="shared" si="86"/>
        <v>10.097040496456863</v>
      </c>
      <c r="BL109" s="914">
        <f t="shared" si="55"/>
        <v>387.18831490152093</v>
      </c>
      <c r="BM109" s="145">
        <v>0</v>
      </c>
      <c r="BN109" s="927">
        <f t="shared" si="87"/>
        <v>387.18831490152093</v>
      </c>
    </row>
    <row r="110" spans="1:66">
      <c r="A110" s="805">
        <f>'Input data'!A140</f>
        <v>2040</v>
      </c>
      <c r="B110" s="728">
        <f>'Input data'!B140</f>
        <v>71.331543257193218</v>
      </c>
      <c r="C110" s="728">
        <f>'Recycling - Case 2'!AK120/B110</f>
        <v>273.2945552330429</v>
      </c>
      <c r="D110" s="729">
        <f>'Recycling - Case 2'!AM120</f>
        <v>0.11432987441128371</v>
      </c>
      <c r="E110" s="729">
        <f>'Recycling - Case 2'!BE120</f>
        <v>0.21746948384109469</v>
      </c>
      <c r="F110" s="729">
        <f>'Recycling - Case 2'!BF120</f>
        <v>0.27581013896834855</v>
      </c>
      <c r="G110" s="729">
        <f>'Recycling - Case 2'!BG120</f>
        <v>5.3958053719390879E-2</v>
      </c>
      <c r="H110" s="729">
        <f>'Recycling - Case 2'!BH120</f>
        <v>0</v>
      </c>
      <c r="I110" s="729">
        <f>'Recycling - Case 2'!BI120</f>
        <v>0</v>
      </c>
      <c r="J110" s="729">
        <f>'Recycling - Case 2'!BJ120</f>
        <v>0</v>
      </c>
      <c r="K110" s="729">
        <f>'Recycling - Case 2'!BK120</f>
        <v>0.4527623234711658</v>
      </c>
      <c r="L110" s="730">
        <f t="shared" si="89"/>
        <v>1</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0.10936567185759027</v>
      </c>
      <c r="Q110" s="734">
        <f t="shared" si="57"/>
        <v>121.87744902267794</v>
      </c>
      <c r="R110" s="734">
        <f t="shared" si="58"/>
        <v>121.87744902267794</v>
      </c>
      <c r="S110" s="737">
        <f t="shared" si="59"/>
        <v>0</v>
      </c>
      <c r="T110" s="734">
        <f t="shared" si="60"/>
        <v>6939.8616700849252</v>
      </c>
      <c r="U110" s="734">
        <f t="shared" si="61"/>
        <v>349.56552608829367</v>
      </c>
      <c r="V110" s="741">
        <f t="shared" si="62"/>
        <v>233.04368405886245</v>
      </c>
      <c r="X110" s="750">
        <f>'Recycling - Case 2'!AM160</f>
        <v>689.03159579535554</v>
      </c>
      <c r="Y110" s="751">
        <f>Parameters!S245</f>
        <v>0.71500000000000008</v>
      </c>
      <c r="Z110" s="751">
        <f t="shared" si="63"/>
        <v>0.4</v>
      </c>
      <c r="AA110" s="752">
        <f t="shared" si="64"/>
        <v>98.531518198735853</v>
      </c>
      <c r="AB110" s="752">
        <f t="shared" si="65"/>
        <v>98.531518198735853</v>
      </c>
      <c r="AC110" s="753">
        <f t="shared" si="66"/>
        <v>0</v>
      </c>
      <c r="AD110" s="752">
        <f t="shared" si="67"/>
        <v>3976.6598314786888</v>
      </c>
      <c r="AE110" s="752">
        <f t="shared" si="68"/>
        <v>198.83589050876398</v>
      </c>
      <c r="AF110" s="754">
        <f t="shared" si="69"/>
        <v>132.557260339176</v>
      </c>
      <c r="AH110" s="750">
        <f>'Recycling - Case 2'!AM200</f>
        <v>689.03159579535554</v>
      </c>
      <c r="AI110" s="751">
        <f>Parameters!S245</f>
        <v>0.71500000000000008</v>
      </c>
      <c r="AJ110" s="751">
        <f t="shared" si="70"/>
        <v>0.4</v>
      </c>
      <c r="AK110" s="752">
        <f t="shared" si="71"/>
        <v>98.531518198735853</v>
      </c>
      <c r="AL110" s="752">
        <f t="shared" si="72"/>
        <v>98.531518198735853</v>
      </c>
      <c r="AM110" s="753">
        <f t="shared" si="73"/>
        <v>0</v>
      </c>
      <c r="AN110" s="752">
        <f t="shared" si="74"/>
        <v>3976.6598314786888</v>
      </c>
      <c r="AO110" s="752">
        <f t="shared" si="75"/>
        <v>198.83589050876398</v>
      </c>
      <c r="AP110" s="754">
        <f t="shared" si="76"/>
        <v>132.557260339176</v>
      </c>
      <c r="AR110" s="901">
        <f>'Recycling - Case 2'!G120</f>
        <v>801.79892823249929</v>
      </c>
      <c r="AS110" s="902">
        <v>1</v>
      </c>
      <c r="AT110" s="902">
        <f t="shared" si="77"/>
        <v>0.05</v>
      </c>
      <c r="AU110" s="903">
        <f t="shared" si="78"/>
        <v>20.044973205812482</v>
      </c>
      <c r="AV110" s="903">
        <f t="shared" si="79"/>
        <v>20.044973205812482</v>
      </c>
      <c r="AW110" s="279">
        <f t="shared" si="80"/>
        <v>0</v>
      </c>
      <c r="AX110" s="903">
        <f t="shared" si="44"/>
        <v>269.46780591520326</v>
      </c>
      <c r="AY110" s="903">
        <f t="shared" si="49"/>
        <v>15.423446604309685</v>
      </c>
      <c r="AZ110" s="904">
        <f t="shared" si="47"/>
        <v>10.282297736206457</v>
      </c>
      <c r="BB110" s="913">
        <f t="shared" si="81"/>
        <v>233.04368405886245</v>
      </c>
      <c r="BC110" s="914">
        <f t="shared" si="82"/>
        <v>132.557260339176</v>
      </c>
      <c r="BD110" s="933">
        <f t="shared" si="90"/>
        <v>10.282297736206457</v>
      </c>
      <c r="BE110" s="914">
        <f t="shared" si="54"/>
        <v>375.88324213424488</v>
      </c>
      <c r="BF110" s="145">
        <v>0</v>
      </c>
      <c r="BG110" s="927">
        <f t="shared" si="83"/>
        <v>375.88324213424488</v>
      </c>
      <c r="BI110" s="913">
        <f t="shared" si="84"/>
        <v>233.04368405886245</v>
      </c>
      <c r="BJ110" s="914">
        <f t="shared" si="85"/>
        <v>132.557260339176</v>
      </c>
      <c r="BK110" s="933">
        <f t="shared" si="86"/>
        <v>10.282297736206457</v>
      </c>
      <c r="BL110" s="914">
        <f t="shared" si="55"/>
        <v>375.88324213424488</v>
      </c>
      <c r="BM110" s="145">
        <v>0</v>
      </c>
      <c r="BN110" s="927">
        <f t="shared" si="87"/>
        <v>375.88324213424488</v>
      </c>
    </row>
    <row r="111" spans="1:66">
      <c r="A111" s="805">
        <f>'Input data'!A141</f>
        <v>2041</v>
      </c>
      <c r="B111" s="728">
        <f>'Input data'!B141</f>
        <v>71.772879261991122</v>
      </c>
      <c r="C111" s="728">
        <f>'Recycling - Case 2'!AK121/B111</f>
        <v>272.44791856564967</v>
      </c>
      <c r="D111" s="729">
        <f>'Recycling - Case 2'!AM121</f>
        <v>0.11397995016370784</v>
      </c>
      <c r="E111" s="729">
        <f>'Recycling - Case 2'!BE121</f>
        <v>0.21791321374723086</v>
      </c>
      <c r="F111" s="729">
        <f>'Recycling - Case 2'!BF121</f>
        <v>0.27637290853451557</v>
      </c>
      <c r="G111" s="729">
        <f>'Recycling - Case 2'!BG121</f>
        <v>5.3850876753474941E-2</v>
      </c>
      <c r="H111" s="729">
        <f>'Recycling - Case 2'!BH121</f>
        <v>0</v>
      </c>
      <c r="I111" s="729">
        <f>'Recycling - Case 2'!BI121</f>
        <v>0</v>
      </c>
      <c r="J111" s="729">
        <f>'Recycling - Case 2'!BJ121</f>
        <v>0</v>
      </c>
      <c r="K111" s="729">
        <f>'Recycling - Case 2'!BK121</f>
        <v>0.4518630009647786</v>
      </c>
      <c r="L111" s="730">
        <f t="shared" si="89"/>
        <v>1</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0.10950191447037771</v>
      </c>
      <c r="Q111" s="734">
        <f t="shared" si="57"/>
        <v>122.02927821928672</v>
      </c>
      <c r="R111" s="734">
        <f t="shared" si="58"/>
        <v>122.02927821928672</v>
      </c>
      <c r="S111" s="737">
        <f t="shared" si="59"/>
        <v>0</v>
      </c>
      <c r="T111" s="734">
        <f t="shared" si="60"/>
        <v>6723.4299007687341</v>
      </c>
      <c r="U111" s="734">
        <f t="shared" si="61"/>
        <v>338.46104753547775</v>
      </c>
      <c r="V111" s="741">
        <f t="shared" si="62"/>
        <v>225.64069835698515</v>
      </c>
      <c r="X111" s="750">
        <f>'Recycling - Case 2'!AM161</f>
        <v>698.62863543546598</v>
      </c>
      <c r="Y111" s="751">
        <f>Parameters!S246</f>
        <v>0.71500000000000008</v>
      </c>
      <c r="Z111" s="751">
        <f t="shared" si="63"/>
        <v>0.4</v>
      </c>
      <c r="AA111" s="752">
        <f t="shared" si="64"/>
        <v>99.903894867271646</v>
      </c>
      <c r="AB111" s="752">
        <f t="shared" si="65"/>
        <v>99.903894867271646</v>
      </c>
      <c r="AC111" s="753">
        <f t="shared" si="66"/>
        <v>0</v>
      </c>
      <c r="AD111" s="752">
        <f t="shared" si="67"/>
        <v>3882.619737799851</v>
      </c>
      <c r="AE111" s="752">
        <f t="shared" si="68"/>
        <v>193.94398854610927</v>
      </c>
      <c r="AF111" s="754">
        <f t="shared" si="69"/>
        <v>129.29599236407284</v>
      </c>
      <c r="AH111" s="750">
        <f>'Recycling - Case 2'!AM201</f>
        <v>698.62863543546598</v>
      </c>
      <c r="AI111" s="751">
        <f>Parameters!S246</f>
        <v>0.71500000000000008</v>
      </c>
      <c r="AJ111" s="751">
        <f t="shared" si="70"/>
        <v>0.4</v>
      </c>
      <c r="AK111" s="752">
        <f t="shared" si="71"/>
        <v>99.903894867271646</v>
      </c>
      <c r="AL111" s="752">
        <f t="shared" si="72"/>
        <v>99.903894867271646</v>
      </c>
      <c r="AM111" s="753">
        <f t="shared" si="73"/>
        <v>0</v>
      </c>
      <c r="AN111" s="752">
        <f t="shared" si="74"/>
        <v>3882.619737799851</v>
      </c>
      <c r="AO111" s="752">
        <f t="shared" si="75"/>
        <v>193.94398854610927</v>
      </c>
      <c r="AP111" s="754">
        <f t="shared" si="76"/>
        <v>129.29599236407284</v>
      </c>
      <c r="AR111" s="901">
        <f>'Recycling - Case 2'!G121</f>
        <v>806.75974527751248</v>
      </c>
      <c r="AS111" s="902">
        <v>1</v>
      </c>
      <c r="AT111" s="902">
        <f t="shared" si="77"/>
        <v>0.05</v>
      </c>
      <c r="AU111" s="903">
        <f t="shared" si="78"/>
        <v>20.168993631937813</v>
      </c>
      <c r="AV111" s="903">
        <f t="shared" si="79"/>
        <v>20.168993631937813</v>
      </c>
      <c r="AW111" s="279">
        <f t="shared" si="80"/>
        <v>0</v>
      </c>
      <c r="AX111" s="903">
        <f t="shared" si="44"/>
        <v>273.94421618564007</v>
      </c>
      <c r="AY111" s="903">
        <f t="shared" si="49"/>
        <v>15.692583361501004</v>
      </c>
      <c r="AZ111" s="904">
        <f t="shared" si="47"/>
        <v>10.46172224100067</v>
      </c>
      <c r="BB111" s="913">
        <f t="shared" si="81"/>
        <v>225.64069835698515</v>
      </c>
      <c r="BC111" s="914">
        <f t="shared" si="82"/>
        <v>129.29599236407284</v>
      </c>
      <c r="BD111" s="933">
        <f t="shared" si="90"/>
        <v>10.46172224100067</v>
      </c>
      <c r="BE111" s="914">
        <f t="shared" si="54"/>
        <v>365.39841296205861</v>
      </c>
      <c r="BF111" s="145">
        <v>0</v>
      </c>
      <c r="BG111" s="927">
        <f t="shared" si="83"/>
        <v>365.39841296205861</v>
      </c>
      <c r="BI111" s="913">
        <f t="shared" si="84"/>
        <v>225.64069835698515</v>
      </c>
      <c r="BJ111" s="914">
        <f t="shared" si="85"/>
        <v>129.29599236407284</v>
      </c>
      <c r="BK111" s="933">
        <f t="shared" si="86"/>
        <v>10.46172224100067</v>
      </c>
      <c r="BL111" s="914">
        <f t="shared" si="55"/>
        <v>365.39841296205861</v>
      </c>
      <c r="BM111" s="145">
        <v>0</v>
      </c>
      <c r="BN111" s="927">
        <f t="shared" si="87"/>
        <v>365.39841296205861</v>
      </c>
    </row>
    <row r="112" spans="1:66">
      <c r="A112" s="805">
        <f>'Input data'!A142</f>
        <v>2042</v>
      </c>
      <c r="B112" s="728">
        <f>'Input data'!B142</f>
        <v>72.201023455996193</v>
      </c>
      <c r="C112" s="728">
        <f>'Recycling - Case 2'!AK122/B112</f>
        <v>271.63684971963158</v>
      </c>
      <c r="D112" s="729">
        <f>'Recycling - Case 2'!AM122</f>
        <v>0.11364237124005948</v>
      </c>
      <c r="E112" s="729">
        <f>'Recycling - Case 2'!BE122</f>
        <v>0.21833684518056182</v>
      </c>
      <c r="F112" s="729">
        <f>'Recycling - Case 2'!BF122</f>
        <v>0.27691018779979287</v>
      </c>
      <c r="G112" s="729">
        <f>'Recycling - Case 2'!BG122</f>
        <v>5.3748554302219864E-2</v>
      </c>
      <c r="H112" s="729">
        <f>'Recycling - Case 2'!BH122</f>
        <v>0</v>
      </c>
      <c r="I112" s="729">
        <f>'Recycling - Case 2'!BI122</f>
        <v>0</v>
      </c>
      <c r="J112" s="729">
        <f>'Recycling - Case 2'!BJ122</f>
        <v>0</v>
      </c>
      <c r="K112" s="729">
        <f>'Recycling - Case 2'!BK122</f>
        <v>0.45100441271742558</v>
      </c>
      <c r="L112" s="730">
        <f t="shared" si="89"/>
        <v>1</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0.1096319860579308</v>
      </c>
      <c r="Q112" s="734">
        <f t="shared" si="57"/>
        <v>122.17423040594674</v>
      </c>
      <c r="R112" s="734">
        <f t="shared" si="58"/>
        <v>122.17423040594674</v>
      </c>
      <c r="S112" s="737">
        <f t="shared" si="59"/>
        <v>0</v>
      </c>
      <c r="T112" s="734">
        <f t="shared" si="60"/>
        <v>6517.6985855850826</v>
      </c>
      <c r="U112" s="734">
        <f t="shared" si="61"/>
        <v>327.90554558959843</v>
      </c>
      <c r="V112" s="741">
        <f t="shared" si="62"/>
        <v>218.6036970597323</v>
      </c>
      <c r="X112" s="750">
        <f>'Recycling - Case 2'!AM162</f>
        <v>708.07080308299203</v>
      </c>
      <c r="Y112" s="751">
        <f>Parameters!S247</f>
        <v>0.71500000000000008</v>
      </c>
      <c r="Z112" s="751">
        <f t="shared" si="63"/>
        <v>0.4</v>
      </c>
      <c r="AA112" s="752">
        <f t="shared" si="64"/>
        <v>101.25412484086787</v>
      </c>
      <c r="AB112" s="752">
        <f t="shared" si="65"/>
        <v>101.25412484086787</v>
      </c>
      <c r="AC112" s="753">
        <f t="shared" si="66"/>
        <v>0</v>
      </c>
      <c r="AD112" s="752">
        <f t="shared" si="67"/>
        <v>3794.5162635833335</v>
      </c>
      <c r="AE112" s="752">
        <f t="shared" si="68"/>
        <v>189.35759905738558</v>
      </c>
      <c r="AF112" s="754">
        <f t="shared" si="69"/>
        <v>126.23839937159039</v>
      </c>
      <c r="AH112" s="750">
        <f>'Recycling - Case 2'!AM202</f>
        <v>708.07080308299203</v>
      </c>
      <c r="AI112" s="751">
        <f>Parameters!S247</f>
        <v>0.71500000000000008</v>
      </c>
      <c r="AJ112" s="751">
        <f t="shared" si="70"/>
        <v>0.4</v>
      </c>
      <c r="AK112" s="752">
        <f t="shared" si="71"/>
        <v>101.25412484086787</v>
      </c>
      <c r="AL112" s="752">
        <f t="shared" si="72"/>
        <v>101.25412484086787</v>
      </c>
      <c r="AM112" s="753">
        <f t="shared" si="73"/>
        <v>0</v>
      </c>
      <c r="AN112" s="752">
        <f t="shared" si="74"/>
        <v>3794.5162635833335</v>
      </c>
      <c r="AO112" s="752">
        <f t="shared" si="75"/>
        <v>189.35759905738558</v>
      </c>
      <c r="AP112" s="754">
        <f t="shared" si="76"/>
        <v>126.23839937159039</v>
      </c>
      <c r="AR112" s="901">
        <f>'Recycling - Case 2'!G122</f>
        <v>811.57228038059407</v>
      </c>
      <c r="AS112" s="902">
        <v>1</v>
      </c>
      <c r="AT112" s="902">
        <f t="shared" si="77"/>
        <v>0.05</v>
      </c>
      <c r="AU112" s="903">
        <f t="shared" si="78"/>
        <v>20.289307009514854</v>
      </c>
      <c r="AV112" s="903">
        <f t="shared" si="79"/>
        <v>20.289307009514854</v>
      </c>
      <c r="AW112" s="279">
        <f t="shared" si="80"/>
        <v>0</v>
      </c>
      <c r="AX112" s="903">
        <f t="shared" si="44"/>
        <v>278.28025399368676</v>
      </c>
      <c r="AY112" s="903">
        <f t="shared" si="49"/>
        <v>15.953269201468151</v>
      </c>
      <c r="AZ112" s="904">
        <f t="shared" si="47"/>
        <v>10.635512800978768</v>
      </c>
      <c r="BB112" s="913">
        <f t="shared" si="81"/>
        <v>218.6036970597323</v>
      </c>
      <c r="BC112" s="914">
        <f t="shared" si="82"/>
        <v>126.23839937159039</v>
      </c>
      <c r="BD112" s="933">
        <f t="shared" si="90"/>
        <v>10.635512800978768</v>
      </c>
      <c r="BE112" s="914">
        <f t="shared" si="54"/>
        <v>355.47760923230146</v>
      </c>
      <c r="BF112" s="145">
        <v>0</v>
      </c>
      <c r="BG112" s="927">
        <f t="shared" si="83"/>
        <v>355.47760923230146</v>
      </c>
      <c r="BI112" s="913">
        <f t="shared" si="84"/>
        <v>218.6036970597323</v>
      </c>
      <c r="BJ112" s="914">
        <f t="shared" si="85"/>
        <v>126.23839937159039</v>
      </c>
      <c r="BK112" s="933">
        <f t="shared" si="86"/>
        <v>10.635512800978768</v>
      </c>
      <c r="BL112" s="914">
        <f t="shared" si="55"/>
        <v>355.47760923230146</v>
      </c>
      <c r="BM112" s="145">
        <v>0</v>
      </c>
      <c r="BN112" s="927">
        <f t="shared" si="87"/>
        <v>355.47760923230146</v>
      </c>
    </row>
    <row r="113" spans="1:66">
      <c r="A113" s="805">
        <f>'Input data'!A143</f>
        <v>2043</v>
      </c>
      <c r="B113" s="728">
        <f>'Input data'!B143</f>
        <v>72.615704257339331</v>
      </c>
      <c r="C113" s="728">
        <f>'Recycling - Case 2'!AK123/B113</f>
        <v>270.86074122744975</v>
      </c>
      <c r="D113" s="729">
        <f>'Recycling - Case 2'!AM123</f>
        <v>0.11331716734575663</v>
      </c>
      <c r="E113" s="729">
        <f>'Recycling - Case 2'!BE123</f>
        <v>0.21874088727044277</v>
      </c>
      <c r="F113" s="729">
        <f>'Recycling - Case 2'!BF123</f>
        <v>0.27742262247794092</v>
      </c>
      <c r="G113" s="729">
        <f>'Recycling - Case 2'!BG123</f>
        <v>5.3650963392306059E-2</v>
      </c>
      <c r="H113" s="729">
        <f>'Recycling - Case 2'!BH123</f>
        <v>0</v>
      </c>
      <c r="I113" s="729">
        <f>'Recycling - Case 2'!BI123</f>
        <v>0</v>
      </c>
      <c r="J113" s="729">
        <f>'Recycling - Case 2'!BJ123</f>
        <v>0</v>
      </c>
      <c r="K113" s="729">
        <f>'Recycling - Case 2'!BK123</f>
        <v>0.45018552685931018</v>
      </c>
      <c r="L113" s="730">
        <f t="shared" si="89"/>
        <v>1</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0.10975604294307702</v>
      </c>
      <c r="Q113" s="734">
        <f t="shared" si="57"/>
        <v>122.31247978930909</v>
      </c>
      <c r="R113" s="734">
        <f t="shared" si="58"/>
        <v>122.31247978930909</v>
      </c>
      <c r="S113" s="737">
        <f t="shared" si="59"/>
        <v>0</v>
      </c>
      <c r="T113" s="734">
        <f t="shared" si="60"/>
        <v>6322.1391544245243</v>
      </c>
      <c r="U113" s="734">
        <f t="shared" si="61"/>
        <v>317.87191094986673</v>
      </c>
      <c r="V113" s="741">
        <f t="shared" si="62"/>
        <v>211.91460729991115</v>
      </c>
      <c r="X113" s="750">
        <f>'Recycling - Case 2'!AM163</f>
        <v>717.41540747405691</v>
      </c>
      <c r="Y113" s="751">
        <f>Parameters!S248</f>
        <v>0.71500000000000008</v>
      </c>
      <c r="Z113" s="751">
        <f t="shared" si="63"/>
        <v>0.4</v>
      </c>
      <c r="AA113" s="752">
        <f t="shared" si="64"/>
        <v>102.59040326879015</v>
      </c>
      <c r="AB113" s="752">
        <f t="shared" si="65"/>
        <v>102.59040326879015</v>
      </c>
      <c r="AC113" s="753">
        <f t="shared" si="66"/>
        <v>0</v>
      </c>
      <c r="AD113" s="752">
        <f t="shared" si="67"/>
        <v>3712.0459249357641</v>
      </c>
      <c r="AE113" s="752">
        <f t="shared" si="68"/>
        <v>185.06074191635952</v>
      </c>
      <c r="AF113" s="754">
        <f t="shared" si="69"/>
        <v>123.37382794423968</v>
      </c>
      <c r="AH113" s="750">
        <f>'Recycling - Case 2'!AM203</f>
        <v>717.41540747405691</v>
      </c>
      <c r="AI113" s="751">
        <f>Parameters!S248</f>
        <v>0.71500000000000008</v>
      </c>
      <c r="AJ113" s="751">
        <f t="shared" si="70"/>
        <v>0.4</v>
      </c>
      <c r="AK113" s="752">
        <f t="shared" si="71"/>
        <v>102.59040326879015</v>
      </c>
      <c r="AL113" s="752">
        <f t="shared" si="72"/>
        <v>102.59040326879015</v>
      </c>
      <c r="AM113" s="753">
        <f t="shared" si="73"/>
        <v>0</v>
      </c>
      <c r="AN113" s="752">
        <f t="shared" si="74"/>
        <v>3712.0459249357641</v>
      </c>
      <c r="AO113" s="752">
        <f t="shared" si="75"/>
        <v>185.06074191635952</v>
      </c>
      <c r="AP113" s="754">
        <f t="shared" si="76"/>
        <v>123.37382794423968</v>
      </c>
      <c r="AR113" s="901">
        <f>'Recycling - Case 2'!G123</f>
        <v>816.23348083824715</v>
      </c>
      <c r="AS113" s="902">
        <v>1</v>
      </c>
      <c r="AT113" s="902">
        <f t="shared" si="77"/>
        <v>0.05</v>
      </c>
      <c r="AU113" s="903">
        <f t="shared" si="78"/>
        <v>20.405837020956181</v>
      </c>
      <c r="AV113" s="903">
        <f t="shared" si="79"/>
        <v>20.405837020956181</v>
      </c>
      <c r="AW113" s="279">
        <f t="shared" si="80"/>
        <v>0</v>
      </c>
      <c r="AX113" s="903">
        <f t="shared" si="44"/>
        <v>282.48031062902686</v>
      </c>
      <c r="AY113" s="903">
        <f t="shared" si="49"/>
        <v>16.20578038561608</v>
      </c>
      <c r="AZ113" s="904">
        <f t="shared" si="47"/>
        <v>10.80385359041072</v>
      </c>
      <c r="BB113" s="913">
        <f t="shared" si="81"/>
        <v>211.91460729991115</v>
      </c>
      <c r="BC113" s="914">
        <f t="shared" si="82"/>
        <v>123.37382794423968</v>
      </c>
      <c r="BD113" s="933">
        <f t="shared" si="90"/>
        <v>10.80385359041072</v>
      </c>
      <c r="BE113" s="914">
        <f t="shared" si="54"/>
        <v>346.09228883456154</v>
      </c>
      <c r="BF113" s="145">
        <v>0</v>
      </c>
      <c r="BG113" s="927">
        <f t="shared" si="83"/>
        <v>346.09228883456154</v>
      </c>
      <c r="BI113" s="913">
        <f t="shared" si="84"/>
        <v>211.91460729991115</v>
      </c>
      <c r="BJ113" s="914">
        <f t="shared" si="85"/>
        <v>123.37382794423968</v>
      </c>
      <c r="BK113" s="933">
        <f t="shared" si="86"/>
        <v>10.80385359041072</v>
      </c>
      <c r="BL113" s="914">
        <f t="shared" si="55"/>
        <v>346.09228883456154</v>
      </c>
      <c r="BM113" s="145">
        <v>0</v>
      </c>
      <c r="BN113" s="927">
        <f t="shared" si="87"/>
        <v>346.09228883456154</v>
      </c>
    </row>
    <row r="114" spans="1:66">
      <c r="A114" s="805">
        <f>'Input data'!A144</f>
        <v>2044</v>
      </c>
      <c r="B114" s="728">
        <f>'Input data'!B144</f>
        <v>73.016657364175842</v>
      </c>
      <c r="C114" s="728">
        <f>'Recycling - Case 2'!AK124/B114</f>
        <v>270.11901504083602</v>
      </c>
      <c r="D114" s="729">
        <f>'Recycling - Case 2'!AM124</f>
        <v>0.11300436547688399</v>
      </c>
      <c r="E114" s="729">
        <f>'Recycling - Case 2'!BE124</f>
        <v>0.21912582026254718</v>
      </c>
      <c r="F114" s="729">
        <f>'Recycling - Case 2'!BF124</f>
        <v>0.27791082165039754</v>
      </c>
      <c r="G114" s="729">
        <f>'Recycling - Case 2'!BG124</f>
        <v>5.3557988026877293E-2</v>
      </c>
      <c r="H114" s="729">
        <f>'Recycling - Case 2'!BH124</f>
        <v>0</v>
      </c>
      <c r="I114" s="729">
        <f>'Recycling - Case 2'!BI124</f>
        <v>0</v>
      </c>
      <c r="J114" s="729">
        <f>'Recycling - Case 2'!BJ124</f>
        <v>0</v>
      </c>
      <c r="K114" s="729">
        <f>'Recycling - Case 2'!BK124</f>
        <v>0.44940537006017828</v>
      </c>
      <c r="L114" s="730">
        <f t="shared" si="89"/>
        <v>1.0000000000000002</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0.10987423258021251</v>
      </c>
      <c r="Q114" s="734">
        <f t="shared" si="57"/>
        <v>122.44419069301703</v>
      </c>
      <c r="R114" s="734">
        <f t="shared" si="58"/>
        <v>122.44419069301703</v>
      </c>
      <c r="S114" s="737">
        <f t="shared" si="59"/>
        <v>0</v>
      </c>
      <c r="T114" s="734">
        <f t="shared" si="60"/>
        <v>6136.2489801696884</v>
      </c>
      <c r="U114" s="734">
        <f t="shared" si="61"/>
        <v>308.33436494785332</v>
      </c>
      <c r="V114" s="741">
        <f t="shared" si="62"/>
        <v>205.55624329856889</v>
      </c>
      <c r="X114" s="750">
        <f>'Recycling - Case 2'!AM164</f>
        <v>726.72665827880212</v>
      </c>
      <c r="Y114" s="751">
        <f>Parameters!S249</f>
        <v>0.71500000000000008</v>
      </c>
      <c r="Z114" s="751">
        <f t="shared" si="63"/>
        <v>0.4</v>
      </c>
      <c r="AA114" s="752">
        <f t="shared" si="64"/>
        <v>103.92191213386872</v>
      </c>
      <c r="AB114" s="752">
        <f t="shared" si="65"/>
        <v>103.92191213386872</v>
      </c>
      <c r="AC114" s="753">
        <f t="shared" si="66"/>
        <v>0</v>
      </c>
      <c r="AD114" s="752">
        <f t="shared" si="67"/>
        <v>3634.9292210307362</v>
      </c>
      <c r="AE114" s="752">
        <f t="shared" si="68"/>
        <v>181.03861603889655</v>
      </c>
      <c r="AF114" s="754">
        <f t="shared" si="69"/>
        <v>120.6924106925977</v>
      </c>
      <c r="AH114" s="750">
        <f>'Recycling - Case 2'!AM204</f>
        <v>726.72665827880212</v>
      </c>
      <c r="AI114" s="751">
        <f>Parameters!S249</f>
        <v>0.71500000000000008</v>
      </c>
      <c r="AJ114" s="751">
        <f t="shared" si="70"/>
        <v>0.4</v>
      </c>
      <c r="AK114" s="752">
        <f t="shared" si="71"/>
        <v>103.92191213386872</v>
      </c>
      <c r="AL114" s="752">
        <f t="shared" si="72"/>
        <v>103.92191213386872</v>
      </c>
      <c r="AM114" s="753">
        <f t="shared" si="73"/>
        <v>0</v>
      </c>
      <c r="AN114" s="752">
        <f t="shared" si="74"/>
        <v>3634.9292210307362</v>
      </c>
      <c r="AO114" s="752">
        <f t="shared" si="75"/>
        <v>181.03861603889655</v>
      </c>
      <c r="AP114" s="754">
        <f t="shared" si="76"/>
        <v>120.6924106925977</v>
      </c>
      <c r="AR114" s="901">
        <f>'Recycling - Case 2'!G124</f>
        <v>820.74037577775323</v>
      </c>
      <c r="AS114" s="902">
        <v>1</v>
      </c>
      <c r="AT114" s="902">
        <f t="shared" si="77"/>
        <v>0.05</v>
      </c>
      <c r="AU114" s="903">
        <f t="shared" si="78"/>
        <v>20.518509394443832</v>
      </c>
      <c r="AV114" s="903">
        <f t="shared" si="79"/>
        <v>20.518509394443832</v>
      </c>
      <c r="AW114" s="279">
        <f t="shared" si="80"/>
        <v>0</v>
      </c>
      <c r="AX114" s="903">
        <f t="shared" ref="AX114:AX120" si="91">AV114+(AX113*$E$8)</f>
        <v>286.54844738072296</v>
      </c>
      <c r="AY114" s="903">
        <f t="shared" si="49"/>
        <v>16.450372642747684</v>
      </c>
      <c r="AZ114" s="904">
        <f t="shared" si="47"/>
        <v>10.966915095165122</v>
      </c>
      <c r="BB114" s="913">
        <f t="shared" si="81"/>
        <v>205.55624329856889</v>
      </c>
      <c r="BC114" s="914">
        <f t="shared" si="82"/>
        <v>120.6924106925977</v>
      </c>
      <c r="BD114" s="933">
        <f t="shared" si="90"/>
        <v>10.966915095165122</v>
      </c>
      <c r="BE114" s="914">
        <f t="shared" si="54"/>
        <v>337.2155690863317</v>
      </c>
      <c r="BF114" s="145">
        <v>0</v>
      </c>
      <c r="BG114" s="927">
        <f t="shared" si="83"/>
        <v>337.2155690863317</v>
      </c>
      <c r="BI114" s="913">
        <f t="shared" si="84"/>
        <v>205.55624329856889</v>
      </c>
      <c r="BJ114" s="914">
        <f t="shared" si="85"/>
        <v>120.6924106925977</v>
      </c>
      <c r="BK114" s="933">
        <f t="shared" si="86"/>
        <v>10.966915095165122</v>
      </c>
      <c r="BL114" s="914">
        <f t="shared" si="55"/>
        <v>337.2155690863317</v>
      </c>
      <c r="BM114" s="145">
        <v>0</v>
      </c>
      <c r="BN114" s="927">
        <f t="shared" si="87"/>
        <v>337.2155690863317</v>
      </c>
    </row>
    <row r="115" spans="1:66">
      <c r="A115" s="805">
        <f>'Input data'!A145</f>
        <v>2045</v>
      </c>
      <c r="B115" s="728">
        <f>'Input data'!B145</f>
        <v>73.40362603426334</v>
      </c>
      <c r="C115" s="728">
        <f>'Recycling - Case 2'!AK125/B115</f>
        <v>269.41112169812209</v>
      </c>
      <c r="D115" s="729">
        <f>'Recycling - Case 2'!AM125</f>
        <v>0.11270399012636298</v>
      </c>
      <c r="E115" s="729">
        <f>'Recycling - Case 2'!BE125</f>
        <v>0.21949209684090071</v>
      </c>
      <c r="F115" s="729">
        <f>'Recycling - Case 2'!BF125</f>
        <v>0.2783753594429752</v>
      </c>
      <c r="G115" s="729">
        <f>'Recycling - Case 2'!BG125</f>
        <v>5.3469518866220818E-2</v>
      </c>
      <c r="H115" s="729">
        <f>'Recycling - Case 2'!BH125</f>
        <v>0</v>
      </c>
      <c r="I115" s="729">
        <f>'Recycling - Case 2'!BI125</f>
        <v>0</v>
      </c>
      <c r="J115" s="729">
        <f>'Recycling - Case 2'!BJ125</f>
        <v>0</v>
      </c>
      <c r="K115" s="729">
        <f>'Recycling - Case 2'!BK125</f>
        <v>0.448663024849903</v>
      </c>
      <c r="L115" s="730">
        <f t="shared" si="89"/>
        <v>0.99999999999999978</v>
      </c>
      <c r="N115" s="740">
        <f t="shared" si="56"/>
        <v>2228.8062963921579</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0.10998669396121849</v>
      </c>
      <c r="Q115" s="734">
        <f t="shared" si="57"/>
        <v>122.56951801006055</v>
      </c>
      <c r="R115" s="734">
        <f t="shared" si="58"/>
        <v>122.56951801006055</v>
      </c>
      <c r="S115" s="737">
        <f t="shared" si="59"/>
        <v>0</v>
      </c>
      <c r="T115" s="734">
        <f t="shared" si="60"/>
        <v>5959.5501040099662</v>
      </c>
      <c r="U115" s="734">
        <f t="shared" si="61"/>
        <v>299.26839416978243</v>
      </c>
      <c r="V115" s="741">
        <f t="shared" si="62"/>
        <v>199.51226277985495</v>
      </c>
      <c r="X115" s="750">
        <f>'Recycling - Case 2'!AM165</f>
        <v>736.01775807743343</v>
      </c>
      <c r="Y115" s="751">
        <f>Parameters!S250</f>
        <v>0.71500000000000008</v>
      </c>
      <c r="Z115" s="751">
        <f t="shared" si="63"/>
        <v>0.4</v>
      </c>
      <c r="AA115" s="752">
        <f t="shared" si="64"/>
        <v>105.250539405073</v>
      </c>
      <c r="AB115" s="752">
        <f t="shared" si="65"/>
        <v>105.250539405073</v>
      </c>
      <c r="AC115" s="753">
        <f t="shared" si="66"/>
        <v>0</v>
      </c>
      <c r="AD115" s="752">
        <f t="shared" si="67"/>
        <v>3562.902170426969</v>
      </c>
      <c r="AE115" s="752">
        <f t="shared" si="68"/>
        <v>177.27759000884032</v>
      </c>
      <c r="AF115" s="754">
        <f t="shared" si="69"/>
        <v>118.18506000589355</v>
      </c>
      <c r="AH115" s="750">
        <f>'Recycling - Case 2'!AM205</f>
        <v>736.01775807743343</v>
      </c>
      <c r="AI115" s="751">
        <f>Parameters!S250</f>
        <v>0.71500000000000008</v>
      </c>
      <c r="AJ115" s="751">
        <f t="shared" si="70"/>
        <v>0.4</v>
      </c>
      <c r="AK115" s="752">
        <f t="shared" si="71"/>
        <v>105.250539405073</v>
      </c>
      <c r="AL115" s="752">
        <f t="shared" si="72"/>
        <v>105.250539405073</v>
      </c>
      <c r="AM115" s="753">
        <f t="shared" si="73"/>
        <v>0</v>
      </c>
      <c r="AN115" s="752">
        <f t="shared" si="74"/>
        <v>3562.902170426969</v>
      </c>
      <c r="AO115" s="752">
        <f t="shared" si="75"/>
        <v>177.27759000884032</v>
      </c>
      <c r="AP115" s="754">
        <f t="shared" si="76"/>
        <v>118.18506000589355</v>
      </c>
      <c r="AR115" s="901">
        <f>'Recycling - Case 2'!G125</f>
        <v>825.0900792997561</v>
      </c>
      <c r="AS115" s="902">
        <v>1</v>
      </c>
      <c r="AT115" s="902">
        <f t="shared" si="77"/>
        <v>0.05</v>
      </c>
      <c r="AU115" s="903">
        <f t="shared" si="78"/>
        <v>20.627251982493902</v>
      </c>
      <c r="AV115" s="903">
        <f t="shared" si="79"/>
        <v>20.627251982493902</v>
      </c>
      <c r="AW115" s="279">
        <f t="shared" si="80"/>
        <v>0</v>
      </c>
      <c r="AX115" s="903">
        <f t="shared" si="91"/>
        <v>290.48841687929109</v>
      </c>
      <c r="AY115" s="903">
        <f t="shared" si="49"/>
        <v>16.687282483925763</v>
      </c>
      <c r="AZ115" s="904">
        <f t="shared" si="47"/>
        <v>11.124854989283842</v>
      </c>
      <c r="BB115" s="913">
        <f t="shared" si="81"/>
        <v>199.51226277985495</v>
      </c>
      <c r="BC115" s="914">
        <f t="shared" si="82"/>
        <v>118.18506000589355</v>
      </c>
      <c r="BD115" s="933">
        <f t="shared" si="90"/>
        <v>11.124854989283842</v>
      </c>
      <c r="BE115" s="914">
        <f t="shared" si="54"/>
        <v>328.82217777503234</v>
      </c>
      <c r="BF115" s="145">
        <v>0</v>
      </c>
      <c r="BG115" s="927">
        <f t="shared" si="83"/>
        <v>328.82217777503234</v>
      </c>
      <c r="BI115" s="913">
        <f t="shared" si="84"/>
        <v>199.51226277985495</v>
      </c>
      <c r="BJ115" s="914">
        <f t="shared" si="85"/>
        <v>118.18506000589355</v>
      </c>
      <c r="BK115" s="933">
        <f t="shared" si="86"/>
        <v>11.124854989283842</v>
      </c>
      <c r="BL115" s="914">
        <f t="shared" si="55"/>
        <v>328.82217777503234</v>
      </c>
      <c r="BM115" s="145">
        <v>0</v>
      </c>
      <c r="BN115" s="927">
        <f t="shared" si="87"/>
        <v>328.82217777503234</v>
      </c>
    </row>
    <row r="116" spans="1:66">
      <c r="A116" s="805">
        <f>'Input data'!A146</f>
        <v>2046</v>
      </c>
      <c r="B116" s="728">
        <f>'Input data'!B146</f>
        <v>73.776422042674071</v>
      </c>
      <c r="C116" s="728">
        <f>'Recycling - Case 2'!AK126/B116</f>
        <v>268.7364302867656</v>
      </c>
      <c r="D116" s="729">
        <f>'Recycling - Case 2'!AM126</f>
        <v>0.11241601671401726</v>
      </c>
      <c r="E116" s="729">
        <f>'Recycling - Case 2'!BE126</f>
        <v>0.21984019964575927</v>
      </c>
      <c r="F116" s="729">
        <f>'Recycling - Case 2'!BF126</f>
        <v>0.27881684797409018</v>
      </c>
      <c r="G116" s="729">
        <f>'Recycling - Case 2'!BG126</f>
        <v>5.3385439335101433E-2</v>
      </c>
      <c r="H116" s="729">
        <f>'Recycling - Case 2'!BH126</f>
        <v>0</v>
      </c>
      <c r="I116" s="729">
        <f>'Recycling - Case 2'!BI126</f>
        <v>0</v>
      </c>
      <c r="J116" s="729">
        <f>'Recycling - Case 2'!BJ126</f>
        <v>0</v>
      </c>
      <c r="K116" s="729">
        <f>'Recycling - Case 2'!BK126</f>
        <v>0.44795751304504905</v>
      </c>
      <c r="L116" s="730">
        <f t="shared" si="89"/>
        <v>0.99999999999999989</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0.1100935752757225</v>
      </c>
      <c r="Q116" s="734">
        <f t="shared" si="57"/>
        <v>122.68862688342718</v>
      </c>
      <c r="R116" s="734">
        <f t="shared" si="58"/>
        <v>122.68862688342718</v>
      </c>
      <c r="S116" s="737">
        <f t="shared" si="59"/>
        <v>0</v>
      </c>
      <c r="T116" s="734">
        <f>R116+(T115*$C$8)</f>
        <v>5791.5880426039976</v>
      </c>
      <c r="U116" s="734">
        <f t="shared" si="61"/>
        <v>290.6506882893957</v>
      </c>
      <c r="V116" s="741">
        <f t="shared" si="62"/>
        <v>193.76712552626381</v>
      </c>
      <c r="X116" s="750">
        <f>'Recycling - Case 2'!AM166</f>
        <v>747.73049874675053</v>
      </c>
      <c r="Y116" s="751">
        <f>Parameters!S251</f>
        <v>0.71500000000000008</v>
      </c>
      <c r="Z116" s="751">
        <f t="shared" si="63"/>
        <v>0.4</v>
      </c>
      <c r="AA116" s="752">
        <f t="shared" si="64"/>
        <v>106.92546132078533</v>
      </c>
      <c r="AB116" s="752">
        <f t="shared" si="65"/>
        <v>106.92546132078533</v>
      </c>
      <c r="AC116" s="753">
        <f t="shared" si="66"/>
        <v>0</v>
      </c>
      <c r="AD116" s="752">
        <f t="shared" si="67"/>
        <v>3496.0628424483762</v>
      </c>
      <c r="AE116" s="752">
        <f t="shared" si="68"/>
        <v>173.76478929937838</v>
      </c>
      <c r="AF116" s="754">
        <f t="shared" si="69"/>
        <v>115.84319286625225</v>
      </c>
      <c r="AH116" s="750">
        <f>'Recycling - Case 2'!AM206</f>
        <v>747.73049874675053</v>
      </c>
      <c r="AI116" s="751">
        <f>Parameters!S251</f>
        <v>0.71500000000000008</v>
      </c>
      <c r="AJ116" s="751">
        <f t="shared" si="70"/>
        <v>0.4</v>
      </c>
      <c r="AK116" s="752">
        <f t="shared" si="71"/>
        <v>106.92546132078533</v>
      </c>
      <c r="AL116" s="752">
        <f t="shared" si="72"/>
        <v>106.92546132078533</v>
      </c>
      <c r="AM116" s="753">
        <f t="shared" si="73"/>
        <v>0</v>
      </c>
      <c r="AN116" s="752">
        <f t="shared" si="74"/>
        <v>3496.0628424483762</v>
      </c>
      <c r="AO116" s="752">
        <f t="shared" si="75"/>
        <v>173.76478929937838</v>
      </c>
      <c r="AP116" s="754">
        <f t="shared" si="76"/>
        <v>115.84319286625225</v>
      </c>
      <c r="AR116" s="901">
        <f>'Recycling - Case 2'!G126</f>
        <v>829.28047567062026</v>
      </c>
      <c r="AS116" s="902">
        <v>1</v>
      </c>
      <c r="AT116" s="902">
        <f t="shared" si="77"/>
        <v>0.05</v>
      </c>
      <c r="AU116" s="903">
        <f t="shared" si="78"/>
        <v>20.732011891765509</v>
      </c>
      <c r="AV116" s="903">
        <f t="shared" si="79"/>
        <v>20.732011891765509</v>
      </c>
      <c r="AW116" s="279">
        <f t="shared" si="80"/>
        <v>0</v>
      </c>
      <c r="AX116" s="903">
        <f t="shared" si="91"/>
        <v>294.3037003257179</v>
      </c>
      <c r="AY116" s="903">
        <f t="shared" si="49"/>
        <v>16.916728445338713</v>
      </c>
      <c r="AZ116" s="904">
        <f t="shared" si="47"/>
        <v>11.277818963559142</v>
      </c>
      <c r="BB116" s="913">
        <f t="shared" si="81"/>
        <v>193.76712552626381</v>
      </c>
      <c r="BC116" s="914">
        <f t="shared" si="82"/>
        <v>115.84319286625225</v>
      </c>
      <c r="BD116" s="933">
        <f t="shared" si="90"/>
        <v>11.277818963559142</v>
      </c>
      <c r="BE116" s="914">
        <f t="shared" si="54"/>
        <v>320.88813735607522</v>
      </c>
      <c r="BF116" s="145">
        <v>0</v>
      </c>
      <c r="BG116" s="927">
        <f t="shared" si="83"/>
        <v>320.88813735607522</v>
      </c>
      <c r="BI116" s="913">
        <f t="shared" si="84"/>
        <v>193.76712552626381</v>
      </c>
      <c r="BJ116" s="914">
        <f t="shared" si="85"/>
        <v>115.84319286625225</v>
      </c>
      <c r="BK116" s="933">
        <f t="shared" si="86"/>
        <v>11.277818963559142</v>
      </c>
      <c r="BL116" s="914">
        <f t="shared" si="55"/>
        <v>320.88813735607522</v>
      </c>
      <c r="BM116" s="145">
        <v>0</v>
      </c>
      <c r="BN116" s="927">
        <f t="shared" si="87"/>
        <v>320.88813735607522</v>
      </c>
    </row>
    <row r="117" spans="1:66">
      <c r="A117" s="805">
        <f>'Input data'!A147</f>
        <v>2047</v>
      </c>
      <c r="B117" s="728">
        <f>'Input data'!B147</f>
        <v>74.134805489166112</v>
      </c>
      <c r="C117" s="728">
        <f>'Recycling - Case 2'!AK127/B117</f>
        <v>268.09444786137595</v>
      </c>
      <c r="D117" s="729">
        <f>'Recycling - Case 2'!AM127</f>
        <v>0.11214046524455418</v>
      </c>
      <c r="E117" s="729">
        <f>'Recycling - Case 2'!BE127</f>
        <v>0.22017052853931451</v>
      </c>
      <c r="F117" s="729">
        <f>'Recycling - Case 2'!BF127</f>
        <v>0.27923579437717849</v>
      </c>
      <c r="G117" s="729">
        <f>'Recycling - Case 2'!BG127</f>
        <v>5.3305652852207175E-2</v>
      </c>
      <c r="H117" s="729">
        <f>'Recycling - Case 2'!BH127</f>
        <v>0</v>
      </c>
      <c r="I117" s="729">
        <f>'Recycling - Case 2'!BI127</f>
        <v>0</v>
      </c>
      <c r="J117" s="729">
        <f>'Recycling - Case 2'!BJ127</f>
        <v>0</v>
      </c>
      <c r="K117" s="729">
        <f>'Recycling - Case 2'!BK127</f>
        <v>0.44728802423129987</v>
      </c>
      <c r="L117" s="730">
        <f t="shared" si="89"/>
        <v>1</v>
      </c>
      <c r="N117" s="740">
        <f t="shared" si="56"/>
        <v>2228.8062963921589</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0.11019499929721574</v>
      </c>
      <c r="Q117" s="734">
        <f t="shared" si="57"/>
        <v>122.80165413228198</v>
      </c>
      <c r="R117" s="734">
        <f t="shared" si="58"/>
        <v>122.80165413228198</v>
      </c>
      <c r="S117" s="737">
        <f t="shared" si="59"/>
        <v>0</v>
      </c>
      <c r="T117" s="734">
        <f t="shared" ref="T117:T120" si="92">R117+(T116*$C$8)</f>
        <v>5631.9306148436999</v>
      </c>
      <c r="U117" s="734">
        <f t="shared" si="61"/>
        <v>282.45908189258017</v>
      </c>
      <c r="V117" s="741">
        <f t="shared" si="62"/>
        <v>188.30605459505344</v>
      </c>
      <c r="X117" s="750">
        <f>'Recycling - Case 2'!AM167</f>
        <v>757.44328812635797</v>
      </c>
      <c r="Y117" s="751">
        <f>Parameters!S252</f>
        <v>0.71500000000000008</v>
      </c>
      <c r="Z117" s="751">
        <f t="shared" si="63"/>
        <v>0.4</v>
      </c>
      <c r="AA117" s="752">
        <f t="shared" si="64"/>
        <v>108.31439020206921</v>
      </c>
      <c r="AB117" s="752">
        <f t="shared" si="65"/>
        <v>108.31439020206921</v>
      </c>
      <c r="AC117" s="753">
        <f t="shared" si="66"/>
        <v>0</v>
      </c>
      <c r="AD117" s="752">
        <f t="shared" si="67"/>
        <v>3433.8722358425684</v>
      </c>
      <c r="AE117" s="752">
        <f t="shared" si="68"/>
        <v>170.50499680787689</v>
      </c>
      <c r="AF117" s="754">
        <f t="shared" si="69"/>
        <v>113.66999787191793</v>
      </c>
      <c r="AH117" s="750">
        <f>'Recycling - Case 2'!AM207</f>
        <v>757.44328812635797</v>
      </c>
      <c r="AI117" s="751">
        <f>Parameters!S252</f>
        <v>0.71500000000000008</v>
      </c>
      <c r="AJ117" s="751">
        <f t="shared" si="70"/>
        <v>0.4</v>
      </c>
      <c r="AK117" s="752">
        <f t="shared" si="71"/>
        <v>108.31439020206921</v>
      </c>
      <c r="AL117" s="752">
        <f t="shared" si="72"/>
        <v>108.31439020206921</v>
      </c>
      <c r="AM117" s="753">
        <f t="shared" si="73"/>
        <v>0</v>
      </c>
      <c r="AN117" s="752">
        <f t="shared" si="74"/>
        <v>3433.8722358425684</v>
      </c>
      <c r="AO117" s="752">
        <f t="shared" si="75"/>
        <v>170.50499680787689</v>
      </c>
      <c r="AP117" s="754">
        <f t="shared" si="76"/>
        <v>113.66999787191793</v>
      </c>
      <c r="AR117" s="901">
        <f>'Recycling - Case 2'!G127</f>
        <v>833.30886830272004</v>
      </c>
      <c r="AS117" s="902">
        <v>1</v>
      </c>
      <c r="AT117" s="902">
        <f t="shared" si="77"/>
        <v>0.05</v>
      </c>
      <c r="AU117" s="903">
        <f t="shared" si="78"/>
        <v>20.832721707568002</v>
      </c>
      <c r="AV117" s="903">
        <f t="shared" si="79"/>
        <v>20.832721707568002</v>
      </c>
      <c r="AW117" s="279">
        <f t="shared" si="80"/>
        <v>0</v>
      </c>
      <c r="AX117" s="903">
        <f t="shared" si="91"/>
        <v>297.99750877693623</v>
      </c>
      <c r="AY117" s="903">
        <f t="shared" si="49"/>
        <v>17.138913256349674</v>
      </c>
      <c r="AZ117" s="904">
        <f t="shared" si="47"/>
        <v>11.425942170899782</v>
      </c>
      <c r="BB117" s="913">
        <f t="shared" si="81"/>
        <v>188.30605459505344</v>
      </c>
      <c r="BC117" s="914">
        <f t="shared" si="82"/>
        <v>113.66999787191793</v>
      </c>
      <c r="BD117" s="933">
        <f t="shared" si="90"/>
        <v>11.425942170899782</v>
      </c>
      <c r="BE117" s="914">
        <f t="shared" si="54"/>
        <v>313.40199463787116</v>
      </c>
      <c r="BF117" s="145">
        <v>0</v>
      </c>
      <c r="BG117" s="927">
        <f t="shared" si="83"/>
        <v>313.40199463787116</v>
      </c>
      <c r="BI117" s="913">
        <f t="shared" si="84"/>
        <v>188.30605459505344</v>
      </c>
      <c r="BJ117" s="914">
        <f t="shared" si="85"/>
        <v>113.66999787191793</v>
      </c>
      <c r="BK117" s="933">
        <f t="shared" si="86"/>
        <v>11.425942170899782</v>
      </c>
      <c r="BL117" s="914">
        <f t="shared" si="55"/>
        <v>313.40199463787116</v>
      </c>
      <c r="BM117" s="145">
        <v>0</v>
      </c>
      <c r="BN117" s="927">
        <f t="shared" si="87"/>
        <v>313.40199463787116</v>
      </c>
    </row>
    <row r="118" spans="1:66">
      <c r="A118" s="805">
        <f>'Input data'!A148</f>
        <v>2048</v>
      </c>
      <c r="B118" s="728">
        <f>'Input data'!B148</f>
        <v>74.478544758379343</v>
      </c>
      <c r="C118" s="728">
        <f>'Recycling - Case 2'!AK128/B118</f>
        <v>267.48470767631323</v>
      </c>
      <c r="D118" s="729">
        <f>'Recycling - Case 2'!AM128</f>
        <v>0.11187735378506802</v>
      </c>
      <c r="E118" s="729">
        <f>'Recycling - Case 2'!BE128</f>
        <v>0.22048345939114375</v>
      </c>
      <c r="F118" s="729">
        <f>'Recycling - Case 2'!BF128</f>
        <v>0.27963267535655106</v>
      </c>
      <c r="G118" s="729">
        <f>'Recycling - Case 2'!BG128</f>
        <v>5.3230068631317906E-2</v>
      </c>
      <c r="H118" s="729">
        <f>'Recycling - Case 2'!BH128</f>
        <v>0</v>
      </c>
      <c r="I118" s="729">
        <f>'Recycling - Case 2'!BI128</f>
        <v>0</v>
      </c>
      <c r="J118" s="729">
        <f>'Recycling - Case 2'!BJ128</f>
        <v>0</v>
      </c>
      <c r="K118" s="729">
        <f>'Recycling - Case 2'!BK128</f>
        <v>0.4466537966209872</v>
      </c>
      <c r="L118" s="730">
        <f t="shared" si="89"/>
        <v>0.99999999999999978</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0.11029108143250894</v>
      </c>
      <c r="Q118" s="734">
        <f t="shared" si="57"/>
        <v>122.90872836633811</v>
      </c>
      <c r="R118" s="734">
        <f t="shared" si="58"/>
        <v>122.90872836633811</v>
      </c>
      <c r="S118" s="737">
        <f t="shared" si="59"/>
        <v>0</v>
      </c>
      <c r="T118" s="734">
        <f t="shared" si="92"/>
        <v>5480.1668459520633</v>
      </c>
      <c r="U118" s="734">
        <f t="shared" si="61"/>
        <v>274.67249725797478</v>
      </c>
      <c r="V118" s="741">
        <f t="shared" si="62"/>
        <v>183.11499817198319</v>
      </c>
      <c r="X118" s="750">
        <f>'Recycling - Case 2'!AM168</f>
        <v>766.90331372676269</v>
      </c>
      <c r="Y118" s="751">
        <f>Parameters!S253</f>
        <v>0.71500000000000008</v>
      </c>
      <c r="Z118" s="751">
        <f t="shared" si="63"/>
        <v>0.4</v>
      </c>
      <c r="AA118" s="752">
        <f t="shared" si="64"/>
        <v>109.66717386292707</v>
      </c>
      <c r="AB118" s="752">
        <f t="shared" si="65"/>
        <v>109.66717386292707</v>
      </c>
      <c r="AC118" s="753">
        <f t="shared" si="66"/>
        <v>0</v>
      </c>
      <c r="AD118" s="752">
        <f t="shared" si="67"/>
        <v>3376.0674845724334</v>
      </c>
      <c r="AE118" s="752">
        <f t="shared" si="68"/>
        <v>167.47192513306194</v>
      </c>
      <c r="AF118" s="754">
        <f t="shared" si="69"/>
        <v>111.64795008870796</v>
      </c>
      <c r="AH118" s="750">
        <f>'Recycling - Case 2'!AM208</f>
        <v>766.90331372676269</v>
      </c>
      <c r="AI118" s="751">
        <f>Parameters!S253</f>
        <v>0.71500000000000008</v>
      </c>
      <c r="AJ118" s="751">
        <f t="shared" si="70"/>
        <v>0.4</v>
      </c>
      <c r="AK118" s="752">
        <f t="shared" si="71"/>
        <v>109.66717386292707</v>
      </c>
      <c r="AL118" s="752">
        <f t="shared" si="72"/>
        <v>109.66717386292707</v>
      </c>
      <c r="AM118" s="753">
        <f t="shared" si="73"/>
        <v>0</v>
      </c>
      <c r="AN118" s="752">
        <f t="shared" si="74"/>
        <v>3376.0674845724334</v>
      </c>
      <c r="AO118" s="752">
        <f t="shared" si="75"/>
        <v>167.47192513306194</v>
      </c>
      <c r="AP118" s="754">
        <f t="shared" si="76"/>
        <v>111.64795008870796</v>
      </c>
      <c r="AR118" s="901">
        <f>'Recycling - Case 2'!G128</f>
        <v>837.17265373426267</v>
      </c>
      <c r="AS118" s="902">
        <v>1</v>
      </c>
      <c r="AT118" s="902">
        <f t="shared" si="77"/>
        <v>0.05</v>
      </c>
      <c r="AU118" s="903">
        <f t="shared" si="78"/>
        <v>20.929316343356568</v>
      </c>
      <c r="AV118" s="903">
        <f t="shared" si="79"/>
        <v>20.929316343356568</v>
      </c>
      <c r="AW118" s="279">
        <f t="shared" si="80"/>
        <v>0</v>
      </c>
      <c r="AX118" s="903">
        <f t="shared" si="91"/>
        <v>301.57280120593595</v>
      </c>
      <c r="AY118" s="903">
        <f t="shared" si="49"/>
        <v>17.354023914356816</v>
      </c>
      <c r="AZ118" s="904">
        <f t="shared" si="47"/>
        <v>11.569349276237878</v>
      </c>
      <c r="BB118" s="913">
        <f t="shared" si="81"/>
        <v>183.11499817198319</v>
      </c>
      <c r="BC118" s="914">
        <f t="shared" si="82"/>
        <v>111.64795008870796</v>
      </c>
      <c r="BD118" s="933">
        <f t="shared" si="90"/>
        <v>11.569349276237878</v>
      </c>
      <c r="BE118" s="914">
        <f t="shared" si="54"/>
        <v>306.33229753692899</v>
      </c>
      <c r="BF118" s="145">
        <v>0</v>
      </c>
      <c r="BG118" s="927">
        <f t="shared" si="83"/>
        <v>306.33229753692899</v>
      </c>
      <c r="BI118" s="913">
        <f t="shared" si="84"/>
        <v>183.11499817198319</v>
      </c>
      <c r="BJ118" s="914">
        <f t="shared" si="85"/>
        <v>111.64795008870796</v>
      </c>
      <c r="BK118" s="933">
        <f t="shared" si="86"/>
        <v>11.569349276237878</v>
      </c>
      <c r="BL118" s="914">
        <f t="shared" si="55"/>
        <v>306.33229753692899</v>
      </c>
      <c r="BM118" s="145">
        <v>0</v>
      </c>
      <c r="BN118" s="927">
        <f t="shared" si="87"/>
        <v>306.33229753692899</v>
      </c>
    </row>
    <row r="119" spans="1:66">
      <c r="A119" s="805">
        <f>'Input data'!A149</f>
        <v>2049</v>
      </c>
      <c r="B119" s="728">
        <f>'Input data'!B149</f>
        <v>74.807416768507309</v>
      </c>
      <c r="C119" s="728">
        <f>'Recycling - Case 2'!AK129/B119</f>
        <v>266.90676853894126</v>
      </c>
      <c r="D119" s="729">
        <f>'Recycling - Case 2'!AM129</f>
        <v>0.11162669863033253</v>
      </c>
      <c r="E119" s="729">
        <f>'Recycling - Case 2'!BE129</f>
        <v>0.22077934505271046</v>
      </c>
      <c r="F119" s="729">
        <f>'Recycling - Case 2'!BF129</f>
        <v>0.28000793842332289</v>
      </c>
      <c r="G119" s="729">
        <f>'Recycling - Case 2'!BG129</f>
        <v>5.3158601445928308E-2</v>
      </c>
      <c r="H119" s="729">
        <f>'Recycling - Case 2'!BH129</f>
        <v>0</v>
      </c>
      <c r="I119" s="729">
        <f>'Recycling - Case 2'!BI129</f>
        <v>0</v>
      </c>
      <c r="J119" s="729">
        <f>'Recycling - Case 2'!BJ129</f>
        <v>0</v>
      </c>
      <c r="K119" s="729">
        <f>'Recycling - Case 2'!BK129</f>
        <v>0.44605411507803849</v>
      </c>
      <c r="L119" s="730">
        <f t="shared" si="89"/>
        <v>1.0000000000000002</v>
      </c>
      <c r="N119" s="740">
        <f t="shared" si="56"/>
        <v>2228.8062963921589</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0.11038193002094246</v>
      </c>
      <c r="Q119" s="734">
        <f t="shared" si="57"/>
        <v>123.00997031929761</v>
      </c>
      <c r="R119" s="734">
        <f t="shared" si="58"/>
        <v>123.00997031929761</v>
      </c>
      <c r="S119" s="737">
        <f t="shared" si="59"/>
        <v>0</v>
      </c>
      <c r="T119" s="734">
        <f t="shared" si="92"/>
        <v>5335.9059253621717</v>
      </c>
      <c r="U119" s="734">
        <f t="shared" si="61"/>
        <v>267.27089090918906</v>
      </c>
      <c r="V119" s="741">
        <f t="shared" si="62"/>
        <v>178.18059393945938</v>
      </c>
      <c r="X119" s="750">
        <f>'Recycling - Case 2'!AM169</f>
        <v>776.31215389006582</v>
      </c>
      <c r="Y119" s="751">
        <f>Parameters!S254</f>
        <v>0.71500000000000008</v>
      </c>
      <c r="Z119" s="751">
        <f t="shared" si="63"/>
        <v>0.4</v>
      </c>
      <c r="AA119" s="752">
        <f t="shared" si="64"/>
        <v>111.01263800627943</v>
      </c>
      <c r="AB119" s="752">
        <f t="shared" si="65"/>
        <v>111.01263800627943</v>
      </c>
      <c r="AC119" s="753">
        <f t="shared" si="66"/>
        <v>0</v>
      </c>
      <c r="AD119" s="752">
        <f t="shared" si="67"/>
        <v>3322.4273684316881</v>
      </c>
      <c r="AE119" s="752">
        <f t="shared" si="68"/>
        <v>164.65275414702438</v>
      </c>
      <c r="AF119" s="754">
        <f t="shared" si="69"/>
        <v>109.76850276468292</v>
      </c>
      <c r="AH119" s="750">
        <f>'Recycling - Case 2'!AM209</f>
        <v>776.31215389006582</v>
      </c>
      <c r="AI119" s="751">
        <f>Parameters!S254</f>
        <v>0.71500000000000008</v>
      </c>
      <c r="AJ119" s="751">
        <f t="shared" si="70"/>
        <v>0.4</v>
      </c>
      <c r="AK119" s="752">
        <f t="shared" si="71"/>
        <v>111.01263800627943</v>
      </c>
      <c r="AL119" s="752">
        <f t="shared" si="72"/>
        <v>111.01263800627943</v>
      </c>
      <c r="AM119" s="753">
        <f t="shared" si="73"/>
        <v>0</v>
      </c>
      <c r="AN119" s="752">
        <f t="shared" si="74"/>
        <v>3322.4273684316881</v>
      </c>
      <c r="AO119" s="752">
        <f t="shared" si="75"/>
        <v>164.65275414702438</v>
      </c>
      <c r="AP119" s="754">
        <f t="shared" si="76"/>
        <v>109.76850276468292</v>
      </c>
      <c r="AR119" s="901">
        <f>'Recycling - Case 2'!G129</f>
        <v>840.86932442447198</v>
      </c>
      <c r="AS119" s="902">
        <v>1</v>
      </c>
      <c r="AT119" s="902">
        <f t="shared" si="77"/>
        <v>0.05</v>
      </c>
      <c r="AU119" s="903">
        <f t="shared" si="78"/>
        <v>21.021733110611802</v>
      </c>
      <c r="AV119" s="903">
        <f t="shared" si="79"/>
        <v>21.021733110611802</v>
      </c>
      <c r="AW119" s="279">
        <f t="shared" si="80"/>
        <v>0</v>
      </c>
      <c r="AX119" s="903">
        <f t="shared" si="91"/>
        <v>305.03230158001543</v>
      </c>
      <c r="AY119" s="903">
        <f t="shared" si="49"/>
        <v>17.562232736532319</v>
      </c>
      <c r="AZ119" s="904">
        <f t="shared" si="47"/>
        <v>11.708155157688212</v>
      </c>
      <c r="BB119" s="913">
        <f t="shared" si="81"/>
        <v>178.18059393945938</v>
      </c>
      <c r="BC119" s="914">
        <f t="shared" si="82"/>
        <v>109.76850276468292</v>
      </c>
      <c r="BD119" s="933">
        <f t="shared" si="90"/>
        <v>11.708155157688212</v>
      </c>
      <c r="BE119" s="914">
        <f t="shared" si="54"/>
        <v>299.65725186183056</v>
      </c>
      <c r="BF119" s="145">
        <v>0</v>
      </c>
      <c r="BG119" s="927">
        <f t="shared" si="83"/>
        <v>299.65725186183056</v>
      </c>
      <c r="BI119" s="913">
        <f t="shared" si="84"/>
        <v>178.18059393945938</v>
      </c>
      <c r="BJ119" s="914">
        <f t="shared" si="85"/>
        <v>109.76850276468292</v>
      </c>
      <c r="BK119" s="933">
        <f t="shared" si="86"/>
        <v>11.708155157688212</v>
      </c>
      <c r="BL119" s="914">
        <f t="shared" si="55"/>
        <v>299.65725186183056</v>
      </c>
      <c r="BM119" s="145">
        <v>0</v>
      </c>
      <c r="BN119" s="927">
        <f t="shared" si="87"/>
        <v>299.65725186183056</v>
      </c>
    </row>
    <row r="120" spans="1:66" ht="15.75" thickBot="1">
      <c r="A120" s="806">
        <f>'Input data'!A150</f>
        <v>2050</v>
      </c>
      <c r="B120" s="731">
        <f>'Input data'!B150</f>
        <v>75.121207211856714</v>
      </c>
      <c r="C120" s="731">
        <f>'Recycling - Case 2'!AK130/B120</f>
        <v>266.36021420311141</v>
      </c>
      <c r="D120" s="732">
        <f>'Recycling - Case 2'!AM130</f>
        <v>0.11138851445897341</v>
      </c>
      <c r="E120" s="732">
        <f>'Recycling - Case 2'!BE130</f>
        <v>0.22105851626051959</v>
      </c>
      <c r="F120" s="732">
        <f>'Recycling - Case 2'!BF130</f>
        <v>0.28036200304085801</v>
      </c>
      <c r="G120" s="732">
        <f>'Recycling - Case 2'!BG130</f>
        <v>5.3091171411102367E-2</v>
      </c>
      <c r="H120" s="732">
        <f>'Recycling - Case 2'!BH130</f>
        <v>0</v>
      </c>
      <c r="I120" s="732">
        <f>'Recycling - Case 2'!BI130</f>
        <v>0</v>
      </c>
      <c r="J120" s="732">
        <f>'Recycling - Case 2'!BJ130</f>
        <v>0</v>
      </c>
      <c r="K120" s="732">
        <f>'Recycling - Case 2'!BK130</f>
        <v>0.44548830928752009</v>
      </c>
      <c r="L120" s="733">
        <f t="shared" si="89"/>
        <v>1.0000000000000002</v>
      </c>
      <c r="N120" s="742">
        <f t="shared" si="56"/>
        <v>2228.8062963921584</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0.11046764661169048</v>
      </c>
      <c r="Q120" s="745">
        <f t="shared" si="57"/>
        <v>123.10549315787981</v>
      </c>
      <c r="R120" s="745">
        <f t="shared" si="58"/>
        <v>123.10549315787981</v>
      </c>
      <c r="S120" s="746">
        <f t="shared" si="59"/>
        <v>0</v>
      </c>
      <c r="T120" s="745">
        <f t="shared" si="92"/>
        <v>5198.7762157300886</v>
      </c>
      <c r="U120" s="745">
        <f t="shared" si="61"/>
        <v>260.23520278996324</v>
      </c>
      <c r="V120" s="747">
        <f t="shared" si="62"/>
        <v>173.49013519330882</v>
      </c>
      <c r="X120" s="750">
        <f>'Recycling - Case 2'!AM170</f>
        <v>785.62452171105349</v>
      </c>
      <c r="Y120" s="756">
        <f>Parameters!S255</f>
        <v>0.71500000000000008</v>
      </c>
      <c r="Z120" s="756">
        <f t="shared" si="63"/>
        <v>0.4</v>
      </c>
      <c r="AA120" s="757">
        <f t="shared" si="64"/>
        <v>112.34430660468067</v>
      </c>
      <c r="AB120" s="757">
        <f t="shared" si="65"/>
        <v>112.34430660468067</v>
      </c>
      <c r="AC120" s="758">
        <f t="shared" si="66"/>
        <v>0</v>
      </c>
      <c r="AD120" s="757">
        <f t="shared" si="67"/>
        <v>3272.7349802233771</v>
      </c>
      <c r="AE120" s="757">
        <f t="shared" si="68"/>
        <v>162.0366948129917</v>
      </c>
      <c r="AF120" s="759">
        <f t="shared" si="69"/>
        <v>108.02446320866113</v>
      </c>
      <c r="AH120" s="750">
        <f>'Recycling - Case 2'!AM210</f>
        <v>785.62452171105349</v>
      </c>
      <c r="AI120" s="756">
        <f>Parameters!S255</f>
        <v>0.71500000000000008</v>
      </c>
      <c r="AJ120" s="756">
        <f t="shared" si="70"/>
        <v>0.4</v>
      </c>
      <c r="AK120" s="757">
        <f t="shared" si="71"/>
        <v>112.34430660468067</v>
      </c>
      <c r="AL120" s="757">
        <f t="shared" si="72"/>
        <v>112.34430660468067</v>
      </c>
      <c r="AM120" s="758">
        <f t="shared" si="73"/>
        <v>0</v>
      </c>
      <c r="AN120" s="757">
        <f t="shared" si="74"/>
        <v>3272.7349802233771</v>
      </c>
      <c r="AO120" s="757">
        <f t="shared" si="75"/>
        <v>162.0366948129917</v>
      </c>
      <c r="AP120" s="759">
        <f t="shared" si="76"/>
        <v>108.02446320866113</v>
      </c>
      <c r="AR120" s="905">
        <f>'Recycling - Case 2'!G130</f>
        <v>844.3964714575875</v>
      </c>
      <c r="AS120" s="906">
        <f>Parameters!R221</f>
        <v>1</v>
      </c>
      <c r="AT120" s="906">
        <f t="shared" si="77"/>
        <v>0.05</v>
      </c>
      <c r="AU120" s="907">
        <f t="shared" si="78"/>
        <v>21.109911786439689</v>
      </c>
      <c r="AV120" s="907">
        <f t="shared" si="79"/>
        <v>21.109911786439689</v>
      </c>
      <c r="AW120" s="908">
        <f t="shared" si="80"/>
        <v>0</v>
      </c>
      <c r="AX120" s="907">
        <f t="shared" si="91"/>
        <v>308.3785150120728</v>
      </c>
      <c r="AY120" s="907">
        <f t="shared" si="49"/>
        <v>17.763698354382306</v>
      </c>
      <c r="AZ120" s="909">
        <f t="shared" si="47"/>
        <v>11.842465569588205</v>
      </c>
      <c r="BB120" s="915">
        <f t="shared" si="81"/>
        <v>173.49013519330882</v>
      </c>
      <c r="BC120" s="916">
        <f t="shared" si="82"/>
        <v>108.02446320866113</v>
      </c>
      <c r="BD120" s="934">
        <f t="shared" si="90"/>
        <v>11.842465569588205</v>
      </c>
      <c r="BE120" s="916">
        <f t="shared" si="54"/>
        <v>293.35706397155815</v>
      </c>
      <c r="BF120" s="917">
        <v>0</v>
      </c>
      <c r="BG120" s="928">
        <f t="shared" si="83"/>
        <v>293.35706397155815</v>
      </c>
      <c r="BI120" s="915">
        <f t="shared" si="84"/>
        <v>173.49013519330882</v>
      </c>
      <c r="BJ120" s="916">
        <f t="shared" si="85"/>
        <v>108.02446320866113</v>
      </c>
      <c r="BK120" s="934">
        <f t="shared" si="86"/>
        <v>11.842465569588205</v>
      </c>
      <c r="BL120" s="916">
        <f t="shared" si="55"/>
        <v>293.35706397155815</v>
      </c>
      <c r="BM120" s="917">
        <v>0</v>
      </c>
      <c r="BN120" s="928">
        <f t="shared" si="87"/>
        <v>293.35706397155815</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3:BG13"/>
    <mergeCell ref="BF16:BF17"/>
    <mergeCell ref="BG16:BG17"/>
    <mergeCell ref="BI13:BN13"/>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6.5703125" customWidth="1"/>
    <col min="24" max="24" width="16.7109375"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4.28515625" customWidth="1"/>
    <col min="34" max="34" width="16.7109375"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5" max="55" width="11.140625" customWidth="1"/>
    <col min="56" max="56" width="8.28515625" style="930" customWidth="1"/>
    <col min="57" max="57" width="14.42578125" customWidth="1"/>
    <col min="59" max="59" width="12.28515625" customWidth="1"/>
    <col min="61" max="62" width="11.28515625" customWidth="1"/>
    <col min="63" max="63" width="11.28515625" style="930" customWidth="1"/>
    <col min="64" max="64" width="11.28515625" customWidth="1"/>
    <col min="65" max="65" width="10.710937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75" thickBot="1">
      <c r="A14" s="134" t="s">
        <v>721</v>
      </c>
      <c r="B14" s="142"/>
      <c r="C14" s="142"/>
      <c r="D14" s="607">
        <f>'Waste Summary 2017 SASOW'!$L$26</f>
        <v>6.9875113374971584E-2</v>
      </c>
      <c r="E14" s="123"/>
      <c r="X14" s="1"/>
      <c r="AH14" s="1"/>
    </row>
    <row r="15" spans="1:66" ht="15.75" thickBot="1">
      <c r="N15" s="199" t="s">
        <v>267</v>
      </c>
      <c r="X15" s="2" t="s">
        <v>318</v>
      </c>
      <c r="AH15" s="2" t="s">
        <v>318</v>
      </c>
      <c r="AR15" s="2" t="s">
        <v>320</v>
      </c>
      <c r="BB15" s="1445" t="s">
        <v>319</v>
      </c>
      <c r="BC15" s="1446"/>
      <c r="BD15" s="1446"/>
      <c r="BE15" s="1446"/>
      <c r="BF15" s="1446"/>
      <c r="BG15" s="1447"/>
      <c r="BI15" s="1445" t="s">
        <v>319</v>
      </c>
      <c r="BJ15" s="1446"/>
      <c r="BK15" s="1446"/>
      <c r="BL15" s="1446"/>
      <c r="BM15" s="1446"/>
      <c r="BN15" s="1447"/>
    </row>
    <row r="16" spans="1:66" ht="60">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7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15"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910.07310094199636</v>
      </c>
      <c r="Y89" s="751">
        <f>Parameters!S259</f>
        <v>0.71500000000000008</v>
      </c>
      <c r="Z89" s="751">
        <f t="shared" si="63"/>
        <v>0.4</v>
      </c>
      <c r="AA89" s="752">
        <f t="shared" si="64"/>
        <v>130.14045343470551</v>
      </c>
      <c r="AB89" s="752">
        <f t="shared" si="65"/>
        <v>130.14045343470551</v>
      </c>
      <c r="AC89" s="753">
        <f t="shared" si="66"/>
        <v>0</v>
      </c>
      <c r="AD89" s="752">
        <f t="shared" si="67"/>
        <v>10196.152603802611</v>
      </c>
      <c r="AE89" s="752">
        <f t="shared" si="68"/>
        <v>516.09547908374179</v>
      </c>
      <c r="AF89" s="754">
        <f t="shared" si="69"/>
        <v>344.06365272249451</v>
      </c>
      <c r="AH89" s="750">
        <f>'Recycling - Case 3'!AM179</f>
        <v>910.07310094199636</v>
      </c>
      <c r="AI89" s="751">
        <f>Parameters!S259</f>
        <v>0.71500000000000008</v>
      </c>
      <c r="AJ89" s="751">
        <f t="shared" si="70"/>
        <v>0.4</v>
      </c>
      <c r="AK89" s="752">
        <f t="shared" si="71"/>
        <v>130.14045343470551</v>
      </c>
      <c r="AL89" s="752">
        <f t="shared" si="72"/>
        <v>130.14045343470551</v>
      </c>
      <c r="AM89" s="753">
        <f t="shared" si="73"/>
        <v>0</v>
      </c>
      <c r="AN89" s="752">
        <f t="shared" si="74"/>
        <v>10196.152603802611</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59.308690000000006</v>
      </c>
      <c r="C90" s="728">
        <f>'Recycling - Case 3'!AK100/B90</f>
        <v>397.49323210110077</v>
      </c>
      <c r="D90" s="729">
        <f>'Recycling - Case 3'!AM100</f>
        <v>0.38289463315638228</v>
      </c>
      <c r="E90" s="729">
        <f>'Recycling - Case 3'!BE100</f>
        <v>0.22354491991078579</v>
      </c>
      <c r="F90" s="729">
        <f>'Recycling - Case 3'!BF100</f>
        <v>0.28351543553262054</v>
      </c>
      <c r="G90" s="729">
        <f>'Recycling - Case 3'!BG100</f>
        <v>6.1771817655591317E-2</v>
      </c>
      <c r="H90" s="729">
        <f>'Recycling - Case 3'!BH100</f>
        <v>0</v>
      </c>
      <c r="I90" s="729">
        <f>'Recycling - Case 3'!BI100</f>
        <v>0</v>
      </c>
      <c r="J90" s="729">
        <f>'Recycling - Case 3'!BJ100</f>
        <v>0</v>
      </c>
      <c r="K90" s="729">
        <f>'Recycling - Case 3'!BK100</f>
        <v>0.43116782690100253</v>
      </c>
      <c r="L90" s="730">
        <f t="shared" si="89"/>
        <v>1.0000000000000002</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734">
        <f t="shared" si="57"/>
        <v>411.03219485962427</v>
      </c>
      <c r="R90" s="734">
        <f t="shared" si="58"/>
        <v>411.03219485962427</v>
      </c>
      <c r="S90" s="737">
        <f t="shared" si="59"/>
        <v>0</v>
      </c>
      <c r="T90" s="734">
        <f t="shared" si="60"/>
        <v>13423.417366717862</v>
      </c>
      <c r="U90" s="734">
        <f t="shared" si="61"/>
        <v>667.15925422828968</v>
      </c>
      <c r="V90" s="741">
        <f t="shared" si="62"/>
        <v>444.77283615219312</v>
      </c>
      <c r="X90" s="750">
        <f>'Recycling - Case 3'!AM140</f>
        <v>705.06336976725561</v>
      </c>
      <c r="Y90" s="751">
        <f>Parameters!S260</f>
        <v>0.71500000000000008</v>
      </c>
      <c r="Z90" s="751">
        <f t="shared" si="63"/>
        <v>0.4</v>
      </c>
      <c r="AA90" s="752">
        <f t="shared" si="64"/>
        <v>100.82406187671756</v>
      </c>
      <c r="AB90" s="752">
        <f t="shared" si="65"/>
        <v>100.82406187671756</v>
      </c>
      <c r="AC90" s="753">
        <f t="shared" si="66"/>
        <v>0</v>
      </c>
      <c r="AD90" s="752">
        <f t="shared" si="67"/>
        <v>9799.7044353133315</v>
      </c>
      <c r="AE90" s="752">
        <f t="shared" si="68"/>
        <v>497.27223036599662</v>
      </c>
      <c r="AF90" s="754">
        <f t="shared" si="69"/>
        <v>331.51482024399775</v>
      </c>
      <c r="AH90" s="750">
        <f>'Recycling - Case 3'!AM180</f>
        <v>705.06336976725561</v>
      </c>
      <c r="AI90" s="751">
        <f>Parameters!S260</f>
        <v>0.71500000000000008</v>
      </c>
      <c r="AJ90" s="751">
        <f t="shared" si="70"/>
        <v>0.4</v>
      </c>
      <c r="AK90" s="752">
        <f t="shared" si="71"/>
        <v>100.82406187671756</v>
      </c>
      <c r="AL90" s="752">
        <f t="shared" si="72"/>
        <v>100.82406187671756</v>
      </c>
      <c r="AM90" s="753">
        <f t="shared" si="73"/>
        <v>0</v>
      </c>
      <c r="AN90" s="752">
        <f t="shared" si="74"/>
        <v>9799.7044353133315</v>
      </c>
      <c r="AO90" s="752">
        <f t="shared" si="75"/>
        <v>497.27223036599662</v>
      </c>
      <c r="AP90" s="754">
        <f t="shared" si="76"/>
        <v>331.51482024399775</v>
      </c>
      <c r="AR90" s="740">
        <f>'Recycling - Case 3'!G100</f>
        <v>559.3813349254624</v>
      </c>
      <c r="AS90" s="736">
        <v>1</v>
      </c>
      <c r="AT90" s="736">
        <f t="shared" si="77"/>
        <v>0.05</v>
      </c>
      <c r="AU90" s="734">
        <f t="shared" si="78"/>
        <v>13.984533373136561</v>
      </c>
      <c r="AV90" s="734">
        <f t="shared" si="79"/>
        <v>13.984533373136561</v>
      </c>
      <c r="AW90" s="737">
        <f t="shared" si="80"/>
        <v>0</v>
      </c>
      <c r="AX90" s="734">
        <f t="shared" si="44"/>
        <v>156.85327301283138</v>
      </c>
      <c r="AY90" s="734">
        <f t="shared" si="49"/>
        <v>8.8345094686068517</v>
      </c>
      <c r="AZ90" s="808">
        <f t="shared" si="47"/>
        <v>5.8896729790712348</v>
      </c>
      <c r="BB90" s="913">
        <f t="shared" si="81"/>
        <v>444.77283615219312</v>
      </c>
      <c r="BC90" s="914">
        <f t="shared" si="82"/>
        <v>331.51482024399775</v>
      </c>
      <c r="BD90" s="933">
        <f t="shared" si="90"/>
        <v>5.8896729790712348</v>
      </c>
      <c r="BE90" s="914">
        <f t="shared" si="54"/>
        <v>782.17732937526205</v>
      </c>
      <c r="BF90" s="145">
        <v>0</v>
      </c>
      <c r="BG90" s="927">
        <f t="shared" si="83"/>
        <v>782.17732937526205</v>
      </c>
      <c r="BI90" s="913">
        <f t="shared" si="84"/>
        <v>444.77283615219312</v>
      </c>
      <c r="BJ90" s="914">
        <f t="shared" si="85"/>
        <v>331.51482024399775</v>
      </c>
      <c r="BK90" s="933">
        <f t="shared" si="86"/>
        <v>5.8896729790712348</v>
      </c>
      <c r="BL90" s="914">
        <f t="shared" si="55"/>
        <v>782.17732937526205</v>
      </c>
      <c r="BM90" s="145">
        <v>0</v>
      </c>
      <c r="BN90" s="927">
        <f t="shared" si="87"/>
        <v>782.17732937526205</v>
      </c>
    </row>
    <row r="91" spans="1:73">
      <c r="A91" s="805">
        <f>'Input data'!A121</f>
        <v>2021</v>
      </c>
      <c r="B91" s="728">
        <f>'Input data'!B121</f>
        <v>60.158036186957922</v>
      </c>
      <c r="C91" s="728">
        <f>'Recycling - Case 3'!AK101/B91</f>
        <v>382.24654715425936</v>
      </c>
      <c r="D91" s="729">
        <f>'Recycling - Case 3'!AM101</f>
        <v>0.31500573833716877</v>
      </c>
      <c r="E91" s="729">
        <f>'Recycling - Case 3'!BE101</f>
        <v>0.19734832282227849</v>
      </c>
      <c r="F91" s="729">
        <f>'Recycling - Case 3'!BF101</f>
        <v>0.25029106328571465</v>
      </c>
      <c r="G91" s="729">
        <f>'Recycling - Case 3'!BG101</f>
        <v>6.8380506709101077E-2</v>
      </c>
      <c r="H91" s="729">
        <f>'Recycling - Case 3'!BH101</f>
        <v>0</v>
      </c>
      <c r="I91" s="729">
        <f>'Recycling - Case 3'!BI101</f>
        <v>0</v>
      </c>
      <c r="J91" s="729">
        <f>'Recycling - Case 3'!BJ101</f>
        <v>0</v>
      </c>
      <c r="K91" s="729">
        <f>'Recycling - Case 3'!BK101</f>
        <v>0.48398010718290579</v>
      </c>
      <c r="L91" s="730">
        <f t="shared" si="89"/>
        <v>1</v>
      </c>
      <c r="N91" s="740">
        <f t="shared" si="56"/>
        <v>7243.6204632745166</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0.10701266376412513</v>
      </c>
      <c r="Q91" s="734">
        <f t="shared" si="57"/>
        <v>315.13199652784539</v>
      </c>
      <c r="R91" s="734">
        <f t="shared" si="58"/>
        <v>315.13199652784539</v>
      </c>
      <c r="S91" s="737">
        <f t="shared" si="59"/>
        <v>0</v>
      </c>
      <c r="T91" s="734">
        <f t="shared" si="60"/>
        <v>13083.881573103767</v>
      </c>
      <c r="U91" s="734">
        <f t="shared" si="61"/>
        <v>654.66779014194015</v>
      </c>
      <c r="V91" s="741">
        <f t="shared" si="62"/>
        <v>436.44519342796008</v>
      </c>
      <c r="X91" s="750">
        <f>'Recycling - Case 3'!AM141</f>
        <v>106.96009198147247</v>
      </c>
      <c r="Y91" s="751">
        <f>Parameters!S261</f>
        <v>0.71500000000000008</v>
      </c>
      <c r="Z91" s="751">
        <f t="shared" si="63"/>
        <v>0.4</v>
      </c>
      <c r="AA91" s="752">
        <f t="shared" si="64"/>
        <v>15.295293153350567</v>
      </c>
      <c r="AB91" s="752">
        <f t="shared" si="65"/>
        <v>15.295293153350567</v>
      </c>
      <c r="AC91" s="753">
        <f t="shared" si="66"/>
        <v>0</v>
      </c>
      <c r="AD91" s="752">
        <f t="shared" si="67"/>
        <v>9337.0625034335462</v>
      </c>
      <c r="AE91" s="752">
        <f t="shared" si="68"/>
        <v>477.93722503313654</v>
      </c>
      <c r="AF91" s="754">
        <f t="shared" si="69"/>
        <v>318.62481668875768</v>
      </c>
      <c r="AH91" s="750">
        <f>'Recycling - Case 3'!AM181</f>
        <v>106.96009198147247</v>
      </c>
      <c r="AI91" s="751">
        <f>Parameters!S261</f>
        <v>0.71500000000000008</v>
      </c>
      <c r="AJ91" s="751">
        <f t="shared" si="70"/>
        <v>0.4</v>
      </c>
      <c r="AK91" s="752">
        <f t="shared" si="71"/>
        <v>15.295293153350567</v>
      </c>
      <c r="AL91" s="752">
        <f t="shared" si="72"/>
        <v>15.295293153350567</v>
      </c>
      <c r="AM91" s="753">
        <f t="shared" si="73"/>
        <v>0</v>
      </c>
      <c r="AN91" s="752">
        <f t="shared" si="74"/>
        <v>9337.0625034335462</v>
      </c>
      <c r="AO91" s="752">
        <f t="shared" si="75"/>
        <v>477.93722503313654</v>
      </c>
      <c r="AP91" s="754">
        <f t="shared" si="76"/>
        <v>318.62481668875768</v>
      </c>
      <c r="AR91" s="740">
        <f>'Recycling - Case 3'!G101</f>
        <v>578.77960720795852</v>
      </c>
      <c r="AS91" s="736">
        <v>1</v>
      </c>
      <c r="AT91" s="736">
        <f t="shared" si="77"/>
        <v>0.05</v>
      </c>
      <c r="AU91" s="734">
        <f t="shared" si="78"/>
        <v>14.469490180198964</v>
      </c>
      <c r="AV91" s="734">
        <f t="shared" si="79"/>
        <v>14.469490180198964</v>
      </c>
      <c r="AW91" s="737">
        <f t="shared" si="80"/>
        <v>0</v>
      </c>
      <c r="AX91" s="734">
        <f t="shared" si="44"/>
        <v>162.18833968029094</v>
      </c>
      <c r="AY91" s="734">
        <f t="shared" si="49"/>
        <v>9.1344235127394082</v>
      </c>
      <c r="AZ91" s="808">
        <f t="shared" si="47"/>
        <v>6.0896156751596058</v>
      </c>
      <c r="BB91" s="913">
        <f t="shared" si="81"/>
        <v>436.44519342796008</v>
      </c>
      <c r="BC91" s="914">
        <f t="shared" si="82"/>
        <v>318.62481668875768</v>
      </c>
      <c r="BD91" s="933">
        <f t="shared" si="90"/>
        <v>6.0896156751596058</v>
      </c>
      <c r="BE91" s="914">
        <f t="shared" si="54"/>
        <v>761.15962579187737</v>
      </c>
      <c r="BF91" s="145">
        <v>0</v>
      </c>
      <c r="BG91" s="927">
        <f t="shared" si="83"/>
        <v>761.15962579187737</v>
      </c>
      <c r="BI91" s="913">
        <f t="shared" si="84"/>
        <v>436.44519342796008</v>
      </c>
      <c r="BJ91" s="914">
        <f t="shared" si="85"/>
        <v>318.62481668875768</v>
      </c>
      <c r="BK91" s="933">
        <f t="shared" si="86"/>
        <v>6.0896156751596058</v>
      </c>
      <c r="BL91" s="914">
        <f t="shared" si="55"/>
        <v>761.15962579187737</v>
      </c>
      <c r="BM91" s="145">
        <v>0</v>
      </c>
      <c r="BN91" s="927">
        <f t="shared" si="87"/>
        <v>761.15962579187737</v>
      </c>
    </row>
    <row r="92" spans="1:73">
      <c r="A92" s="805">
        <f>'Input data'!A122</f>
        <v>2022</v>
      </c>
      <c r="B92" s="728">
        <f>'Input data'!B122</f>
        <v>60.963559588769527</v>
      </c>
      <c r="C92" s="728">
        <f>'Recycling - Case 3'!AK102/B92</f>
        <v>356.25328786410034</v>
      </c>
      <c r="D92" s="729">
        <f>'Recycling - Case 3'!AM102</f>
        <v>0.25655656750596006</v>
      </c>
      <c r="E92" s="729">
        <f>'Recycling - Case 3'!BE102</f>
        <v>0.18333212384716568</v>
      </c>
      <c r="F92" s="729">
        <f>'Recycling - Case 3'!BF102</f>
        <v>0.23251473109025761</v>
      </c>
      <c r="G92" s="729">
        <f>'Recycling - Case 3'!BG102</f>
        <v>7.1391410584716555E-2</v>
      </c>
      <c r="H92" s="729">
        <f>'Recycling - Case 3'!BH102</f>
        <v>0</v>
      </c>
      <c r="I92" s="729">
        <f>'Recycling - Case 3'!BI102</f>
        <v>0</v>
      </c>
      <c r="J92" s="729">
        <f>'Recycling - Case 3'!BJ102</f>
        <v>0</v>
      </c>
      <c r="K92" s="729">
        <f>'Recycling - Case 3'!BK102</f>
        <v>0.51276173447786011</v>
      </c>
      <c r="L92" s="730">
        <f t="shared" si="89"/>
        <v>1</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0.102559329029013</v>
      </c>
      <c r="Q92" s="734">
        <f t="shared" si="57"/>
        <v>238.25577699065698</v>
      </c>
      <c r="R92" s="734">
        <f t="shared" si="58"/>
        <v>238.25577699065698</v>
      </c>
      <c r="S92" s="737">
        <f t="shared" si="59"/>
        <v>0</v>
      </c>
      <c r="T92" s="734">
        <f t="shared" si="60"/>
        <v>12684.028916009649</v>
      </c>
      <c r="U92" s="734">
        <f t="shared" si="61"/>
        <v>638.10843408477388</v>
      </c>
      <c r="V92" s="741">
        <f t="shared" si="62"/>
        <v>425.4056227231826</v>
      </c>
      <c r="X92" s="750">
        <f>'Recycling - Case 3'!AM142</f>
        <v>0</v>
      </c>
      <c r="Y92" s="751">
        <f>Parameters!S262</f>
        <v>0.71500000000000008</v>
      </c>
      <c r="Z92" s="751">
        <f t="shared" si="63"/>
        <v>0.4</v>
      </c>
      <c r="AA92" s="752">
        <f t="shared" si="64"/>
        <v>0</v>
      </c>
      <c r="AB92" s="752">
        <f t="shared" si="65"/>
        <v>0</v>
      </c>
      <c r="AC92" s="753">
        <f t="shared" si="66"/>
        <v>0</v>
      </c>
      <c r="AD92" s="752">
        <f t="shared" si="67"/>
        <v>8881.6885916682877</v>
      </c>
      <c r="AE92" s="752">
        <f t="shared" si="68"/>
        <v>455.37391176525796</v>
      </c>
      <c r="AF92" s="754">
        <f t="shared" si="69"/>
        <v>303.58260784350529</v>
      </c>
      <c r="AH92" s="750">
        <f>'Recycling - Case 3'!AM182</f>
        <v>0</v>
      </c>
      <c r="AI92" s="751">
        <f>Parameters!S262</f>
        <v>0.71500000000000008</v>
      </c>
      <c r="AJ92" s="751">
        <f t="shared" si="70"/>
        <v>0.4</v>
      </c>
      <c r="AK92" s="752">
        <f t="shared" si="71"/>
        <v>0</v>
      </c>
      <c r="AL92" s="752">
        <f t="shared" si="72"/>
        <v>0</v>
      </c>
      <c r="AM92" s="753">
        <f t="shared" si="73"/>
        <v>0</v>
      </c>
      <c r="AN92" s="752">
        <f t="shared" si="74"/>
        <v>8881.6885916682877</v>
      </c>
      <c r="AO92" s="752">
        <f t="shared" si="75"/>
        <v>455.37391176525796</v>
      </c>
      <c r="AP92" s="754">
        <f t="shared" si="76"/>
        <v>303.58260784350529</v>
      </c>
      <c r="AR92" s="740">
        <f>'Recycling - Case 3'!G102</f>
        <v>598.06951646574612</v>
      </c>
      <c r="AS92" s="736">
        <v>1</v>
      </c>
      <c r="AT92" s="736">
        <f t="shared" si="77"/>
        <v>0.05</v>
      </c>
      <c r="AU92" s="734">
        <f t="shared" si="78"/>
        <v>14.951737911643654</v>
      </c>
      <c r="AV92" s="734">
        <f t="shared" si="79"/>
        <v>14.951737911643654</v>
      </c>
      <c r="AW92" s="737">
        <f t="shared" si="80"/>
        <v>0</v>
      </c>
      <c r="AX92" s="734">
        <f t="shared" si="44"/>
        <v>167.69496398345655</v>
      </c>
      <c r="AY92" s="734">
        <f t="shared" si="49"/>
        <v>9.445113608478044</v>
      </c>
      <c r="AZ92" s="808">
        <f t="shared" si="47"/>
        <v>6.2967424056520294</v>
      </c>
      <c r="BB92" s="913">
        <f t="shared" si="81"/>
        <v>425.4056227231826</v>
      </c>
      <c r="BC92" s="914">
        <f t="shared" si="82"/>
        <v>303.58260784350529</v>
      </c>
      <c r="BD92" s="933">
        <f t="shared" si="90"/>
        <v>6.2967424056520294</v>
      </c>
      <c r="BE92" s="914">
        <f t="shared" si="54"/>
        <v>735.28497297233992</v>
      </c>
      <c r="BF92" s="145">
        <v>0</v>
      </c>
      <c r="BG92" s="927">
        <f t="shared" si="83"/>
        <v>735.28497297233992</v>
      </c>
      <c r="BI92" s="913">
        <f t="shared" si="84"/>
        <v>425.4056227231826</v>
      </c>
      <c r="BJ92" s="914">
        <f t="shared" si="85"/>
        <v>303.58260784350529</v>
      </c>
      <c r="BK92" s="933">
        <f t="shared" si="86"/>
        <v>6.2967424056520294</v>
      </c>
      <c r="BL92" s="914">
        <f t="shared" si="55"/>
        <v>735.28497297233992</v>
      </c>
      <c r="BM92" s="145">
        <v>0</v>
      </c>
      <c r="BN92" s="927">
        <f t="shared" si="87"/>
        <v>735.28497297233992</v>
      </c>
    </row>
    <row r="93" spans="1:73">
      <c r="A93" s="805">
        <f>'Input data'!A123</f>
        <v>2023</v>
      </c>
      <c r="B93" s="728">
        <f>'Input data'!B123</f>
        <v>61.723133308607778</v>
      </c>
      <c r="C93" s="728">
        <f>'Recycling - Case 3'!AK103/B93</f>
        <v>348.03669716347173</v>
      </c>
      <c r="D93" s="729">
        <f>'Recycling - Case 3'!AM103</f>
        <v>0.243818797602951</v>
      </c>
      <c r="E93" s="729">
        <f>'Recycling - Case 3'!BE103</f>
        <v>0.18686877391877027</v>
      </c>
      <c r="F93" s="729">
        <f>'Recycling - Case 3'!BF103</f>
        <v>0.23700016017438794</v>
      </c>
      <c r="G93" s="729">
        <f>'Recycling - Case 3'!BG103</f>
        <v>6.9457546980760509E-2</v>
      </c>
      <c r="H93" s="729">
        <f>'Recycling - Case 3'!BH103</f>
        <v>0</v>
      </c>
      <c r="I93" s="729">
        <f>'Recycling - Case 3'!BI103</f>
        <v>0</v>
      </c>
      <c r="J93" s="729">
        <f>'Recycling - Case 3'!BJ103</f>
        <v>0</v>
      </c>
      <c r="K93" s="729">
        <f>'Recycling - Case 3'!BK103</f>
        <v>0.50667351892608126</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0.10321336691499733</v>
      </c>
      <c r="Q93" s="734">
        <f t="shared" si="57"/>
        <v>231.00258752592782</v>
      </c>
      <c r="R93" s="734">
        <f t="shared" si="58"/>
        <v>231.00258752592782</v>
      </c>
      <c r="S93" s="737">
        <f t="shared" si="59"/>
        <v>0</v>
      </c>
      <c r="T93" s="734">
        <f t="shared" si="60"/>
        <v>12296.424113652201</v>
      </c>
      <c r="U93" s="734">
        <f t="shared" si="61"/>
        <v>618.60738988337516</v>
      </c>
      <c r="V93" s="741">
        <f t="shared" si="62"/>
        <v>412.40492658891679</v>
      </c>
      <c r="X93" s="750">
        <f>'Recycling - Case 3'!AM143</f>
        <v>0</v>
      </c>
      <c r="Y93" s="751">
        <f>Parameters!S263</f>
        <v>0.71500000000000008</v>
      </c>
      <c r="Z93" s="751">
        <f t="shared" si="63"/>
        <v>0.4</v>
      </c>
      <c r="AA93" s="752">
        <f t="shared" si="64"/>
        <v>0</v>
      </c>
      <c r="AB93" s="752">
        <f t="shared" si="65"/>
        <v>0</v>
      </c>
      <c r="AC93" s="753">
        <f t="shared" si="66"/>
        <v>0</v>
      </c>
      <c r="AD93" s="752">
        <f t="shared" si="67"/>
        <v>8448.5235276471831</v>
      </c>
      <c r="AE93" s="752">
        <f t="shared" si="68"/>
        <v>433.16506402110525</v>
      </c>
      <c r="AF93" s="754">
        <f t="shared" si="69"/>
        <v>288.77670934740348</v>
      </c>
      <c r="AH93" s="750">
        <f>'Recycling - Case 3'!AM183</f>
        <v>0</v>
      </c>
      <c r="AI93" s="751">
        <f>Parameters!S263</f>
        <v>0.71500000000000008</v>
      </c>
      <c r="AJ93" s="751">
        <f t="shared" si="70"/>
        <v>0.4</v>
      </c>
      <c r="AK93" s="752">
        <f t="shared" si="71"/>
        <v>0</v>
      </c>
      <c r="AL93" s="752">
        <f t="shared" si="72"/>
        <v>0</v>
      </c>
      <c r="AM93" s="753">
        <f t="shared" si="73"/>
        <v>0</v>
      </c>
      <c r="AN93" s="752">
        <f t="shared" si="74"/>
        <v>8448.5235276471831</v>
      </c>
      <c r="AO93" s="752">
        <f t="shared" si="75"/>
        <v>433.16506402110525</v>
      </c>
      <c r="AP93" s="754">
        <f t="shared" si="76"/>
        <v>288.77670934740348</v>
      </c>
      <c r="AR93" s="740">
        <f>'Recycling - Case 3'!G103</f>
        <v>617.20490859086499</v>
      </c>
      <c r="AS93" s="736">
        <v>1</v>
      </c>
      <c r="AT93" s="736">
        <f t="shared" si="77"/>
        <v>0.05</v>
      </c>
      <c r="AU93" s="734">
        <f t="shared" si="78"/>
        <v>15.430122714771626</v>
      </c>
      <c r="AV93" s="734">
        <f t="shared" si="79"/>
        <v>15.430122714771626</v>
      </c>
      <c r="AW93" s="737">
        <f t="shared" si="80"/>
        <v>0</v>
      </c>
      <c r="AX93" s="734">
        <f t="shared" si="44"/>
        <v>173.35929225507894</v>
      </c>
      <c r="AY93" s="734">
        <f t="shared" si="49"/>
        <v>9.7657944431492041</v>
      </c>
      <c r="AZ93" s="808">
        <f t="shared" si="47"/>
        <v>6.5105296287661361</v>
      </c>
      <c r="BB93" s="913">
        <f t="shared" si="81"/>
        <v>412.40492658891679</v>
      </c>
      <c r="BC93" s="914">
        <f t="shared" si="82"/>
        <v>288.77670934740348</v>
      </c>
      <c r="BD93" s="933">
        <f t="shared" si="90"/>
        <v>6.5105296287661361</v>
      </c>
      <c r="BE93" s="914">
        <f t="shared" si="54"/>
        <v>707.69216556508638</v>
      </c>
      <c r="BF93" s="145">
        <v>0</v>
      </c>
      <c r="BG93" s="927">
        <f t="shared" si="83"/>
        <v>707.69216556508638</v>
      </c>
      <c r="BI93" s="913">
        <f t="shared" si="84"/>
        <v>412.40492658891679</v>
      </c>
      <c r="BJ93" s="914">
        <f t="shared" si="85"/>
        <v>288.77670934740348</v>
      </c>
      <c r="BK93" s="933">
        <f t="shared" si="86"/>
        <v>6.5105296287661361</v>
      </c>
      <c r="BL93" s="914">
        <f t="shared" si="55"/>
        <v>707.69216556508638</v>
      </c>
      <c r="BM93" s="145">
        <v>0</v>
      </c>
      <c r="BN93" s="927">
        <f t="shared" si="87"/>
        <v>707.69216556508638</v>
      </c>
    </row>
    <row r="94" spans="1:73">
      <c r="A94" s="805">
        <f>'Input data'!A124</f>
        <v>2024</v>
      </c>
      <c r="B94" s="728">
        <f>'Input data'!B124</f>
        <v>62.434728280060035</v>
      </c>
      <c r="C94" s="728">
        <f>'Recycling - Case 3'!AK104/B94</f>
        <v>340.207284299018</v>
      </c>
      <c r="D94" s="729">
        <f>'Recycling - Case 3'!AM104</f>
        <v>0.23084749837767918</v>
      </c>
      <c r="E94" s="729">
        <f>'Recycling - Case 3'!BE104</f>
        <v>0.19037047103364382</v>
      </c>
      <c r="F94" s="729">
        <f>'Recycling - Case 3'!BF104</f>
        <v>0.24144125945332895</v>
      </c>
      <c r="G94" s="729">
        <f>'Recycling - Case 3'!BG104</f>
        <v>6.7516160892816743E-2</v>
      </c>
      <c r="H94" s="729">
        <f>'Recycling - Case 3'!BH104</f>
        <v>0</v>
      </c>
      <c r="I94" s="729">
        <f>'Recycling - Case 3'!BI104</f>
        <v>0</v>
      </c>
      <c r="J94" s="729">
        <f>'Recycling - Case 3'!BJ104</f>
        <v>0</v>
      </c>
      <c r="K94" s="729">
        <f>'Recycling - Case 3'!BK104</f>
        <v>0.50067210862021039</v>
      </c>
      <c r="L94" s="730">
        <f t="shared" si="89"/>
        <v>0.99999999999999989</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0.10385028690283907</v>
      </c>
      <c r="Q94" s="734">
        <f t="shared" si="57"/>
        <v>222.8802681353622</v>
      </c>
      <c r="R94" s="734">
        <f t="shared" si="58"/>
        <v>222.8802681353622</v>
      </c>
      <c r="S94" s="737">
        <f t="shared" si="59"/>
        <v>0</v>
      </c>
      <c r="T94" s="734">
        <f t="shared" si="60"/>
        <v>11919.600701181449</v>
      </c>
      <c r="U94" s="734">
        <f t="shared" si="61"/>
        <v>599.70368060611543</v>
      </c>
      <c r="V94" s="741">
        <f t="shared" si="62"/>
        <v>399.8024537374103</v>
      </c>
      <c r="X94" s="750">
        <f>'Recycling - Case 3'!AM144</f>
        <v>0</v>
      </c>
      <c r="Y94" s="751">
        <f>Parameters!S264</f>
        <v>0.71500000000000008</v>
      </c>
      <c r="Z94" s="751">
        <f t="shared" si="63"/>
        <v>0.4</v>
      </c>
      <c r="AA94" s="752">
        <f t="shared" si="64"/>
        <v>0</v>
      </c>
      <c r="AB94" s="752">
        <f t="shared" si="65"/>
        <v>0</v>
      </c>
      <c r="AC94" s="753">
        <f t="shared" si="66"/>
        <v>0</v>
      </c>
      <c r="AD94" s="752">
        <f t="shared" si="67"/>
        <v>8036.4841730845719</v>
      </c>
      <c r="AE94" s="752">
        <f t="shared" si="68"/>
        <v>412.03935456261092</v>
      </c>
      <c r="AF94" s="754">
        <f t="shared" si="69"/>
        <v>274.69290304174064</v>
      </c>
      <c r="AH94" s="750">
        <f>'Recycling - Case 3'!AM184</f>
        <v>0</v>
      </c>
      <c r="AI94" s="751">
        <f>Parameters!S264</f>
        <v>0.71500000000000008</v>
      </c>
      <c r="AJ94" s="751">
        <f t="shared" si="70"/>
        <v>0.4</v>
      </c>
      <c r="AK94" s="752">
        <f t="shared" si="71"/>
        <v>0</v>
      </c>
      <c r="AL94" s="752">
        <f t="shared" si="72"/>
        <v>0</v>
      </c>
      <c r="AM94" s="753">
        <f t="shared" si="73"/>
        <v>0</v>
      </c>
      <c r="AN94" s="752">
        <f t="shared" si="74"/>
        <v>8036.4841730845719</v>
      </c>
      <c r="AO94" s="752">
        <f t="shared" si="75"/>
        <v>412.03935456261092</v>
      </c>
      <c r="AP94" s="754">
        <f t="shared" si="76"/>
        <v>274.69290304174064</v>
      </c>
      <c r="AR94" s="740">
        <f>'Recycling - Case 3'!G104</f>
        <v>636.13901582881124</v>
      </c>
      <c r="AS94" s="736">
        <v>1</v>
      </c>
      <c r="AT94" s="736">
        <f t="shared" si="77"/>
        <v>0.05</v>
      </c>
      <c r="AU94" s="734">
        <f t="shared" si="78"/>
        <v>15.903475395720282</v>
      </c>
      <c r="AV94" s="734">
        <f t="shared" si="79"/>
        <v>15.903475395720282</v>
      </c>
      <c r="AW94" s="737">
        <f t="shared" si="80"/>
        <v>0</v>
      </c>
      <c r="AX94" s="734">
        <f t="shared" si="44"/>
        <v>179.16710840882016</v>
      </c>
      <c r="AY94" s="734">
        <f t="shared" si="49"/>
        <v>10.09565924197906</v>
      </c>
      <c r="AZ94" s="808">
        <f t="shared" si="47"/>
        <v>6.7304394946527069</v>
      </c>
      <c r="BB94" s="913">
        <f t="shared" si="81"/>
        <v>399.8024537374103</v>
      </c>
      <c r="BC94" s="914">
        <f t="shared" si="82"/>
        <v>274.69290304174064</v>
      </c>
      <c r="BD94" s="933">
        <f t="shared" si="90"/>
        <v>6.7304394946527069</v>
      </c>
      <c r="BE94" s="914">
        <f t="shared" si="54"/>
        <v>681.22579627380367</v>
      </c>
      <c r="BF94" s="145">
        <v>0</v>
      </c>
      <c r="BG94" s="927">
        <f t="shared" si="83"/>
        <v>681.22579627380367</v>
      </c>
      <c r="BI94" s="913">
        <f t="shared" si="84"/>
        <v>399.8024537374103</v>
      </c>
      <c r="BJ94" s="914">
        <f t="shared" si="85"/>
        <v>274.69290304174064</v>
      </c>
      <c r="BK94" s="933">
        <f t="shared" si="86"/>
        <v>6.7304394946527069</v>
      </c>
      <c r="BL94" s="914">
        <f t="shared" si="55"/>
        <v>681.22579627380367</v>
      </c>
      <c r="BM94" s="145">
        <v>0</v>
      </c>
      <c r="BN94" s="927">
        <f t="shared" si="87"/>
        <v>681.22579627380367</v>
      </c>
    </row>
    <row r="95" spans="1:73">
      <c r="A95" s="805">
        <f>'Input data'!A125</f>
        <v>2025</v>
      </c>
      <c r="B95" s="728">
        <f>'Input data'!B125</f>
        <v>63.096422221537942</v>
      </c>
      <c r="C95" s="728">
        <f>'Recycling - Case 3'!AK105/B95</f>
        <v>332.7333416203744</v>
      </c>
      <c r="D95" s="729">
        <f>'Recycling - Case 3'!AM105</f>
        <v>0.21763319177705398</v>
      </c>
      <c r="E95" s="729">
        <f>'Recycling - Case 3'!BE105</f>
        <v>0.19384322214759417</v>
      </c>
      <c r="F95" s="729">
        <f>'Recycling - Case 3'!BF105</f>
        <v>0.24584564737214615</v>
      </c>
      <c r="G95" s="729">
        <f>'Recycling - Case 3'!BG105</f>
        <v>6.5564023011120492E-2</v>
      </c>
      <c r="H95" s="729">
        <f>'Recycling - Case 3'!BH105</f>
        <v>0</v>
      </c>
      <c r="I95" s="729">
        <f>'Recycling - Case 3'!BI105</f>
        <v>0</v>
      </c>
      <c r="J95" s="729">
        <f>'Recycling - Case 3'!BJ105</f>
        <v>0</v>
      </c>
      <c r="K95" s="729">
        <f>'Recycling - Case 3'!BK105</f>
        <v>0.4947471074691393</v>
      </c>
      <c r="L95" s="730">
        <f t="shared" si="89"/>
        <v>1</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0.10447122200101655</v>
      </c>
      <c r="Q95" s="734">
        <f t="shared" si="57"/>
        <v>213.88259225040457</v>
      </c>
      <c r="R95" s="734">
        <f t="shared" si="58"/>
        <v>213.88259225040457</v>
      </c>
      <c r="S95" s="737">
        <f t="shared" si="59"/>
        <v>0</v>
      </c>
      <c r="T95" s="734">
        <f t="shared" si="60"/>
        <v>11552.157507513541</v>
      </c>
      <c r="U95" s="734">
        <f t="shared" si="61"/>
        <v>581.32578591831202</v>
      </c>
      <c r="V95" s="741">
        <f t="shared" si="62"/>
        <v>387.55052394554133</v>
      </c>
      <c r="X95" s="750">
        <f>'Recycling - Case 3'!AM145</f>
        <v>0</v>
      </c>
      <c r="Y95" s="751">
        <f>Parameters!S265</f>
        <v>0.71500000000000008</v>
      </c>
      <c r="Z95" s="751">
        <f t="shared" si="63"/>
        <v>0.4</v>
      </c>
      <c r="AA95" s="752">
        <f t="shared" si="64"/>
        <v>0</v>
      </c>
      <c r="AB95" s="752">
        <f t="shared" si="65"/>
        <v>0</v>
      </c>
      <c r="AC95" s="753">
        <f t="shared" si="66"/>
        <v>0</v>
      </c>
      <c r="AD95" s="752">
        <f t="shared" si="67"/>
        <v>7644.5402149723341</v>
      </c>
      <c r="AE95" s="752">
        <f t="shared" si="68"/>
        <v>391.94395811223802</v>
      </c>
      <c r="AF95" s="754">
        <f t="shared" si="69"/>
        <v>261.29597207482533</v>
      </c>
      <c r="AH95" s="750">
        <f>'Recycling - Case 3'!AM185</f>
        <v>0</v>
      </c>
      <c r="AI95" s="751">
        <f>Parameters!S265</f>
        <v>0.71500000000000008</v>
      </c>
      <c r="AJ95" s="751">
        <f t="shared" si="70"/>
        <v>0.4</v>
      </c>
      <c r="AK95" s="752">
        <f t="shared" si="71"/>
        <v>0</v>
      </c>
      <c r="AL95" s="752">
        <f t="shared" si="72"/>
        <v>0</v>
      </c>
      <c r="AM95" s="753">
        <f t="shared" si="73"/>
        <v>0</v>
      </c>
      <c r="AN95" s="752">
        <f t="shared" si="74"/>
        <v>7644.5402149723341</v>
      </c>
      <c r="AO95" s="752">
        <f t="shared" si="75"/>
        <v>391.94395811223802</v>
      </c>
      <c r="AP95" s="754">
        <f t="shared" si="76"/>
        <v>261.29597207482533</v>
      </c>
      <c r="AR95" s="740">
        <f>'Recycling - Case 3'!G105</f>
        <v>654.82464230192238</v>
      </c>
      <c r="AS95" s="736">
        <v>1</v>
      </c>
      <c r="AT95" s="736">
        <f t="shared" si="77"/>
        <v>0.05</v>
      </c>
      <c r="AU95" s="734">
        <f t="shared" si="78"/>
        <v>16.370616057548059</v>
      </c>
      <c r="AV95" s="734">
        <f t="shared" si="79"/>
        <v>16.370616057548059</v>
      </c>
      <c r="AW95" s="737">
        <f t="shared" si="80"/>
        <v>0</v>
      </c>
      <c r="AX95" s="734">
        <f t="shared" si="44"/>
        <v>185.1038443418191</v>
      </c>
      <c r="AY95" s="734">
        <f t="shared" si="49"/>
        <v>10.433880124549114</v>
      </c>
      <c r="AZ95" s="808">
        <f t="shared" si="47"/>
        <v>6.9559200830327432</v>
      </c>
      <c r="BB95" s="913">
        <f t="shared" si="81"/>
        <v>387.55052394554133</v>
      </c>
      <c r="BC95" s="914">
        <f t="shared" si="82"/>
        <v>261.29597207482533</v>
      </c>
      <c r="BD95" s="933">
        <f t="shared" si="90"/>
        <v>6.9559200830327432</v>
      </c>
      <c r="BE95" s="914">
        <f t="shared" si="54"/>
        <v>655.80241610339942</v>
      </c>
      <c r="BF95" s="145">
        <v>0</v>
      </c>
      <c r="BG95" s="927">
        <f t="shared" si="83"/>
        <v>655.80241610339942</v>
      </c>
      <c r="BI95" s="913">
        <f t="shared" si="84"/>
        <v>387.55052394554133</v>
      </c>
      <c r="BJ95" s="914">
        <f t="shared" si="85"/>
        <v>261.29597207482533</v>
      </c>
      <c r="BK95" s="933">
        <f t="shared" si="86"/>
        <v>6.9559200830327432</v>
      </c>
      <c r="BL95" s="914">
        <f t="shared" si="55"/>
        <v>655.80241610339942</v>
      </c>
      <c r="BM95" s="145">
        <v>0</v>
      </c>
      <c r="BN95" s="927">
        <f t="shared" si="87"/>
        <v>655.80241610339942</v>
      </c>
    </row>
    <row r="96" spans="1:73">
      <c r="A96" s="805">
        <f>'Input data'!A126</f>
        <v>2026</v>
      </c>
      <c r="B96" s="728">
        <f>'Input data'!B126</f>
        <v>63.744102485123491</v>
      </c>
      <c r="C96" s="728">
        <f>'Recycling - Case 3'!AK106/B96</f>
        <v>325.46501213179619</v>
      </c>
      <c r="D96" s="729">
        <f>'Recycling - Case 3'!AM106</f>
        <v>0.20411814272303072</v>
      </c>
      <c r="E96" s="729">
        <f>'Recycling - Case 3'!BE106</f>
        <v>0.19734412686232161</v>
      </c>
      <c r="F96" s="729">
        <f>'Recycling - Case 3'!BF106</f>
        <v>0.25028574167332845</v>
      </c>
      <c r="G96" s="729">
        <f>'Recycling - Case 3'!BG106</f>
        <v>6.3584508476007218E-2</v>
      </c>
      <c r="H96" s="729">
        <f>'Recycling - Case 3'!BH106</f>
        <v>0</v>
      </c>
      <c r="I96" s="729">
        <f>'Recycling - Case 3'!BI106</f>
        <v>0</v>
      </c>
      <c r="J96" s="729">
        <f>'Recycling - Case 3'!BJ106</f>
        <v>0</v>
      </c>
      <c r="K96" s="729">
        <f>'Recycling - Case 3'!BK106</f>
        <v>0.48878562298834255</v>
      </c>
      <c r="L96" s="730">
        <f t="shared" si="89"/>
        <v>0.99999999999999978</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0.10509257075441683</v>
      </c>
      <c r="Q96" s="734">
        <f t="shared" si="57"/>
        <v>204.03320431064532</v>
      </c>
      <c r="R96" s="734">
        <f t="shared" si="58"/>
        <v>204.03320431064532</v>
      </c>
      <c r="S96" s="737">
        <f t="shared" si="59"/>
        <v>0</v>
      </c>
      <c r="T96" s="734">
        <f t="shared" si="60"/>
        <v>11192.785341924353</v>
      </c>
      <c r="U96" s="734">
        <f t="shared" si="61"/>
        <v>563.40536989983252</v>
      </c>
      <c r="V96" s="741">
        <f t="shared" si="62"/>
        <v>375.60357993322168</v>
      </c>
      <c r="X96" s="750">
        <f>'Recycling - Case 3'!AM146</f>
        <v>0</v>
      </c>
      <c r="Y96" s="751">
        <f>Parameters!S266</f>
        <v>0.71500000000000008</v>
      </c>
      <c r="Z96" s="751">
        <f t="shared" si="63"/>
        <v>0.4</v>
      </c>
      <c r="AA96" s="752">
        <f t="shared" si="64"/>
        <v>0</v>
      </c>
      <c r="AB96" s="752">
        <f t="shared" si="65"/>
        <v>0</v>
      </c>
      <c r="AC96" s="753">
        <f t="shared" si="66"/>
        <v>0</v>
      </c>
      <c r="AD96" s="752">
        <f t="shared" si="67"/>
        <v>7271.711589260698</v>
      </c>
      <c r="AE96" s="752">
        <f t="shared" si="68"/>
        <v>372.82862571163611</v>
      </c>
      <c r="AF96" s="754">
        <f t="shared" si="69"/>
        <v>248.55241714109073</v>
      </c>
      <c r="AH96" s="750">
        <f>'Recycling - Case 3'!AM186</f>
        <v>0</v>
      </c>
      <c r="AI96" s="751">
        <f>Parameters!S266</f>
        <v>0.71500000000000008</v>
      </c>
      <c r="AJ96" s="751">
        <f t="shared" si="70"/>
        <v>0.4</v>
      </c>
      <c r="AK96" s="752">
        <f t="shared" si="71"/>
        <v>0</v>
      </c>
      <c r="AL96" s="752">
        <f t="shared" si="72"/>
        <v>0</v>
      </c>
      <c r="AM96" s="753">
        <f t="shared" si="73"/>
        <v>0</v>
      </c>
      <c r="AN96" s="752">
        <f t="shared" si="74"/>
        <v>7271.711589260698</v>
      </c>
      <c r="AO96" s="752">
        <f t="shared" si="75"/>
        <v>372.82862571163611</v>
      </c>
      <c r="AP96" s="754">
        <f t="shared" si="76"/>
        <v>248.55241714109073</v>
      </c>
      <c r="AR96" s="740">
        <f>'Recycling - Case 3'!G106</f>
        <v>673.61268809031185</v>
      </c>
      <c r="AS96" s="736">
        <v>1</v>
      </c>
      <c r="AT96" s="736">
        <f t="shared" si="77"/>
        <v>0.05</v>
      </c>
      <c r="AU96" s="734">
        <f t="shared" si="78"/>
        <v>16.840317202257797</v>
      </c>
      <c r="AV96" s="734">
        <f t="shared" si="79"/>
        <v>16.840317202257797</v>
      </c>
      <c r="AW96" s="737">
        <f t="shared" si="80"/>
        <v>0</v>
      </c>
      <c r="AX96" s="734">
        <f t="shared" si="44"/>
        <v>191.16455283348245</v>
      </c>
      <c r="AY96" s="734">
        <f t="shared" si="49"/>
        <v>10.779608710594459</v>
      </c>
      <c r="AZ96" s="808">
        <f t="shared" si="47"/>
        <v>7.1864058070629726</v>
      </c>
      <c r="BB96" s="913">
        <f t="shared" si="81"/>
        <v>375.60357993322168</v>
      </c>
      <c r="BC96" s="914">
        <f t="shared" si="82"/>
        <v>248.55241714109073</v>
      </c>
      <c r="BD96" s="933">
        <f t="shared" si="90"/>
        <v>7.1864058070629726</v>
      </c>
      <c r="BE96" s="914">
        <f t="shared" si="54"/>
        <v>631.34240288137539</v>
      </c>
      <c r="BF96" s="145">
        <v>0</v>
      </c>
      <c r="BG96" s="927">
        <f t="shared" si="83"/>
        <v>631.34240288137539</v>
      </c>
      <c r="BI96" s="913">
        <f t="shared" si="84"/>
        <v>375.60357993322168</v>
      </c>
      <c r="BJ96" s="914">
        <f t="shared" si="85"/>
        <v>248.55241714109073</v>
      </c>
      <c r="BK96" s="933">
        <f t="shared" si="86"/>
        <v>7.1864058070629726</v>
      </c>
      <c r="BL96" s="914">
        <f t="shared" si="55"/>
        <v>631.34240288137539</v>
      </c>
      <c r="BM96" s="145">
        <v>0</v>
      </c>
      <c r="BN96" s="927">
        <f t="shared" si="87"/>
        <v>631.34240288137539</v>
      </c>
    </row>
    <row r="97" spans="1:66">
      <c r="A97" s="805">
        <f>'Input data'!A127</f>
        <v>2027</v>
      </c>
      <c r="B97" s="728">
        <f>'Input data'!B127</f>
        <v>64.377188881988602</v>
      </c>
      <c r="C97" s="728">
        <f>'Recycling - Case 3'!AK107/B97</f>
        <v>318.39006064448699</v>
      </c>
      <c r="D97" s="729">
        <f>'Recycling - Case 3'!AM107</f>
        <v>0.19029126986065473</v>
      </c>
      <c r="E97" s="729">
        <f>'Recycling - Case 3'!BE107</f>
        <v>0.20087664854625667</v>
      </c>
      <c r="F97" s="729">
        <f>'Recycling - Case 3'!BF107</f>
        <v>0.25476593484501392</v>
      </c>
      <c r="G97" s="729">
        <f>'Recycling - Case 3'!BG107</f>
        <v>6.1575617769207475E-2</v>
      </c>
      <c r="H97" s="729">
        <f>'Recycling - Case 3'!BH107</f>
        <v>0</v>
      </c>
      <c r="I97" s="729">
        <f>'Recycling - Case 3'!BI107</f>
        <v>0</v>
      </c>
      <c r="J97" s="729">
        <f>'Recycling - Case 3'!BJ107</f>
        <v>0</v>
      </c>
      <c r="K97" s="729">
        <f>'Recycling - Case 3'!BK107</f>
        <v>0.48278179883952188</v>
      </c>
      <c r="L97" s="730">
        <f t="shared" si="89"/>
        <v>1</v>
      </c>
      <c r="N97" s="740">
        <f t="shared" si="56"/>
        <v>3900.4110186862777</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0.10571493135862428</v>
      </c>
      <c r="Q97" s="734">
        <f t="shared" si="57"/>
        <v>193.32012373542912</v>
      </c>
      <c r="R97" s="734">
        <f t="shared" si="58"/>
        <v>193.32012373542912</v>
      </c>
      <c r="S97" s="737">
        <f t="shared" si="59"/>
        <v>0</v>
      </c>
      <c r="T97" s="734">
        <f t="shared" si="60"/>
        <v>10840.226883094159</v>
      </c>
      <c r="U97" s="734">
        <f t="shared" si="61"/>
        <v>545.87858256562311</v>
      </c>
      <c r="V97" s="741">
        <f t="shared" si="62"/>
        <v>363.91905504374876</v>
      </c>
      <c r="X97" s="750">
        <f>'Recycling - Case 3'!AM147</f>
        <v>0</v>
      </c>
      <c r="Y97" s="751">
        <f>Parameters!S267</f>
        <v>0.71500000000000008</v>
      </c>
      <c r="Z97" s="751">
        <f t="shared" si="63"/>
        <v>0.4</v>
      </c>
      <c r="AA97" s="752">
        <f t="shared" si="64"/>
        <v>0</v>
      </c>
      <c r="AB97" s="752">
        <f t="shared" si="65"/>
        <v>0</v>
      </c>
      <c r="AC97" s="753">
        <f t="shared" si="66"/>
        <v>0</v>
      </c>
      <c r="AD97" s="752">
        <f t="shared" si="67"/>
        <v>6917.066030187626</v>
      </c>
      <c r="AE97" s="752">
        <f t="shared" si="68"/>
        <v>354.64555907307175</v>
      </c>
      <c r="AF97" s="754">
        <f t="shared" si="69"/>
        <v>236.43037271538117</v>
      </c>
      <c r="AH97" s="750">
        <f>'Recycling - Case 3'!AM187</f>
        <v>0</v>
      </c>
      <c r="AI97" s="751">
        <f>Parameters!S267</f>
        <v>0.71500000000000008</v>
      </c>
      <c r="AJ97" s="751">
        <f t="shared" si="70"/>
        <v>0.4</v>
      </c>
      <c r="AK97" s="752">
        <f t="shared" si="71"/>
        <v>0</v>
      </c>
      <c r="AL97" s="752">
        <f t="shared" si="72"/>
        <v>0</v>
      </c>
      <c r="AM97" s="753">
        <f t="shared" si="73"/>
        <v>0</v>
      </c>
      <c r="AN97" s="752">
        <f t="shared" si="74"/>
        <v>6917.066030187626</v>
      </c>
      <c r="AO97" s="752">
        <f t="shared" si="75"/>
        <v>354.64555907307175</v>
      </c>
      <c r="AP97" s="754">
        <f t="shared" si="76"/>
        <v>236.43037271538117</v>
      </c>
      <c r="AR97" s="740">
        <f>'Recycling - Case 3'!G107</f>
        <v>692.48895417430549</v>
      </c>
      <c r="AS97" s="736">
        <v>1</v>
      </c>
      <c r="AT97" s="736">
        <f t="shared" si="77"/>
        <v>0.05</v>
      </c>
      <c r="AU97" s="734">
        <f t="shared" si="78"/>
        <v>17.312223854357637</v>
      </c>
      <c r="AV97" s="734">
        <f t="shared" si="79"/>
        <v>17.312223854357637</v>
      </c>
      <c r="AW97" s="737">
        <f t="shared" si="80"/>
        <v>0</v>
      </c>
      <c r="AX97" s="734">
        <f t="shared" si="44"/>
        <v>197.34421979142368</v>
      </c>
      <c r="AY97" s="734">
        <f t="shared" si="49"/>
        <v>11.132556896416379</v>
      </c>
      <c r="AZ97" s="808">
        <f t="shared" si="47"/>
        <v>7.4217045976109191</v>
      </c>
      <c r="BB97" s="913">
        <f t="shared" si="81"/>
        <v>363.91905504374876</v>
      </c>
      <c r="BC97" s="914">
        <f t="shared" si="82"/>
        <v>236.43037271538117</v>
      </c>
      <c r="BD97" s="933">
        <f t="shared" si="90"/>
        <v>7.4217045976109191</v>
      </c>
      <c r="BE97" s="914">
        <f t="shared" si="54"/>
        <v>607.77113235674074</v>
      </c>
      <c r="BF97" s="145">
        <v>0</v>
      </c>
      <c r="BG97" s="927">
        <f t="shared" si="83"/>
        <v>607.77113235674074</v>
      </c>
      <c r="BI97" s="913">
        <f t="shared" si="84"/>
        <v>363.91905504374876</v>
      </c>
      <c r="BJ97" s="914">
        <f t="shared" si="85"/>
        <v>236.43037271538117</v>
      </c>
      <c r="BK97" s="933">
        <f t="shared" si="86"/>
        <v>7.4217045976109191</v>
      </c>
      <c r="BL97" s="914">
        <f t="shared" si="55"/>
        <v>607.77113235674074</v>
      </c>
      <c r="BM97" s="145">
        <v>0</v>
      </c>
      <c r="BN97" s="927">
        <f t="shared" si="87"/>
        <v>607.77113235674074</v>
      </c>
    </row>
    <row r="98" spans="1:66">
      <c r="A98" s="805">
        <f>'Input data'!A128</f>
        <v>2028</v>
      </c>
      <c r="B98" s="728">
        <f>'Input data'!B128</f>
        <v>64.995109664264291</v>
      </c>
      <c r="C98" s="728">
        <f>'Recycling - Case 3'!AK108/B98</f>
        <v>311.49658519290148</v>
      </c>
      <c r="D98" s="729">
        <f>'Recycling - Case 3'!AM108</f>
        <v>0.17614014021645041</v>
      </c>
      <c r="E98" s="729">
        <f>'Recycling - Case 3'!BE108</f>
        <v>0.20444431630117751</v>
      </c>
      <c r="F98" s="729">
        <f>'Recycling - Case 3'!BF108</f>
        <v>0.25929070274300842</v>
      </c>
      <c r="G98" s="729">
        <f>'Recycling - Case 3'!BG108</f>
        <v>5.953528747159359E-2</v>
      </c>
      <c r="H98" s="729">
        <f>'Recycling - Case 3'!BH108</f>
        <v>0</v>
      </c>
      <c r="I98" s="729">
        <f>'Recycling - Case 3'!BI108</f>
        <v>0</v>
      </c>
      <c r="J98" s="729">
        <f>'Recycling - Case 3'!BJ108</f>
        <v>0</v>
      </c>
      <c r="K98" s="729">
        <f>'Recycling - Case 3'!BK108</f>
        <v>0.47672969348422056</v>
      </c>
      <c r="L98" s="730">
        <f t="shared" si="89"/>
        <v>1</v>
      </c>
      <c r="N98" s="740">
        <f t="shared" si="56"/>
        <v>3566.0900742274534</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0.10633890298241575</v>
      </c>
      <c r="Q98" s="734">
        <f t="shared" si="57"/>
        <v>181.73106792752563</v>
      </c>
      <c r="R98" s="734">
        <f t="shared" si="58"/>
        <v>181.73106792752563</v>
      </c>
      <c r="S98" s="737">
        <f t="shared" si="59"/>
        <v>0</v>
      </c>
      <c r="T98" s="734">
        <f t="shared" si="60"/>
        <v>10493.273847390352</v>
      </c>
      <c r="U98" s="734">
        <f t="shared" si="61"/>
        <v>528.6841036313333</v>
      </c>
      <c r="V98" s="741">
        <f t="shared" si="62"/>
        <v>352.45606908755553</v>
      </c>
      <c r="X98" s="750">
        <f>'Recycling - Case 3'!AM148</f>
        <v>0</v>
      </c>
      <c r="Y98" s="751">
        <f>Parameters!S268</f>
        <v>0.71500000000000008</v>
      </c>
      <c r="Z98" s="751">
        <f t="shared" si="63"/>
        <v>0.4</v>
      </c>
      <c r="AA98" s="752">
        <f t="shared" si="64"/>
        <v>0</v>
      </c>
      <c r="AB98" s="752">
        <f t="shared" si="65"/>
        <v>0</v>
      </c>
      <c r="AC98" s="753">
        <f t="shared" si="66"/>
        <v>0</v>
      </c>
      <c r="AD98" s="752">
        <f t="shared" si="67"/>
        <v>6579.716739128814</v>
      </c>
      <c r="AE98" s="752">
        <f t="shared" si="68"/>
        <v>337.34929105881201</v>
      </c>
      <c r="AF98" s="754">
        <f t="shared" si="69"/>
        <v>224.89952737254134</v>
      </c>
      <c r="AH98" s="750">
        <f>'Recycling - Case 3'!AM188</f>
        <v>0</v>
      </c>
      <c r="AI98" s="751">
        <f>Parameters!S268</f>
        <v>0.71500000000000008</v>
      </c>
      <c r="AJ98" s="751">
        <f t="shared" si="70"/>
        <v>0.4</v>
      </c>
      <c r="AK98" s="752">
        <f t="shared" si="71"/>
        <v>0</v>
      </c>
      <c r="AL98" s="752">
        <f t="shared" si="72"/>
        <v>0</v>
      </c>
      <c r="AM98" s="753">
        <f t="shared" si="73"/>
        <v>0</v>
      </c>
      <c r="AN98" s="752">
        <f t="shared" si="74"/>
        <v>6579.716739128814</v>
      </c>
      <c r="AO98" s="752">
        <f t="shared" si="75"/>
        <v>337.34929105881201</v>
      </c>
      <c r="AP98" s="754">
        <f t="shared" si="76"/>
        <v>224.89952737254134</v>
      </c>
      <c r="AR98" s="740">
        <f>'Recycling - Case 3'!G108</f>
        <v>711.43889462635582</v>
      </c>
      <c r="AS98" s="736">
        <v>1</v>
      </c>
      <c r="AT98" s="736">
        <f t="shared" si="77"/>
        <v>0.05</v>
      </c>
      <c r="AU98" s="734">
        <f t="shared" si="78"/>
        <v>17.785972365658896</v>
      </c>
      <c r="AV98" s="734">
        <f t="shared" si="79"/>
        <v>17.785972365658896</v>
      </c>
      <c r="AW98" s="737">
        <f t="shared" si="80"/>
        <v>0</v>
      </c>
      <c r="AX98" s="734">
        <f t="shared" si="44"/>
        <v>203.63775947307647</v>
      </c>
      <c r="AY98" s="734">
        <f t="shared" si="49"/>
        <v>11.492432684006094</v>
      </c>
      <c r="AZ98" s="808">
        <f t="shared" si="47"/>
        <v>7.6616217893373957</v>
      </c>
      <c r="BB98" s="913">
        <f t="shared" si="81"/>
        <v>352.45606908755553</v>
      </c>
      <c r="BC98" s="914">
        <f t="shared" si="82"/>
        <v>224.89952737254134</v>
      </c>
      <c r="BD98" s="933">
        <f t="shared" si="90"/>
        <v>7.6616217893373957</v>
      </c>
      <c r="BE98" s="914">
        <f t="shared" si="54"/>
        <v>585.01721824943422</v>
      </c>
      <c r="BF98" s="145">
        <v>0</v>
      </c>
      <c r="BG98" s="927">
        <f t="shared" si="83"/>
        <v>585.01721824943422</v>
      </c>
      <c r="BI98" s="913">
        <f t="shared" si="84"/>
        <v>352.45606908755553</v>
      </c>
      <c r="BJ98" s="914">
        <f t="shared" si="85"/>
        <v>224.89952737254134</v>
      </c>
      <c r="BK98" s="933">
        <f t="shared" si="86"/>
        <v>7.6616217893373957</v>
      </c>
      <c r="BL98" s="914">
        <f t="shared" si="55"/>
        <v>585.01721824943422</v>
      </c>
      <c r="BM98" s="145">
        <v>0</v>
      </c>
      <c r="BN98" s="927">
        <f t="shared" si="87"/>
        <v>585.01721824943422</v>
      </c>
    </row>
    <row r="99" spans="1:66">
      <c r="A99" s="805">
        <f>'Input data'!A129</f>
        <v>2029</v>
      </c>
      <c r="B99" s="728">
        <f>'Input data'!B129</f>
        <v>65.59730237662275</v>
      </c>
      <c r="C99" s="728">
        <f>'Recycling - Case 3'!AK109/B99</f>
        <v>304.77298702298305</v>
      </c>
      <c r="D99" s="729">
        <f>'Recycling - Case 3'!AM109</f>
        <v>0.16165080693454689</v>
      </c>
      <c r="E99" s="729">
        <f>'Recycling - Case 3'!BE109</f>
        <v>0.20805073761018861</v>
      </c>
      <c r="F99" s="729">
        <f>'Recycling - Case 3'!BF109</f>
        <v>0.26386462063184468</v>
      </c>
      <c r="G99" s="729">
        <f>'Recycling - Case 3'!BG109</f>
        <v>5.7461382594890288E-2</v>
      </c>
      <c r="H99" s="729">
        <f>'Recycling - Case 3'!BH109</f>
        <v>0</v>
      </c>
      <c r="I99" s="729">
        <f>'Recycling - Case 3'!BI109</f>
        <v>0</v>
      </c>
      <c r="J99" s="729">
        <f>'Recycling - Case 3'!BJ109</f>
        <v>0</v>
      </c>
      <c r="K99" s="729">
        <f>'Recycling - Case 3'!BK109</f>
        <v>0.47062325916307646</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0.10696508780585334</v>
      </c>
      <c r="Q99" s="734">
        <f t="shared" si="57"/>
        <v>169.25341334550589</v>
      </c>
      <c r="R99" s="734">
        <f t="shared" si="58"/>
        <v>169.25341334550589</v>
      </c>
      <c r="S99" s="737">
        <f t="shared" si="59"/>
        <v>0</v>
      </c>
      <c r="T99" s="734">
        <f t="shared" si="60"/>
        <v>10150.764256327024</v>
      </c>
      <c r="U99" s="734">
        <f t="shared" si="61"/>
        <v>511.76300440883426</v>
      </c>
      <c r="V99" s="741">
        <f t="shared" si="62"/>
        <v>341.17533627255619</v>
      </c>
      <c r="X99" s="750">
        <f>'Recycling - Case 3'!AM149</f>
        <v>0</v>
      </c>
      <c r="Y99" s="751">
        <f>Parameters!S269</f>
        <v>0.71500000000000008</v>
      </c>
      <c r="Z99" s="751">
        <f t="shared" si="63"/>
        <v>0.4</v>
      </c>
      <c r="AA99" s="752">
        <f t="shared" si="64"/>
        <v>0</v>
      </c>
      <c r="AB99" s="752">
        <f t="shared" si="65"/>
        <v>0</v>
      </c>
      <c r="AC99" s="753">
        <f t="shared" si="66"/>
        <v>0</v>
      </c>
      <c r="AD99" s="752">
        <f t="shared" si="67"/>
        <v>6258.8201671392162</v>
      </c>
      <c r="AE99" s="752">
        <f t="shared" si="68"/>
        <v>320.89657198959759</v>
      </c>
      <c r="AF99" s="754">
        <f t="shared" si="69"/>
        <v>213.93104799306505</v>
      </c>
      <c r="AH99" s="750">
        <f>'Recycling - Case 3'!AM189</f>
        <v>0</v>
      </c>
      <c r="AI99" s="751">
        <f>Parameters!S269</f>
        <v>0.71500000000000008</v>
      </c>
      <c r="AJ99" s="751">
        <f t="shared" si="70"/>
        <v>0.4</v>
      </c>
      <c r="AK99" s="752">
        <f t="shared" si="71"/>
        <v>0</v>
      </c>
      <c r="AL99" s="752">
        <f t="shared" si="72"/>
        <v>0</v>
      </c>
      <c r="AM99" s="753">
        <f t="shared" si="73"/>
        <v>0</v>
      </c>
      <c r="AN99" s="752">
        <f t="shared" si="74"/>
        <v>6258.8201671392162</v>
      </c>
      <c r="AO99" s="752">
        <f t="shared" si="75"/>
        <v>320.89657198959759</v>
      </c>
      <c r="AP99" s="754">
        <f t="shared" si="76"/>
        <v>213.93104799306505</v>
      </c>
      <c r="AR99" s="740">
        <f>'Recycling - Case 3'!G109</f>
        <v>730.44763408276515</v>
      </c>
      <c r="AS99" s="736">
        <v>1</v>
      </c>
      <c r="AT99" s="736">
        <f t="shared" si="77"/>
        <v>0.05</v>
      </c>
      <c r="AU99" s="734">
        <f t="shared" si="78"/>
        <v>18.261190852069131</v>
      </c>
      <c r="AV99" s="734">
        <f t="shared" si="79"/>
        <v>18.261190852069131</v>
      </c>
      <c r="AW99" s="737">
        <f t="shared" si="80"/>
        <v>0</v>
      </c>
      <c r="AX99" s="734">
        <f t="shared" si="44"/>
        <v>210.0400104223724</v>
      </c>
      <c r="AY99" s="734">
        <f t="shared" si="49"/>
        <v>11.858939902773182</v>
      </c>
      <c r="AZ99" s="808">
        <f t="shared" si="47"/>
        <v>7.9059599351821213</v>
      </c>
      <c r="BB99" s="913">
        <f t="shared" si="81"/>
        <v>341.17533627255619</v>
      </c>
      <c r="BC99" s="914">
        <f t="shared" si="82"/>
        <v>213.93104799306505</v>
      </c>
      <c r="BD99" s="933">
        <f t="shared" si="90"/>
        <v>7.9059599351821213</v>
      </c>
      <c r="BE99" s="914">
        <f t="shared" si="54"/>
        <v>563.01234420080334</v>
      </c>
      <c r="BF99" s="145">
        <v>0</v>
      </c>
      <c r="BG99" s="927">
        <f t="shared" si="83"/>
        <v>563.01234420080334</v>
      </c>
      <c r="BI99" s="913">
        <f t="shared" si="84"/>
        <v>341.17533627255619</v>
      </c>
      <c r="BJ99" s="914">
        <f t="shared" si="85"/>
        <v>213.93104799306505</v>
      </c>
      <c r="BK99" s="933">
        <f t="shared" si="86"/>
        <v>7.9059599351821213</v>
      </c>
      <c r="BL99" s="914">
        <f t="shared" si="55"/>
        <v>563.01234420080334</v>
      </c>
      <c r="BM99" s="145">
        <v>0</v>
      </c>
      <c r="BN99" s="927">
        <f t="shared" si="87"/>
        <v>563.01234420080334</v>
      </c>
    </row>
    <row r="100" spans="1:66">
      <c r="A100" s="805">
        <f>'Input data'!A130</f>
        <v>2030</v>
      </c>
      <c r="B100" s="728">
        <f>'Input data'!B130</f>
        <v>66.183214701401099</v>
      </c>
      <c r="C100" s="728">
        <f>'Recycling - Case 3'!AK110/B100</f>
        <v>298.20794115922075</v>
      </c>
      <c r="D100" s="729">
        <f>'Recycling - Case 3'!AM110</f>
        <v>0.14680762595651292</v>
      </c>
      <c r="E100" s="729">
        <f>'Recycling - Case 3'!BE110</f>
        <v>0.21169961154794092</v>
      </c>
      <c r="F100" s="729">
        <f>'Recycling - Case 3'!BF110</f>
        <v>0.26849237993891517</v>
      </c>
      <c r="G100" s="729">
        <f>'Recycling - Case 3'!BG110</f>
        <v>5.5351688445270802E-2</v>
      </c>
      <c r="H100" s="729">
        <f>'Recycling - Case 3'!BH110</f>
        <v>0</v>
      </c>
      <c r="I100" s="729">
        <f>'Recycling - Case 3'!BI110</f>
        <v>0</v>
      </c>
      <c r="J100" s="729">
        <f>'Recycling - Case 3'!BJ110</f>
        <v>0</v>
      </c>
      <c r="K100" s="729">
        <f>'Recycling - Case 3'!BK110</f>
        <v>0.46445632006787291</v>
      </c>
      <c r="L100" s="730">
        <f t="shared" si="89"/>
        <v>0.99999999999999978</v>
      </c>
      <c r="N100" s="740">
        <f t="shared" si="56"/>
        <v>2897.4481853098064</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0.10759409309808249</v>
      </c>
      <c r="Q100" s="734">
        <f t="shared" si="57"/>
        <v>155.87415489854672</v>
      </c>
      <c r="R100" s="734">
        <f t="shared" si="58"/>
        <v>155.87415489854672</v>
      </c>
      <c r="S100" s="737">
        <f t="shared" si="59"/>
        <v>0</v>
      </c>
      <c r="T100" s="734">
        <f t="shared" si="60"/>
        <v>9811.5797966869195</v>
      </c>
      <c r="U100" s="734">
        <f t="shared" si="61"/>
        <v>495.05861453865066</v>
      </c>
      <c r="V100" s="741">
        <f t="shared" si="62"/>
        <v>330.03907635910042</v>
      </c>
      <c r="X100" s="750">
        <f>'Recycling - Case 3'!AM150</f>
        <v>0</v>
      </c>
      <c r="Y100" s="751">
        <f>Parameters!S270</f>
        <v>0.71500000000000008</v>
      </c>
      <c r="Z100" s="751">
        <f t="shared" si="63"/>
        <v>0.4</v>
      </c>
      <c r="AA100" s="752">
        <f t="shared" si="64"/>
        <v>0</v>
      </c>
      <c r="AB100" s="752">
        <f t="shared" si="65"/>
        <v>0</v>
      </c>
      <c r="AC100" s="753">
        <f t="shared" si="66"/>
        <v>0</v>
      </c>
      <c r="AD100" s="752">
        <f t="shared" si="67"/>
        <v>5953.5739056412995</v>
      </c>
      <c r="AE100" s="752">
        <f t="shared" si="68"/>
        <v>305.24626149791686</v>
      </c>
      <c r="AF100" s="754">
        <f t="shared" si="69"/>
        <v>203.49750766527791</v>
      </c>
      <c r="AH100" s="750">
        <f>'Recycling - Case 3'!AM190</f>
        <v>0</v>
      </c>
      <c r="AI100" s="751">
        <f>Parameters!S270</f>
        <v>0.71500000000000008</v>
      </c>
      <c r="AJ100" s="751">
        <f t="shared" si="70"/>
        <v>0.4</v>
      </c>
      <c r="AK100" s="752">
        <f t="shared" si="71"/>
        <v>0</v>
      </c>
      <c r="AL100" s="752">
        <f t="shared" si="72"/>
        <v>0</v>
      </c>
      <c r="AM100" s="753">
        <f t="shared" si="73"/>
        <v>0</v>
      </c>
      <c r="AN100" s="752">
        <f t="shared" si="74"/>
        <v>5953.5739056412995</v>
      </c>
      <c r="AO100" s="752">
        <f t="shared" si="75"/>
        <v>305.24626149791686</v>
      </c>
      <c r="AP100" s="754">
        <f t="shared" si="76"/>
        <v>203.49750766527791</v>
      </c>
      <c r="AR100" s="740">
        <f>'Recycling - Case 3'!G110</f>
        <v>749.49998610946295</v>
      </c>
      <c r="AS100" s="736">
        <v>1</v>
      </c>
      <c r="AT100" s="736">
        <f t="shared" si="77"/>
        <v>0.05</v>
      </c>
      <c r="AU100" s="734">
        <f t="shared" si="78"/>
        <v>18.737499652736574</v>
      </c>
      <c r="AV100" s="734">
        <f t="shared" si="79"/>
        <v>18.737499652736574</v>
      </c>
      <c r="AW100" s="737">
        <f t="shared" si="80"/>
        <v>0</v>
      </c>
      <c r="AX100" s="734">
        <f t="shared" si="44"/>
        <v>216.54573210219286</v>
      </c>
      <c r="AY100" s="734">
        <f t="shared" si="49"/>
        <v>12.231777972916117</v>
      </c>
      <c r="AZ100" s="808">
        <f t="shared" si="47"/>
        <v>8.154518648610745</v>
      </c>
      <c r="BB100" s="913">
        <f t="shared" si="81"/>
        <v>330.03907635910042</v>
      </c>
      <c r="BC100" s="914">
        <f t="shared" si="82"/>
        <v>203.49750766527791</v>
      </c>
      <c r="BD100" s="933">
        <f t="shared" si="90"/>
        <v>8.154518648610745</v>
      </c>
      <c r="BE100" s="914">
        <f t="shared" si="54"/>
        <v>541.69110267298902</v>
      </c>
      <c r="BF100" s="145">
        <v>0</v>
      </c>
      <c r="BG100" s="927">
        <f t="shared" si="83"/>
        <v>541.69110267298902</v>
      </c>
      <c r="BI100" s="913">
        <f t="shared" si="84"/>
        <v>330.03907635910042</v>
      </c>
      <c r="BJ100" s="914">
        <f t="shared" si="85"/>
        <v>203.49750766527791</v>
      </c>
      <c r="BK100" s="933">
        <f t="shared" si="86"/>
        <v>8.154518648610745</v>
      </c>
      <c r="BL100" s="914">
        <f t="shared" si="55"/>
        <v>541.69110267298902</v>
      </c>
      <c r="BM100" s="145">
        <v>0</v>
      </c>
      <c r="BN100" s="927">
        <f t="shared" si="87"/>
        <v>541.69110267298902</v>
      </c>
    </row>
    <row r="101" spans="1:66">
      <c r="A101" s="805">
        <f>'Input data'!A131</f>
        <v>2031</v>
      </c>
      <c r="B101" s="728">
        <f>'Input data'!B131</f>
        <v>66.757007289602299</v>
      </c>
      <c r="C101" s="728">
        <f>'Recycling - Case 3'!AK111/B101</f>
        <v>289.7737653587709</v>
      </c>
      <c r="D101" s="729">
        <f>'Recycling - Case 3'!AM111</f>
        <v>0.13249950113825337</v>
      </c>
      <c r="E101" s="729">
        <f>'Recycling - Case 3'!BE111</f>
        <v>0.21240232854872365</v>
      </c>
      <c r="F101" s="729">
        <f>'Recycling - Case 3'!BF111</f>
        <v>0.26938361520658582</v>
      </c>
      <c r="G101" s="729">
        <f>'Recycling - Case 3'!BG111</f>
        <v>5.5181956644461475E-2</v>
      </c>
      <c r="H101" s="729">
        <f>'Recycling - Case 3'!BH111</f>
        <v>0</v>
      </c>
      <c r="I101" s="729">
        <f>'Recycling - Case 3'!BI111</f>
        <v>0</v>
      </c>
      <c r="J101" s="729">
        <f>'Recycling - Case 3'!BJ111</f>
        <v>0</v>
      </c>
      <c r="K101" s="729">
        <f>'Recycling - Case 3'!BK111</f>
        <v>0.4630320996002289</v>
      </c>
      <c r="L101" s="730">
        <f t="shared" si="89"/>
        <v>0.99999999999999978</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0.1078098549814103</v>
      </c>
      <c r="Q101" s="734">
        <f t="shared" si="57"/>
        <v>138.16518806752336</v>
      </c>
      <c r="R101" s="734">
        <f t="shared" si="58"/>
        <v>138.16518806752336</v>
      </c>
      <c r="S101" s="737">
        <f t="shared" si="59"/>
        <v>0</v>
      </c>
      <c r="T101" s="734">
        <f t="shared" si="60"/>
        <v>9471.2285915128541</v>
      </c>
      <c r="U101" s="734">
        <f t="shared" si="61"/>
        <v>478.51639324158845</v>
      </c>
      <c r="V101" s="741">
        <f t="shared" si="62"/>
        <v>319.01092882772565</v>
      </c>
      <c r="X101" s="750">
        <f>'Recycling - Case 3'!AM151</f>
        <v>0</v>
      </c>
      <c r="Y101" s="751">
        <f>Parameters!S271</f>
        <v>0.71500000000000008</v>
      </c>
      <c r="Z101" s="751">
        <f t="shared" si="63"/>
        <v>0.4</v>
      </c>
      <c r="AA101" s="752">
        <f t="shared" si="64"/>
        <v>0</v>
      </c>
      <c r="AB101" s="752">
        <f t="shared" si="65"/>
        <v>0</v>
      </c>
      <c r="AC101" s="753">
        <f t="shared" si="66"/>
        <v>0</v>
      </c>
      <c r="AD101" s="752">
        <f t="shared" si="67"/>
        <v>5663.2146799856419</v>
      </c>
      <c r="AE101" s="752">
        <f t="shared" si="68"/>
        <v>290.35922565565795</v>
      </c>
      <c r="AF101" s="754">
        <f t="shared" si="69"/>
        <v>193.57281710377197</v>
      </c>
      <c r="AH101" s="750">
        <f>'Recycling - Case 3'!AM191</f>
        <v>0</v>
      </c>
      <c r="AI101" s="751">
        <f>Parameters!S271</f>
        <v>0.71500000000000008</v>
      </c>
      <c r="AJ101" s="751">
        <f t="shared" si="70"/>
        <v>0.4</v>
      </c>
      <c r="AK101" s="752">
        <f t="shared" si="71"/>
        <v>0</v>
      </c>
      <c r="AL101" s="752">
        <f t="shared" si="72"/>
        <v>0</v>
      </c>
      <c r="AM101" s="753">
        <f t="shared" si="73"/>
        <v>0</v>
      </c>
      <c r="AN101" s="752">
        <f t="shared" si="74"/>
        <v>5663.2146799856419</v>
      </c>
      <c r="AO101" s="752">
        <f t="shared" si="75"/>
        <v>290.35922565565795</v>
      </c>
      <c r="AP101" s="754">
        <f t="shared" si="76"/>
        <v>193.57281710377197</v>
      </c>
      <c r="AR101" s="740">
        <f>'Recycling - Case 3'!G111</f>
        <v>755.9979711170937</v>
      </c>
      <c r="AS101" s="736">
        <v>1</v>
      </c>
      <c r="AT101" s="736">
        <f t="shared" si="77"/>
        <v>0.05</v>
      </c>
      <c r="AU101" s="734">
        <f t="shared" si="78"/>
        <v>18.899949277927345</v>
      </c>
      <c r="AV101" s="734">
        <f t="shared" si="79"/>
        <v>18.899949277927345</v>
      </c>
      <c r="AW101" s="737">
        <f t="shared" si="80"/>
        <v>0</v>
      </c>
      <c r="AX101" s="734">
        <f t="shared" si="44"/>
        <v>222.83503967080867</v>
      </c>
      <c r="AY101" s="734">
        <f t="shared" si="49"/>
        <v>12.610641709311526</v>
      </c>
      <c r="AZ101" s="808">
        <f t="shared" si="47"/>
        <v>8.4070944728743502</v>
      </c>
      <c r="BB101" s="913">
        <f t="shared" si="81"/>
        <v>319.01092882772565</v>
      </c>
      <c r="BC101" s="914">
        <f t="shared" si="82"/>
        <v>193.57281710377197</v>
      </c>
      <c r="BD101" s="933">
        <f t="shared" si="90"/>
        <v>8.4070944728743502</v>
      </c>
      <c r="BE101" s="914">
        <f t="shared" si="54"/>
        <v>520.99084040437197</v>
      </c>
      <c r="BF101" s="145">
        <v>0</v>
      </c>
      <c r="BG101" s="927">
        <f t="shared" si="83"/>
        <v>520.99084040437197</v>
      </c>
      <c r="BI101" s="913">
        <f t="shared" si="84"/>
        <v>319.01092882772565</v>
      </c>
      <c r="BJ101" s="914">
        <f t="shared" si="85"/>
        <v>193.57281710377197</v>
      </c>
      <c r="BK101" s="933">
        <f t="shared" si="86"/>
        <v>8.4070944728743502</v>
      </c>
      <c r="BL101" s="914">
        <f t="shared" si="55"/>
        <v>520.99084040437197</v>
      </c>
      <c r="BM101" s="145">
        <v>0</v>
      </c>
      <c r="BN101" s="927">
        <f t="shared" si="87"/>
        <v>520.99084040437197</v>
      </c>
    </row>
    <row r="102" spans="1:66">
      <c r="A102" s="805">
        <f>'Input data'!A132</f>
        <v>2032</v>
      </c>
      <c r="B102" s="728">
        <f>'Input data'!B132</f>
        <v>67.318270994163854</v>
      </c>
      <c r="C102" s="728">
        <f>'Recycling - Case 3'!AK112/B102</f>
        <v>281.52381458283861</v>
      </c>
      <c r="D102" s="729">
        <f>'Recycling - Case 3'!AM112</f>
        <v>0.11760457979495348</v>
      </c>
      <c r="E102" s="729">
        <f>'Recycling - Case 3'!BE112</f>
        <v>0.21307405864748558</v>
      </c>
      <c r="F102" s="729">
        <f>'Recycling - Case 3'!BF112</f>
        <v>0.27023555069940242</v>
      </c>
      <c r="G102" s="729">
        <f>'Recycling - Case 3'!BG112</f>
        <v>5.5019709311333487E-2</v>
      </c>
      <c r="H102" s="729">
        <f>'Recycling - Case 3'!BH112</f>
        <v>0</v>
      </c>
      <c r="I102" s="729">
        <f>'Recycling - Case 3'!BI112</f>
        <v>0</v>
      </c>
      <c r="J102" s="729">
        <f>'Recycling - Case 3'!BJ112</f>
        <v>0</v>
      </c>
      <c r="K102" s="729">
        <f>'Recycling - Case 3'!BK112</f>
        <v>0.46167068134177863</v>
      </c>
      <c r="L102" s="730">
        <f t="shared" si="89"/>
        <v>1</v>
      </c>
      <c r="N102" s="740">
        <f t="shared" si="56"/>
        <v>2228.8062963921584</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0.10801610266153672</v>
      </c>
      <c r="Q102" s="734">
        <f t="shared" si="57"/>
        <v>120.37348486188741</v>
      </c>
      <c r="R102" s="734">
        <f t="shared" si="58"/>
        <v>120.37348486188741</v>
      </c>
      <c r="S102" s="737">
        <f t="shared" si="59"/>
        <v>0</v>
      </c>
      <c r="T102" s="734">
        <f t="shared" si="60"/>
        <v>9129.6848072813682</v>
      </c>
      <c r="U102" s="734">
        <f t="shared" si="61"/>
        <v>461.9172690933737</v>
      </c>
      <c r="V102" s="741">
        <f t="shared" si="62"/>
        <v>307.94484606224916</v>
      </c>
      <c r="X102" s="750">
        <f>'Recycling - Case 3'!AM152</f>
        <v>0</v>
      </c>
      <c r="Y102" s="751">
        <f>Parameters!S272</f>
        <v>0.71500000000000008</v>
      </c>
      <c r="Z102" s="751">
        <f t="shared" si="63"/>
        <v>0.4</v>
      </c>
      <c r="AA102" s="752">
        <f t="shared" si="64"/>
        <v>0</v>
      </c>
      <c r="AB102" s="752">
        <f t="shared" si="65"/>
        <v>0</v>
      </c>
      <c r="AC102" s="753">
        <f t="shared" si="66"/>
        <v>0</v>
      </c>
      <c r="AD102" s="752">
        <f t="shared" si="67"/>
        <v>5387.016440866737</v>
      </c>
      <c r="AE102" s="752">
        <f t="shared" si="68"/>
        <v>276.19823911890444</v>
      </c>
      <c r="AF102" s="754">
        <f t="shared" si="69"/>
        <v>184.13215941260296</v>
      </c>
      <c r="AH102" s="750">
        <f>'Recycling - Case 3'!AM192</f>
        <v>0</v>
      </c>
      <c r="AI102" s="751">
        <f>Parameters!S272</f>
        <v>0.71500000000000008</v>
      </c>
      <c r="AJ102" s="751">
        <f t="shared" si="70"/>
        <v>0.4</v>
      </c>
      <c r="AK102" s="752">
        <f t="shared" si="71"/>
        <v>0</v>
      </c>
      <c r="AL102" s="752">
        <f t="shared" si="72"/>
        <v>0</v>
      </c>
      <c r="AM102" s="753">
        <f t="shared" si="73"/>
        <v>0</v>
      </c>
      <c r="AN102" s="752">
        <f t="shared" si="74"/>
        <v>5387.016440866737</v>
      </c>
      <c r="AO102" s="752">
        <f t="shared" si="75"/>
        <v>276.19823911890444</v>
      </c>
      <c r="AP102" s="754">
        <f t="shared" si="76"/>
        <v>184.13215941260296</v>
      </c>
      <c r="AR102" s="740">
        <f>'Recycling - Case 3'!G112</f>
        <v>762.35407123508526</v>
      </c>
      <c r="AS102" s="736">
        <v>1</v>
      </c>
      <c r="AT102" s="736">
        <f t="shared" si="77"/>
        <v>0.05</v>
      </c>
      <c r="AU102" s="734">
        <f t="shared" si="78"/>
        <v>19.058851780877131</v>
      </c>
      <c r="AV102" s="734">
        <f t="shared" si="79"/>
        <v>19.058851780877131</v>
      </c>
      <c r="AW102" s="737">
        <f t="shared" si="80"/>
        <v>0</v>
      </c>
      <c r="AX102" s="734">
        <f t="shared" si="44"/>
        <v>228.91698898268382</v>
      </c>
      <c r="AY102" s="734">
        <f t="shared" si="49"/>
        <v>12.976902469001983</v>
      </c>
      <c r="AZ102" s="808">
        <f t="shared" si="47"/>
        <v>8.6512683126679892</v>
      </c>
      <c r="BB102" s="913">
        <f t="shared" si="81"/>
        <v>307.94484606224916</v>
      </c>
      <c r="BC102" s="914">
        <f t="shared" si="82"/>
        <v>184.13215941260296</v>
      </c>
      <c r="BD102" s="933">
        <f t="shared" si="90"/>
        <v>8.6512683126679892</v>
      </c>
      <c r="BE102" s="914">
        <f t="shared" si="54"/>
        <v>500.7282737875201</v>
      </c>
      <c r="BF102" s="145">
        <v>0</v>
      </c>
      <c r="BG102" s="927">
        <f t="shared" si="83"/>
        <v>500.7282737875201</v>
      </c>
      <c r="BI102" s="913">
        <f t="shared" si="84"/>
        <v>307.94484606224916</v>
      </c>
      <c r="BJ102" s="914">
        <f t="shared" si="85"/>
        <v>184.13215941260296</v>
      </c>
      <c r="BK102" s="933">
        <f t="shared" si="86"/>
        <v>8.6512683126679892</v>
      </c>
      <c r="BL102" s="914">
        <f t="shared" si="55"/>
        <v>500.7282737875201</v>
      </c>
      <c r="BM102" s="145">
        <v>0</v>
      </c>
      <c r="BN102" s="927">
        <f t="shared" si="87"/>
        <v>500.7282737875201</v>
      </c>
    </row>
    <row r="103" spans="1:66">
      <c r="A103" s="805">
        <f>'Input data'!A133</f>
        <v>2033</v>
      </c>
      <c r="B103" s="728">
        <f>'Input data'!B133</f>
        <v>67.86660286866902</v>
      </c>
      <c r="C103" s="728">
        <f>'Recycling - Case 3'!AK113/B103</f>
        <v>280.33967009543602</v>
      </c>
      <c r="D103" s="729">
        <f>'Recycling - Case 3'!AM113</f>
        <v>0.11714713111046716</v>
      </c>
      <c r="E103" s="729">
        <f>'Recycling - Case 3'!BE113</f>
        <v>0.21371587076272405</v>
      </c>
      <c r="F103" s="729">
        <f>'Recycling - Case 3'!BF113</f>
        <v>0.27104954209520138</v>
      </c>
      <c r="G103" s="729">
        <f>'Recycling - Case 3'!BG113</f>
        <v>5.4864688263060339E-2</v>
      </c>
      <c r="H103" s="729">
        <f>'Recycling - Case 3'!BH113</f>
        <v>0</v>
      </c>
      <c r="I103" s="729">
        <f>'Recycling - Case 3'!BI113</f>
        <v>0</v>
      </c>
      <c r="J103" s="729">
        <f>'Recycling - Case 3'!BJ113</f>
        <v>0</v>
      </c>
      <c r="K103" s="729">
        <f>'Recycling - Case 3'!BK113</f>
        <v>0.46036989887901436</v>
      </c>
      <c r="L103" s="730">
        <f t="shared" si="89"/>
        <v>1</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0.10821316433867302</v>
      </c>
      <c r="Q103" s="734">
        <f t="shared" si="57"/>
        <v>120.5930910152769</v>
      </c>
      <c r="R103" s="734">
        <f t="shared" si="58"/>
        <v>120.5930910152769</v>
      </c>
      <c r="S103" s="737">
        <f t="shared" si="59"/>
        <v>0</v>
      </c>
      <c r="T103" s="734">
        <f t="shared" si="60"/>
        <v>8805.0179161184442</v>
      </c>
      <c r="U103" s="734">
        <f t="shared" si="61"/>
        <v>445.25998217820018</v>
      </c>
      <c r="V103" s="741">
        <f t="shared" si="62"/>
        <v>296.83998811880014</v>
      </c>
      <c r="X103" s="750">
        <f>'Recycling - Case 3'!AM153</f>
        <v>0</v>
      </c>
      <c r="Y103" s="751">
        <f>Parameters!S273</f>
        <v>0.71500000000000008</v>
      </c>
      <c r="Z103" s="751">
        <f t="shared" si="63"/>
        <v>0.4</v>
      </c>
      <c r="AA103" s="752">
        <f t="shared" si="64"/>
        <v>0</v>
      </c>
      <c r="AB103" s="752">
        <f t="shared" si="65"/>
        <v>0</v>
      </c>
      <c r="AC103" s="753">
        <f t="shared" si="66"/>
        <v>0</v>
      </c>
      <c r="AD103" s="752">
        <f t="shared" si="67"/>
        <v>5124.2885488215506</v>
      </c>
      <c r="AE103" s="752">
        <f t="shared" si="68"/>
        <v>262.72789204518608</v>
      </c>
      <c r="AF103" s="754">
        <f t="shared" si="69"/>
        <v>175.15192803012405</v>
      </c>
      <c r="AH103" s="750">
        <f>'Recycling - Case 3'!AM193</f>
        <v>0</v>
      </c>
      <c r="AI103" s="751">
        <f>Parameters!S273</f>
        <v>0.71500000000000008</v>
      </c>
      <c r="AJ103" s="751">
        <f t="shared" si="70"/>
        <v>0.4</v>
      </c>
      <c r="AK103" s="752">
        <f t="shared" si="71"/>
        <v>0</v>
      </c>
      <c r="AL103" s="752">
        <f t="shared" si="72"/>
        <v>0</v>
      </c>
      <c r="AM103" s="753">
        <f t="shared" si="73"/>
        <v>0</v>
      </c>
      <c r="AN103" s="752">
        <f t="shared" si="74"/>
        <v>5124.2885488215506</v>
      </c>
      <c r="AO103" s="752">
        <f t="shared" si="75"/>
        <v>262.72789204518608</v>
      </c>
      <c r="AP103" s="754">
        <f t="shared" si="76"/>
        <v>175.15192803012405</v>
      </c>
      <c r="AR103" s="740">
        <f>'Recycling - Case 3'!G113</f>
        <v>768.56372324699169</v>
      </c>
      <c r="AS103" s="736">
        <v>1</v>
      </c>
      <c r="AT103" s="736">
        <f t="shared" si="77"/>
        <v>0.05</v>
      </c>
      <c r="AU103" s="734">
        <f t="shared" si="78"/>
        <v>19.214093081174795</v>
      </c>
      <c r="AV103" s="734">
        <f t="shared" si="79"/>
        <v>19.214093081174795</v>
      </c>
      <c r="AW103" s="737">
        <f t="shared" si="80"/>
        <v>0</v>
      </c>
      <c r="AX103" s="734">
        <f t="shared" si="44"/>
        <v>234.79999443996263</v>
      </c>
      <c r="AY103" s="734">
        <f t="shared" si="49"/>
        <v>13.331087623895989</v>
      </c>
      <c r="AZ103" s="808">
        <f t="shared" si="47"/>
        <v>8.8873917492639922</v>
      </c>
      <c r="BB103" s="913">
        <f t="shared" si="81"/>
        <v>296.83998811880014</v>
      </c>
      <c r="BC103" s="914">
        <f t="shared" si="82"/>
        <v>175.15192803012405</v>
      </c>
      <c r="BD103" s="933">
        <f t="shared" si="90"/>
        <v>8.8873917492639922</v>
      </c>
      <c r="BE103" s="914">
        <f t="shared" si="54"/>
        <v>480.87930789818819</v>
      </c>
      <c r="BF103" s="145">
        <v>0</v>
      </c>
      <c r="BG103" s="927">
        <f t="shared" si="83"/>
        <v>480.87930789818819</v>
      </c>
      <c r="BI103" s="913">
        <f t="shared" si="84"/>
        <v>296.83998811880014</v>
      </c>
      <c r="BJ103" s="914">
        <f t="shared" si="85"/>
        <v>175.15192803012405</v>
      </c>
      <c r="BK103" s="933">
        <f t="shared" si="86"/>
        <v>8.8873917492639922</v>
      </c>
      <c r="BL103" s="914">
        <f t="shared" si="55"/>
        <v>480.87930789818819</v>
      </c>
      <c r="BM103" s="145">
        <v>0</v>
      </c>
      <c r="BN103" s="927">
        <f t="shared" si="87"/>
        <v>480.87930789818819</v>
      </c>
    </row>
    <row r="104" spans="1:66">
      <c r="A104" s="805">
        <f>'Input data'!A134</f>
        <v>2034</v>
      </c>
      <c r="B104" s="728">
        <f>'Input data'!B134</f>
        <v>68.401606645337111</v>
      </c>
      <c r="C104" s="728">
        <f>'Recycling - Case 3'!AK114/B104</f>
        <v>279.20336824162263</v>
      </c>
      <c r="D104" s="729">
        <f>'Recycling - Case 3'!AM114</f>
        <v>0.11670390014275267</v>
      </c>
      <c r="E104" s="729">
        <f>'Recycling - Case 3'!BE114</f>
        <v>0.21432877007065254</v>
      </c>
      <c r="F104" s="729">
        <f>'Recycling - Case 3'!BF114</f>
        <v>0.27182686422935831</v>
      </c>
      <c r="G104" s="729">
        <f>'Recycling - Case 3'!BG114</f>
        <v>5.4716650712903409E-2</v>
      </c>
      <c r="H104" s="729">
        <f>'Recycling - Case 3'!BH114</f>
        <v>0</v>
      </c>
      <c r="I104" s="729">
        <f>'Recycling - Case 3'!BI114</f>
        <v>0</v>
      </c>
      <c r="J104" s="729">
        <f>'Recycling - Case 3'!BJ114</f>
        <v>0</v>
      </c>
      <c r="K104" s="729">
        <f>'Recycling - Case 3'!BK114</f>
        <v>0.45912771498708599</v>
      </c>
      <c r="L104" s="730">
        <f t="shared" si="89"/>
        <v>1.0000000000000002</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0.10840134864163092</v>
      </c>
      <c r="Q104" s="734">
        <f t="shared" si="57"/>
        <v>120.80280419493427</v>
      </c>
      <c r="R104" s="734">
        <f t="shared" si="58"/>
        <v>120.80280419493427</v>
      </c>
      <c r="S104" s="737">
        <f t="shared" si="59"/>
        <v>0</v>
      </c>
      <c r="T104" s="734">
        <f t="shared" si="60"/>
        <v>8496.3949292627585</v>
      </c>
      <c r="U104" s="734">
        <f t="shared" si="61"/>
        <v>429.42579105062032</v>
      </c>
      <c r="V104" s="741">
        <f t="shared" si="62"/>
        <v>286.28386070041353</v>
      </c>
      <c r="X104" s="750">
        <f>'Recycling - Case 3'!AM154</f>
        <v>0</v>
      </c>
      <c r="Y104" s="751">
        <f>Parameters!S274</f>
        <v>0.71500000000000008</v>
      </c>
      <c r="Z104" s="751">
        <f t="shared" si="63"/>
        <v>0.4</v>
      </c>
      <c r="AA104" s="752">
        <f t="shared" si="64"/>
        <v>0</v>
      </c>
      <c r="AB104" s="752">
        <f t="shared" si="65"/>
        <v>0</v>
      </c>
      <c r="AC104" s="753">
        <f t="shared" si="66"/>
        <v>0</v>
      </c>
      <c r="AD104" s="752">
        <f t="shared" si="67"/>
        <v>4874.3740472711224</v>
      </c>
      <c r="AE104" s="752">
        <f t="shared" si="68"/>
        <v>249.91450155042804</v>
      </c>
      <c r="AF104" s="754">
        <f t="shared" si="69"/>
        <v>166.60966770028537</v>
      </c>
      <c r="AH104" s="750">
        <f>'Recycling - Case 3'!AM194</f>
        <v>0</v>
      </c>
      <c r="AI104" s="751">
        <f>Parameters!S274</f>
        <v>0.71500000000000008</v>
      </c>
      <c r="AJ104" s="751">
        <f t="shared" si="70"/>
        <v>0.4</v>
      </c>
      <c r="AK104" s="752">
        <f t="shared" si="71"/>
        <v>0</v>
      </c>
      <c r="AL104" s="752">
        <f t="shared" si="72"/>
        <v>0</v>
      </c>
      <c r="AM104" s="753">
        <f t="shared" si="73"/>
        <v>0</v>
      </c>
      <c r="AN104" s="752">
        <f t="shared" si="74"/>
        <v>4874.3740472711224</v>
      </c>
      <c r="AO104" s="752">
        <f t="shared" si="75"/>
        <v>249.91450155042804</v>
      </c>
      <c r="AP104" s="754">
        <f t="shared" si="76"/>
        <v>166.60966770028537</v>
      </c>
      <c r="AR104" s="740">
        <f>'Recycling - Case 3'!G114</f>
        <v>774.62243956940631</v>
      </c>
      <c r="AS104" s="736">
        <v>1</v>
      </c>
      <c r="AT104" s="736">
        <f t="shared" si="77"/>
        <v>0.05</v>
      </c>
      <c r="AU104" s="734">
        <f t="shared" si="78"/>
        <v>19.36556098923516</v>
      </c>
      <c r="AV104" s="734">
        <f t="shared" si="79"/>
        <v>19.36556098923516</v>
      </c>
      <c r="AW104" s="737">
        <f t="shared" si="80"/>
        <v>0</v>
      </c>
      <c r="AX104" s="734">
        <f t="shared" si="44"/>
        <v>240.49186823857076</v>
      </c>
      <c r="AY104" s="734">
        <f t="shared" si="49"/>
        <v>13.673687190627032</v>
      </c>
      <c r="AZ104" s="808">
        <f t="shared" si="47"/>
        <v>9.1157914604180217</v>
      </c>
      <c r="BB104" s="913">
        <f t="shared" si="81"/>
        <v>286.28386070041353</v>
      </c>
      <c r="BC104" s="914">
        <f t="shared" si="82"/>
        <v>166.60966770028537</v>
      </c>
      <c r="BD104" s="933">
        <f t="shared" si="90"/>
        <v>9.1157914604180217</v>
      </c>
      <c r="BE104" s="914">
        <f t="shared" si="54"/>
        <v>462.00931986111686</v>
      </c>
      <c r="BF104" s="145">
        <v>0</v>
      </c>
      <c r="BG104" s="927">
        <f t="shared" si="83"/>
        <v>462.00931986111686</v>
      </c>
      <c r="BI104" s="913">
        <f t="shared" si="84"/>
        <v>286.28386070041353</v>
      </c>
      <c r="BJ104" s="914">
        <f t="shared" si="85"/>
        <v>166.60966770028537</v>
      </c>
      <c r="BK104" s="933">
        <f t="shared" si="86"/>
        <v>9.1157914604180217</v>
      </c>
      <c r="BL104" s="914">
        <f t="shared" si="55"/>
        <v>462.00931986111686</v>
      </c>
      <c r="BM104" s="145">
        <v>0</v>
      </c>
      <c r="BN104" s="927">
        <f t="shared" si="87"/>
        <v>462.00931986111686</v>
      </c>
    </row>
    <row r="105" spans="1:66">
      <c r="A105" s="805">
        <f>'Input data'!A135</f>
        <v>2035</v>
      </c>
      <c r="B105" s="728">
        <f>'Input data'!B135</f>
        <v>68.922893208527455</v>
      </c>
      <c r="C105" s="728">
        <f>'Recycling - Case 3'!AK115/B105</f>
        <v>278.113864363495</v>
      </c>
      <c r="D105" s="729">
        <f>'Recycling - Case 3'!AM115</f>
        <v>0.11627495674850458</v>
      </c>
      <c r="E105" s="729">
        <f>'Recycling - Case 3'!BE115</f>
        <v>0.21491370180582497</v>
      </c>
      <c r="F105" s="729">
        <f>'Recycling - Case 3'!BF115</f>
        <v>0.2725687159150082</v>
      </c>
      <c r="G105" s="729">
        <f>'Recycling - Case 3'!BG115</f>
        <v>5.4575368352222223E-2</v>
      </c>
      <c r="H105" s="729">
        <f>'Recycling - Case 3'!BH115</f>
        <v>0</v>
      </c>
      <c r="I105" s="729">
        <f>'Recycling - Case 3'!BI115</f>
        <v>0</v>
      </c>
      <c r="J105" s="729">
        <f>'Recycling - Case 3'!BJ115</f>
        <v>0</v>
      </c>
      <c r="K105" s="729">
        <f>'Recycling - Case 3'!BK115</f>
        <v>0.45794221392694456</v>
      </c>
      <c r="L105" s="730">
        <f t="shared" si="89"/>
        <v>1</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0.10858094579476429</v>
      </c>
      <c r="Q105" s="734">
        <f t="shared" si="57"/>
        <v>121.00294782779315</v>
      </c>
      <c r="R105" s="734">
        <f t="shared" si="58"/>
        <v>121.00294782779315</v>
      </c>
      <c r="S105" s="737">
        <f t="shared" si="59"/>
        <v>0</v>
      </c>
      <c r="T105" s="734">
        <f t="shared" si="60"/>
        <v>8203.0238067211922</v>
      </c>
      <c r="U105" s="734">
        <f t="shared" si="61"/>
        <v>414.37407036935997</v>
      </c>
      <c r="V105" s="741">
        <f t="shared" si="62"/>
        <v>276.24938024623998</v>
      </c>
      <c r="X105" s="750">
        <f>'Recycling - Case 3'!AM155</f>
        <v>0</v>
      </c>
      <c r="Y105" s="751">
        <f>Parameters!S275</f>
        <v>0.71500000000000008</v>
      </c>
      <c r="Z105" s="751">
        <f t="shared" si="63"/>
        <v>0.4</v>
      </c>
      <c r="AA105" s="752">
        <f t="shared" si="64"/>
        <v>0</v>
      </c>
      <c r="AB105" s="752">
        <f t="shared" si="65"/>
        <v>0</v>
      </c>
      <c r="AC105" s="753">
        <f t="shared" si="66"/>
        <v>0</v>
      </c>
      <c r="AD105" s="752">
        <f t="shared" si="67"/>
        <v>4636.6480197869259</v>
      </c>
      <c r="AE105" s="752">
        <f t="shared" si="68"/>
        <v>237.72602748419646</v>
      </c>
      <c r="AF105" s="754">
        <f t="shared" si="69"/>
        <v>158.48401832279765</v>
      </c>
      <c r="AH105" s="750">
        <f>'Recycling - Case 3'!AM195</f>
        <v>0</v>
      </c>
      <c r="AI105" s="751">
        <f>Parameters!S275</f>
        <v>0.71500000000000008</v>
      </c>
      <c r="AJ105" s="751">
        <f t="shared" si="70"/>
        <v>0.4</v>
      </c>
      <c r="AK105" s="752">
        <f t="shared" si="71"/>
        <v>0</v>
      </c>
      <c r="AL105" s="752">
        <f t="shared" si="72"/>
        <v>0</v>
      </c>
      <c r="AM105" s="753">
        <f t="shared" si="73"/>
        <v>0</v>
      </c>
      <c r="AN105" s="752">
        <f t="shared" si="74"/>
        <v>4636.6480197869259</v>
      </c>
      <c r="AO105" s="752">
        <f t="shared" si="75"/>
        <v>237.72602748419646</v>
      </c>
      <c r="AP105" s="754">
        <f t="shared" si="76"/>
        <v>158.48401832279765</v>
      </c>
      <c r="AR105" s="740">
        <f>'Recycling - Case 3'!G115</f>
        <v>780.52581361421437</v>
      </c>
      <c r="AS105" s="736">
        <v>1</v>
      </c>
      <c r="AT105" s="736">
        <f t="shared" si="77"/>
        <v>0.05</v>
      </c>
      <c r="AU105" s="734">
        <f t="shared" si="78"/>
        <v>19.513145340355361</v>
      </c>
      <c r="AV105" s="734">
        <f t="shared" si="79"/>
        <v>19.513145340355361</v>
      </c>
      <c r="AW105" s="737">
        <f t="shared" si="80"/>
        <v>0</v>
      </c>
      <c r="AX105" s="734">
        <f t="shared" si="44"/>
        <v>245.99985746285753</v>
      </c>
      <c r="AY105" s="734">
        <f t="shared" si="49"/>
        <v>14.005156116068569</v>
      </c>
      <c r="AZ105" s="808">
        <f t="shared" si="47"/>
        <v>9.3367707440457135</v>
      </c>
      <c r="BB105" s="913">
        <f t="shared" si="81"/>
        <v>276.24938024623998</v>
      </c>
      <c r="BC105" s="914">
        <f t="shared" si="82"/>
        <v>158.48401832279765</v>
      </c>
      <c r="BD105" s="933">
        <f t="shared" si="90"/>
        <v>9.3367707440457135</v>
      </c>
      <c r="BE105" s="914">
        <f t="shared" si="54"/>
        <v>444.07016931308334</v>
      </c>
      <c r="BF105" s="145">
        <v>0</v>
      </c>
      <c r="BG105" s="927">
        <f t="shared" si="83"/>
        <v>444.07016931308334</v>
      </c>
      <c r="BI105" s="913">
        <f t="shared" si="84"/>
        <v>276.24938024623998</v>
      </c>
      <c r="BJ105" s="914">
        <f t="shared" si="85"/>
        <v>158.48401832279765</v>
      </c>
      <c r="BK105" s="933">
        <f t="shared" si="86"/>
        <v>9.3367707440457135</v>
      </c>
      <c r="BL105" s="914">
        <f t="shared" si="55"/>
        <v>444.07016931308334</v>
      </c>
      <c r="BM105" s="145">
        <v>0</v>
      </c>
      <c r="BN105" s="927">
        <f t="shared" si="87"/>
        <v>444.07016931308334</v>
      </c>
    </row>
    <row r="106" spans="1:66">
      <c r="A106" s="805">
        <f>'Input data'!A136</f>
        <v>2036</v>
      </c>
      <c r="B106" s="728">
        <f>'Input data'!B136</f>
        <v>69.431445341664755</v>
      </c>
      <c r="C106" s="728">
        <f>'Recycling - Case 3'!AK116/B106</f>
        <v>277.06737814422632</v>
      </c>
      <c r="D106" s="729">
        <f>'Recycling - Case 3'!AM116</f>
        <v>0.11585925323193705</v>
      </c>
      <c r="E106" s="729">
        <f>'Recycling - Case 3'!BE116</f>
        <v>0.2154730406447421</v>
      </c>
      <c r="F106" s="729">
        <f>'Recycling - Case 3'!BF116</f>
        <v>0.27327810888439075</v>
      </c>
      <c r="G106" s="729">
        <f>'Recycling - Case 3'!BG116</f>
        <v>5.4440267609979921E-2</v>
      </c>
      <c r="H106" s="729">
        <f>'Recycling - Case 3'!BH116</f>
        <v>0</v>
      </c>
      <c r="I106" s="729">
        <f>'Recycling - Case 3'!BI116</f>
        <v>0</v>
      </c>
      <c r="J106" s="729">
        <f>'Recycling - Case 3'!BJ116</f>
        <v>0</v>
      </c>
      <c r="K106" s="729">
        <f>'Recycling - Case 3'!BK116</f>
        <v>0.4568085828608871</v>
      </c>
      <c r="L106" s="730">
        <f t="shared" si="89"/>
        <v>0.99999999999999989</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0.10875268491758143</v>
      </c>
      <c r="Q106" s="734">
        <f t="shared" si="57"/>
        <v>121.19433444692901</v>
      </c>
      <c r="R106" s="734">
        <f t="shared" si="58"/>
        <v>121.19433444692901</v>
      </c>
      <c r="S106" s="737">
        <f t="shared" si="59"/>
        <v>0</v>
      </c>
      <c r="T106" s="734">
        <f t="shared" si="60"/>
        <v>7924.1519492799853</v>
      </c>
      <c r="U106" s="734">
        <f t="shared" si="61"/>
        <v>400.06619188813625</v>
      </c>
      <c r="V106" s="741">
        <f t="shared" si="62"/>
        <v>266.71079459209085</v>
      </c>
      <c r="X106" s="750">
        <f>'Recycling - Case 3'!AM156</f>
        <v>358.04783567699775</v>
      </c>
      <c r="Y106" s="751">
        <f>Parameters!S276</f>
        <v>0.71500000000000008</v>
      </c>
      <c r="Z106" s="751">
        <f t="shared" si="63"/>
        <v>0.4</v>
      </c>
      <c r="AA106" s="752">
        <f t="shared" si="64"/>
        <v>51.200840501810688</v>
      </c>
      <c r="AB106" s="752">
        <f t="shared" si="65"/>
        <v>51.200840501810688</v>
      </c>
      <c r="AC106" s="753">
        <f t="shared" si="66"/>
        <v>0</v>
      </c>
      <c r="AD106" s="752">
        <f t="shared" si="67"/>
        <v>4461.7168679761035</v>
      </c>
      <c r="AE106" s="752">
        <f t="shared" si="68"/>
        <v>226.13199231263312</v>
      </c>
      <c r="AF106" s="754">
        <f t="shared" si="69"/>
        <v>150.75466154175541</v>
      </c>
      <c r="AH106" s="750">
        <f>'Recycling - Case 3'!AM196</f>
        <v>358.04783567699775</v>
      </c>
      <c r="AI106" s="751">
        <f>Parameters!S276</f>
        <v>0.71500000000000008</v>
      </c>
      <c r="AJ106" s="751">
        <f t="shared" si="70"/>
        <v>0.4</v>
      </c>
      <c r="AK106" s="752">
        <f t="shared" si="71"/>
        <v>51.200840501810688</v>
      </c>
      <c r="AL106" s="752">
        <f t="shared" si="72"/>
        <v>51.200840501810688</v>
      </c>
      <c r="AM106" s="753">
        <f t="shared" si="73"/>
        <v>0</v>
      </c>
      <c r="AN106" s="752">
        <f t="shared" si="74"/>
        <v>4461.7168679761035</v>
      </c>
      <c r="AO106" s="752">
        <f t="shared" si="75"/>
        <v>226.13199231263312</v>
      </c>
      <c r="AP106" s="754">
        <f t="shared" si="76"/>
        <v>150.75466154175541</v>
      </c>
      <c r="AR106" s="740">
        <f>'Recycling - Case 3'!G116</f>
        <v>786.28497503364724</v>
      </c>
      <c r="AS106" s="736">
        <v>1</v>
      </c>
      <c r="AT106" s="736">
        <f t="shared" si="77"/>
        <v>0.05</v>
      </c>
      <c r="AU106" s="734">
        <f t="shared" si="78"/>
        <v>19.657124375841182</v>
      </c>
      <c r="AV106" s="734">
        <f t="shared" si="79"/>
        <v>19.657124375841182</v>
      </c>
      <c r="AW106" s="737">
        <f t="shared" si="80"/>
        <v>0</v>
      </c>
      <c r="AX106" s="734">
        <f t="shared" si="44"/>
        <v>251.33106540114088</v>
      </c>
      <c r="AY106" s="734">
        <f t="shared" si="49"/>
        <v>14.325916437557842</v>
      </c>
      <c r="AZ106" s="808">
        <f t="shared" si="47"/>
        <v>9.5506109583718946</v>
      </c>
      <c r="BB106" s="913">
        <f t="shared" si="81"/>
        <v>266.71079459209085</v>
      </c>
      <c r="BC106" s="914">
        <f t="shared" si="82"/>
        <v>150.75466154175541</v>
      </c>
      <c r="BD106" s="933">
        <f t="shared" si="90"/>
        <v>9.5506109583718946</v>
      </c>
      <c r="BE106" s="914">
        <f t="shared" si="54"/>
        <v>427.01606709221818</v>
      </c>
      <c r="BF106" s="145">
        <v>0</v>
      </c>
      <c r="BG106" s="927">
        <f t="shared" si="83"/>
        <v>427.01606709221818</v>
      </c>
      <c r="BI106" s="913">
        <f t="shared" si="84"/>
        <v>266.71079459209085</v>
      </c>
      <c r="BJ106" s="914">
        <f t="shared" si="85"/>
        <v>150.75466154175541</v>
      </c>
      <c r="BK106" s="933">
        <f t="shared" si="86"/>
        <v>9.5506109583718946</v>
      </c>
      <c r="BL106" s="914">
        <f t="shared" si="55"/>
        <v>427.01606709221818</v>
      </c>
      <c r="BM106" s="145">
        <v>0</v>
      </c>
      <c r="BN106" s="927">
        <f t="shared" si="87"/>
        <v>427.01606709221818</v>
      </c>
    </row>
    <row r="107" spans="1:66">
      <c r="A107" s="805">
        <f>'Input data'!A137</f>
        <v>2037</v>
      </c>
      <c r="B107" s="728">
        <f>'Input data'!B137</f>
        <v>69.92691944658003</v>
      </c>
      <c r="C107" s="728">
        <f>'Recycling - Case 3'!AK117/B107</f>
        <v>276.06302624969959</v>
      </c>
      <c r="D107" s="729">
        <f>'Recycling - Case 3'!AM117</f>
        <v>0.11545684486454556</v>
      </c>
      <c r="E107" s="729">
        <f>'Recycling - Case 3'!BE117</f>
        <v>0.21600757048859831</v>
      </c>
      <c r="F107" s="729">
        <f>'Recycling - Case 3'!BF117</f>
        <v>0.27395603733629453</v>
      </c>
      <c r="G107" s="729">
        <f>'Recycling - Case 3'!BG117</f>
        <v>5.4311159145430221E-2</v>
      </c>
      <c r="H107" s="729">
        <f>'Recycling - Case 3'!BH117</f>
        <v>0</v>
      </c>
      <c r="I107" s="729">
        <f>'Recycling - Case 3'!BI117</f>
        <v>0</v>
      </c>
      <c r="J107" s="729">
        <f>'Recycling - Case 3'!BJ117</f>
        <v>0</v>
      </c>
      <c r="K107" s="729">
        <f>'Recycling - Case 3'!BK117</f>
        <v>0.45572523302967693</v>
      </c>
      <c r="L107" s="730">
        <f t="shared" si="89"/>
        <v>1</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0.10891680669872074</v>
      </c>
      <c r="Q107" s="734">
        <f t="shared" si="57"/>
        <v>121.3772322765182</v>
      </c>
      <c r="R107" s="734">
        <f t="shared" si="58"/>
        <v>121.3772322765182</v>
      </c>
      <c r="S107" s="737">
        <f t="shared" si="59"/>
        <v>0</v>
      </c>
      <c r="T107" s="734">
        <f t="shared" si="60"/>
        <v>7659.0637306463295</v>
      </c>
      <c r="U107" s="734">
        <f t="shared" si="61"/>
        <v>386.46545091017373</v>
      </c>
      <c r="V107" s="741">
        <f t="shared" si="62"/>
        <v>257.64363394011582</v>
      </c>
      <c r="X107" s="750">
        <f>'Recycling - Case 3'!AM157</f>
        <v>522.8676677445269</v>
      </c>
      <c r="Y107" s="751">
        <f>Parameters!S277</f>
        <v>0.71500000000000008</v>
      </c>
      <c r="Z107" s="751">
        <f t="shared" si="63"/>
        <v>0.4</v>
      </c>
      <c r="AA107" s="752">
        <f t="shared" si="64"/>
        <v>74.770076487467364</v>
      </c>
      <c r="AB107" s="752">
        <f t="shared" si="65"/>
        <v>74.770076487467364</v>
      </c>
      <c r="AC107" s="753">
        <f t="shared" si="66"/>
        <v>0</v>
      </c>
      <c r="AD107" s="752">
        <f t="shared" si="67"/>
        <v>4318.8864450975043</v>
      </c>
      <c r="AE107" s="752">
        <f t="shared" si="68"/>
        <v>217.60049936606634</v>
      </c>
      <c r="AF107" s="754">
        <f t="shared" si="69"/>
        <v>145.06699957737757</v>
      </c>
      <c r="AH107" s="750">
        <f>'Recycling - Case 3'!AM197</f>
        <v>522.8676677445269</v>
      </c>
      <c r="AI107" s="751">
        <f>Parameters!S277</f>
        <v>0.71500000000000008</v>
      </c>
      <c r="AJ107" s="751">
        <f t="shared" si="70"/>
        <v>0.4</v>
      </c>
      <c r="AK107" s="752">
        <f t="shared" si="71"/>
        <v>74.770076487467364</v>
      </c>
      <c r="AL107" s="752">
        <f t="shared" si="72"/>
        <v>74.770076487467364</v>
      </c>
      <c r="AM107" s="753">
        <f t="shared" si="73"/>
        <v>0</v>
      </c>
      <c r="AN107" s="752">
        <f t="shared" si="74"/>
        <v>4318.8864450975043</v>
      </c>
      <c r="AO107" s="752">
        <f t="shared" si="75"/>
        <v>217.60049936606634</v>
      </c>
      <c r="AP107" s="754">
        <f t="shared" si="76"/>
        <v>145.06699957737757</v>
      </c>
      <c r="AR107" s="740">
        <f>'Recycling - Case 3'!G117</f>
        <v>791.89603270781811</v>
      </c>
      <c r="AS107" s="736">
        <v>1</v>
      </c>
      <c r="AT107" s="736">
        <f t="shared" si="77"/>
        <v>0.05</v>
      </c>
      <c r="AU107" s="734">
        <f t="shared" si="78"/>
        <v>19.797400817695454</v>
      </c>
      <c r="AV107" s="734">
        <f t="shared" si="79"/>
        <v>19.797400817695454</v>
      </c>
      <c r="AW107" s="737">
        <f t="shared" si="80"/>
        <v>0</v>
      </c>
      <c r="AX107" s="734">
        <f t="shared" si="44"/>
        <v>256.49208440043321</v>
      </c>
      <c r="AY107" s="734">
        <f t="shared" si="49"/>
        <v>14.636381818403128</v>
      </c>
      <c r="AZ107" s="808">
        <f t="shared" si="47"/>
        <v>9.7575878789354196</v>
      </c>
      <c r="BB107" s="913">
        <f t="shared" si="81"/>
        <v>257.64363394011582</v>
      </c>
      <c r="BC107" s="914">
        <f t="shared" si="82"/>
        <v>145.06699957737757</v>
      </c>
      <c r="BD107" s="933">
        <f t="shared" si="90"/>
        <v>9.7575878789354196</v>
      </c>
      <c r="BE107" s="914">
        <f t="shared" si="54"/>
        <v>412.46822139642882</v>
      </c>
      <c r="BF107" s="145">
        <v>0</v>
      </c>
      <c r="BG107" s="927">
        <f t="shared" si="83"/>
        <v>412.46822139642882</v>
      </c>
      <c r="BI107" s="913">
        <f t="shared" si="84"/>
        <v>257.64363394011582</v>
      </c>
      <c r="BJ107" s="914">
        <f t="shared" si="85"/>
        <v>145.06699957737757</v>
      </c>
      <c r="BK107" s="933">
        <f t="shared" si="86"/>
        <v>9.7575878789354196</v>
      </c>
      <c r="BL107" s="914">
        <f t="shared" si="55"/>
        <v>412.46822139642882</v>
      </c>
      <c r="BM107" s="145">
        <v>0</v>
      </c>
      <c r="BN107" s="927">
        <f t="shared" si="87"/>
        <v>412.46822139642882</v>
      </c>
    </row>
    <row r="108" spans="1:66">
      <c r="A108" s="805">
        <f>'Input data'!A138</f>
        <v>2038</v>
      </c>
      <c r="B108" s="728">
        <f>'Input data'!B138</f>
        <v>70.408978817025954</v>
      </c>
      <c r="C108" s="728">
        <f>'Recycling - Case 3'!AK118/B108</f>
        <v>275.09996670491103</v>
      </c>
      <c r="D108" s="729">
        <f>'Recycling - Case 3'!AM118</f>
        <v>0.11506778218926127</v>
      </c>
      <c r="E108" s="729">
        <f>'Recycling - Case 3'!BE118</f>
        <v>0.21651803019976976</v>
      </c>
      <c r="F108" s="729">
        <f>'Recycling - Case 3'!BF118</f>
        <v>0.2746034383481018</v>
      </c>
      <c r="G108" s="729">
        <f>'Recycling - Case 3'!BG118</f>
        <v>5.418786449634496E-2</v>
      </c>
      <c r="H108" s="729">
        <f>'Recycling - Case 3'!BH118</f>
        <v>0</v>
      </c>
      <c r="I108" s="729">
        <f>'Recycling - Case 3'!BI118</f>
        <v>0</v>
      </c>
      <c r="J108" s="729">
        <f>'Recycling - Case 3'!BJ118</f>
        <v>0</v>
      </c>
      <c r="K108" s="729">
        <f>'Recycling - Case 3'!BK118</f>
        <v>0.45469066695578342</v>
      </c>
      <c r="L108" s="730">
        <f t="shared" si="89"/>
        <v>0.99999999999999989</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0.1090735379981238</v>
      </c>
      <c r="Q108" s="734">
        <f t="shared" si="57"/>
        <v>121.55189412999384</v>
      </c>
      <c r="R108" s="734">
        <f t="shared" si="58"/>
        <v>121.55189412999384</v>
      </c>
      <c r="S108" s="737">
        <f t="shared" si="59"/>
        <v>0</v>
      </c>
      <c r="T108" s="734">
        <f t="shared" si="60"/>
        <v>7407.0786788469941</v>
      </c>
      <c r="U108" s="734">
        <f t="shared" si="61"/>
        <v>373.53694592932976</v>
      </c>
      <c r="V108" s="741">
        <f t="shared" si="62"/>
        <v>249.02463061955316</v>
      </c>
      <c r="X108" s="750">
        <f>'Recycling - Case 3'!AM158</f>
        <v>577.50254352947616</v>
      </c>
      <c r="Y108" s="751">
        <f>Parameters!S278</f>
        <v>0.71500000000000008</v>
      </c>
      <c r="Z108" s="751">
        <f t="shared" si="63"/>
        <v>0.4</v>
      </c>
      <c r="AA108" s="752">
        <f t="shared" si="64"/>
        <v>82.582863724715111</v>
      </c>
      <c r="AB108" s="752">
        <f t="shared" si="65"/>
        <v>82.582863724715111</v>
      </c>
      <c r="AC108" s="753">
        <f t="shared" si="66"/>
        <v>0</v>
      </c>
      <c r="AD108" s="752">
        <f t="shared" si="67"/>
        <v>4190.834731378749</v>
      </c>
      <c r="AE108" s="752">
        <f t="shared" si="68"/>
        <v>210.63457744347068</v>
      </c>
      <c r="AF108" s="754">
        <f t="shared" si="69"/>
        <v>140.42305162898046</v>
      </c>
      <c r="AH108" s="750">
        <f>'Recycling - Case 3'!AM198</f>
        <v>577.50254352947616</v>
      </c>
      <c r="AI108" s="751">
        <f>Parameters!S278</f>
        <v>0.71500000000000008</v>
      </c>
      <c r="AJ108" s="751">
        <f t="shared" si="70"/>
        <v>0.4</v>
      </c>
      <c r="AK108" s="752">
        <f t="shared" si="71"/>
        <v>82.582863724715111</v>
      </c>
      <c r="AL108" s="752">
        <f t="shared" si="72"/>
        <v>82.582863724715111</v>
      </c>
      <c r="AM108" s="753">
        <f t="shared" si="73"/>
        <v>0</v>
      </c>
      <c r="AN108" s="752">
        <f t="shared" si="74"/>
        <v>4190.834731378749</v>
      </c>
      <c r="AO108" s="752">
        <f t="shared" si="75"/>
        <v>210.63457744347068</v>
      </c>
      <c r="AP108" s="754">
        <f t="shared" si="76"/>
        <v>140.42305162898046</v>
      </c>
      <c r="AR108" s="740">
        <f>'Recycling - Case 3'!G118</f>
        <v>797.35517356525827</v>
      </c>
      <c r="AS108" s="736">
        <v>1</v>
      </c>
      <c r="AT108" s="736">
        <f t="shared" si="77"/>
        <v>0.05</v>
      </c>
      <c r="AU108" s="734">
        <f t="shared" si="78"/>
        <v>19.933879339131458</v>
      </c>
      <c r="AV108" s="734">
        <f t="shared" si="79"/>
        <v>19.933879339131458</v>
      </c>
      <c r="AW108" s="737">
        <f t="shared" si="80"/>
        <v>0</v>
      </c>
      <c r="AX108" s="734">
        <f t="shared" si="44"/>
        <v>261.48902757255718</v>
      </c>
      <c r="AY108" s="734">
        <f t="shared" si="49"/>
        <v>14.936936167007472</v>
      </c>
      <c r="AZ108" s="808">
        <f t="shared" si="47"/>
        <v>9.9579574446716475</v>
      </c>
      <c r="BB108" s="913">
        <f t="shared" si="81"/>
        <v>249.02463061955316</v>
      </c>
      <c r="BC108" s="914">
        <f t="shared" si="82"/>
        <v>140.42305162898046</v>
      </c>
      <c r="BD108" s="933">
        <f t="shared" si="90"/>
        <v>9.9579574446716475</v>
      </c>
      <c r="BE108" s="914">
        <f t="shared" si="54"/>
        <v>399.40563969320527</v>
      </c>
      <c r="BF108" s="145">
        <v>0</v>
      </c>
      <c r="BG108" s="927">
        <f t="shared" si="83"/>
        <v>399.40563969320527</v>
      </c>
      <c r="BI108" s="913">
        <f t="shared" si="84"/>
        <v>249.02463061955316</v>
      </c>
      <c r="BJ108" s="914">
        <f t="shared" si="85"/>
        <v>140.42305162898046</v>
      </c>
      <c r="BK108" s="933">
        <f t="shared" si="86"/>
        <v>9.9579574446716475</v>
      </c>
      <c r="BL108" s="914">
        <f t="shared" si="55"/>
        <v>399.40563969320527</v>
      </c>
      <c r="BM108" s="145">
        <v>0</v>
      </c>
      <c r="BN108" s="927">
        <f t="shared" si="87"/>
        <v>399.40563969320527</v>
      </c>
    </row>
    <row r="109" spans="1:66">
      <c r="A109" s="805">
        <f>'Input data'!A139</f>
        <v>2039</v>
      </c>
      <c r="B109" s="728">
        <f>'Input data'!B139</f>
        <v>70.877294017675013</v>
      </c>
      <c r="C109" s="728">
        <f>'Recycling - Case 3'!AK119/B109</f>
        <v>274.17739749232885</v>
      </c>
      <c r="D109" s="729">
        <f>'Recycling - Case 3'!AM119</f>
        <v>0.11469211135108814</v>
      </c>
      <c r="E109" s="729">
        <f>'Recycling - Case 3'!BE119</f>
        <v>0.21700511602566844</v>
      </c>
      <c r="F109" s="729">
        <f>'Recycling - Case 3'!BF119</f>
        <v>0.27522119494989145</v>
      </c>
      <c r="G109" s="729">
        <f>'Recycling - Case 3'!BG119</f>
        <v>5.4070215493565166E-2</v>
      </c>
      <c r="H109" s="729">
        <f>'Recycling - Case 3'!BH119</f>
        <v>0</v>
      </c>
      <c r="I109" s="729">
        <f>'Recycling - Case 3'!BI119</f>
        <v>0</v>
      </c>
      <c r="J109" s="729">
        <f>'Recycling - Case 3'!BJ119</f>
        <v>0</v>
      </c>
      <c r="K109" s="729">
        <f>'Recycling - Case 3'!BK119</f>
        <v>0.45370347353087498</v>
      </c>
      <c r="L109" s="730">
        <f t="shared" si="89"/>
        <v>1</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0.10922309259125462</v>
      </c>
      <c r="Q109" s="734">
        <f t="shared" si="57"/>
        <v>121.71855823940601</v>
      </c>
      <c r="R109" s="734">
        <f t="shared" si="58"/>
        <v>121.71855823940601</v>
      </c>
      <c r="S109" s="737">
        <f t="shared" si="59"/>
        <v>0</v>
      </c>
      <c r="T109" s="734">
        <f t="shared" si="60"/>
        <v>7167.5497471505414</v>
      </c>
      <c r="U109" s="734">
        <f t="shared" si="61"/>
        <v>361.24748993585882</v>
      </c>
      <c r="V109" s="741">
        <f t="shared" si="62"/>
        <v>240.83165995723922</v>
      </c>
      <c r="X109" s="750">
        <f>'Recycling - Case 3'!AM159</f>
        <v>632.99925931262294</v>
      </c>
      <c r="Y109" s="751">
        <f>Parameters!S279</f>
        <v>0.71500000000000008</v>
      </c>
      <c r="Z109" s="751">
        <f t="shared" si="63"/>
        <v>0.4</v>
      </c>
      <c r="AA109" s="752">
        <f t="shared" si="64"/>
        <v>90.518894081705085</v>
      </c>
      <c r="AB109" s="752">
        <f t="shared" si="65"/>
        <v>90.518894081705085</v>
      </c>
      <c r="AC109" s="753">
        <f t="shared" si="66"/>
        <v>0</v>
      </c>
      <c r="AD109" s="752">
        <f t="shared" si="67"/>
        <v>4076.964203788717</v>
      </c>
      <c r="AE109" s="752">
        <f t="shared" si="68"/>
        <v>204.38942167173718</v>
      </c>
      <c r="AF109" s="754">
        <f t="shared" si="69"/>
        <v>136.25961444782479</v>
      </c>
      <c r="AH109" s="750">
        <f>'Recycling - Case 3'!AM199</f>
        <v>632.99925931262294</v>
      </c>
      <c r="AI109" s="751">
        <f>Parameters!S279</f>
        <v>0.71500000000000008</v>
      </c>
      <c r="AJ109" s="751">
        <f t="shared" si="70"/>
        <v>0.4</v>
      </c>
      <c r="AK109" s="752">
        <f t="shared" si="71"/>
        <v>90.518894081705085</v>
      </c>
      <c r="AL109" s="752">
        <f t="shared" si="72"/>
        <v>90.518894081705085</v>
      </c>
      <c r="AM109" s="753">
        <f t="shared" si="73"/>
        <v>0</v>
      </c>
      <c r="AN109" s="752">
        <f t="shared" si="74"/>
        <v>4076.964203788717</v>
      </c>
      <c r="AO109" s="752">
        <f t="shared" si="75"/>
        <v>204.38942167173718</v>
      </c>
      <c r="AP109" s="754">
        <f t="shared" si="76"/>
        <v>136.25961444782479</v>
      </c>
      <c r="AR109" s="740">
        <f>'Recycling - Case 3'!G119</f>
        <v>802.65866687492803</v>
      </c>
      <c r="AS109" s="736">
        <v>1</v>
      </c>
      <c r="AT109" s="736">
        <f t="shared" si="77"/>
        <v>0.05</v>
      </c>
      <c r="AU109" s="734">
        <f t="shared" si="78"/>
        <v>20.066466671873201</v>
      </c>
      <c r="AV109" s="734">
        <f t="shared" si="79"/>
        <v>20.066466671873201</v>
      </c>
      <c r="AW109" s="737">
        <f t="shared" si="80"/>
        <v>0</v>
      </c>
      <c r="AX109" s="734">
        <f t="shared" si="44"/>
        <v>266.32755876114129</v>
      </c>
      <c r="AY109" s="734">
        <f t="shared" si="49"/>
        <v>15.227935483289114</v>
      </c>
      <c r="AZ109" s="808">
        <f t="shared" si="47"/>
        <v>10.151956988859409</v>
      </c>
      <c r="BB109" s="913">
        <f t="shared" si="81"/>
        <v>240.83165995723922</v>
      </c>
      <c r="BC109" s="914">
        <f t="shared" si="82"/>
        <v>136.25961444782479</v>
      </c>
      <c r="BD109" s="933">
        <f t="shared" si="90"/>
        <v>10.151956988859409</v>
      </c>
      <c r="BE109" s="914">
        <f t="shared" si="54"/>
        <v>387.24323139392345</v>
      </c>
      <c r="BF109" s="145">
        <v>0</v>
      </c>
      <c r="BG109" s="927">
        <f t="shared" si="83"/>
        <v>387.24323139392345</v>
      </c>
      <c r="BI109" s="913">
        <f t="shared" si="84"/>
        <v>240.83165995723922</v>
      </c>
      <c r="BJ109" s="914">
        <f t="shared" si="85"/>
        <v>136.25961444782479</v>
      </c>
      <c r="BK109" s="933">
        <f t="shared" si="86"/>
        <v>10.151956988859409</v>
      </c>
      <c r="BL109" s="914">
        <f t="shared" si="55"/>
        <v>387.24323139392345</v>
      </c>
      <c r="BM109" s="145">
        <v>0</v>
      </c>
      <c r="BN109" s="927">
        <f t="shared" si="87"/>
        <v>387.24323139392345</v>
      </c>
    </row>
    <row r="110" spans="1:66">
      <c r="A110" s="805">
        <f>'Input data'!A140</f>
        <v>2040</v>
      </c>
      <c r="B110" s="728">
        <f>'Input data'!B140</f>
        <v>71.331543257193218</v>
      </c>
      <c r="C110" s="728">
        <f>'Recycling - Case 3'!AK120/B110</f>
        <v>273.2945552330429</v>
      </c>
      <c r="D110" s="729">
        <f>'Recycling - Case 3'!AM120</f>
        <v>0.11432987441128371</v>
      </c>
      <c r="E110" s="729">
        <f>'Recycling - Case 3'!BE120</f>
        <v>0.21746948384109469</v>
      </c>
      <c r="F110" s="729">
        <f>'Recycling - Case 3'!BF120</f>
        <v>0.27581013896834855</v>
      </c>
      <c r="G110" s="729">
        <f>'Recycling - Case 3'!BG120</f>
        <v>5.3958053719390879E-2</v>
      </c>
      <c r="H110" s="729">
        <f>'Recycling - Case 3'!BH120</f>
        <v>0</v>
      </c>
      <c r="I110" s="729">
        <f>'Recycling - Case 3'!BI120</f>
        <v>0</v>
      </c>
      <c r="J110" s="729">
        <f>'Recycling - Case 3'!BJ120</f>
        <v>0</v>
      </c>
      <c r="K110" s="729">
        <f>'Recycling - Case 3'!BK120</f>
        <v>0.4527623234711658</v>
      </c>
      <c r="L110" s="730">
        <f t="shared" si="89"/>
        <v>1</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0.10936567185759027</v>
      </c>
      <c r="Q110" s="734">
        <f t="shared" si="57"/>
        <v>121.87744902267794</v>
      </c>
      <c r="R110" s="734">
        <f t="shared" si="58"/>
        <v>121.87744902267794</v>
      </c>
      <c r="S110" s="737">
        <f t="shared" si="59"/>
        <v>0</v>
      </c>
      <c r="T110" s="734">
        <f t="shared" si="60"/>
        <v>6939.8616700849252</v>
      </c>
      <c r="U110" s="734">
        <f t="shared" si="61"/>
        <v>349.56552608829367</v>
      </c>
      <c r="V110" s="741">
        <f t="shared" si="62"/>
        <v>233.04368405886245</v>
      </c>
      <c r="X110" s="750">
        <f>'Recycling - Case 3'!AM160</f>
        <v>689.03159579535554</v>
      </c>
      <c r="Y110" s="751">
        <f>Parameters!S280</f>
        <v>0.71500000000000008</v>
      </c>
      <c r="Z110" s="751">
        <f t="shared" si="63"/>
        <v>0.4</v>
      </c>
      <c r="AA110" s="752">
        <f t="shared" si="64"/>
        <v>98.531518198735853</v>
      </c>
      <c r="AB110" s="752">
        <f t="shared" si="65"/>
        <v>98.531518198735853</v>
      </c>
      <c r="AC110" s="753">
        <f t="shared" si="66"/>
        <v>0</v>
      </c>
      <c r="AD110" s="752">
        <f t="shared" si="67"/>
        <v>3976.6598314786888</v>
      </c>
      <c r="AE110" s="752">
        <f t="shared" si="68"/>
        <v>198.83589050876398</v>
      </c>
      <c r="AF110" s="754">
        <f t="shared" si="69"/>
        <v>132.557260339176</v>
      </c>
      <c r="AH110" s="750">
        <f>'Recycling - Case 3'!AM200</f>
        <v>689.03159579535554</v>
      </c>
      <c r="AI110" s="751">
        <f>Parameters!S280</f>
        <v>0.71500000000000008</v>
      </c>
      <c r="AJ110" s="751">
        <f t="shared" si="70"/>
        <v>0.4</v>
      </c>
      <c r="AK110" s="752">
        <f t="shared" si="71"/>
        <v>98.531518198735853</v>
      </c>
      <c r="AL110" s="752">
        <f t="shared" si="72"/>
        <v>98.531518198735853</v>
      </c>
      <c r="AM110" s="753">
        <f t="shared" si="73"/>
        <v>0</v>
      </c>
      <c r="AN110" s="752">
        <f t="shared" si="74"/>
        <v>3976.6598314786888</v>
      </c>
      <c r="AO110" s="752">
        <f t="shared" si="75"/>
        <v>198.83589050876398</v>
      </c>
      <c r="AP110" s="754">
        <f t="shared" si="76"/>
        <v>132.557260339176</v>
      </c>
      <c r="AR110" s="740">
        <f>'Recycling - Case 3'!G120</f>
        <v>807.80286847113609</v>
      </c>
      <c r="AS110" s="736">
        <v>1</v>
      </c>
      <c r="AT110" s="736">
        <f t="shared" si="77"/>
        <v>0.05</v>
      </c>
      <c r="AU110" s="734">
        <f t="shared" si="78"/>
        <v>20.195071711778404</v>
      </c>
      <c r="AV110" s="734">
        <f t="shared" si="79"/>
        <v>20.195071711778404</v>
      </c>
      <c r="AW110" s="737">
        <f t="shared" si="80"/>
        <v>0</v>
      </c>
      <c r="AX110" s="734">
        <f t="shared" si="44"/>
        <v>271.01292086909621</v>
      </c>
      <c r="AY110" s="734">
        <f t="shared" si="49"/>
        <v>15.509709603823469</v>
      </c>
      <c r="AZ110" s="808">
        <f t="shared" si="47"/>
        <v>10.339806402548978</v>
      </c>
      <c r="BB110" s="913">
        <f t="shared" si="81"/>
        <v>233.04368405886245</v>
      </c>
      <c r="BC110" s="914">
        <f t="shared" si="82"/>
        <v>132.557260339176</v>
      </c>
      <c r="BD110" s="933">
        <f t="shared" si="90"/>
        <v>10.339806402548978</v>
      </c>
      <c r="BE110" s="914">
        <f t="shared" si="54"/>
        <v>375.94075080058741</v>
      </c>
      <c r="BF110" s="145">
        <v>0</v>
      </c>
      <c r="BG110" s="927">
        <f t="shared" si="83"/>
        <v>375.94075080058741</v>
      </c>
      <c r="BI110" s="913">
        <f t="shared" si="84"/>
        <v>233.04368405886245</v>
      </c>
      <c r="BJ110" s="914">
        <f t="shared" si="85"/>
        <v>132.557260339176</v>
      </c>
      <c r="BK110" s="933">
        <f t="shared" si="86"/>
        <v>10.339806402548978</v>
      </c>
      <c r="BL110" s="914">
        <f t="shared" si="55"/>
        <v>375.94075080058741</v>
      </c>
      <c r="BM110" s="145">
        <v>0</v>
      </c>
      <c r="BN110" s="927">
        <f t="shared" si="87"/>
        <v>375.94075080058741</v>
      </c>
    </row>
    <row r="111" spans="1:66">
      <c r="A111" s="805">
        <f>'Input data'!A141</f>
        <v>2041</v>
      </c>
      <c r="B111" s="728">
        <f>'Input data'!B141</f>
        <v>71.772879261991122</v>
      </c>
      <c r="C111" s="728">
        <f>'Recycling - Case 3'!AK121/B111</f>
        <v>272.44791856564967</v>
      </c>
      <c r="D111" s="729">
        <f>'Recycling - Case 3'!AM121</f>
        <v>0.11397995016370784</v>
      </c>
      <c r="E111" s="729">
        <f>'Recycling - Case 3'!BE121</f>
        <v>0.21791321374723086</v>
      </c>
      <c r="F111" s="729">
        <f>'Recycling - Case 3'!BF121</f>
        <v>0.27637290853451557</v>
      </c>
      <c r="G111" s="729">
        <f>'Recycling - Case 3'!BG121</f>
        <v>5.3850876753474941E-2</v>
      </c>
      <c r="H111" s="729">
        <f>'Recycling - Case 3'!BH121</f>
        <v>0</v>
      </c>
      <c r="I111" s="729">
        <f>'Recycling - Case 3'!BI121</f>
        <v>0</v>
      </c>
      <c r="J111" s="729">
        <f>'Recycling - Case 3'!BJ121</f>
        <v>0</v>
      </c>
      <c r="K111" s="729">
        <f>'Recycling - Case 3'!BK121</f>
        <v>0.45186300096477855</v>
      </c>
      <c r="L111" s="730">
        <f t="shared" si="89"/>
        <v>1</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0.10950191447037771</v>
      </c>
      <c r="Q111" s="734">
        <f t="shared" si="57"/>
        <v>122.02927821928672</v>
      </c>
      <c r="R111" s="734">
        <f t="shared" si="58"/>
        <v>122.02927821928672</v>
      </c>
      <c r="S111" s="737">
        <f t="shared" si="59"/>
        <v>0</v>
      </c>
      <c r="T111" s="734">
        <f t="shared" si="60"/>
        <v>6723.4299007687341</v>
      </c>
      <c r="U111" s="734">
        <f t="shared" si="61"/>
        <v>338.46104753547775</v>
      </c>
      <c r="V111" s="741">
        <f t="shared" si="62"/>
        <v>225.64069835698515</v>
      </c>
      <c r="X111" s="750">
        <f>'Recycling - Case 3'!AM161</f>
        <v>698.62863543546598</v>
      </c>
      <c r="Y111" s="751">
        <f>Parameters!S281</f>
        <v>0.71500000000000008</v>
      </c>
      <c r="Z111" s="751">
        <f t="shared" si="63"/>
        <v>0.4</v>
      </c>
      <c r="AA111" s="752">
        <f t="shared" si="64"/>
        <v>99.903894867271646</v>
      </c>
      <c r="AB111" s="752">
        <f t="shared" si="65"/>
        <v>99.903894867271646</v>
      </c>
      <c r="AC111" s="753">
        <f t="shared" si="66"/>
        <v>0</v>
      </c>
      <c r="AD111" s="752">
        <f t="shared" si="67"/>
        <v>3882.619737799851</v>
      </c>
      <c r="AE111" s="752">
        <f t="shared" si="68"/>
        <v>193.94398854610927</v>
      </c>
      <c r="AF111" s="754">
        <f t="shared" si="69"/>
        <v>129.29599236407284</v>
      </c>
      <c r="AH111" s="750">
        <f>'Recycling - Case 3'!AM201</f>
        <v>698.62863543546598</v>
      </c>
      <c r="AI111" s="751">
        <f>Parameters!S281</f>
        <v>0.71500000000000008</v>
      </c>
      <c r="AJ111" s="751">
        <f t="shared" si="70"/>
        <v>0.4</v>
      </c>
      <c r="AK111" s="752">
        <f t="shared" si="71"/>
        <v>99.903894867271646</v>
      </c>
      <c r="AL111" s="752">
        <f t="shared" si="72"/>
        <v>99.903894867271646</v>
      </c>
      <c r="AM111" s="753">
        <f t="shared" si="73"/>
        <v>0</v>
      </c>
      <c r="AN111" s="752">
        <f t="shared" si="74"/>
        <v>3882.619737799851</v>
      </c>
      <c r="AO111" s="752">
        <f t="shared" si="75"/>
        <v>193.94398854610927</v>
      </c>
      <c r="AP111" s="754">
        <f t="shared" si="76"/>
        <v>129.29599236407284</v>
      </c>
      <c r="AR111" s="740">
        <f>'Recycling - Case 3'!G121</f>
        <v>812.80083254643864</v>
      </c>
      <c r="AS111" s="736">
        <v>1</v>
      </c>
      <c r="AT111" s="736">
        <f t="shared" si="77"/>
        <v>0.05</v>
      </c>
      <c r="AU111" s="734">
        <f t="shared" si="78"/>
        <v>20.320020813660967</v>
      </c>
      <c r="AV111" s="734">
        <f t="shared" si="79"/>
        <v>20.320020813660967</v>
      </c>
      <c r="AW111" s="737">
        <f t="shared" si="80"/>
        <v>0</v>
      </c>
      <c r="AX111" s="734">
        <f t="shared" si="44"/>
        <v>275.55037783125027</v>
      </c>
      <c r="AY111" s="734">
        <f t="shared" si="49"/>
        <v>15.782563851506911</v>
      </c>
      <c r="AZ111" s="808">
        <f t="shared" si="47"/>
        <v>10.521709234337941</v>
      </c>
      <c r="BB111" s="913">
        <f t="shared" si="81"/>
        <v>225.64069835698515</v>
      </c>
      <c r="BC111" s="914">
        <f t="shared" si="82"/>
        <v>129.29599236407284</v>
      </c>
      <c r="BD111" s="933">
        <f t="shared" si="90"/>
        <v>10.521709234337941</v>
      </c>
      <c r="BE111" s="914">
        <f t="shared" si="54"/>
        <v>365.45839995539592</v>
      </c>
      <c r="BF111" s="145">
        <v>0</v>
      </c>
      <c r="BG111" s="927">
        <f t="shared" si="83"/>
        <v>365.45839995539592</v>
      </c>
      <c r="BI111" s="913">
        <f t="shared" si="84"/>
        <v>225.64069835698515</v>
      </c>
      <c r="BJ111" s="914">
        <f t="shared" si="85"/>
        <v>129.29599236407284</v>
      </c>
      <c r="BK111" s="933">
        <f t="shared" si="86"/>
        <v>10.521709234337941</v>
      </c>
      <c r="BL111" s="914">
        <f t="shared" si="55"/>
        <v>365.45839995539592</v>
      </c>
      <c r="BM111" s="145">
        <v>0</v>
      </c>
      <c r="BN111" s="927">
        <f t="shared" si="87"/>
        <v>365.45839995539592</v>
      </c>
    </row>
    <row r="112" spans="1:66">
      <c r="A112" s="805">
        <f>'Input data'!A142</f>
        <v>2042</v>
      </c>
      <c r="B112" s="728">
        <f>'Input data'!B142</f>
        <v>72.201023455996193</v>
      </c>
      <c r="C112" s="728">
        <f>'Recycling - Case 3'!AK122/B112</f>
        <v>271.63684971963158</v>
      </c>
      <c r="D112" s="729">
        <f>'Recycling - Case 3'!AM122</f>
        <v>0.11364237124005948</v>
      </c>
      <c r="E112" s="729">
        <f>'Recycling - Case 3'!BE122</f>
        <v>0.21833684518056182</v>
      </c>
      <c r="F112" s="729">
        <f>'Recycling - Case 3'!BF122</f>
        <v>0.27691018779979287</v>
      </c>
      <c r="G112" s="729">
        <f>'Recycling - Case 3'!BG122</f>
        <v>5.3748554302219864E-2</v>
      </c>
      <c r="H112" s="729">
        <f>'Recycling - Case 3'!BH122</f>
        <v>0</v>
      </c>
      <c r="I112" s="729">
        <f>'Recycling - Case 3'!BI122</f>
        <v>0</v>
      </c>
      <c r="J112" s="729">
        <f>'Recycling - Case 3'!BJ122</f>
        <v>0</v>
      </c>
      <c r="K112" s="729">
        <f>'Recycling - Case 3'!BK122</f>
        <v>0.45100441271742558</v>
      </c>
      <c r="L112" s="730">
        <f t="shared" si="89"/>
        <v>1</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0.1096319860579308</v>
      </c>
      <c r="Q112" s="734">
        <f t="shared" si="57"/>
        <v>122.17423040594674</v>
      </c>
      <c r="R112" s="734">
        <f t="shared" si="58"/>
        <v>122.17423040594674</v>
      </c>
      <c r="S112" s="737">
        <f t="shared" si="59"/>
        <v>0</v>
      </c>
      <c r="T112" s="734">
        <f t="shared" si="60"/>
        <v>6517.6985855850826</v>
      </c>
      <c r="U112" s="734">
        <f t="shared" si="61"/>
        <v>327.90554558959843</v>
      </c>
      <c r="V112" s="741">
        <f t="shared" si="62"/>
        <v>218.6036970597323</v>
      </c>
      <c r="X112" s="750">
        <f>'Recycling - Case 3'!AM162</f>
        <v>708.07080308299203</v>
      </c>
      <c r="Y112" s="751">
        <f>Parameters!S282</f>
        <v>0.71500000000000008</v>
      </c>
      <c r="Z112" s="751">
        <f t="shared" si="63"/>
        <v>0.4</v>
      </c>
      <c r="AA112" s="752">
        <f t="shared" si="64"/>
        <v>101.25412484086787</v>
      </c>
      <c r="AB112" s="752">
        <f t="shared" si="65"/>
        <v>101.25412484086787</v>
      </c>
      <c r="AC112" s="753">
        <f t="shared" si="66"/>
        <v>0</v>
      </c>
      <c r="AD112" s="752">
        <f t="shared" si="67"/>
        <v>3794.5162635833335</v>
      </c>
      <c r="AE112" s="752">
        <f t="shared" si="68"/>
        <v>189.35759905738558</v>
      </c>
      <c r="AF112" s="754">
        <f t="shared" si="69"/>
        <v>126.23839937159039</v>
      </c>
      <c r="AH112" s="750">
        <f>'Recycling - Case 3'!AM202</f>
        <v>708.07080308299203</v>
      </c>
      <c r="AI112" s="751">
        <f>Parameters!S282</f>
        <v>0.71500000000000008</v>
      </c>
      <c r="AJ112" s="751">
        <f t="shared" si="70"/>
        <v>0.4</v>
      </c>
      <c r="AK112" s="752">
        <f t="shared" si="71"/>
        <v>101.25412484086787</v>
      </c>
      <c r="AL112" s="752">
        <f t="shared" si="72"/>
        <v>101.25412484086787</v>
      </c>
      <c r="AM112" s="753">
        <f t="shared" si="73"/>
        <v>0</v>
      </c>
      <c r="AN112" s="752">
        <f t="shared" si="74"/>
        <v>3794.5162635833335</v>
      </c>
      <c r="AO112" s="752">
        <f t="shared" si="75"/>
        <v>189.35759905738558</v>
      </c>
      <c r="AP112" s="754">
        <f t="shared" si="76"/>
        <v>126.23839937159039</v>
      </c>
      <c r="AR112" s="740">
        <f>'Recycling - Case 3'!G122</f>
        <v>817.64940433170818</v>
      </c>
      <c r="AS112" s="736">
        <v>1</v>
      </c>
      <c r="AT112" s="736">
        <f t="shared" si="77"/>
        <v>0.05</v>
      </c>
      <c r="AU112" s="734">
        <f t="shared" si="78"/>
        <v>20.441235108292705</v>
      </c>
      <c r="AV112" s="734">
        <f t="shared" si="79"/>
        <v>20.441235108292705</v>
      </c>
      <c r="AW112" s="737">
        <f t="shared" si="80"/>
        <v>0</v>
      </c>
      <c r="AX112" s="734">
        <f t="shared" si="44"/>
        <v>279.94480816550362</v>
      </c>
      <c r="AY112" s="734">
        <f t="shared" si="49"/>
        <v>16.046804774039352</v>
      </c>
      <c r="AZ112" s="808">
        <f t="shared" si="47"/>
        <v>10.697869849359568</v>
      </c>
      <c r="BB112" s="913">
        <f t="shared" si="81"/>
        <v>218.6036970597323</v>
      </c>
      <c r="BC112" s="914">
        <f t="shared" si="82"/>
        <v>126.23839937159039</v>
      </c>
      <c r="BD112" s="933">
        <f t="shared" si="90"/>
        <v>10.697869849359568</v>
      </c>
      <c r="BE112" s="914">
        <f t="shared" si="54"/>
        <v>355.53996628068228</v>
      </c>
      <c r="BF112" s="145">
        <v>0</v>
      </c>
      <c r="BG112" s="927">
        <f t="shared" si="83"/>
        <v>355.53996628068228</v>
      </c>
      <c r="BI112" s="913">
        <f t="shared" si="84"/>
        <v>218.6036970597323</v>
      </c>
      <c r="BJ112" s="914">
        <f t="shared" si="85"/>
        <v>126.23839937159039</v>
      </c>
      <c r="BK112" s="933">
        <f t="shared" si="86"/>
        <v>10.697869849359568</v>
      </c>
      <c r="BL112" s="914">
        <f t="shared" si="55"/>
        <v>355.53996628068228</v>
      </c>
      <c r="BM112" s="145">
        <v>0</v>
      </c>
      <c r="BN112" s="927">
        <f t="shared" si="87"/>
        <v>355.53996628068228</v>
      </c>
    </row>
    <row r="113" spans="1:66">
      <c r="A113" s="805">
        <f>'Input data'!A143</f>
        <v>2043</v>
      </c>
      <c r="B113" s="728">
        <f>'Input data'!B143</f>
        <v>72.615704257339331</v>
      </c>
      <c r="C113" s="728">
        <f>'Recycling - Case 3'!AK123/B113</f>
        <v>270.86074122744975</v>
      </c>
      <c r="D113" s="729">
        <f>'Recycling - Case 3'!AM123</f>
        <v>0.11331716734575663</v>
      </c>
      <c r="E113" s="729">
        <f>'Recycling - Case 3'!BE123</f>
        <v>0.21874088727044275</v>
      </c>
      <c r="F113" s="729">
        <f>'Recycling - Case 3'!BF123</f>
        <v>0.27742262247794086</v>
      </c>
      <c r="G113" s="729">
        <f>'Recycling - Case 3'!BG123</f>
        <v>5.3650963392306045E-2</v>
      </c>
      <c r="H113" s="729">
        <f>'Recycling - Case 3'!BH123</f>
        <v>0</v>
      </c>
      <c r="I113" s="729">
        <f>'Recycling - Case 3'!BI123</f>
        <v>0</v>
      </c>
      <c r="J113" s="729">
        <f>'Recycling - Case 3'!BJ123</f>
        <v>0</v>
      </c>
      <c r="K113" s="729">
        <f>'Recycling - Case 3'!BK123</f>
        <v>0.45018552685931013</v>
      </c>
      <c r="L113" s="730">
        <f t="shared" si="89"/>
        <v>0.99999999999999978</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0.109756042943077</v>
      </c>
      <c r="Q113" s="734">
        <f t="shared" si="57"/>
        <v>122.31247978930908</v>
      </c>
      <c r="R113" s="734">
        <f t="shared" si="58"/>
        <v>122.31247978930908</v>
      </c>
      <c r="S113" s="737">
        <f t="shared" si="59"/>
        <v>0</v>
      </c>
      <c r="T113" s="734">
        <f t="shared" si="60"/>
        <v>6322.1391544245243</v>
      </c>
      <c r="U113" s="734">
        <f t="shared" si="61"/>
        <v>317.87191094986673</v>
      </c>
      <c r="V113" s="741">
        <f t="shared" si="62"/>
        <v>211.91460729991115</v>
      </c>
      <c r="X113" s="750">
        <f>'Recycling - Case 3'!AM163</f>
        <v>717.41540747405691</v>
      </c>
      <c r="Y113" s="751">
        <f>Parameters!S283</f>
        <v>0.71500000000000008</v>
      </c>
      <c r="Z113" s="751">
        <f t="shared" si="63"/>
        <v>0.4</v>
      </c>
      <c r="AA113" s="752">
        <f t="shared" si="64"/>
        <v>102.59040326879015</v>
      </c>
      <c r="AB113" s="752">
        <f t="shared" si="65"/>
        <v>102.59040326879015</v>
      </c>
      <c r="AC113" s="753">
        <f t="shared" si="66"/>
        <v>0</v>
      </c>
      <c r="AD113" s="752">
        <f t="shared" si="67"/>
        <v>3712.0459249357641</v>
      </c>
      <c r="AE113" s="752">
        <f t="shared" si="68"/>
        <v>185.06074191635952</v>
      </c>
      <c r="AF113" s="754">
        <f t="shared" si="69"/>
        <v>123.37382794423968</v>
      </c>
      <c r="AH113" s="750">
        <f>'Recycling - Case 3'!AM203</f>
        <v>717.41540747405691</v>
      </c>
      <c r="AI113" s="751">
        <f>Parameters!S283</f>
        <v>0.71500000000000008</v>
      </c>
      <c r="AJ113" s="751">
        <f t="shared" si="70"/>
        <v>0.4</v>
      </c>
      <c r="AK113" s="752">
        <f t="shared" si="71"/>
        <v>102.59040326879015</v>
      </c>
      <c r="AL113" s="752">
        <f t="shared" si="72"/>
        <v>102.59040326879015</v>
      </c>
      <c r="AM113" s="753">
        <f t="shared" si="73"/>
        <v>0</v>
      </c>
      <c r="AN113" s="752">
        <f t="shared" si="74"/>
        <v>3712.0459249357641</v>
      </c>
      <c r="AO113" s="752">
        <f t="shared" si="75"/>
        <v>185.06074191635952</v>
      </c>
      <c r="AP113" s="754">
        <f t="shared" si="76"/>
        <v>123.37382794423968</v>
      </c>
      <c r="AR113" s="740">
        <f>'Recycling - Case 3'!G123</f>
        <v>822.34550826453756</v>
      </c>
      <c r="AS113" s="736">
        <v>1</v>
      </c>
      <c r="AT113" s="736">
        <f t="shared" si="77"/>
        <v>0.05</v>
      </c>
      <c r="AU113" s="734">
        <f t="shared" si="78"/>
        <v>20.558637706613439</v>
      </c>
      <c r="AV113" s="734">
        <f t="shared" si="79"/>
        <v>20.558637706613439</v>
      </c>
      <c r="AW113" s="737">
        <f t="shared" si="80"/>
        <v>0</v>
      </c>
      <c r="AX113" s="734">
        <f t="shared" si="44"/>
        <v>284.2007293979309</v>
      </c>
      <c r="AY113" s="734">
        <f t="shared" si="49"/>
        <v>16.30271647418612</v>
      </c>
      <c r="AZ113" s="808">
        <f t="shared" si="47"/>
        <v>10.868477649457413</v>
      </c>
      <c r="BB113" s="913">
        <f t="shared" si="81"/>
        <v>211.91460729991115</v>
      </c>
      <c r="BC113" s="914">
        <f t="shared" si="82"/>
        <v>123.37382794423968</v>
      </c>
      <c r="BD113" s="933">
        <f t="shared" si="90"/>
        <v>10.868477649457413</v>
      </c>
      <c r="BE113" s="914">
        <f t="shared" si="54"/>
        <v>346.15691289360825</v>
      </c>
      <c r="BF113" s="145">
        <v>0</v>
      </c>
      <c r="BG113" s="927">
        <f t="shared" si="83"/>
        <v>346.15691289360825</v>
      </c>
      <c r="BI113" s="913">
        <f t="shared" si="84"/>
        <v>211.91460729991115</v>
      </c>
      <c r="BJ113" s="914">
        <f t="shared" si="85"/>
        <v>123.37382794423968</v>
      </c>
      <c r="BK113" s="933">
        <f t="shared" si="86"/>
        <v>10.868477649457413</v>
      </c>
      <c r="BL113" s="914">
        <f t="shared" si="55"/>
        <v>346.15691289360825</v>
      </c>
      <c r="BM113" s="145">
        <v>0</v>
      </c>
      <c r="BN113" s="927">
        <f t="shared" si="87"/>
        <v>346.15691289360825</v>
      </c>
    </row>
    <row r="114" spans="1:66">
      <c r="A114" s="805">
        <f>'Input data'!A144</f>
        <v>2044</v>
      </c>
      <c r="B114" s="728">
        <f>'Input data'!B144</f>
        <v>73.016657364175842</v>
      </c>
      <c r="C114" s="728">
        <f>'Recycling - Case 3'!AK124/B114</f>
        <v>270.11901504083602</v>
      </c>
      <c r="D114" s="729">
        <f>'Recycling - Case 3'!AM124</f>
        <v>0.11300436547688399</v>
      </c>
      <c r="E114" s="729">
        <f>'Recycling - Case 3'!BE124</f>
        <v>0.21912582026254718</v>
      </c>
      <c r="F114" s="729">
        <f>'Recycling - Case 3'!BF124</f>
        <v>0.27791082165039754</v>
      </c>
      <c r="G114" s="729">
        <f>'Recycling - Case 3'!BG124</f>
        <v>5.3557988026877293E-2</v>
      </c>
      <c r="H114" s="729">
        <f>'Recycling - Case 3'!BH124</f>
        <v>0</v>
      </c>
      <c r="I114" s="729">
        <f>'Recycling - Case 3'!BI124</f>
        <v>0</v>
      </c>
      <c r="J114" s="729">
        <f>'Recycling - Case 3'!BJ124</f>
        <v>0</v>
      </c>
      <c r="K114" s="729">
        <f>'Recycling - Case 3'!BK124</f>
        <v>0.44940537006017828</v>
      </c>
      <c r="L114" s="730">
        <f t="shared" si="89"/>
        <v>1.0000000000000002</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0.10987423258021251</v>
      </c>
      <c r="Q114" s="734">
        <f t="shared" si="57"/>
        <v>122.44419069301703</v>
      </c>
      <c r="R114" s="734">
        <f t="shared" si="58"/>
        <v>122.44419069301703</v>
      </c>
      <c r="S114" s="737">
        <f t="shared" si="59"/>
        <v>0</v>
      </c>
      <c r="T114" s="734">
        <f t="shared" si="60"/>
        <v>6136.2489801696884</v>
      </c>
      <c r="U114" s="734">
        <f t="shared" si="61"/>
        <v>308.33436494785332</v>
      </c>
      <c r="V114" s="741">
        <f t="shared" si="62"/>
        <v>205.55624329856889</v>
      </c>
      <c r="X114" s="750">
        <f>'Recycling - Case 3'!AM164</f>
        <v>726.72665827880212</v>
      </c>
      <c r="Y114" s="751">
        <f>Parameters!S284</f>
        <v>0.71500000000000008</v>
      </c>
      <c r="Z114" s="751">
        <f t="shared" si="63"/>
        <v>0.4</v>
      </c>
      <c r="AA114" s="752">
        <f t="shared" si="64"/>
        <v>103.92191213386872</v>
      </c>
      <c r="AB114" s="752">
        <f t="shared" si="65"/>
        <v>103.92191213386872</v>
      </c>
      <c r="AC114" s="753">
        <f t="shared" si="66"/>
        <v>0</v>
      </c>
      <c r="AD114" s="752">
        <f t="shared" si="67"/>
        <v>3634.9292210307362</v>
      </c>
      <c r="AE114" s="752">
        <f t="shared" si="68"/>
        <v>181.03861603889655</v>
      </c>
      <c r="AF114" s="754">
        <f t="shared" si="69"/>
        <v>120.6924106925977</v>
      </c>
      <c r="AH114" s="750">
        <f>'Recycling - Case 3'!AM204</f>
        <v>726.72665827880212</v>
      </c>
      <c r="AI114" s="751">
        <f>Parameters!S284</f>
        <v>0.71500000000000008</v>
      </c>
      <c r="AJ114" s="751">
        <f t="shared" si="70"/>
        <v>0.4</v>
      </c>
      <c r="AK114" s="752">
        <f t="shared" si="71"/>
        <v>103.92191213386872</v>
      </c>
      <c r="AL114" s="752">
        <f t="shared" si="72"/>
        <v>103.92191213386872</v>
      </c>
      <c r="AM114" s="753">
        <f t="shared" si="73"/>
        <v>0</v>
      </c>
      <c r="AN114" s="752">
        <f t="shared" si="74"/>
        <v>3634.9292210307362</v>
      </c>
      <c r="AO114" s="752">
        <f t="shared" si="75"/>
        <v>181.03861603889655</v>
      </c>
      <c r="AP114" s="754">
        <f t="shared" si="76"/>
        <v>120.6924106925977</v>
      </c>
      <c r="AR114" s="740">
        <f>'Recycling - Case 3'!G124</f>
        <v>826.88615122605495</v>
      </c>
      <c r="AS114" s="736">
        <v>1</v>
      </c>
      <c r="AT114" s="736">
        <f t="shared" si="77"/>
        <v>0.05</v>
      </c>
      <c r="AU114" s="734">
        <f t="shared" si="78"/>
        <v>20.672153780651374</v>
      </c>
      <c r="AV114" s="734">
        <f t="shared" si="79"/>
        <v>20.672153780651374</v>
      </c>
      <c r="AW114" s="737">
        <f t="shared" si="80"/>
        <v>0</v>
      </c>
      <c r="AX114" s="734">
        <f t="shared" ref="AX114:AX120" si="91">AV114+(AX113*$E$8)</f>
        <v>288.32232114639709</v>
      </c>
      <c r="AY114" s="734">
        <f t="shared" si="49"/>
        <v>16.550562032185223</v>
      </c>
      <c r="AZ114" s="808">
        <f t="shared" si="47"/>
        <v>11.033708021456816</v>
      </c>
      <c r="BB114" s="913">
        <f t="shared" si="81"/>
        <v>205.55624329856889</v>
      </c>
      <c r="BC114" s="914">
        <f t="shared" si="82"/>
        <v>120.6924106925977</v>
      </c>
      <c r="BD114" s="933">
        <f t="shared" si="90"/>
        <v>11.033708021456816</v>
      </c>
      <c r="BE114" s="914">
        <f t="shared" si="54"/>
        <v>337.28236201262337</v>
      </c>
      <c r="BF114" s="145">
        <v>0</v>
      </c>
      <c r="BG114" s="927">
        <f t="shared" si="83"/>
        <v>337.28236201262337</v>
      </c>
      <c r="BI114" s="913">
        <f t="shared" si="84"/>
        <v>205.55624329856889</v>
      </c>
      <c r="BJ114" s="914">
        <f t="shared" si="85"/>
        <v>120.6924106925977</v>
      </c>
      <c r="BK114" s="933">
        <f t="shared" si="86"/>
        <v>11.033708021456816</v>
      </c>
      <c r="BL114" s="914">
        <f t="shared" si="55"/>
        <v>337.28236201262337</v>
      </c>
      <c r="BM114" s="145">
        <v>0</v>
      </c>
      <c r="BN114" s="927">
        <f t="shared" si="87"/>
        <v>337.28236201262337</v>
      </c>
    </row>
    <row r="115" spans="1:66">
      <c r="A115" s="805">
        <f>'Input data'!A145</f>
        <v>2045</v>
      </c>
      <c r="B115" s="728">
        <f>'Input data'!B145</f>
        <v>73.40362603426334</v>
      </c>
      <c r="C115" s="728">
        <f>'Recycling - Case 3'!AK125/B115</f>
        <v>269.41112169812209</v>
      </c>
      <c r="D115" s="729">
        <f>'Recycling - Case 3'!AM125</f>
        <v>0.11270399012636298</v>
      </c>
      <c r="E115" s="729">
        <f>'Recycling - Case 3'!BE125</f>
        <v>0.21949209684090071</v>
      </c>
      <c r="F115" s="729">
        <f>'Recycling - Case 3'!BF125</f>
        <v>0.2783753594429752</v>
      </c>
      <c r="G115" s="729">
        <f>'Recycling - Case 3'!BG125</f>
        <v>5.3469518866220818E-2</v>
      </c>
      <c r="H115" s="729">
        <f>'Recycling - Case 3'!BH125</f>
        <v>0</v>
      </c>
      <c r="I115" s="729">
        <f>'Recycling - Case 3'!BI125</f>
        <v>0</v>
      </c>
      <c r="J115" s="729">
        <f>'Recycling - Case 3'!BJ125</f>
        <v>0</v>
      </c>
      <c r="K115" s="729">
        <f>'Recycling - Case 3'!BK125</f>
        <v>0.448663024849903</v>
      </c>
      <c r="L115" s="730">
        <f t="shared" si="89"/>
        <v>0.99999999999999978</v>
      </c>
      <c r="N115" s="740">
        <f t="shared" si="56"/>
        <v>2228.8062963921579</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0.10998669396121849</v>
      </c>
      <c r="Q115" s="734">
        <f t="shared" si="57"/>
        <v>122.56951801006055</v>
      </c>
      <c r="R115" s="734">
        <f t="shared" si="58"/>
        <v>122.56951801006055</v>
      </c>
      <c r="S115" s="737">
        <f t="shared" si="59"/>
        <v>0</v>
      </c>
      <c r="T115" s="734">
        <f t="shared" si="60"/>
        <v>5959.5501040099662</v>
      </c>
      <c r="U115" s="734">
        <f t="shared" si="61"/>
        <v>299.26839416978243</v>
      </c>
      <c r="V115" s="741">
        <f t="shared" si="62"/>
        <v>199.51226277985495</v>
      </c>
      <c r="X115" s="750">
        <f>'Recycling - Case 3'!AM165</f>
        <v>736.01775807743343</v>
      </c>
      <c r="Y115" s="751">
        <f>Parameters!S285</f>
        <v>0.71500000000000008</v>
      </c>
      <c r="Z115" s="751">
        <f t="shared" si="63"/>
        <v>0.4</v>
      </c>
      <c r="AA115" s="752">
        <f t="shared" si="64"/>
        <v>105.250539405073</v>
      </c>
      <c r="AB115" s="752">
        <f t="shared" si="65"/>
        <v>105.250539405073</v>
      </c>
      <c r="AC115" s="753">
        <f t="shared" si="66"/>
        <v>0</v>
      </c>
      <c r="AD115" s="752">
        <f t="shared" si="67"/>
        <v>3562.902170426969</v>
      </c>
      <c r="AE115" s="752">
        <f t="shared" si="68"/>
        <v>177.27759000884032</v>
      </c>
      <c r="AF115" s="754">
        <f t="shared" si="69"/>
        <v>118.18506000589355</v>
      </c>
      <c r="AH115" s="750">
        <f>'Recycling - Case 3'!AM205</f>
        <v>736.01775807743343</v>
      </c>
      <c r="AI115" s="751">
        <f>Parameters!S285</f>
        <v>0.71500000000000008</v>
      </c>
      <c r="AJ115" s="751">
        <f t="shared" si="70"/>
        <v>0.4</v>
      </c>
      <c r="AK115" s="752">
        <f t="shared" si="71"/>
        <v>105.250539405073</v>
      </c>
      <c r="AL115" s="752">
        <f t="shared" si="72"/>
        <v>105.250539405073</v>
      </c>
      <c r="AM115" s="753">
        <f t="shared" si="73"/>
        <v>0</v>
      </c>
      <c r="AN115" s="752">
        <f t="shared" si="74"/>
        <v>3562.902170426969</v>
      </c>
      <c r="AO115" s="752">
        <f t="shared" si="75"/>
        <v>177.27759000884032</v>
      </c>
      <c r="AP115" s="754">
        <f t="shared" si="76"/>
        <v>118.18506000589355</v>
      </c>
      <c r="AR115" s="740">
        <f>'Recycling - Case 3'!G125</f>
        <v>831.26842570703809</v>
      </c>
      <c r="AS115" s="736">
        <v>1</v>
      </c>
      <c r="AT115" s="736">
        <f t="shared" si="77"/>
        <v>0.05</v>
      </c>
      <c r="AU115" s="734">
        <f t="shared" si="78"/>
        <v>20.781710642675954</v>
      </c>
      <c r="AV115" s="734">
        <f t="shared" si="79"/>
        <v>20.781710642675954</v>
      </c>
      <c r="AW115" s="737">
        <f t="shared" si="80"/>
        <v>0</v>
      </c>
      <c r="AX115" s="734">
        <f t="shared" si="91"/>
        <v>292.31344693904055</v>
      </c>
      <c r="AY115" s="734">
        <f t="shared" si="49"/>
        <v>16.790584850032463</v>
      </c>
      <c r="AZ115" s="808">
        <f t="shared" si="47"/>
        <v>11.193723233354975</v>
      </c>
      <c r="BB115" s="913">
        <f t="shared" si="81"/>
        <v>199.51226277985495</v>
      </c>
      <c r="BC115" s="914">
        <f t="shared" si="82"/>
        <v>118.18506000589355</v>
      </c>
      <c r="BD115" s="933">
        <f t="shared" si="90"/>
        <v>11.193723233354975</v>
      </c>
      <c r="BE115" s="914">
        <f t="shared" si="54"/>
        <v>328.8910460191035</v>
      </c>
      <c r="BF115" s="145">
        <v>0</v>
      </c>
      <c r="BG115" s="927">
        <f t="shared" si="83"/>
        <v>328.8910460191035</v>
      </c>
      <c r="BI115" s="913">
        <f t="shared" si="84"/>
        <v>199.51226277985495</v>
      </c>
      <c r="BJ115" s="914">
        <f t="shared" si="85"/>
        <v>118.18506000589355</v>
      </c>
      <c r="BK115" s="933">
        <f t="shared" si="86"/>
        <v>11.193723233354975</v>
      </c>
      <c r="BL115" s="914">
        <f t="shared" si="55"/>
        <v>328.8910460191035</v>
      </c>
      <c r="BM115" s="145">
        <v>0</v>
      </c>
      <c r="BN115" s="927">
        <f t="shared" si="87"/>
        <v>328.8910460191035</v>
      </c>
    </row>
    <row r="116" spans="1:66">
      <c r="A116" s="805">
        <f>'Input data'!A146</f>
        <v>2046</v>
      </c>
      <c r="B116" s="728">
        <f>'Input data'!B146</f>
        <v>73.776422042674071</v>
      </c>
      <c r="C116" s="728">
        <f>'Recycling - Case 3'!AK126/B116</f>
        <v>268.7364302867656</v>
      </c>
      <c r="D116" s="729">
        <f>'Recycling - Case 3'!AM126</f>
        <v>0.11241601671401726</v>
      </c>
      <c r="E116" s="729">
        <f>'Recycling - Case 3'!BE126</f>
        <v>0.21984019964575927</v>
      </c>
      <c r="F116" s="729">
        <f>'Recycling - Case 3'!BF126</f>
        <v>0.27881684797409018</v>
      </c>
      <c r="G116" s="729">
        <f>'Recycling - Case 3'!BG126</f>
        <v>5.3385439335101433E-2</v>
      </c>
      <c r="H116" s="729">
        <f>'Recycling - Case 3'!BH126</f>
        <v>0</v>
      </c>
      <c r="I116" s="729">
        <f>'Recycling - Case 3'!BI126</f>
        <v>0</v>
      </c>
      <c r="J116" s="729">
        <f>'Recycling - Case 3'!BJ126</f>
        <v>0</v>
      </c>
      <c r="K116" s="729">
        <f>'Recycling - Case 3'!BK126</f>
        <v>0.44795751304504905</v>
      </c>
      <c r="L116" s="730">
        <f t="shared" si="89"/>
        <v>0.99999999999999989</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0.1100935752757225</v>
      </c>
      <c r="Q116" s="734">
        <f t="shared" si="57"/>
        <v>122.68862688342718</v>
      </c>
      <c r="R116" s="734">
        <f t="shared" si="58"/>
        <v>122.68862688342718</v>
      </c>
      <c r="S116" s="737">
        <f t="shared" si="59"/>
        <v>0</v>
      </c>
      <c r="T116" s="734">
        <f>R116+(T115*$C$8)</f>
        <v>5791.5880426039976</v>
      </c>
      <c r="U116" s="734">
        <f t="shared" si="61"/>
        <v>290.6506882893957</v>
      </c>
      <c r="V116" s="741">
        <f t="shared" si="62"/>
        <v>193.76712552626381</v>
      </c>
      <c r="X116" s="750">
        <f>'Recycling - Case 3'!AM166</f>
        <v>747.73049874675053</v>
      </c>
      <c r="Y116" s="751">
        <f>Parameters!S286</f>
        <v>0.71500000000000008</v>
      </c>
      <c r="Z116" s="751">
        <f t="shared" si="63"/>
        <v>0.4</v>
      </c>
      <c r="AA116" s="752">
        <f t="shared" si="64"/>
        <v>106.92546132078533</v>
      </c>
      <c r="AB116" s="752">
        <f t="shared" si="65"/>
        <v>106.92546132078533</v>
      </c>
      <c r="AC116" s="753">
        <f t="shared" si="66"/>
        <v>0</v>
      </c>
      <c r="AD116" s="752">
        <f t="shared" si="67"/>
        <v>3496.0628424483762</v>
      </c>
      <c r="AE116" s="752">
        <f t="shared" si="68"/>
        <v>173.76478929937838</v>
      </c>
      <c r="AF116" s="754">
        <f t="shared" si="69"/>
        <v>115.84319286625225</v>
      </c>
      <c r="AH116" s="750">
        <f>'Recycling - Case 3'!AM206</f>
        <v>747.73049874675053</v>
      </c>
      <c r="AI116" s="751">
        <f>Parameters!S286</f>
        <v>0.71500000000000008</v>
      </c>
      <c r="AJ116" s="751">
        <f t="shared" si="70"/>
        <v>0.4</v>
      </c>
      <c r="AK116" s="752">
        <f t="shared" si="71"/>
        <v>106.92546132078533</v>
      </c>
      <c r="AL116" s="752">
        <f t="shared" si="72"/>
        <v>106.92546132078533</v>
      </c>
      <c r="AM116" s="753">
        <f t="shared" si="73"/>
        <v>0</v>
      </c>
      <c r="AN116" s="752">
        <f t="shared" si="74"/>
        <v>3496.0628424483762</v>
      </c>
      <c r="AO116" s="752">
        <f t="shared" si="75"/>
        <v>173.76478929937838</v>
      </c>
      <c r="AP116" s="754">
        <f t="shared" si="76"/>
        <v>115.84319286625225</v>
      </c>
      <c r="AR116" s="740">
        <f>'Recycling - Case 3'!G126</f>
        <v>835.4902001310536</v>
      </c>
      <c r="AS116" s="736">
        <v>1</v>
      </c>
      <c r="AT116" s="736">
        <f t="shared" si="77"/>
        <v>0.05</v>
      </c>
      <c r="AU116" s="734">
        <f t="shared" si="78"/>
        <v>20.887255003276341</v>
      </c>
      <c r="AV116" s="734">
        <f t="shared" si="79"/>
        <v>20.887255003276341</v>
      </c>
      <c r="AW116" s="737">
        <f t="shared" si="80"/>
        <v>0</v>
      </c>
      <c r="AX116" s="734">
        <f t="shared" si="91"/>
        <v>296.17769202022589</v>
      </c>
      <c r="AY116" s="734">
        <f t="shared" si="49"/>
        <v>17.023009922090989</v>
      </c>
      <c r="AZ116" s="808">
        <f t="shared" si="47"/>
        <v>11.348673281393992</v>
      </c>
      <c r="BB116" s="913">
        <f t="shared" si="81"/>
        <v>193.76712552626381</v>
      </c>
      <c r="BC116" s="914">
        <f t="shared" si="82"/>
        <v>115.84319286625225</v>
      </c>
      <c r="BD116" s="933">
        <f t="shared" si="90"/>
        <v>11.348673281393992</v>
      </c>
      <c r="BE116" s="914">
        <f t="shared" si="54"/>
        <v>320.95899167391008</v>
      </c>
      <c r="BF116" s="145">
        <v>0</v>
      </c>
      <c r="BG116" s="927">
        <f t="shared" si="83"/>
        <v>320.95899167391008</v>
      </c>
      <c r="BI116" s="913">
        <f t="shared" si="84"/>
        <v>193.76712552626381</v>
      </c>
      <c r="BJ116" s="914">
        <f t="shared" si="85"/>
        <v>115.84319286625225</v>
      </c>
      <c r="BK116" s="933">
        <f t="shared" si="86"/>
        <v>11.348673281393992</v>
      </c>
      <c r="BL116" s="914">
        <f t="shared" si="55"/>
        <v>320.95899167391008</v>
      </c>
      <c r="BM116" s="145">
        <v>0</v>
      </c>
      <c r="BN116" s="927">
        <f t="shared" si="87"/>
        <v>320.95899167391008</v>
      </c>
    </row>
    <row r="117" spans="1:66">
      <c r="A117" s="805">
        <f>'Input data'!A147</f>
        <v>2047</v>
      </c>
      <c r="B117" s="728">
        <f>'Input data'!B147</f>
        <v>74.134805489166112</v>
      </c>
      <c r="C117" s="728">
        <f>'Recycling - Case 3'!AK127/B117</f>
        <v>268.09444786137595</v>
      </c>
      <c r="D117" s="729">
        <f>'Recycling - Case 3'!AM127</f>
        <v>0.11214046524455418</v>
      </c>
      <c r="E117" s="729">
        <f>'Recycling - Case 3'!BE127</f>
        <v>0.22017052853931451</v>
      </c>
      <c r="F117" s="729">
        <f>'Recycling - Case 3'!BF127</f>
        <v>0.27923579437717849</v>
      </c>
      <c r="G117" s="729">
        <f>'Recycling - Case 3'!BG127</f>
        <v>5.3305652852207175E-2</v>
      </c>
      <c r="H117" s="729">
        <f>'Recycling - Case 3'!BH127</f>
        <v>0</v>
      </c>
      <c r="I117" s="729">
        <f>'Recycling - Case 3'!BI127</f>
        <v>0</v>
      </c>
      <c r="J117" s="729">
        <f>'Recycling - Case 3'!BJ127</f>
        <v>0</v>
      </c>
      <c r="K117" s="729">
        <f>'Recycling - Case 3'!BK127</f>
        <v>0.44728802423129987</v>
      </c>
      <c r="L117" s="730">
        <f t="shared" si="89"/>
        <v>1</v>
      </c>
      <c r="N117" s="740">
        <f t="shared" si="56"/>
        <v>2228.8062963921589</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0.11019499929721574</v>
      </c>
      <c r="Q117" s="734">
        <f t="shared" si="57"/>
        <v>122.80165413228198</v>
      </c>
      <c r="R117" s="734">
        <f t="shared" si="58"/>
        <v>122.80165413228198</v>
      </c>
      <c r="S117" s="737">
        <f t="shared" si="59"/>
        <v>0</v>
      </c>
      <c r="T117" s="734">
        <f t="shared" ref="T117:T120" si="92">R117+(T116*$C$8)</f>
        <v>5631.9306148436999</v>
      </c>
      <c r="U117" s="734">
        <f t="shared" si="61"/>
        <v>282.45908189258017</v>
      </c>
      <c r="V117" s="741">
        <f t="shared" si="62"/>
        <v>188.30605459505344</v>
      </c>
      <c r="X117" s="750">
        <f>'Recycling - Case 3'!AM167</f>
        <v>757.44328812635797</v>
      </c>
      <c r="Y117" s="751">
        <f>Parameters!S287</f>
        <v>0.71500000000000008</v>
      </c>
      <c r="Z117" s="751">
        <f t="shared" si="63"/>
        <v>0.4</v>
      </c>
      <c r="AA117" s="752">
        <f t="shared" si="64"/>
        <v>108.31439020206921</v>
      </c>
      <c r="AB117" s="752">
        <f t="shared" si="65"/>
        <v>108.31439020206921</v>
      </c>
      <c r="AC117" s="753">
        <f t="shared" si="66"/>
        <v>0</v>
      </c>
      <c r="AD117" s="752">
        <f t="shared" si="67"/>
        <v>3433.8722358425684</v>
      </c>
      <c r="AE117" s="752">
        <f t="shared" si="68"/>
        <v>170.50499680787689</v>
      </c>
      <c r="AF117" s="754">
        <f t="shared" si="69"/>
        <v>113.66999787191793</v>
      </c>
      <c r="AH117" s="750">
        <f>'Recycling - Case 3'!AM207</f>
        <v>757.44328812635797</v>
      </c>
      <c r="AI117" s="751">
        <f>Parameters!S287</f>
        <v>0.71500000000000008</v>
      </c>
      <c r="AJ117" s="751">
        <f t="shared" si="70"/>
        <v>0.4</v>
      </c>
      <c r="AK117" s="752">
        <f t="shared" si="71"/>
        <v>108.31439020206921</v>
      </c>
      <c r="AL117" s="752">
        <f t="shared" si="72"/>
        <v>108.31439020206921</v>
      </c>
      <c r="AM117" s="753">
        <f t="shared" si="73"/>
        <v>0</v>
      </c>
      <c r="AN117" s="752">
        <f t="shared" si="74"/>
        <v>3433.8722358425684</v>
      </c>
      <c r="AO117" s="752">
        <f t="shared" si="75"/>
        <v>170.50499680787689</v>
      </c>
      <c r="AP117" s="754">
        <f t="shared" si="76"/>
        <v>113.66999787191793</v>
      </c>
      <c r="AR117" s="740">
        <f>'Recycling - Case 3'!G127</f>
        <v>839.54875771819297</v>
      </c>
      <c r="AS117" s="736">
        <v>1</v>
      </c>
      <c r="AT117" s="736">
        <f t="shared" si="77"/>
        <v>0.05</v>
      </c>
      <c r="AU117" s="734">
        <f t="shared" si="78"/>
        <v>20.988718942954826</v>
      </c>
      <c r="AV117" s="734">
        <f t="shared" si="79"/>
        <v>20.988718942954826</v>
      </c>
      <c r="AW117" s="737">
        <f t="shared" si="80"/>
        <v>0</v>
      </c>
      <c r="AX117" s="734">
        <f t="shared" si="91"/>
        <v>299.91836492644217</v>
      </c>
      <c r="AY117" s="734">
        <f t="shared" si="49"/>
        <v>17.248046036738589</v>
      </c>
      <c r="AZ117" s="808">
        <f t="shared" si="47"/>
        <v>11.498697357825726</v>
      </c>
      <c r="BB117" s="913">
        <f t="shared" si="81"/>
        <v>188.30605459505344</v>
      </c>
      <c r="BC117" s="914">
        <f t="shared" si="82"/>
        <v>113.66999787191793</v>
      </c>
      <c r="BD117" s="933">
        <f t="shared" si="90"/>
        <v>11.498697357825726</v>
      </c>
      <c r="BE117" s="914">
        <f t="shared" si="54"/>
        <v>313.47474982479713</v>
      </c>
      <c r="BF117" s="145">
        <v>0</v>
      </c>
      <c r="BG117" s="927">
        <f t="shared" si="83"/>
        <v>313.47474982479713</v>
      </c>
      <c r="BI117" s="913">
        <f t="shared" si="84"/>
        <v>188.30605459505344</v>
      </c>
      <c r="BJ117" s="914">
        <f t="shared" si="85"/>
        <v>113.66999787191793</v>
      </c>
      <c r="BK117" s="933">
        <f t="shared" si="86"/>
        <v>11.498697357825726</v>
      </c>
      <c r="BL117" s="914">
        <f t="shared" si="55"/>
        <v>313.47474982479713</v>
      </c>
      <c r="BM117" s="145">
        <v>0</v>
      </c>
      <c r="BN117" s="927">
        <f t="shared" si="87"/>
        <v>313.47474982479713</v>
      </c>
    </row>
    <row r="118" spans="1:66">
      <c r="A118" s="805">
        <f>'Input data'!A148</f>
        <v>2048</v>
      </c>
      <c r="B118" s="728">
        <f>'Input data'!B148</f>
        <v>74.478544758379343</v>
      </c>
      <c r="C118" s="728">
        <f>'Recycling - Case 3'!AK128/B118</f>
        <v>267.48470767631323</v>
      </c>
      <c r="D118" s="729">
        <f>'Recycling - Case 3'!AM128</f>
        <v>0.11187735378506802</v>
      </c>
      <c r="E118" s="729">
        <f>'Recycling - Case 3'!BE128</f>
        <v>0.22048345939114375</v>
      </c>
      <c r="F118" s="729">
        <f>'Recycling - Case 3'!BF128</f>
        <v>0.27963267535655106</v>
      </c>
      <c r="G118" s="729">
        <f>'Recycling - Case 3'!BG128</f>
        <v>5.3230068631317906E-2</v>
      </c>
      <c r="H118" s="729">
        <f>'Recycling - Case 3'!BH128</f>
        <v>0</v>
      </c>
      <c r="I118" s="729">
        <f>'Recycling - Case 3'!BI128</f>
        <v>0</v>
      </c>
      <c r="J118" s="729">
        <f>'Recycling - Case 3'!BJ128</f>
        <v>0</v>
      </c>
      <c r="K118" s="729">
        <f>'Recycling - Case 3'!BK128</f>
        <v>0.4466537966209872</v>
      </c>
      <c r="L118" s="730">
        <f t="shared" si="89"/>
        <v>0.99999999999999978</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0.11029108143250894</v>
      </c>
      <c r="Q118" s="734">
        <f t="shared" si="57"/>
        <v>122.90872836633811</v>
      </c>
      <c r="R118" s="734">
        <f t="shared" si="58"/>
        <v>122.90872836633811</v>
      </c>
      <c r="S118" s="737">
        <f t="shared" si="59"/>
        <v>0</v>
      </c>
      <c r="T118" s="734">
        <f t="shared" si="92"/>
        <v>5480.1668459520633</v>
      </c>
      <c r="U118" s="734">
        <f t="shared" si="61"/>
        <v>274.67249725797478</v>
      </c>
      <c r="V118" s="741">
        <f t="shared" si="62"/>
        <v>183.11499817198319</v>
      </c>
      <c r="X118" s="750">
        <f>'Recycling - Case 3'!AM168</f>
        <v>766.90331372676269</v>
      </c>
      <c r="Y118" s="751">
        <f>Parameters!S288</f>
        <v>0.71500000000000008</v>
      </c>
      <c r="Z118" s="751">
        <f t="shared" si="63"/>
        <v>0.4</v>
      </c>
      <c r="AA118" s="752">
        <f t="shared" si="64"/>
        <v>109.66717386292707</v>
      </c>
      <c r="AB118" s="752">
        <f t="shared" si="65"/>
        <v>109.66717386292707</v>
      </c>
      <c r="AC118" s="753">
        <f t="shared" si="66"/>
        <v>0</v>
      </c>
      <c r="AD118" s="752">
        <f t="shared" si="67"/>
        <v>3376.0674845724334</v>
      </c>
      <c r="AE118" s="752">
        <f t="shared" si="68"/>
        <v>167.47192513306194</v>
      </c>
      <c r="AF118" s="754">
        <f t="shared" si="69"/>
        <v>111.64795008870796</v>
      </c>
      <c r="AH118" s="750">
        <f>'Recycling - Case 3'!AM208</f>
        <v>766.90331372676269</v>
      </c>
      <c r="AI118" s="751">
        <f>Parameters!S288</f>
        <v>0.71500000000000008</v>
      </c>
      <c r="AJ118" s="751">
        <f t="shared" si="70"/>
        <v>0.4</v>
      </c>
      <c r="AK118" s="752">
        <f t="shared" si="71"/>
        <v>109.66717386292707</v>
      </c>
      <c r="AL118" s="752">
        <f t="shared" si="72"/>
        <v>109.66717386292707</v>
      </c>
      <c r="AM118" s="753">
        <f t="shared" si="73"/>
        <v>0</v>
      </c>
      <c r="AN118" s="752">
        <f t="shared" si="74"/>
        <v>3376.0674845724334</v>
      </c>
      <c r="AO118" s="752">
        <f t="shared" si="75"/>
        <v>167.47192513306194</v>
      </c>
      <c r="AP118" s="754">
        <f t="shared" si="76"/>
        <v>111.64795008870796</v>
      </c>
      <c r="AR118" s="740">
        <f>'Recycling - Case 3'!G128</f>
        <v>843.44147551171443</v>
      </c>
      <c r="AS118" s="736">
        <v>1</v>
      </c>
      <c r="AT118" s="736">
        <f t="shared" si="77"/>
        <v>0.05</v>
      </c>
      <c r="AU118" s="734">
        <f t="shared" si="78"/>
        <v>21.086036887792861</v>
      </c>
      <c r="AV118" s="734">
        <f t="shared" si="79"/>
        <v>21.086036887792861</v>
      </c>
      <c r="AW118" s="737">
        <f t="shared" si="80"/>
        <v>0</v>
      </c>
      <c r="AX118" s="734">
        <f t="shared" si="91"/>
        <v>303.53851594609421</v>
      </c>
      <c r="AY118" s="734">
        <f t="shared" si="49"/>
        <v>17.465885868140859</v>
      </c>
      <c r="AZ118" s="808">
        <f t="shared" si="47"/>
        <v>11.643923912093905</v>
      </c>
      <c r="BB118" s="913">
        <f t="shared" si="81"/>
        <v>183.11499817198319</v>
      </c>
      <c r="BC118" s="914">
        <f t="shared" si="82"/>
        <v>111.64795008870796</v>
      </c>
      <c r="BD118" s="933">
        <f t="shared" si="90"/>
        <v>11.643923912093905</v>
      </c>
      <c r="BE118" s="914">
        <f t="shared" si="54"/>
        <v>306.40687217278503</v>
      </c>
      <c r="BF118" s="145">
        <v>0</v>
      </c>
      <c r="BG118" s="927">
        <f t="shared" si="83"/>
        <v>306.40687217278503</v>
      </c>
      <c r="BI118" s="913">
        <f t="shared" si="84"/>
        <v>183.11499817198319</v>
      </c>
      <c r="BJ118" s="914">
        <f t="shared" si="85"/>
        <v>111.64795008870796</v>
      </c>
      <c r="BK118" s="933">
        <f t="shared" si="86"/>
        <v>11.643923912093905</v>
      </c>
      <c r="BL118" s="914">
        <f t="shared" si="55"/>
        <v>306.40687217278503</v>
      </c>
      <c r="BM118" s="145">
        <v>0</v>
      </c>
      <c r="BN118" s="927">
        <f t="shared" si="87"/>
        <v>306.40687217278503</v>
      </c>
    </row>
    <row r="119" spans="1:66">
      <c r="A119" s="805">
        <f>'Input data'!A149</f>
        <v>2049</v>
      </c>
      <c r="B119" s="728">
        <f>'Input data'!B149</f>
        <v>74.807416768507309</v>
      </c>
      <c r="C119" s="728">
        <f>'Recycling - Case 3'!AK129/B119</f>
        <v>266.90676853894121</v>
      </c>
      <c r="D119" s="729">
        <f>'Recycling - Case 3'!AM129</f>
        <v>0.11162669863033255</v>
      </c>
      <c r="E119" s="729">
        <f>'Recycling - Case 3'!BE129</f>
        <v>0.22077934505271044</v>
      </c>
      <c r="F119" s="729">
        <f>'Recycling - Case 3'!BF129</f>
        <v>0.28000793842332283</v>
      </c>
      <c r="G119" s="729">
        <f>'Recycling - Case 3'!BG129</f>
        <v>5.3158601445928294E-2</v>
      </c>
      <c r="H119" s="729">
        <f>'Recycling - Case 3'!BH129</f>
        <v>0</v>
      </c>
      <c r="I119" s="729">
        <f>'Recycling - Case 3'!BI129</f>
        <v>0</v>
      </c>
      <c r="J119" s="729">
        <f>'Recycling - Case 3'!BJ129</f>
        <v>0</v>
      </c>
      <c r="K119" s="729">
        <f>'Recycling - Case 3'!BK129</f>
        <v>0.44605411507803849</v>
      </c>
      <c r="L119" s="730">
        <f t="shared" si="89"/>
        <v>1</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0.11038193002094245</v>
      </c>
      <c r="Q119" s="734">
        <f t="shared" si="57"/>
        <v>123.00997031929757</v>
      </c>
      <c r="R119" s="734">
        <f t="shared" si="58"/>
        <v>123.00997031929757</v>
      </c>
      <c r="S119" s="737">
        <f t="shared" si="59"/>
        <v>0</v>
      </c>
      <c r="T119" s="734">
        <f t="shared" si="92"/>
        <v>5335.9059253621717</v>
      </c>
      <c r="U119" s="734">
        <f t="shared" si="61"/>
        <v>267.27089090918906</v>
      </c>
      <c r="V119" s="741">
        <f t="shared" si="62"/>
        <v>178.18059393945938</v>
      </c>
      <c r="X119" s="750">
        <f>'Recycling - Case 3'!AM169</f>
        <v>776.31215389006582</v>
      </c>
      <c r="Y119" s="751">
        <f>Parameters!S289</f>
        <v>0.71500000000000008</v>
      </c>
      <c r="Z119" s="751">
        <f t="shared" si="63"/>
        <v>0.4</v>
      </c>
      <c r="AA119" s="752">
        <f t="shared" si="64"/>
        <v>111.01263800627943</v>
      </c>
      <c r="AB119" s="752">
        <f t="shared" si="65"/>
        <v>111.01263800627943</v>
      </c>
      <c r="AC119" s="753">
        <f t="shared" si="66"/>
        <v>0</v>
      </c>
      <c r="AD119" s="752">
        <f t="shared" si="67"/>
        <v>3322.4273684316881</v>
      </c>
      <c r="AE119" s="752">
        <f t="shared" si="68"/>
        <v>164.65275414702438</v>
      </c>
      <c r="AF119" s="754">
        <f t="shared" si="69"/>
        <v>109.76850276468292</v>
      </c>
      <c r="AH119" s="750">
        <f>'Recycling - Case 3'!AM209</f>
        <v>776.31215389006582</v>
      </c>
      <c r="AI119" s="751">
        <f>Parameters!S289</f>
        <v>0.71500000000000008</v>
      </c>
      <c r="AJ119" s="751">
        <f t="shared" si="70"/>
        <v>0.4</v>
      </c>
      <c r="AK119" s="752">
        <f t="shared" si="71"/>
        <v>111.01263800627943</v>
      </c>
      <c r="AL119" s="752">
        <f t="shared" si="72"/>
        <v>111.01263800627943</v>
      </c>
      <c r="AM119" s="753">
        <f t="shared" si="73"/>
        <v>0</v>
      </c>
      <c r="AN119" s="752">
        <f t="shared" si="74"/>
        <v>3322.4273684316881</v>
      </c>
      <c r="AO119" s="752">
        <f t="shared" si="75"/>
        <v>164.65275414702438</v>
      </c>
      <c r="AP119" s="754">
        <f t="shared" si="76"/>
        <v>109.76850276468292</v>
      </c>
      <c r="AR119" s="740">
        <f>'Recycling - Case 3'!G129</f>
        <v>847.16582719415828</v>
      </c>
      <c r="AS119" s="736">
        <v>1</v>
      </c>
      <c r="AT119" s="736">
        <f t="shared" si="77"/>
        <v>0.05</v>
      </c>
      <c r="AU119" s="734">
        <f t="shared" si="78"/>
        <v>21.17914567985396</v>
      </c>
      <c r="AV119" s="734">
        <f t="shared" si="79"/>
        <v>21.17914567985396</v>
      </c>
      <c r="AW119" s="737">
        <f t="shared" si="80"/>
        <v>0</v>
      </c>
      <c r="AX119" s="734">
        <f t="shared" si="91"/>
        <v>307.04095457468242</v>
      </c>
      <c r="AY119" s="734">
        <f t="shared" si="49"/>
        <v>17.676707051265755</v>
      </c>
      <c r="AZ119" s="808">
        <f t="shared" si="47"/>
        <v>11.784471367510504</v>
      </c>
      <c r="BB119" s="913">
        <f t="shared" si="81"/>
        <v>178.18059393945938</v>
      </c>
      <c r="BC119" s="914">
        <f t="shared" si="82"/>
        <v>109.76850276468292</v>
      </c>
      <c r="BD119" s="933">
        <f t="shared" si="90"/>
        <v>11.784471367510504</v>
      </c>
      <c r="BE119" s="914">
        <f t="shared" si="54"/>
        <v>299.73356807165283</v>
      </c>
      <c r="BF119" s="145">
        <v>0</v>
      </c>
      <c r="BG119" s="927">
        <f t="shared" si="83"/>
        <v>299.73356807165283</v>
      </c>
      <c r="BI119" s="913">
        <f t="shared" si="84"/>
        <v>178.18059393945938</v>
      </c>
      <c r="BJ119" s="914">
        <f t="shared" si="85"/>
        <v>109.76850276468292</v>
      </c>
      <c r="BK119" s="933">
        <f t="shared" si="86"/>
        <v>11.784471367510504</v>
      </c>
      <c r="BL119" s="914">
        <f t="shared" si="55"/>
        <v>299.73356807165283</v>
      </c>
      <c r="BM119" s="145">
        <v>0</v>
      </c>
      <c r="BN119" s="927">
        <f t="shared" si="87"/>
        <v>299.73356807165283</v>
      </c>
    </row>
    <row r="120" spans="1:66" ht="15.75" thickBot="1">
      <c r="A120" s="806">
        <f>'Input data'!A150</f>
        <v>2050</v>
      </c>
      <c r="B120" s="731">
        <f>'Input data'!B150</f>
        <v>75.121207211856714</v>
      </c>
      <c r="C120" s="731">
        <f>'Recycling - Case 3'!AK130/B120</f>
        <v>266.36021420311141</v>
      </c>
      <c r="D120" s="732">
        <f>'Recycling - Case 3'!AM130</f>
        <v>0.11138851445897341</v>
      </c>
      <c r="E120" s="732">
        <f>'Recycling - Case 3'!BE130</f>
        <v>0.22105851626051959</v>
      </c>
      <c r="F120" s="732">
        <f>'Recycling - Case 3'!BF130</f>
        <v>0.28036200304085801</v>
      </c>
      <c r="G120" s="732">
        <f>'Recycling - Case 3'!BG130</f>
        <v>5.3091171411102367E-2</v>
      </c>
      <c r="H120" s="732">
        <f>'Recycling - Case 3'!BH130</f>
        <v>0</v>
      </c>
      <c r="I120" s="732">
        <f>'Recycling - Case 3'!BI130</f>
        <v>0</v>
      </c>
      <c r="J120" s="732">
        <f>'Recycling - Case 3'!BJ130</f>
        <v>0</v>
      </c>
      <c r="K120" s="732">
        <f>'Recycling - Case 3'!BK130</f>
        <v>0.44548830928752009</v>
      </c>
      <c r="L120" s="733">
        <f t="shared" si="89"/>
        <v>1.0000000000000002</v>
      </c>
      <c r="N120" s="742">
        <f t="shared" si="56"/>
        <v>2228.8062963921584</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0.11046764661169048</v>
      </c>
      <c r="Q120" s="745">
        <f t="shared" si="57"/>
        <v>123.10549315787981</v>
      </c>
      <c r="R120" s="745">
        <f t="shared" si="58"/>
        <v>123.10549315787981</v>
      </c>
      <c r="S120" s="746">
        <f t="shared" si="59"/>
        <v>0</v>
      </c>
      <c r="T120" s="745">
        <f t="shared" si="92"/>
        <v>5198.7762157300886</v>
      </c>
      <c r="U120" s="745">
        <f t="shared" si="61"/>
        <v>260.23520278996324</v>
      </c>
      <c r="V120" s="747">
        <f t="shared" si="62"/>
        <v>173.49013519330882</v>
      </c>
      <c r="X120" s="755">
        <f>'Recycling - Case 3'!AM170</f>
        <v>785.62452171105349</v>
      </c>
      <c r="Y120" s="756">
        <f>Parameters!S290</f>
        <v>0.71500000000000008</v>
      </c>
      <c r="Z120" s="756">
        <f t="shared" si="63"/>
        <v>0.4</v>
      </c>
      <c r="AA120" s="757">
        <f>X120*Z120*Y120*$D$4</f>
        <v>112.34430660468067</v>
      </c>
      <c r="AB120" s="757">
        <f t="shared" si="65"/>
        <v>112.34430660468067</v>
      </c>
      <c r="AC120" s="758">
        <f t="shared" si="66"/>
        <v>0</v>
      </c>
      <c r="AD120" s="757">
        <f t="shared" si="67"/>
        <v>3272.7349802233771</v>
      </c>
      <c r="AE120" s="757">
        <f t="shared" si="68"/>
        <v>162.0366948129917</v>
      </c>
      <c r="AF120" s="759">
        <f t="shared" si="69"/>
        <v>108.02446320866113</v>
      </c>
      <c r="AH120" s="755">
        <f>'Recycling - Case 3'!AM210</f>
        <v>785.62452171105349</v>
      </c>
      <c r="AI120" s="756">
        <f>Parameters!S290</f>
        <v>0.71500000000000008</v>
      </c>
      <c r="AJ120" s="756">
        <f t="shared" si="70"/>
        <v>0.4</v>
      </c>
      <c r="AK120" s="757">
        <f t="shared" si="71"/>
        <v>112.34430660468067</v>
      </c>
      <c r="AL120" s="757">
        <f t="shared" si="72"/>
        <v>112.34430660468067</v>
      </c>
      <c r="AM120" s="758">
        <f t="shared" si="73"/>
        <v>0</v>
      </c>
      <c r="AN120" s="757">
        <f t="shared" si="74"/>
        <v>3272.7349802233771</v>
      </c>
      <c r="AO120" s="757">
        <f t="shared" si="75"/>
        <v>162.0366948129917</v>
      </c>
      <c r="AP120" s="759">
        <f t="shared" si="76"/>
        <v>108.02446320866113</v>
      </c>
      <c r="AR120" s="742">
        <f>'Recycling - Case 3'!G130</f>
        <v>850.71938581159247</v>
      </c>
      <c r="AS120" s="744">
        <f>Parameters!R221</f>
        <v>1</v>
      </c>
      <c r="AT120" s="744">
        <f t="shared" si="77"/>
        <v>0.05</v>
      </c>
      <c r="AU120" s="745">
        <f t="shared" si="78"/>
        <v>21.267984645289815</v>
      </c>
      <c r="AV120" s="745">
        <f t="shared" si="79"/>
        <v>21.267984645289815</v>
      </c>
      <c r="AW120" s="746">
        <f t="shared" si="80"/>
        <v>0</v>
      </c>
      <c r="AX120" s="745">
        <f t="shared" si="91"/>
        <v>310.42826602157811</v>
      </c>
      <c r="AY120" s="745">
        <f t="shared" si="49"/>
        <v>17.880673198394131</v>
      </c>
      <c r="AZ120" s="809">
        <f t="shared" si="47"/>
        <v>11.920448798929421</v>
      </c>
      <c r="BB120" s="915">
        <f t="shared" si="81"/>
        <v>173.49013519330882</v>
      </c>
      <c r="BC120" s="916">
        <f t="shared" si="82"/>
        <v>108.02446320866113</v>
      </c>
      <c r="BD120" s="934">
        <f t="shared" si="90"/>
        <v>11.920448798929421</v>
      </c>
      <c r="BE120" s="916">
        <f t="shared" si="54"/>
        <v>293.43504720089936</v>
      </c>
      <c r="BF120" s="917">
        <v>0</v>
      </c>
      <c r="BG120" s="928">
        <f t="shared" si="83"/>
        <v>293.43504720089936</v>
      </c>
      <c r="BI120" s="915">
        <f t="shared" si="84"/>
        <v>173.49013519330882</v>
      </c>
      <c r="BJ120" s="916">
        <f t="shared" si="85"/>
        <v>108.02446320866113</v>
      </c>
      <c r="BK120" s="934">
        <f t="shared" si="86"/>
        <v>11.920448798929421</v>
      </c>
      <c r="BL120" s="916">
        <f t="shared" si="55"/>
        <v>293.43504720089936</v>
      </c>
      <c r="BM120" s="917">
        <v>0</v>
      </c>
      <c r="BN120" s="928">
        <f t="shared" si="87"/>
        <v>293.43504720089936</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5:BG15"/>
    <mergeCell ref="BF16:BF17"/>
    <mergeCell ref="BG16:BG17"/>
    <mergeCell ref="BI15:BN15"/>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5"/>
  <cols>
    <col min="1" max="1" width="35.28515625" bestFit="1" customWidth="1"/>
    <col min="2" max="2" width="35.28515625" customWidth="1"/>
    <col min="3" max="3" width="17.7109375" customWidth="1"/>
    <col min="4" max="4" width="12.7109375" customWidth="1"/>
    <col min="5" max="5" width="18.42578125" bestFit="1" customWidth="1"/>
    <col min="6" max="7" width="25.28515625" customWidth="1"/>
    <col min="8" max="8" width="13.28515625" customWidth="1"/>
    <col min="9" max="9" width="18.42578125" bestFit="1" customWidth="1"/>
    <col min="10" max="10" width="15.7109375" customWidth="1"/>
    <col min="11" max="11" width="22.28515625" customWidth="1"/>
    <col min="12" max="12" width="19.5703125" customWidth="1"/>
    <col min="13" max="13" width="17.7109375" customWidth="1"/>
    <col min="14" max="14" width="17.85546875" customWidth="1"/>
    <col min="15" max="15" width="13.42578125" customWidth="1"/>
    <col min="16" max="16" width="11.7109375" customWidth="1"/>
    <col min="17" max="17" width="13.7109375" customWidth="1"/>
    <col min="18" max="18" width="15.85546875" customWidth="1"/>
    <col min="19" max="19" width="17" customWidth="1"/>
    <col min="20" max="20" width="17.5703125" customWidth="1"/>
    <col min="21" max="21" width="16.7109375" customWidth="1"/>
    <col min="22" max="22" width="17.7109375" customWidth="1"/>
    <col min="23" max="23" width="14.140625" customWidth="1"/>
  </cols>
  <sheetData>
    <row r="1" spans="1:23" ht="21">
      <c r="A1" s="1025" t="s">
        <v>729</v>
      </c>
      <c r="B1" s="1026"/>
      <c r="C1" s="101"/>
      <c r="D1" s="101"/>
      <c r="E1" s="101"/>
      <c r="F1" s="102"/>
    </row>
    <row r="2" spans="1:23">
      <c r="A2" s="89"/>
      <c r="F2" s="114"/>
    </row>
    <row r="3" spans="1:23" ht="30">
      <c r="A3" s="138" t="s">
        <v>175</v>
      </c>
      <c r="C3" s="173" t="s">
        <v>177</v>
      </c>
      <c r="D3" s="173" t="s">
        <v>178</v>
      </c>
      <c r="E3" s="606"/>
      <c r="F3" s="953" t="s">
        <v>185</v>
      </c>
    </row>
    <row r="4" spans="1:23">
      <c r="A4" s="89" t="s">
        <v>176</v>
      </c>
      <c r="B4" t="s">
        <v>179</v>
      </c>
      <c r="C4">
        <v>10</v>
      </c>
      <c r="D4">
        <v>4</v>
      </c>
      <c r="F4" s="1673" t="s">
        <v>184</v>
      </c>
    </row>
    <row r="5" spans="1:23">
      <c r="A5" s="89" t="s">
        <v>180</v>
      </c>
      <c r="B5" t="s">
        <v>179</v>
      </c>
      <c r="C5">
        <v>2</v>
      </c>
      <c r="D5">
        <v>0.8</v>
      </c>
      <c r="F5" s="1673"/>
    </row>
    <row r="6" spans="1:23">
      <c r="A6" s="138" t="s">
        <v>181</v>
      </c>
      <c r="F6" s="1673"/>
    </row>
    <row r="7" spans="1:23">
      <c r="A7" s="89" t="s">
        <v>176</v>
      </c>
      <c r="B7" t="s">
        <v>183</v>
      </c>
      <c r="C7">
        <v>0.6</v>
      </c>
      <c r="D7">
        <v>0.24</v>
      </c>
      <c r="F7" s="1673"/>
    </row>
    <row r="8" spans="1:23" ht="15.75" thickBot="1">
      <c r="A8" s="141" t="s">
        <v>180</v>
      </c>
      <c r="B8" s="142" t="s">
        <v>183</v>
      </c>
      <c r="C8" s="121" t="s">
        <v>182</v>
      </c>
      <c r="D8" s="121" t="s">
        <v>182</v>
      </c>
      <c r="E8" s="142"/>
      <c r="F8" s="1674"/>
    </row>
    <row r="9" spans="1:23" ht="15.75" thickBot="1">
      <c r="C9" s="112"/>
      <c r="D9" s="112"/>
      <c r="F9" s="606"/>
    </row>
    <row r="10" spans="1:23" ht="15.75" thickBot="1">
      <c r="B10" s="1685" t="s">
        <v>510</v>
      </c>
      <c r="C10" s="1686"/>
      <c r="D10" s="1686"/>
      <c r="E10" s="1686"/>
      <c r="F10" s="1686"/>
      <c r="G10" s="1686"/>
      <c r="H10" s="1686"/>
      <c r="I10" s="1686"/>
      <c r="J10" s="1687"/>
      <c r="K10" s="1682" t="s">
        <v>509</v>
      </c>
      <c r="L10" s="1683"/>
      <c r="M10" s="1683"/>
      <c r="N10" s="1683"/>
      <c r="O10" s="1683"/>
      <c r="P10" s="1683"/>
      <c r="Q10" s="1683"/>
      <c r="R10" s="1683"/>
      <c r="S10" s="1684"/>
      <c r="T10" s="1688" t="s">
        <v>511</v>
      </c>
      <c r="U10" s="1689"/>
      <c r="V10" s="1689"/>
      <c r="W10" s="1690"/>
    </row>
    <row r="11" spans="1:23" ht="28.9" customHeight="1">
      <c r="A11" s="1671" t="s">
        <v>217</v>
      </c>
      <c r="B11" s="689" t="s">
        <v>619</v>
      </c>
      <c r="C11" s="1675" t="s">
        <v>495</v>
      </c>
      <c r="D11" s="1676"/>
      <c r="E11" s="1675" t="s">
        <v>289</v>
      </c>
      <c r="F11" s="1676"/>
      <c r="G11" s="1675" t="s">
        <v>290</v>
      </c>
      <c r="H11" s="1679"/>
      <c r="I11" s="1677" t="s">
        <v>287</v>
      </c>
      <c r="J11" s="1678"/>
      <c r="K11" s="420" t="s">
        <v>507</v>
      </c>
      <c r="L11" s="1691" t="s">
        <v>495</v>
      </c>
      <c r="M11" s="1692"/>
      <c r="N11" s="1691" t="s">
        <v>289</v>
      </c>
      <c r="O11" s="1692"/>
      <c r="P11" s="1691" t="s">
        <v>290</v>
      </c>
      <c r="Q11" s="1693"/>
      <c r="R11" s="1694" t="s">
        <v>287</v>
      </c>
      <c r="S11" s="1695"/>
      <c r="T11" s="1680" t="s">
        <v>508</v>
      </c>
      <c r="U11" s="1681"/>
      <c r="V11" s="1680" t="s">
        <v>776</v>
      </c>
      <c r="W11" s="1681"/>
    </row>
    <row r="12" spans="1:23" ht="29.45" customHeight="1" thickBot="1">
      <c r="A12" s="1672"/>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5"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5"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5"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5"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5"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5"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5"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5"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5"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5"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5"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5"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5"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5"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5"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5"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5"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5"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5"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5"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5"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5"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5"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5"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5"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5"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5"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5"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5"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5"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5"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5"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5"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5"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5"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5"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5"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5"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5"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5"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5"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5"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5"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5"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5"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5"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5"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5"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5"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5"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7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2562.5527582487894</v>
      </c>
      <c r="L83" s="100">
        <v>0.1</v>
      </c>
      <c r="M83" s="518">
        <f t="shared" ref="M83:M114" si="14">1-L83</f>
        <v>0.9</v>
      </c>
      <c r="N83" s="12">
        <f t="shared" ref="N83:O98" si="15">N81</f>
        <v>0</v>
      </c>
      <c r="O83" s="12">
        <f t="shared" si="15"/>
        <v>0</v>
      </c>
      <c r="P83" s="152">
        <f t="shared" ref="P83:P112" si="16">L83*$D$5*K83/1000-N83</f>
        <v>0.20500422065990317</v>
      </c>
      <c r="Q83" s="465">
        <f t="shared" si="5"/>
        <v>9.2251899296956417</v>
      </c>
      <c r="R83" s="12"/>
      <c r="S83" s="1044">
        <f t="shared" si="6"/>
        <v>0.55351139578173858</v>
      </c>
      <c r="T83" s="1033">
        <f t="shared" si="9"/>
        <v>0.42961305766478691</v>
      </c>
      <c r="U83" s="1034">
        <f t="shared" si="9"/>
        <v>24.145634102162916</v>
      </c>
      <c r="V83" s="1034">
        <f t="shared" si="9"/>
        <v>0</v>
      </c>
      <c r="W83" s="1035">
        <f t="shared" si="9"/>
        <v>1.448738046129775</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2485.7704544777393</v>
      </c>
      <c r="L84" s="100">
        <v>0.1</v>
      </c>
      <c r="M84" s="518">
        <f t="shared" si="14"/>
        <v>0.9</v>
      </c>
      <c r="N84" s="12">
        <f t="shared" si="15"/>
        <v>0</v>
      </c>
      <c r="O84" s="12">
        <f t="shared" si="15"/>
        <v>0</v>
      </c>
      <c r="P84" s="152">
        <f t="shared" si="16"/>
        <v>0.19886163635821918</v>
      </c>
      <c r="Q84" s="465">
        <f t="shared" si="5"/>
        <v>8.9487736361198618</v>
      </c>
      <c r="R84" s="12"/>
      <c r="S84" s="1044">
        <f t="shared" si="6"/>
        <v>0.53692641816719178</v>
      </c>
      <c r="T84" s="1033">
        <f t="shared" si="9"/>
        <v>0.47497175708801948</v>
      </c>
      <c r="U84" s="1034">
        <f t="shared" si="9"/>
        <v>24.825105578083381</v>
      </c>
      <c r="V84" s="1034">
        <f t="shared" si="9"/>
        <v>0</v>
      </c>
      <c r="W84" s="1035">
        <f t="shared" si="9"/>
        <v>1.4895063346850028</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2636.7344039878863</v>
      </c>
      <c r="L85" s="100">
        <v>0.1</v>
      </c>
      <c r="M85" s="518">
        <f t="shared" si="14"/>
        <v>0.9</v>
      </c>
      <c r="N85" s="12">
        <f t="shared" si="15"/>
        <v>0</v>
      </c>
      <c r="O85" s="12">
        <f t="shared" si="15"/>
        <v>0</v>
      </c>
      <c r="P85" s="152">
        <f t="shared" si="16"/>
        <v>0.21093875231903095</v>
      </c>
      <c r="Q85" s="465">
        <f t="shared" si="5"/>
        <v>9.4922438543563921</v>
      </c>
      <c r="R85" s="12"/>
      <c r="S85" s="1044">
        <f t="shared" si="6"/>
        <v>0.56953463126138337</v>
      </c>
      <c r="T85" s="1033">
        <f t="shared" si="9"/>
        <v>0.54340373352623117</v>
      </c>
      <c r="U85" s="1034">
        <f t="shared" si="9"/>
        <v>26.300195682053744</v>
      </c>
      <c r="V85" s="1034">
        <f t="shared" si="9"/>
        <v>0</v>
      </c>
      <c r="W85" s="1035">
        <f t="shared" si="9"/>
        <v>1.5780117409232244</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2772.7635490634798</v>
      </c>
      <c r="L86" s="518">
        <f>'Recycling - Case 1'!C31</f>
        <v>0.1</v>
      </c>
      <c r="M86" s="518">
        <f t="shared" si="14"/>
        <v>0.9</v>
      </c>
      <c r="N86" s="12">
        <f t="shared" si="15"/>
        <v>0</v>
      </c>
      <c r="O86" s="12">
        <f t="shared" si="15"/>
        <v>0</v>
      </c>
      <c r="P86" s="152">
        <f t="shared" si="16"/>
        <v>0.22182108392507843</v>
      </c>
      <c r="Q86" s="465">
        <f t="shared" si="5"/>
        <v>9.9819487766285278</v>
      </c>
      <c r="R86" s="12"/>
      <c r="S86" s="1044">
        <f t="shared" si="6"/>
        <v>0.59891692659771156</v>
      </c>
      <c r="T86" s="1033">
        <f t="shared" si="9"/>
        <v>0.61549450236216208</v>
      </c>
      <c r="U86" s="1034">
        <f t="shared" si="9"/>
        <v>27.697252606297287</v>
      </c>
      <c r="V86" s="1034">
        <f t="shared" si="9"/>
        <v>0</v>
      </c>
      <c r="W86" s="1035">
        <f t="shared" si="9"/>
        <v>1.6618351563778373</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2904.0681418807435</v>
      </c>
      <c r="L87" s="518">
        <f>L86</f>
        <v>0.1</v>
      </c>
      <c r="M87" s="518">
        <f t="shared" si="14"/>
        <v>0.9</v>
      </c>
      <c r="N87" s="12">
        <f t="shared" si="15"/>
        <v>0</v>
      </c>
      <c r="O87" s="12">
        <f t="shared" si="15"/>
        <v>0</v>
      </c>
      <c r="P87" s="152">
        <f t="shared" si="16"/>
        <v>0.23232545135045954</v>
      </c>
      <c r="Q87" s="465">
        <f t="shared" si="5"/>
        <v>10.454645310770676</v>
      </c>
      <c r="R87" s="12"/>
      <c r="S87" s="1044">
        <f t="shared" si="6"/>
        <v>0.62727871864624063</v>
      </c>
      <c r="T87" s="1033">
        <f t="shared" si="9"/>
        <v>0.65026675354995978</v>
      </c>
      <c r="U87" s="1034">
        <f t="shared" si="9"/>
        <v>29.262003909748181</v>
      </c>
      <c r="V87" s="1034">
        <f t="shared" si="9"/>
        <v>0</v>
      </c>
      <c r="W87" s="1035">
        <f t="shared" si="9"/>
        <v>1.7557202345848908</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3039.4774952906882</v>
      </c>
      <c r="L88" s="518">
        <f t="shared" ref="L88:L114" si="19">L87</f>
        <v>0.1</v>
      </c>
      <c r="M88" s="518">
        <f t="shared" si="14"/>
        <v>0.9</v>
      </c>
      <c r="N88" s="12">
        <f t="shared" si="15"/>
        <v>0</v>
      </c>
      <c r="O88" s="12">
        <f t="shared" si="15"/>
        <v>0</v>
      </c>
      <c r="P88" s="152">
        <f t="shared" si="16"/>
        <v>0.24315819962325511</v>
      </c>
      <c r="Q88" s="465">
        <f t="shared" si="5"/>
        <v>10.942118983046477</v>
      </c>
      <c r="R88" s="12"/>
      <c r="S88" s="1044">
        <f t="shared" si="6"/>
        <v>0.65652713898278869</v>
      </c>
      <c r="T88" s="1033">
        <f t="shared" si="9"/>
        <v>0.68536738558517185</v>
      </c>
      <c r="U88" s="1034">
        <f t="shared" si="9"/>
        <v>30.841532351332727</v>
      </c>
      <c r="V88" s="1034">
        <f t="shared" si="9"/>
        <v>0</v>
      </c>
      <c r="W88" s="1035">
        <f t="shared" si="9"/>
        <v>1.8504919410799636</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3171.6628446854556</v>
      </c>
      <c r="L89" s="518">
        <f t="shared" si="19"/>
        <v>0.1</v>
      </c>
      <c r="M89" s="518">
        <f t="shared" si="14"/>
        <v>0.9</v>
      </c>
      <c r="N89" s="12">
        <f t="shared" si="15"/>
        <v>0</v>
      </c>
      <c r="O89" s="12">
        <f t="shared" si="15"/>
        <v>0</v>
      </c>
      <c r="P89" s="152">
        <f t="shared" si="16"/>
        <v>0.25373302757483651</v>
      </c>
      <c r="Q89" s="465">
        <f t="shared" si="5"/>
        <v>11.41798624086764</v>
      </c>
      <c r="R89" s="12"/>
      <c r="S89" s="1044">
        <f t="shared" si="6"/>
        <v>0.68507917445205835</v>
      </c>
      <c r="T89" s="1033">
        <f t="shared" si="9"/>
        <v>0.72021009729916985</v>
      </c>
      <c r="U89" s="1034">
        <f t="shared" si="9"/>
        <v>32.409454378462641</v>
      </c>
      <c r="V89" s="1034">
        <f t="shared" si="9"/>
        <v>0</v>
      </c>
      <c r="W89" s="1035">
        <f t="shared" si="9"/>
        <v>1.9445672627077581</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3296.3889470164409</v>
      </c>
      <c r="L90" s="518">
        <f t="shared" si="19"/>
        <v>0.1</v>
      </c>
      <c r="M90" s="518">
        <f t="shared" si="14"/>
        <v>0.9</v>
      </c>
      <c r="N90" s="12">
        <f t="shared" si="15"/>
        <v>0</v>
      </c>
      <c r="O90" s="12">
        <f t="shared" si="15"/>
        <v>0</v>
      </c>
      <c r="P90" s="152">
        <f t="shared" si="16"/>
        <v>0.26371111576131534</v>
      </c>
      <c r="Q90" s="465">
        <f t="shared" si="5"/>
        <v>11.867000209259187</v>
      </c>
      <c r="R90" s="12"/>
      <c r="S90" s="1044">
        <f t="shared" si="6"/>
        <v>0.71202001255555125</v>
      </c>
      <c r="T90" s="1033">
        <f t="shared" si="9"/>
        <v>0.7544560692480653</v>
      </c>
      <c r="U90" s="1034">
        <f t="shared" si="9"/>
        <v>33.950523116162927</v>
      </c>
      <c r="V90" s="1034">
        <f t="shared" si="9"/>
        <v>0</v>
      </c>
      <c r="W90" s="1035">
        <f t="shared" si="9"/>
        <v>2.0370313869697756</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3420.7616593626267</v>
      </c>
      <c r="L91" s="518">
        <f t="shared" si="19"/>
        <v>0.1</v>
      </c>
      <c r="M91" s="518">
        <f t="shared" si="14"/>
        <v>0.9</v>
      </c>
      <c r="N91" s="12">
        <f t="shared" si="15"/>
        <v>0</v>
      </c>
      <c r="O91" s="12">
        <f t="shared" si="15"/>
        <v>0</v>
      </c>
      <c r="P91" s="152">
        <f t="shared" si="16"/>
        <v>0.27366093274901021</v>
      </c>
      <c r="Q91" s="465">
        <f t="shared" si="5"/>
        <v>12.314741973705457</v>
      </c>
      <c r="R91" s="12"/>
      <c r="S91" s="1044">
        <f t="shared" si="6"/>
        <v>0.73888451842232739</v>
      </c>
      <c r="T91" s="1033">
        <f t="shared" si="9"/>
        <v>0.78867376999817651</v>
      </c>
      <c r="U91" s="1034">
        <f t="shared" si="9"/>
        <v>35.490319649917943</v>
      </c>
      <c r="V91" s="1034">
        <f t="shared" si="9"/>
        <v>0</v>
      </c>
      <c r="W91" s="1035">
        <f t="shared" si="9"/>
        <v>2.1294191789950765</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3471.0300255081979</v>
      </c>
      <c r="L92" s="518">
        <f t="shared" si="19"/>
        <v>0.1</v>
      </c>
      <c r="M92" s="518">
        <f t="shared" si="14"/>
        <v>0.9</v>
      </c>
      <c r="N92" s="12">
        <f t="shared" si="15"/>
        <v>0</v>
      </c>
      <c r="O92" s="12">
        <f t="shared" si="15"/>
        <v>0</v>
      </c>
      <c r="P92" s="152">
        <f t="shared" si="16"/>
        <v>0.27768240204065592</v>
      </c>
      <c r="Q92" s="465">
        <f t="shared" si="5"/>
        <v>12.495708091829512</v>
      </c>
      <c r="R92" s="12"/>
      <c r="S92" s="1044">
        <f t="shared" si="6"/>
        <v>0.74974248550977074</v>
      </c>
      <c r="T92" s="1033">
        <f t="shared" si="9"/>
        <v>0.79269523928982233</v>
      </c>
      <c r="U92" s="1034">
        <f t="shared" si="9"/>
        <v>35.671285768041997</v>
      </c>
      <c r="V92" s="1034">
        <f t="shared" si="9"/>
        <v>0</v>
      </c>
      <c r="W92" s="1035">
        <f t="shared" si="9"/>
        <v>2.1402771460825196</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3537.8044223284328</v>
      </c>
      <c r="L93" s="518">
        <f t="shared" si="19"/>
        <v>0.1</v>
      </c>
      <c r="M93" s="518">
        <f t="shared" si="14"/>
        <v>0.9</v>
      </c>
      <c r="N93" s="12">
        <f t="shared" si="15"/>
        <v>0</v>
      </c>
      <c r="O93" s="12">
        <f t="shared" si="15"/>
        <v>0</v>
      </c>
      <c r="P93" s="152">
        <f t="shared" si="16"/>
        <v>0.28302435378627466</v>
      </c>
      <c r="Q93" s="465">
        <f t="shared" si="5"/>
        <v>12.736095920382359</v>
      </c>
      <c r="R93" s="12"/>
      <c r="S93" s="1044">
        <f t="shared" si="6"/>
        <v>0.7641657552229415</v>
      </c>
      <c r="T93" s="1033">
        <f t="shared" si="9"/>
        <v>0.79803719103544102</v>
      </c>
      <c r="U93" s="1034">
        <f t="shared" si="9"/>
        <v>35.911673596594845</v>
      </c>
      <c r="V93" s="1034">
        <f t="shared" si="9"/>
        <v>0</v>
      </c>
      <c r="W93" s="1035">
        <f t="shared" si="9"/>
        <v>2.1547004157956904</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3597.8752829754594</v>
      </c>
      <c r="L94" s="518">
        <f t="shared" si="19"/>
        <v>0.1</v>
      </c>
      <c r="M94" s="518">
        <f t="shared" si="14"/>
        <v>0.9</v>
      </c>
      <c r="N94" s="12">
        <f t="shared" si="15"/>
        <v>0</v>
      </c>
      <c r="O94" s="12">
        <f t="shared" si="15"/>
        <v>0</v>
      </c>
      <c r="P94" s="152">
        <f t="shared" si="16"/>
        <v>0.28783002263803686</v>
      </c>
      <c r="Q94" s="465">
        <f t="shared" si="5"/>
        <v>12.952351018711653</v>
      </c>
      <c r="R94" s="12"/>
      <c r="S94" s="1044">
        <f t="shared" si="6"/>
        <v>0.77714106112269921</v>
      </c>
      <c r="T94" s="1033">
        <f t="shared" si="9"/>
        <v>0.80284285988720328</v>
      </c>
      <c r="U94" s="1034">
        <f t="shared" si="9"/>
        <v>36.127928694924137</v>
      </c>
      <c r="V94" s="1034">
        <f t="shared" si="9"/>
        <v>0</v>
      </c>
      <c r="W94" s="1035">
        <f t="shared" si="9"/>
        <v>2.1676757216954483</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3668.9827846862445</v>
      </c>
      <c r="L95" s="518">
        <f t="shared" si="19"/>
        <v>0.1</v>
      </c>
      <c r="M95" s="518">
        <f t="shared" si="14"/>
        <v>0.9</v>
      </c>
      <c r="N95" s="12">
        <f t="shared" si="15"/>
        <v>0</v>
      </c>
      <c r="O95" s="12">
        <f t="shared" si="15"/>
        <v>0</v>
      </c>
      <c r="P95" s="152">
        <f t="shared" si="16"/>
        <v>0.2935186227748996</v>
      </c>
      <c r="Q95" s="465">
        <f t="shared" si="5"/>
        <v>13.20833802487048</v>
      </c>
      <c r="R95" s="12"/>
      <c r="S95" s="1044">
        <f t="shared" si="6"/>
        <v>0.79250028149222884</v>
      </c>
      <c r="T95" s="1033">
        <f t="shared" si="9"/>
        <v>0.80853146002406595</v>
      </c>
      <c r="U95" s="1034">
        <f t="shared" si="9"/>
        <v>36.383915701082962</v>
      </c>
      <c r="V95" s="1034">
        <f t="shared" si="9"/>
        <v>0</v>
      </c>
      <c r="W95" s="1035">
        <f t="shared" si="9"/>
        <v>2.1830349420649782</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3743.3904051781628</v>
      </c>
      <c r="L96" s="518">
        <f t="shared" si="19"/>
        <v>0.1</v>
      </c>
      <c r="M96" s="518">
        <f t="shared" si="14"/>
        <v>0.9</v>
      </c>
      <c r="N96" s="12">
        <f t="shared" si="15"/>
        <v>0</v>
      </c>
      <c r="O96" s="12">
        <f t="shared" si="15"/>
        <v>0</v>
      </c>
      <c r="P96" s="152">
        <f t="shared" si="16"/>
        <v>0.29947123241425311</v>
      </c>
      <c r="Q96" s="465">
        <f t="shared" si="5"/>
        <v>13.476205458641386</v>
      </c>
      <c r="R96" s="12"/>
      <c r="S96" s="1044">
        <f t="shared" si="6"/>
        <v>0.80857232751848307</v>
      </c>
      <c r="T96" s="1033">
        <f t="shared" si="9"/>
        <v>0.81448406966341946</v>
      </c>
      <c r="U96" s="1034">
        <f t="shared" si="9"/>
        <v>36.651783134853872</v>
      </c>
      <c r="V96" s="1034">
        <f t="shared" si="9"/>
        <v>0</v>
      </c>
      <c r="W96" s="1035">
        <f t="shared" si="9"/>
        <v>2.1991069880912324</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3830.9006389526726</v>
      </c>
      <c r="L97" s="518">
        <f t="shared" si="19"/>
        <v>0.1</v>
      </c>
      <c r="M97" s="518">
        <f t="shared" si="14"/>
        <v>0.9</v>
      </c>
      <c r="N97" s="12">
        <f t="shared" si="15"/>
        <v>0</v>
      </c>
      <c r="O97" s="12">
        <f t="shared" si="15"/>
        <v>0</v>
      </c>
      <c r="P97" s="152">
        <f t="shared" si="16"/>
        <v>0.30647205111621389</v>
      </c>
      <c r="Q97" s="465">
        <f t="shared" si="5"/>
        <v>13.791242300229621</v>
      </c>
      <c r="R97" s="12"/>
      <c r="S97" s="1044">
        <f t="shared" si="6"/>
        <v>0.82747453801377735</v>
      </c>
      <c r="T97" s="1033">
        <f t="shared" si="9"/>
        <v>0.82148488836538025</v>
      </c>
      <c r="U97" s="1034">
        <f t="shared" si="9"/>
        <v>36.966819976442103</v>
      </c>
      <c r="V97" s="1034">
        <f t="shared" si="9"/>
        <v>0</v>
      </c>
      <c r="W97" s="1035">
        <f t="shared" si="9"/>
        <v>2.2180091985865262</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3926.3322451557001</v>
      </c>
      <c r="L98" s="518">
        <f t="shared" si="19"/>
        <v>0.1</v>
      </c>
      <c r="M98" s="518">
        <f t="shared" si="14"/>
        <v>0.9</v>
      </c>
      <c r="N98" s="12">
        <f t="shared" si="15"/>
        <v>0</v>
      </c>
      <c r="O98" s="12">
        <f t="shared" si="15"/>
        <v>0</v>
      </c>
      <c r="P98" s="152">
        <f t="shared" si="16"/>
        <v>0.31410657961245608</v>
      </c>
      <c r="Q98" s="465">
        <f t="shared" si="5"/>
        <v>14.13479608256052</v>
      </c>
      <c r="R98" s="12"/>
      <c r="S98" s="1044">
        <f t="shared" si="6"/>
        <v>0.84808776495363125</v>
      </c>
      <c r="T98" s="1033">
        <f t="shared" si="9"/>
        <v>0.82911941686162249</v>
      </c>
      <c r="U98" s="1034">
        <f t="shared" si="9"/>
        <v>37.310373758773004</v>
      </c>
      <c r="V98" s="1034">
        <f t="shared" si="9"/>
        <v>0</v>
      </c>
      <c r="W98" s="1035">
        <f t="shared" si="9"/>
        <v>2.2386224255263802</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4002.4905052646268</v>
      </c>
      <c r="L99" s="518">
        <f t="shared" si="19"/>
        <v>0.1</v>
      </c>
      <c r="M99" s="518">
        <f t="shared" si="14"/>
        <v>0.9</v>
      </c>
      <c r="N99" s="12">
        <f t="shared" ref="N99:O114" si="20">N97</f>
        <v>0</v>
      </c>
      <c r="O99" s="12">
        <f t="shared" si="20"/>
        <v>0</v>
      </c>
      <c r="P99" s="152">
        <f>L99*$D$5*K99/1000-N99</f>
        <v>0.32019924042117021</v>
      </c>
      <c r="Q99" s="465">
        <f t="shared" si="5"/>
        <v>14.408965818952657</v>
      </c>
      <c r="R99" s="12"/>
      <c r="S99" s="1044">
        <f t="shared" si="6"/>
        <v>0.86453794913715931</v>
      </c>
      <c r="T99" s="1033">
        <f t="shared" si="9"/>
        <v>0.83521207767033656</v>
      </c>
      <c r="U99" s="1034">
        <f t="shared" si="9"/>
        <v>37.584543495165143</v>
      </c>
      <c r="V99" s="1034">
        <f t="shared" si="9"/>
        <v>0</v>
      </c>
      <c r="W99" s="1035">
        <f t="shared" si="9"/>
        <v>2.2550726097099085</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4078.7466272155002</v>
      </c>
      <c r="L100" s="518">
        <f t="shared" si="19"/>
        <v>0.1</v>
      </c>
      <c r="M100" s="518">
        <f t="shared" si="14"/>
        <v>0.9</v>
      </c>
      <c r="N100" s="12">
        <f t="shared" si="20"/>
        <v>0</v>
      </c>
      <c r="O100" s="12">
        <f t="shared" si="20"/>
        <v>0</v>
      </c>
      <c r="P100" s="152">
        <f t="shared" si="16"/>
        <v>0.32629973017724007</v>
      </c>
      <c r="Q100" s="465">
        <f t="shared" si="5"/>
        <v>14.6834878579758</v>
      </c>
      <c r="R100" s="12"/>
      <c r="S100" s="1044">
        <f t="shared" si="6"/>
        <v>0.88100927147854802</v>
      </c>
      <c r="T100" s="1033">
        <f t="shared" si="9"/>
        <v>0.84131256742640637</v>
      </c>
      <c r="U100" s="1034">
        <f t="shared" si="9"/>
        <v>37.859065534188282</v>
      </c>
      <c r="V100" s="1034">
        <f t="shared" si="9"/>
        <v>0</v>
      </c>
      <c r="W100" s="1035">
        <f t="shared" si="9"/>
        <v>2.2715439320512969</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4167.9694432240412</v>
      </c>
      <c r="L101" s="518">
        <f t="shared" si="19"/>
        <v>0.1</v>
      </c>
      <c r="M101" s="518">
        <f t="shared" si="14"/>
        <v>0.9</v>
      </c>
      <c r="N101" s="12">
        <f t="shared" si="20"/>
        <v>0</v>
      </c>
      <c r="O101" s="12">
        <f t="shared" si="20"/>
        <v>0</v>
      </c>
      <c r="P101" s="152">
        <f t="shared" si="16"/>
        <v>0.33343755545792336</v>
      </c>
      <c r="Q101" s="465">
        <f t="shared" si="5"/>
        <v>15.004689995606547</v>
      </c>
      <c r="R101" s="12"/>
      <c r="S101" s="1044">
        <f t="shared" si="6"/>
        <v>0.90028139973639287</v>
      </c>
      <c r="T101" s="1033">
        <f t="shared" si="9"/>
        <v>0.84845039270708966</v>
      </c>
      <c r="U101" s="1034">
        <f t="shared" si="9"/>
        <v>38.180267671819031</v>
      </c>
      <c r="V101" s="1034">
        <f t="shared" si="9"/>
        <v>0</v>
      </c>
      <c r="W101" s="1035">
        <f t="shared" si="9"/>
        <v>2.2908160603091421</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4255.0991031687627</v>
      </c>
      <c r="L102" s="518">
        <f t="shared" si="19"/>
        <v>0.1</v>
      </c>
      <c r="M102" s="518">
        <f t="shared" si="14"/>
        <v>0.9</v>
      </c>
      <c r="N102" s="12">
        <f t="shared" si="20"/>
        <v>0</v>
      </c>
      <c r="O102" s="12">
        <f t="shared" si="20"/>
        <v>0</v>
      </c>
      <c r="P102" s="152">
        <f t="shared" si="16"/>
        <v>0.34040792825350108</v>
      </c>
      <c r="Q102" s="465">
        <f t="shared" si="5"/>
        <v>15.318356771407545</v>
      </c>
      <c r="R102" s="12"/>
      <c r="S102" s="1044">
        <f t="shared" si="6"/>
        <v>0.9191014062844528</v>
      </c>
      <c r="T102" s="1033">
        <f t="shared" si="9"/>
        <v>0.85542076550266744</v>
      </c>
      <c r="U102" s="1034">
        <f t="shared" si="9"/>
        <v>38.493934447620028</v>
      </c>
      <c r="V102" s="1034">
        <f t="shared" si="9"/>
        <v>0</v>
      </c>
      <c r="W102" s="1035">
        <f t="shared" si="9"/>
        <v>2.3096360668572018</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4348.4810474599535</v>
      </c>
      <c r="L103" s="518">
        <f t="shared" si="19"/>
        <v>0.1</v>
      </c>
      <c r="M103" s="518">
        <f t="shared" si="14"/>
        <v>0.9</v>
      </c>
      <c r="N103" s="12">
        <f t="shared" si="20"/>
        <v>0</v>
      </c>
      <c r="O103" s="12">
        <f t="shared" si="20"/>
        <v>0</v>
      </c>
      <c r="P103" s="152">
        <f t="shared" si="16"/>
        <v>0.34787848379679631</v>
      </c>
      <c r="Q103" s="465">
        <f t="shared" si="5"/>
        <v>15.654531770855833</v>
      </c>
      <c r="R103" s="12"/>
      <c r="S103" s="1044">
        <f t="shared" si="6"/>
        <v>0.93927190625134993</v>
      </c>
      <c r="T103" s="1033">
        <f t="shared" si="9"/>
        <v>0.86289132104596267</v>
      </c>
      <c r="U103" s="1034">
        <f t="shared" si="9"/>
        <v>38.830109447068317</v>
      </c>
      <c r="V103" s="1034">
        <f t="shared" si="9"/>
        <v>0</v>
      </c>
      <c r="W103" s="1035">
        <f t="shared" si="9"/>
        <v>2.3298065668240993</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4442.1783243529617</v>
      </c>
      <c r="L104" s="518">
        <f t="shared" si="19"/>
        <v>0.1</v>
      </c>
      <c r="M104" s="518">
        <f t="shared" si="14"/>
        <v>0.9</v>
      </c>
      <c r="N104" s="12">
        <f t="shared" si="20"/>
        <v>0</v>
      </c>
      <c r="O104" s="12">
        <f t="shared" si="20"/>
        <v>0</v>
      </c>
      <c r="P104" s="152">
        <f t="shared" si="16"/>
        <v>0.35537426594823701</v>
      </c>
      <c r="Q104" s="465">
        <f t="shared" si="5"/>
        <v>15.991841967670661</v>
      </c>
      <c r="R104" s="12"/>
      <c r="S104" s="1044">
        <f t="shared" si="6"/>
        <v>0.95951051806023979</v>
      </c>
      <c r="T104" s="1033">
        <f t="shared" si="9"/>
        <v>0.87038710319740331</v>
      </c>
      <c r="U104" s="1034">
        <f t="shared" si="9"/>
        <v>39.167419643883143</v>
      </c>
      <c r="V104" s="1034">
        <f t="shared" si="9"/>
        <v>0</v>
      </c>
      <c r="W104" s="1035">
        <f t="shared" si="9"/>
        <v>2.350045178632989</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4547.532033975378</v>
      </c>
      <c r="L105" s="518">
        <f t="shared" si="19"/>
        <v>0.1</v>
      </c>
      <c r="M105" s="518">
        <f t="shared" si="14"/>
        <v>0.9</v>
      </c>
      <c r="N105" s="12">
        <f t="shared" si="20"/>
        <v>0</v>
      </c>
      <c r="O105" s="12">
        <f t="shared" si="20"/>
        <v>0</v>
      </c>
      <c r="P105" s="152">
        <f t="shared" si="16"/>
        <v>0.3638025627180303</v>
      </c>
      <c r="Q105" s="465">
        <f t="shared" si="5"/>
        <v>16.371115322311361</v>
      </c>
      <c r="R105" s="12"/>
      <c r="S105" s="1044">
        <f t="shared" si="6"/>
        <v>0.9822669193386816</v>
      </c>
      <c r="T105" s="1033">
        <f t="shared" si="9"/>
        <v>0.8788153999671966</v>
      </c>
      <c r="U105" s="1034">
        <f t="shared" si="9"/>
        <v>39.546692998523845</v>
      </c>
      <c r="V105" s="1034">
        <f t="shared" si="9"/>
        <v>0</v>
      </c>
      <c r="W105" s="1035">
        <f t="shared" si="9"/>
        <v>2.3728015799114308</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4654.5439581418577</v>
      </c>
      <c r="L106" s="518">
        <f t="shared" si="19"/>
        <v>0.1</v>
      </c>
      <c r="M106" s="518">
        <f t="shared" si="14"/>
        <v>0.9</v>
      </c>
      <c r="N106" s="12">
        <f t="shared" si="20"/>
        <v>0</v>
      </c>
      <c r="O106" s="12">
        <f t="shared" si="20"/>
        <v>0</v>
      </c>
      <c r="P106" s="152">
        <f t="shared" si="16"/>
        <v>0.3723635166513487</v>
      </c>
      <c r="Q106" s="465">
        <f t="shared" si="5"/>
        <v>16.756358249310686</v>
      </c>
      <c r="R106" s="12"/>
      <c r="S106" s="1044">
        <f t="shared" si="6"/>
        <v>1.0053814949586413</v>
      </c>
      <c r="T106" s="1033">
        <f t="shared" si="9"/>
        <v>0.88737635390051506</v>
      </c>
      <c r="U106" s="1034">
        <f t="shared" si="9"/>
        <v>39.93193592552317</v>
      </c>
      <c r="V106" s="1034">
        <f t="shared" si="9"/>
        <v>0</v>
      </c>
      <c r="W106" s="1035">
        <f t="shared" si="9"/>
        <v>2.3959161555313901</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4764.3177609587738</v>
      </c>
      <c r="L107" s="518">
        <f t="shared" si="19"/>
        <v>0.1</v>
      </c>
      <c r="M107" s="518">
        <f t="shared" si="14"/>
        <v>0.9</v>
      </c>
      <c r="N107" s="12">
        <f t="shared" si="20"/>
        <v>0</v>
      </c>
      <c r="O107" s="12">
        <f t="shared" si="20"/>
        <v>0</v>
      </c>
      <c r="P107" s="152">
        <f t="shared" si="16"/>
        <v>0.38114542087670195</v>
      </c>
      <c r="Q107" s="465">
        <f t="shared" si="5"/>
        <v>17.151543939451585</v>
      </c>
      <c r="R107" s="12"/>
      <c r="S107" s="1044">
        <f t="shared" si="6"/>
        <v>1.0290926363670951</v>
      </c>
      <c r="T107" s="1033">
        <f t="shared" si="9"/>
        <v>0.89615825812586825</v>
      </c>
      <c r="U107" s="1034">
        <f t="shared" si="9"/>
        <v>40.327121615664069</v>
      </c>
      <c r="V107" s="1034">
        <f t="shared" si="9"/>
        <v>0</v>
      </c>
      <c r="W107" s="1035">
        <f t="shared" si="9"/>
        <v>2.4196272969398445</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4878.3539906692804</v>
      </c>
      <c r="L108" s="518">
        <f t="shared" si="19"/>
        <v>0.1</v>
      </c>
      <c r="M108" s="518">
        <f t="shared" si="14"/>
        <v>0.9</v>
      </c>
      <c r="N108" s="12">
        <f t="shared" si="20"/>
        <v>0</v>
      </c>
      <c r="O108" s="12">
        <f t="shared" si="20"/>
        <v>0</v>
      </c>
      <c r="P108" s="152">
        <f t="shared" si="16"/>
        <v>0.39026831925354255</v>
      </c>
      <c r="Q108" s="465">
        <f t="shared" si="5"/>
        <v>17.562074366409412</v>
      </c>
      <c r="R108" s="12"/>
      <c r="S108" s="1044">
        <f t="shared" si="6"/>
        <v>1.0537244619845647</v>
      </c>
      <c r="T108" s="1033">
        <f t="shared" si="9"/>
        <v>0.90528115650270891</v>
      </c>
      <c r="U108" s="1034">
        <f t="shared" si="9"/>
        <v>40.737652042621896</v>
      </c>
      <c r="V108" s="1034">
        <f t="shared" si="9"/>
        <v>0</v>
      </c>
      <c r="W108" s="1035">
        <f t="shared" si="9"/>
        <v>2.4442591225573138</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4997.2071977110627</v>
      </c>
      <c r="L109" s="518">
        <f t="shared" si="19"/>
        <v>0.1</v>
      </c>
      <c r="M109" s="518">
        <f t="shared" si="14"/>
        <v>0.9</v>
      </c>
      <c r="N109" s="12">
        <f t="shared" si="20"/>
        <v>0</v>
      </c>
      <c r="O109" s="12">
        <f t="shared" si="20"/>
        <v>0</v>
      </c>
      <c r="P109" s="152">
        <f t="shared" si="16"/>
        <v>0.39977657581688508</v>
      </c>
      <c r="Q109" s="465">
        <f t="shared" si="5"/>
        <v>17.989945911759825</v>
      </c>
      <c r="R109" s="12"/>
      <c r="S109" s="1044">
        <f t="shared" si="6"/>
        <v>1.0793967547055896</v>
      </c>
      <c r="T109" s="1033">
        <f t="shared" si="9"/>
        <v>0.91478941306605144</v>
      </c>
      <c r="U109" s="1034">
        <f t="shared" si="9"/>
        <v>41.165523587972309</v>
      </c>
      <c r="V109" s="1034">
        <f t="shared" si="9"/>
        <v>0</v>
      </c>
      <c r="W109" s="1035">
        <f t="shared" si="9"/>
        <v>2.4699314152783387</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5124.3025465521841</v>
      </c>
      <c r="L110" s="518">
        <f t="shared" si="19"/>
        <v>0.1</v>
      </c>
      <c r="M110" s="518">
        <f t="shared" si="14"/>
        <v>0.9</v>
      </c>
      <c r="N110" s="12">
        <f t="shared" si="20"/>
        <v>0</v>
      </c>
      <c r="O110" s="12">
        <f t="shared" si="20"/>
        <v>0</v>
      </c>
      <c r="P110" s="152">
        <f t="shared" si="16"/>
        <v>0.40994420372417484</v>
      </c>
      <c r="Q110" s="465">
        <f t="shared" si="5"/>
        <v>18.447489167587865</v>
      </c>
      <c r="R110" s="12"/>
      <c r="S110" s="1044">
        <f t="shared" si="6"/>
        <v>1.1068493500552719</v>
      </c>
      <c r="T110" s="1033">
        <f t="shared" si="9"/>
        <v>0.92495704097334119</v>
      </c>
      <c r="U110" s="1034">
        <f t="shared" si="9"/>
        <v>41.623066843800345</v>
      </c>
      <c r="V110" s="1034">
        <f t="shared" si="9"/>
        <v>0</v>
      </c>
      <c r="W110" s="1035">
        <f t="shared" si="9"/>
        <v>2.497384010628021</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5203.2226853115508</v>
      </c>
      <c r="L111" s="518">
        <f t="shared" si="19"/>
        <v>0.1</v>
      </c>
      <c r="M111" s="518">
        <f t="shared" si="14"/>
        <v>0.9</v>
      </c>
      <c r="N111" s="12">
        <f t="shared" si="20"/>
        <v>0</v>
      </c>
      <c r="O111" s="12">
        <f t="shared" si="20"/>
        <v>0</v>
      </c>
      <c r="P111" s="152">
        <f t="shared" si="16"/>
        <v>0.41625781482492413</v>
      </c>
      <c r="Q111" s="465">
        <f t="shared" si="5"/>
        <v>18.731601667121584</v>
      </c>
      <c r="R111" s="12"/>
      <c r="S111" s="1044">
        <f t="shared" si="6"/>
        <v>1.1238961000272949</v>
      </c>
      <c r="T111" s="1033">
        <f t="shared" si="9"/>
        <v>0.93127065207409054</v>
      </c>
      <c r="U111" s="1034">
        <f t="shared" si="9"/>
        <v>41.907179343334064</v>
      </c>
      <c r="V111" s="1034">
        <f t="shared" si="9"/>
        <v>0</v>
      </c>
      <c r="W111" s="1035">
        <f t="shared" si="9"/>
        <v>2.5144307606000442</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5276.7441124569687</v>
      </c>
      <c r="L112" s="518">
        <f t="shared" si="19"/>
        <v>0.1</v>
      </c>
      <c r="M112" s="518">
        <f t="shared" si="14"/>
        <v>0.9</v>
      </c>
      <c r="N112" s="12">
        <f t="shared" si="20"/>
        <v>0</v>
      </c>
      <c r="O112" s="12">
        <f t="shared" si="20"/>
        <v>0</v>
      </c>
      <c r="P112" s="152">
        <f t="shared" si="16"/>
        <v>0.4221395289965576</v>
      </c>
      <c r="Q112" s="465">
        <f t="shared" si="5"/>
        <v>18.99627880484509</v>
      </c>
      <c r="R112" s="12"/>
      <c r="S112" s="1044">
        <f t="shared" si="6"/>
        <v>1.1397767282907052</v>
      </c>
      <c r="T112" s="1033">
        <f t="shared" si="9"/>
        <v>0.93715236624572396</v>
      </c>
      <c r="U112" s="1034">
        <f t="shared" si="9"/>
        <v>42.171856481057574</v>
      </c>
      <c r="V112" s="1034">
        <f t="shared" si="9"/>
        <v>0</v>
      </c>
      <c r="W112" s="1035">
        <f t="shared" si="9"/>
        <v>2.5303113888634545</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5349.9991379215398</v>
      </c>
      <c r="L113" s="518">
        <f t="shared" si="19"/>
        <v>0.1</v>
      </c>
      <c r="M113" s="518">
        <f t="shared" si="14"/>
        <v>0.9</v>
      </c>
      <c r="N113" s="12">
        <f t="shared" si="20"/>
        <v>0</v>
      </c>
      <c r="O113" s="12">
        <f t="shared" si="20"/>
        <v>0</v>
      </c>
      <c r="P113" s="690">
        <f t="shared" si="8"/>
        <v>0.42799993103372325</v>
      </c>
      <c r="Q113" s="465">
        <f t="shared" si="5"/>
        <v>19.259996896517542</v>
      </c>
      <c r="R113" s="12"/>
      <c r="S113" s="1044">
        <f t="shared" si="6"/>
        <v>1.1555998137910526</v>
      </c>
      <c r="T113" s="1033">
        <f t="shared" si="9"/>
        <v>0.9430127682828896</v>
      </c>
      <c r="U113" s="1034">
        <f t="shared" si="9"/>
        <v>42.435574572730026</v>
      </c>
      <c r="V113" s="1034">
        <f t="shared" si="9"/>
        <v>0</v>
      </c>
      <c r="W113" s="1035">
        <f t="shared" si="9"/>
        <v>2.5461344743638019</v>
      </c>
    </row>
    <row r="114" spans="1:23" ht="15.7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5421.623132687032</v>
      </c>
      <c r="L114" s="520">
        <f t="shared" si="19"/>
        <v>0.1</v>
      </c>
      <c r="M114" s="520">
        <f t="shared" si="14"/>
        <v>0.9</v>
      </c>
      <c r="N114" s="1045">
        <f t="shared" si="20"/>
        <v>0</v>
      </c>
      <c r="O114" s="1045">
        <f t="shared" si="20"/>
        <v>0</v>
      </c>
      <c r="P114" s="1046">
        <f t="shared" si="8"/>
        <v>0.43372985061496261</v>
      </c>
      <c r="Q114" s="988">
        <f t="shared" si="5"/>
        <v>19.517843277673318</v>
      </c>
      <c r="R114" s="1045"/>
      <c r="S114" s="1047">
        <f t="shared" si="6"/>
        <v>1.1710705966603989</v>
      </c>
      <c r="T114" s="1048">
        <f t="shared" si="9"/>
        <v>0.94874268786412896</v>
      </c>
      <c r="U114" s="1049">
        <f t="shared" si="9"/>
        <v>42.693420953885806</v>
      </c>
      <c r="V114" s="1049">
        <f t="shared" si="9"/>
        <v>0</v>
      </c>
      <c r="W114" s="1050">
        <f t="shared" si="9"/>
        <v>2.5616052572331478</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2562.5527582487894</v>
      </c>
      <c r="L117" s="518">
        <f>($L$120-$L$80)/($A$120-$A$80)+L116</f>
        <v>0.1</v>
      </c>
      <c r="M117" s="518">
        <f t="shared" ref="M117:M148" si="28">1-L117</f>
        <v>0.9</v>
      </c>
      <c r="N117" s="12">
        <f t="shared" ref="N117:O132" si="29">N115</f>
        <v>0</v>
      </c>
      <c r="O117" s="12">
        <f t="shared" si="29"/>
        <v>0</v>
      </c>
      <c r="P117" s="690">
        <f>L117*$D$5*K117/1000-N117</f>
        <v>0.20500422065990317</v>
      </c>
      <c r="Q117" s="465">
        <f t="shared" si="21"/>
        <v>9.2251899296956417</v>
      </c>
      <c r="R117" s="12"/>
      <c r="S117" s="1044">
        <f t="shared" si="22"/>
        <v>0.55351139578173858</v>
      </c>
      <c r="T117" s="1033">
        <f t="shared" si="23"/>
        <v>0.42961305766478691</v>
      </c>
      <c r="U117" s="1034">
        <f t="shared" si="23"/>
        <v>24.145634102162916</v>
      </c>
      <c r="V117" s="1034">
        <f t="shared" si="23"/>
        <v>0</v>
      </c>
      <c r="W117" s="1035">
        <f t="shared" si="23"/>
        <v>1.448738046129775</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2485.7704544777393</v>
      </c>
      <c r="L118" s="518">
        <f t="shared" ref="L118:L119" si="31">($L$120-$L$80)/($A$120-$A$80)+L117</f>
        <v>0.1</v>
      </c>
      <c r="M118" s="518">
        <f t="shared" si="28"/>
        <v>0.9</v>
      </c>
      <c r="N118" s="12">
        <f t="shared" si="29"/>
        <v>0</v>
      </c>
      <c r="O118" s="12">
        <f t="shared" si="29"/>
        <v>0</v>
      </c>
      <c r="P118" s="690">
        <f t="shared" ref="P118:P148" si="32">L118*$D$5*K118/1000-N118</f>
        <v>0.19886163635821918</v>
      </c>
      <c r="Q118" s="465">
        <f t="shared" si="21"/>
        <v>8.9487736361198618</v>
      </c>
      <c r="R118" s="12"/>
      <c r="S118" s="1044">
        <f t="shared" si="22"/>
        <v>0.53692641816719178</v>
      </c>
      <c r="T118" s="1033">
        <f t="shared" si="23"/>
        <v>0.47497175708801948</v>
      </c>
      <c r="U118" s="1034">
        <f t="shared" si="23"/>
        <v>24.825105578083381</v>
      </c>
      <c r="V118" s="1034">
        <f t="shared" si="23"/>
        <v>0</v>
      </c>
      <c r="W118" s="1035">
        <f t="shared" si="23"/>
        <v>1.4895063346850028</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2636.7344039878863</v>
      </c>
      <c r="L119" s="518">
        <f t="shared" si="31"/>
        <v>0.1</v>
      </c>
      <c r="M119" s="518">
        <f t="shared" si="28"/>
        <v>0.9</v>
      </c>
      <c r="N119" s="12">
        <f t="shared" si="29"/>
        <v>0</v>
      </c>
      <c r="O119" s="12">
        <f t="shared" si="29"/>
        <v>0</v>
      </c>
      <c r="P119" s="690">
        <f t="shared" si="32"/>
        <v>0.21093875231903095</v>
      </c>
      <c r="Q119" s="465">
        <f t="shared" si="21"/>
        <v>9.4922438543563921</v>
      </c>
      <c r="R119" s="12"/>
      <c r="S119" s="1044">
        <f t="shared" si="22"/>
        <v>0.56953463126138337</v>
      </c>
      <c r="T119" s="1033">
        <f t="shared" si="23"/>
        <v>0.54340373352623117</v>
      </c>
      <c r="U119" s="1034">
        <f t="shared" si="23"/>
        <v>26.300195682053744</v>
      </c>
      <c r="V119" s="1034">
        <f t="shared" si="23"/>
        <v>0</v>
      </c>
      <c r="W119" s="1035">
        <f t="shared" si="23"/>
        <v>1.5780117409232244</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2772.7635490634798</v>
      </c>
      <c r="L120" s="518">
        <f>'Recycling - Case 1'!C31</f>
        <v>0.1</v>
      </c>
      <c r="M120" s="518">
        <f t="shared" si="28"/>
        <v>0.9</v>
      </c>
      <c r="N120" s="12">
        <f t="shared" si="29"/>
        <v>0</v>
      </c>
      <c r="O120" s="12">
        <f t="shared" si="29"/>
        <v>0</v>
      </c>
      <c r="P120" s="690">
        <f t="shared" si="32"/>
        <v>0.22182108392507843</v>
      </c>
      <c r="Q120" s="465">
        <f t="shared" si="21"/>
        <v>9.9819487766285278</v>
      </c>
      <c r="R120" s="12"/>
      <c r="S120" s="1044">
        <f t="shared" si="22"/>
        <v>0.59891692659771156</v>
      </c>
      <c r="T120" s="1033">
        <f t="shared" si="23"/>
        <v>0.61549450236216208</v>
      </c>
      <c r="U120" s="1034">
        <f t="shared" si="23"/>
        <v>27.697252606297287</v>
      </c>
      <c r="V120" s="1034">
        <f t="shared" si="23"/>
        <v>0</v>
      </c>
      <c r="W120" s="1035">
        <f t="shared" si="23"/>
        <v>1.6618351563778373</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2904.0681418807435</v>
      </c>
      <c r="L121" s="518">
        <f>L120</f>
        <v>0.1</v>
      </c>
      <c r="M121" s="518">
        <f t="shared" si="28"/>
        <v>0.9</v>
      </c>
      <c r="N121" s="12">
        <f t="shared" si="29"/>
        <v>0</v>
      </c>
      <c r="O121" s="12">
        <f t="shared" si="29"/>
        <v>0</v>
      </c>
      <c r="P121" s="690">
        <f t="shared" si="32"/>
        <v>0.23232545135045954</v>
      </c>
      <c r="Q121" s="465">
        <f t="shared" si="21"/>
        <v>10.454645310770676</v>
      </c>
      <c r="R121" s="12"/>
      <c r="S121" s="1044">
        <f t="shared" si="22"/>
        <v>0.62727871864624063</v>
      </c>
      <c r="T121" s="1033">
        <f t="shared" si="23"/>
        <v>0.65026675354995978</v>
      </c>
      <c r="U121" s="1034">
        <f t="shared" si="23"/>
        <v>29.262003909748181</v>
      </c>
      <c r="V121" s="1034">
        <f t="shared" si="23"/>
        <v>0</v>
      </c>
      <c r="W121" s="1035">
        <f t="shared" si="23"/>
        <v>1.7557202345848908</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3039.4774952906882</v>
      </c>
      <c r="L122" s="518">
        <f t="shared" ref="L122:L148" si="34">L121</f>
        <v>0.1</v>
      </c>
      <c r="M122" s="518">
        <f t="shared" si="28"/>
        <v>0.9</v>
      </c>
      <c r="N122" s="12">
        <f t="shared" si="29"/>
        <v>0</v>
      </c>
      <c r="O122" s="12">
        <f t="shared" si="29"/>
        <v>0</v>
      </c>
      <c r="P122" s="690">
        <f t="shared" si="32"/>
        <v>0.24315819962325511</v>
      </c>
      <c r="Q122" s="465">
        <f t="shared" si="21"/>
        <v>10.942118983046477</v>
      </c>
      <c r="R122" s="12"/>
      <c r="S122" s="1044">
        <f t="shared" si="22"/>
        <v>0.65652713898278869</v>
      </c>
      <c r="T122" s="1033">
        <f t="shared" si="23"/>
        <v>0.68536738558517185</v>
      </c>
      <c r="U122" s="1034">
        <f t="shared" si="23"/>
        <v>30.841532351332727</v>
      </c>
      <c r="V122" s="1034">
        <f t="shared" si="23"/>
        <v>0</v>
      </c>
      <c r="W122" s="1035">
        <f t="shared" si="23"/>
        <v>1.8504919410799636</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3171.6628446854556</v>
      </c>
      <c r="L123" s="518">
        <f t="shared" si="34"/>
        <v>0.1</v>
      </c>
      <c r="M123" s="518">
        <f t="shared" si="28"/>
        <v>0.9</v>
      </c>
      <c r="N123" s="12">
        <f t="shared" si="29"/>
        <v>0</v>
      </c>
      <c r="O123" s="12">
        <f t="shared" si="29"/>
        <v>0</v>
      </c>
      <c r="P123" s="690">
        <f t="shared" si="32"/>
        <v>0.25373302757483651</v>
      </c>
      <c r="Q123" s="465">
        <f t="shared" si="21"/>
        <v>11.41798624086764</v>
      </c>
      <c r="R123" s="12"/>
      <c r="S123" s="1044">
        <f t="shared" si="22"/>
        <v>0.68507917445205835</v>
      </c>
      <c r="T123" s="1033">
        <f t="shared" si="23"/>
        <v>0.72021009729916985</v>
      </c>
      <c r="U123" s="1034">
        <f t="shared" si="23"/>
        <v>32.409454378462641</v>
      </c>
      <c r="V123" s="1034">
        <f t="shared" si="23"/>
        <v>0</v>
      </c>
      <c r="W123" s="1035">
        <f t="shared" si="23"/>
        <v>1.9445672627077581</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3296.3889470164409</v>
      </c>
      <c r="L124" s="518">
        <f t="shared" si="34"/>
        <v>0.1</v>
      </c>
      <c r="M124" s="518">
        <f t="shared" si="28"/>
        <v>0.9</v>
      </c>
      <c r="N124" s="12">
        <f t="shared" si="29"/>
        <v>0</v>
      </c>
      <c r="O124" s="12">
        <f t="shared" si="29"/>
        <v>0</v>
      </c>
      <c r="P124" s="690">
        <f t="shared" si="32"/>
        <v>0.26371111576131534</v>
      </c>
      <c r="Q124" s="465">
        <f t="shared" si="21"/>
        <v>11.867000209259187</v>
      </c>
      <c r="R124" s="12"/>
      <c r="S124" s="1044">
        <f t="shared" si="22"/>
        <v>0.71202001255555125</v>
      </c>
      <c r="T124" s="1033">
        <f t="shared" si="23"/>
        <v>0.7544560692480653</v>
      </c>
      <c r="U124" s="1034">
        <f t="shared" si="23"/>
        <v>33.950523116162927</v>
      </c>
      <c r="V124" s="1034">
        <f t="shared" si="23"/>
        <v>0</v>
      </c>
      <c r="W124" s="1035">
        <f t="shared" si="23"/>
        <v>2.0370313869697756</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3420.7616593626267</v>
      </c>
      <c r="L125" s="518">
        <f t="shared" si="34"/>
        <v>0.1</v>
      </c>
      <c r="M125" s="518">
        <f t="shared" si="28"/>
        <v>0.9</v>
      </c>
      <c r="N125" s="12">
        <f t="shared" si="29"/>
        <v>0</v>
      </c>
      <c r="O125" s="12">
        <f t="shared" si="29"/>
        <v>0</v>
      </c>
      <c r="P125" s="690">
        <f t="shared" si="32"/>
        <v>0.27366093274901021</v>
      </c>
      <c r="Q125" s="465">
        <f t="shared" si="21"/>
        <v>12.314741973705457</v>
      </c>
      <c r="R125" s="12"/>
      <c r="S125" s="1044">
        <f t="shared" si="22"/>
        <v>0.73888451842232739</v>
      </c>
      <c r="T125" s="1033">
        <f t="shared" si="23"/>
        <v>0.78867376999817651</v>
      </c>
      <c r="U125" s="1034">
        <f t="shared" si="23"/>
        <v>35.490319649917943</v>
      </c>
      <c r="V125" s="1034">
        <f t="shared" si="23"/>
        <v>0</v>
      </c>
      <c r="W125" s="1035">
        <f t="shared" si="23"/>
        <v>2.1294191789950765</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3471.0300255081979</v>
      </c>
      <c r="L126" s="518">
        <f t="shared" si="34"/>
        <v>0.1</v>
      </c>
      <c r="M126" s="518">
        <f t="shared" si="28"/>
        <v>0.9</v>
      </c>
      <c r="N126" s="12">
        <f t="shared" si="29"/>
        <v>0</v>
      </c>
      <c r="O126" s="12">
        <f t="shared" si="29"/>
        <v>0</v>
      </c>
      <c r="P126" s="690">
        <f t="shared" si="32"/>
        <v>0.27768240204065592</v>
      </c>
      <c r="Q126" s="465">
        <f t="shared" si="21"/>
        <v>12.495708091829512</v>
      </c>
      <c r="R126" s="12"/>
      <c r="S126" s="1044">
        <f t="shared" si="22"/>
        <v>0.74974248550977074</v>
      </c>
      <c r="T126" s="1033">
        <f t="shared" si="23"/>
        <v>0.79269523928982233</v>
      </c>
      <c r="U126" s="1034">
        <f t="shared" si="23"/>
        <v>35.671285768041997</v>
      </c>
      <c r="V126" s="1034">
        <f t="shared" si="23"/>
        <v>0</v>
      </c>
      <c r="W126" s="1035">
        <f t="shared" si="23"/>
        <v>2.1402771460825196</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3537.8044223284328</v>
      </c>
      <c r="L127" s="518">
        <f t="shared" si="34"/>
        <v>0.1</v>
      </c>
      <c r="M127" s="518">
        <f t="shared" si="28"/>
        <v>0.9</v>
      </c>
      <c r="N127" s="12">
        <f t="shared" si="29"/>
        <v>0</v>
      </c>
      <c r="O127" s="12">
        <f t="shared" si="29"/>
        <v>0</v>
      </c>
      <c r="P127" s="690">
        <f t="shared" si="32"/>
        <v>0.28302435378627466</v>
      </c>
      <c r="Q127" s="465">
        <f t="shared" si="21"/>
        <v>12.736095920382359</v>
      </c>
      <c r="R127" s="12"/>
      <c r="S127" s="1044">
        <f t="shared" si="22"/>
        <v>0.7641657552229415</v>
      </c>
      <c r="T127" s="1033">
        <f t="shared" si="23"/>
        <v>0.79803719103544102</v>
      </c>
      <c r="U127" s="1034">
        <f t="shared" si="23"/>
        <v>35.911673596594845</v>
      </c>
      <c r="V127" s="1034">
        <f t="shared" si="23"/>
        <v>0</v>
      </c>
      <c r="W127" s="1035">
        <f t="shared" si="23"/>
        <v>2.1547004157956904</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3597.8752829754594</v>
      </c>
      <c r="L128" s="518">
        <f t="shared" si="34"/>
        <v>0.1</v>
      </c>
      <c r="M128" s="518">
        <f t="shared" si="28"/>
        <v>0.9</v>
      </c>
      <c r="N128" s="12">
        <f t="shared" si="29"/>
        <v>0</v>
      </c>
      <c r="O128" s="12">
        <f t="shared" si="29"/>
        <v>0</v>
      </c>
      <c r="P128" s="690">
        <f t="shared" si="32"/>
        <v>0.28783002263803686</v>
      </c>
      <c r="Q128" s="465">
        <f t="shared" si="21"/>
        <v>12.952351018711653</v>
      </c>
      <c r="R128" s="12"/>
      <c r="S128" s="1044">
        <f t="shared" si="22"/>
        <v>0.77714106112269921</v>
      </c>
      <c r="T128" s="1033">
        <f t="shared" si="23"/>
        <v>0.80284285988720328</v>
      </c>
      <c r="U128" s="1034">
        <f t="shared" si="23"/>
        <v>36.127928694924137</v>
      </c>
      <c r="V128" s="1034">
        <f t="shared" si="23"/>
        <v>0</v>
      </c>
      <c r="W128" s="1035">
        <f t="shared" si="23"/>
        <v>2.1676757216954483</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3668.9827846862445</v>
      </c>
      <c r="L129" s="518">
        <f t="shared" si="34"/>
        <v>0.1</v>
      </c>
      <c r="M129" s="518">
        <f t="shared" si="28"/>
        <v>0.9</v>
      </c>
      <c r="N129" s="12">
        <f t="shared" si="29"/>
        <v>0</v>
      </c>
      <c r="O129" s="12">
        <f t="shared" si="29"/>
        <v>0</v>
      </c>
      <c r="P129" s="690">
        <f t="shared" si="32"/>
        <v>0.2935186227748996</v>
      </c>
      <c r="Q129" s="465">
        <f t="shared" si="21"/>
        <v>13.20833802487048</v>
      </c>
      <c r="R129" s="12"/>
      <c r="S129" s="1044">
        <f t="shared" si="22"/>
        <v>0.79250028149222884</v>
      </c>
      <c r="T129" s="1033">
        <f t="shared" si="23"/>
        <v>0.80853146002406595</v>
      </c>
      <c r="U129" s="1034">
        <f t="shared" si="23"/>
        <v>36.383915701082962</v>
      </c>
      <c r="V129" s="1034">
        <f t="shared" si="23"/>
        <v>0</v>
      </c>
      <c r="W129" s="1035">
        <f t="shared" si="23"/>
        <v>2.1830349420649782</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3743.3904051781628</v>
      </c>
      <c r="L130" s="518">
        <f t="shared" si="34"/>
        <v>0.1</v>
      </c>
      <c r="M130" s="518">
        <f t="shared" si="28"/>
        <v>0.9</v>
      </c>
      <c r="N130" s="12">
        <f t="shared" si="29"/>
        <v>0</v>
      </c>
      <c r="O130" s="12">
        <f t="shared" si="29"/>
        <v>0</v>
      </c>
      <c r="P130" s="690">
        <f t="shared" si="32"/>
        <v>0.29947123241425311</v>
      </c>
      <c r="Q130" s="465">
        <f t="shared" si="21"/>
        <v>13.476205458641386</v>
      </c>
      <c r="R130" s="12"/>
      <c r="S130" s="1044">
        <f t="shared" si="22"/>
        <v>0.80857232751848307</v>
      </c>
      <c r="T130" s="1033">
        <f t="shared" si="23"/>
        <v>0.81448406966341946</v>
      </c>
      <c r="U130" s="1034">
        <f t="shared" si="23"/>
        <v>36.651783134853872</v>
      </c>
      <c r="V130" s="1034">
        <f t="shared" si="23"/>
        <v>0</v>
      </c>
      <c r="W130" s="1035">
        <f t="shared" si="23"/>
        <v>2.1991069880912324</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3830.9006389526726</v>
      </c>
      <c r="L131" s="518">
        <f t="shared" si="34"/>
        <v>0.1</v>
      </c>
      <c r="M131" s="518">
        <f t="shared" si="28"/>
        <v>0.9</v>
      </c>
      <c r="N131" s="12">
        <f t="shared" si="29"/>
        <v>0</v>
      </c>
      <c r="O131" s="12">
        <f t="shared" si="29"/>
        <v>0</v>
      </c>
      <c r="P131" s="690">
        <f t="shared" si="32"/>
        <v>0.30647205111621389</v>
      </c>
      <c r="Q131" s="465">
        <f t="shared" si="21"/>
        <v>13.791242300229621</v>
      </c>
      <c r="R131" s="12"/>
      <c r="S131" s="1044">
        <f t="shared" si="22"/>
        <v>0.82747453801377735</v>
      </c>
      <c r="T131" s="1033">
        <f t="shared" si="23"/>
        <v>0.82148488836538025</v>
      </c>
      <c r="U131" s="1034">
        <f t="shared" si="23"/>
        <v>36.966819976442103</v>
      </c>
      <c r="V131" s="1034">
        <f t="shared" si="23"/>
        <v>0</v>
      </c>
      <c r="W131" s="1035">
        <f t="shared" si="23"/>
        <v>2.2180091985865262</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3926.3322451557001</v>
      </c>
      <c r="L132" s="518">
        <f t="shared" si="34"/>
        <v>0.1</v>
      </c>
      <c r="M132" s="518">
        <f t="shared" si="28"/>
        <v>0.9</v>
      </c>
      <c r="N132" s="12">
        <f t="shared" si="29"/>
        <v>0</v>
      </c>
      <c r="O132" s="12">
        <f t="shared" si="29"/>
        <v>0</v>
      </c>
      <c r="P132" s="690">
        <f t="shared" si="32"/>
        <v>0.31410657961245608</v>
      </c>
      <c r="Q132" s="465">
        <f t="shared" si="21"/>
        <v>14.13479608256052</v>
      </c>
      <c r="R132" s="12"/>
      <c r="S132" s="1044">
        <f t="shared" si="22"/>
        <v>0.84808776495363125</v>
      </c>
      <c r="T132" s="1033">
        <f t="shared" si="23"/>
        <v>0.82911941686162249</v>
      </c>
      <c r="U132" s="1034">
        <f t="shared" si="23"/>
        <v>37.310373758773004</v>
      </c>
      <c r="V132" s="1034">
        <f t="shared" si="23"/>
        <v>0</v>
      </c>
      <c r="W132" s="1035">
        <f t="shared" si="23"/>
        <v>2.2386224255263802</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4002.4905052646268</v>
      </c>
      <c r="L133" s="518">
        <f t="shared" si="34"/>
        <v>0.1</v>
      </c>
      <c r="M133" s="518">
        <f t="shared" si="28"/>
        <v>0.9</v>
      </c>
      <c r="N133" s="12">
        <f t="shared" ref="N133:O148" si="35">N131</f>
        <v>0</v>
      </c>
      <c r="O133" s="12">
        <f t="shared" si="35"/>
        <v>0</v>
      </c>
      <c r="P133" s="690">
        <f t="shared" si="32"/>
        <v>0.32019924042117021</v>
      </c>
      <c r="Q133" s="465">
        <f t="shared" si="21"/>
        <v>14.408965818952657</v>
      </c>
      <c r="R133" s="12"/>
      <c r="S133" s="1044">
        <f t="shared" si="22"/>
        <v>0.86453794913715931</v>
      </c>
      <c r="T133" s="1033">
        <f t="shared" si="23"/>
        <v>0.83521207767033656</v>
      </c>
      <c r="U133" s="1034">
        <f t="shared" si="23"/>
        <v>37.584543495165143</v>
      </c>
      <c r="V133" s="1034">
        <f t="shared" si="23"/>
        <v>0</v>
      </c>
      <c r="W133" s="1035">
        <f t="shared" si="23"/>
        <v>2.2550726097099085</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4078.7466272155002</v>
      </c>
      <c r="L134" s="518">
        <f t="shared" si="34"/>
        <v>0.1</v>
      </c>
      <c r="M134" s="518">
        <f t="shared" si="28"/>
        <v>0.9</v>
      </c>
      <c r="N134" s="12">
        <f t="shared" si="35"/>
        <v>0</v>
      </c>
      <c r="O134" s="12">
        <f t="shared" si="35"/>
        <v>0</v>
      </c>
      <c r="P134" s="690">
        <f t="shared" si="32"/>
        <v>0.32629973017724007</v>
      </c>
      <c r="Q134" s="465">
        <f t="shared" si="21"/>
        <v>14.6834878579758</v>
      </c>
      <c r="R134" s="12"/>
      <c r="S134" s="1044">
        <f t="shared" si="22"/>
        <v>0.88100927147854802</v>
      </c>
      <c r="T134" s="1033">
        <f t="shared" si="23"/>
        <v>0.84131256742640637</v>
      </c>
      <c r="U134" s="1034">
        <f t="shared" si="23"/>
        <v>37.859065534188282</v>
      </c>
      <c r="V134" s="1034">
        <f t="shared" si="23"/>
        <v>0</v>
      </c>
      <c r="W134" s="1035">
        <f t="shared" si="23"/>
        <v>2.2715439320512969</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4167.9694432240412</v>
      </c>
      <c r="L135" s="518">
        <f t="shared" si="34"/>
        <v>0.1</v>
      </c>
      <c r="M135" s="518">
        <f t="shared" si="28"/>
        <v>0.9</v>
      </c>
      <c r="N135" s="12">
        <f t="shared" si="35"/>
        <v>0</v>
      </c>
      <c r="O135" s="12">
        <f t="shared" si="35"/>
        <v>0</v>
      </c>
      <c r="P135" s="690">
        <f t="shared" si="32"/>
        <v>0.33343755545792336</v>
      </c>
      <c r="Q135" s="465">
        <f t="shared" si="21"/>
        <v>15.004689995606547</v>
      </c>
      <c r="R135" s="12"/>
      <c r="S135" s="1044">
        <f t="shared" si="22"/>
        <v>0.90028139973639287</v>
      </c>
      <c r="T135" s="1033">
        <f t="shared" si="23"/>
        <v>0.84845039270708966</v>
      </c>
      <c r="U135" s="1034">
        <f t="shared" si="23"/>
        <v>38.180267671819031</v>
      </c>
      <c r="V135" s="1034">
        <f t="shared" si="23"/>
        <v>0</v>
      </c>
      <c r="W135" s="1035">
        <f t="shared" si="23"/>
        <v>2.2908160603091421</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4255.0991031687627</v>
      </c>
      <c r="L136" s="518">
        <f t="shared" si="34"/>
        <v>0.1</v>
      </c>
      <c r="M136" s="518">
        <f t="shared" si="28"/>
        <v>0.9</v>
      </c>
      <c r="N136" s="12">
        <f t="shared" si="35"/>
        <v>0</v>
      </c>
      <c r="O136" s="12">
        <f t="shared" si="35"/>
        <v>0</v>
      </c>
      <c r="P136" s="690">
        <f t="shared" si="32"/>
        <v>0.34040792825350108</v>
      </c>
      <c r="Q136" s="465">
        <f t="shared" si="21"/>
        <v>15.318356771407545</v>
      </c>
      <c r="R136" s="12"/>
      <c r="S136" s="1044">
        <f t="shared" si="22"/>
        <v>0.9191014062844528</v>
      </c>
      <c r="T136" s="1033">
        <f t="shared" si="23"/>
        <v>0.85542076550266744</v>
      </c>
      <c r="U136" s="1034">
        <f t="shared" si="23"/>
        <v>38.493934447620028</v>
      </c>
      <c r="V136" s="1034">
        <f t="shared" si="23"/>
        <v>0</v>
      </c>
      <c r="W136" s="1035">
        <f t="shared" si="23"/>
        <v>2.3096360668572018</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4348.4810474599535</v>
      </c>
      <c r="L137" s="518">
        <f t="shared" si="34"/>
        <v>0.1</v>
      </c>
      <c r="M137" s="518">
        <f t="shared" si="28"/>
        <v>0.9</v>
      </c>
      <c r="N137" s="12">
        <f t="shared" si="35"/>
        <v>0</v>
      </c>
      <c r="O137" s="12">
        <f t="shared" si="35"/>
        <v>0</v>
      </c>
      <c r="P137" s="690">
        <f t="shared" si="32"/>
        <v>0.34787848379679631</v>
      </c>
      <c r="Q137" s="465">
        <f t="shared" si="21"/>
        <v>15.654531770855833</v>
      </c>
      <c r="R137" s="12"/>
      <c r="S137" s="1044">
        <f t="shared" si="22"/>
        <v>0.93927190625134993</v>
      </c>
      <c r="T137" s="1033">
        <f t="shared" si="23"/>
        <v>0.86289132104596267</v>
      </c>
      <c r="U137" s="1034">
        <f t="shared" si="23"/>
        <v>38.830109447068317</v>
      </c>
      <c r="V137" s="1034">
        <f t="shared" si="23"/>
        <v>0</v>
      </c>
      <c r="W137" s="1035">
        <f t="shared" si="23"/>
        <v>2.3298065668240993</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4442.1783243529617</v>
      </c>
      <c r="L138" s="518">
        <f t="shared" si="34"/>
        <v>0.1</v>
      </c>
      <c r="M138" s="518">
        <f t="shared" si="28"/>
        <v>0.9</v>
      </c>
      <c r="N138" s="12">
        <f t="shared" si="35"/>
        <v>0</v>
      </c>
      <c r="O138" s="12">
        <f t="shared" si="35"/>
        <v>0</v>
      </c>
      <c r="P138" s="690">
        <f t="shared" si="32"/>
        <v>0.35537426594823701</v>
      </c>
      <c r="Q138" s="465">
        <f t="shared" si="21"/>
        <v>15.991841967670661</v>
      </c>
      <c r="R138" s="12"/>
      <c r="S138" s="1044">
        <f t="shared" si="22"/>
        <v>0.95951051806023979</v>
      </c>
      <c r="T138" s="1033">
        <f t="shared" si="23"/>
        <v>0.87038710319740331</v>
      </c>
      <c r="U138" s="1034">
        <f t="shared" si="23"/>
        <v>39.167419643883143</v>
      </c>
      <c r="V138" s="1034">
        <f t="shared" si="23"/>
        <v>0</v>
      </c>
      <c r="W138" s="1035">
        <f t="shared" si="23"/>
        <v>2.350045178632989</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4547.532033975378</v>
      </c>
      <c r="L139" s="518">
        <f t="shared" si="34"/>
        <v>0.1</v>
      </c>
      <c r="M139" s="518">
        <f t="shared" si="28"/>
        <v>0.9</v>
      </c>
      <c r="N139" s="12">
        <f t="shared" si="35"/>
        <v>0</v>
      </c>
      <c r="O139" s="12">
        <f t="shared" si="35"/>
        <v>0</v>
      </c>
      <c r="P139" s="690">
        <f t="shared" si="32"/>
        <v>0.3638025627180303</v>
      </c>
      <c r="Q139" s="465">
        <f t="shared" si="21"/>
        <v>16.371115322311361</v>
      </c>
      <c r="R139" s="12"/>
      <c r="S139" s="1044">
        <f t="shared" si="22"/>
        <v>0.9822669193386816</v>
      </c>
      <c r="T139" s="1033">
        <f t="shared" si="23"/>
        <v>0.8788153999671966</v>
      </c>
      <c r="U139" s="1034">
        <f t="shared" si="23"/>
        <v>39.546692998523845</v>
      </c>
      <c r="V139" s="1034">
        <f t="shared" si="23"/>
        <v>0</v>
      </c>
      <c r="W139" s="1035">
        <f t="shared" si="23"/>
        <v>2.3728015799114308</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4654.5439581418577</v>
      </c>
      <c r="L140" s="518">
        <f t="shared" si="34"/>
        <v>0.1</v>
      </c>
      <c r="M140" s="518">
        <f t="shared" si="28"/>
        <v>0.9</v>
      </c>
      <c r="N140" s="12">
        <f t="shared" si="35"/>
        <v>0</v>
      </c>
      <c r="O140" s="12">
        <f t="shared" si="35"/>
        <v>0</v>
      </c>
      <c r="P140" s="690">
        <f t="shared" si="32"/>
        <v>0.3723635166513487</v>
      </c>
      <c r="Q140" s="465">
        <f t="shared" si="21"/>
        <v>16.756358249310686</v>
      </c>
      <c r="R140" s="12"/>
      <c r="S140" s="1044">
        <f t="shared" si="22"/>
        <v>1.0053814949586413</v>
      </c>
      <c r="T140" s="1033">
        <f t="shared" si="23"/>
        <v>0.88737635390051506</v>
      </c>
      <c r="U140" s="1034">
        <f t="shared" si="23"/>
        <v>39.93193592552317</v>
      </c>
      <c r="V140" s="1034">
        <f t="shared" si="23"/>
        <v>0</v>
      </c>
      <c r="W140" s="1035">
        <f t="shared" si="23"/>
        <v>2.3959161555313901</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4764.3177609587738</v>
      </c>
      <c r="L141" s="518">
        <f t="shared" si="34"/>
        <v>0.1</v>
      </c>
      <c r="M141" s="518">
        <f t="shared" si="28"/>
        <v>0.9</v>
      </c>
      <c r="N141" s="12">
        <f t="shared" si="35"/>
        <v>0</v>
      </c>
      <c r="O141" s="12">
        <f t="shared" si="35"/>
        <v>0</v>
      </c>
      <c r="P141" s="690">
        <f t="shared" si="32"/>
        <v>0.38114542087670195</v>
      </c>
      <c r="Q141" s="465">
        <f t="shared" si="21"/>
        <v>17.151543939451585</v>
      </c>
      <c r="R141" s="12"/>
      <c r="S141" s="1044">
        <f t="shared" si="22"/>
        <v>1.0290926363670951</v>
      </c>
      <c r="T141" s="1033">
        <f t="shared" si="23"/>
        <v>0.89615825812586825</v>
      </c>
      <c r="U141" s="1034">
        <f t="shared" si="23"/>
        <v>40.327121615664069</v>
      </c>
      <c r="V141" s="1034">
        <f t="shared" si="23"/>
        <v>0</v>
      </c>
      <c r="W141" s="1035">
        <f t="shared" si="23"/>
        <v>2.4196272969398445</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4878.3539906692804</v>
      </c>
      <c r="L142" s="518">
        <f t="shared" si="34"/>
        <v>0.1</v>
      </c>
      <c r="M142" s="518">
        <f t="shared" si="28"/>
        <v>0.9</v>
      </c>
      <c r="N142" s="12">
        <f t="shared" si="35"/>
        <v>0</v>
      </c>
      <c r="O142" s="12">
        <f t="shared" si="35"/>
        <v>0</v>
      </c>
      <c r="P142" s="690">
        <f t="shared" si="32"/>
        <v>0.39026831925354255</v>
      </c>
      <c r="Q142" s="465">
        <f t="shared" si="21"/>
        <v>17.562074366409412</v>
      </c>
      <c r="R142" s="12"/>
      <c r="S142" s="1044">
        <f t="shared" si="22"/>
        <v>1.0537244619845647</v>
      </c>
      <c r="T142" s="1033">
        <f t="shared" si="23"/>
        <v>0.90528115650270891</v>
      </c>
      <c r="U142" s="1034">
        <f t="shared" si="23"/>
        <v>40.737652042621896</v>
      </c>
      <c r="V142" s="1034">
        <f t="shared" si="23"/>
        <v>0</v>
      </c>
      <c r="W142" s="1035">
        <f t="shared" si="23"/>
        <v>2.4442591225573138</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4997.2071977110627</v>
      </c>
      <c r="L143" s="518">
        <f t="shared" si="34"/>
        <v>0.1</v>
      </c>
      <c r="M143" s="518">
        <f t="shared" si="28"/>
        <v>0.9</v>
      </c>
      <c r="N143" s="12">
        <f t="shared" si="35"/>
        <v>0</v>
      </c>
      <c r="O143" s="12">
        <f t="shared" si="35"/>
        <v>0</v>
      </c>
      <c r="P143" s="690">
        <f t="shared" si="32"/>
        <v>0.39977657581688508</v>
      </c>
      <c r="Q143" s="465">
        <f t="shared" si="21"/>
        <v>17.989945911759825</v>
      </c>
      <c r="R143" s="12"/>
      <c r="S143" s="1044">
        <f t="shared" si="22"/>
        <v>1.0793967547055896</v>
      </c>
      <c r="T143" s="1033">
        <f t="shared" si="23"/>
        <v>0.91478941306605144</v>
      </c>
      <c r="U143" s="1034">
        <f t="shared" si="23"/>
        <v>41.165523587972309</v>
      </c>
      <c r="V143" s="1034">
        <f t="shared" si="23"/>
        <v>0</v>
      </c>
      <c r="W143" s="1035">
        <f t="shared" si="23"/>
        <v>2.4699314152783387</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5124.3025465521841</v>
      </c>
      <c r="L144" s="518">
        <f t="shared" si="34"/>
        <v>0.1</v>
      </c>
      <c r="M144" s="518">
        <f t="shared" si="28"/>
        <v>0.9</v>
      </c>
      <c r="N144" s="12">
        <f t="shared" si="35"/>
        <v>0</v>
      </c>
      <c r="O144" s="12">
        <f t="shared" si="35"/>
        <v>0</v>
      </c>
      <c r="P144" s="690">
        <f t="shared" si="32"/>
        <v>0.40994420372417484</v>
      </c>
      <c r="Q144" s="465">
        <f t="shared" si="21"/>
        <v>18.447489167587865</v>
      </c>
      <c r="R144" s="12"/>
      <c r="S144" s="1044">
        <f t="shared" si="22"/>
        <v>1.1068493500552719</v>
      </c>
      <c r="T144" s="1033">
        <f t="shared" si="23"/>
        <v>0.92495704097334119</v>
      </c>
      <c r="U144" s="1034">
        <f t="shared" si="23"/>
        <v>41.623066843800345</v>
      </c>
      <c r="V144" s="1034">
        <f t="shared" si="23"/>
        <v>0</v>
      </c>
      <c r="W144" s="1035">
        <f t="shared" si="23"/>
        <v>2.497384010628021</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5203.2226853115508</v>
      </c>
      <c r="L145" s="518">
        <f t="shared" si="34"/>
        <v>0.1</v>
      </c>
      <c r="M145" s="518">
        <f t="shared" si="28"/>
        <v>0.9</v>
      </c>
      <c r="N145" s="12">
        <f t="shared" si="35"/>
        <v>0</v>
      </c>
      <c r="O145" s="12">
        <f t="shared" si="35"/>
        <v>0</v>
      </c>
      <c r="P145" s="690">
        <f t="shared" si="32"/>
        <v>0.41625781482492413</v>
      </c>
      <c r="Q145" s="465">
        <f t="shared" si="21"/>
        <v>18.731601667121584</v>
      </c>
      <c r="R145" s="12"/>
      <c r="S145" s="1044">
        <f t="shared" si="22"/>
        <v>1.1238961000272949</v>
      </c>
      <c r="T145" s="1033">
        <f t="shared" si="23"/>
        <v>0.93127065207409054</v>
      </c>
      <c r="U145" s="1034">
        <f t="shared" si="23"/>
        <v>41.907179343334064</v>
      </c>
      <c r="V145" s="1034">
        <f t="shared" si="23"/>
        <v>0</v>
      </c>
      <c r="W145" s="1035">
        <f t="shared" si="23"/>
        <v>2.5144307606000442</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5276.7441124569687</v>
      </c>
      <c r="L146" s="518">
        <f t="shared" si="34"/>
        <v>0.1</v>
      </c>
      <c r="M146" s="518">
        <f t="shared" si="28"/>
        <v>0.9</v>
      </c>
      <c r="N146" s="12">
        <f t="shared" si="35"/>
        <v>0</v>
      </c>
      <c r="O146" s="12">
        <f t="shared" si="35"/>
        <v>0</v>
      </c>
      <c r="P146" s="690">
        <f t="shared" si="32"/>
        <v>0.4221395289965576</v>
      </c>
      <c r="Q146" s="465">
        <f t="shared" si="21"/>
        <v>18.99627880484509</v>
      </c>
      <c r="R146" s="12"/>
      <c r="S146" s="1044">
        <f t="shared" si="22"/>
        <v>1.1397767282907052</v>
      </c>
      <c r="T146" s="1033">
        <f t="shared" si="23"/>
        <v>0.93715236624572396</v>
      </c>
      <c r="U146" s="1034">
        <f t="shared" si="23"/>
        <v>42.171856481057574</v>
      </c>
      <c r="V146" s="1034">
        <f t="shared" si="23"/>
        <v>0</v>
      </c>
      <c r="W146" s="1035">
        <f t="shared" si="23"/>
        <v>2.5303113888634545</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5349.9991379215398</v>
      </c>
      <c r="L147" s="518">
        <f t="shared" si="34"/>
        <v>0.1</v>
      </c>
      <c r="M147" s="518">
        <f t="shared" si="28"/>
        <v>0.9</v>
      </c>
      <c r="N147" s="12">
        <f t="shared" si="35"/>
        <v>0</v>
      </c>
      <c r="O147" s="12">
        <f t="shared" si="35"/>
        <v>0</v>
      </c>
      <c r="P147" s="690">
        <f t="shared" si="32"/>
        <v>0.42799993103372325</v>
      </c>
      <c r="Q147" s="465">
        <f t="shared" si="21"/>
        <v>19.259996896517542</v>
      </c>
      <c r="R147" s="12"/>
      <c r="S147" s="1044">
        <f t="shared" si="22"/>
        <v>1.1555998137910526</v>
      </c>
      <c r="T147" s="1033">
        <f t="shared" si="23"/>
        <v>0.9430127682828896</v>
      </c>
      <c r="U147" s="1034">
        <f t="shared" si="23"/>
        <v>42.435574572730026</v>
      </c>
      <c r="V147" s="1034">
        <f t="shared" si="23"/>
        <v>0</v>
      </c>
      <c r="W147" s="1035">
        <f t="shared" si="23"/>
        <v>2.5461344743638019</v>
      </c>
    </row>
    <row r="148" spans="1:23" ht="15.7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5421.623132687032</v>
      </c>
      <c r="L148" s="520">
        <f t="shared" si="34"/>
        <v>0.1</v>
      </c>
      <c r="M148" s="520">
        <f t="shared" si="28"/>
        <v>0.9</v>
      </c>
      <c r="N148" s="1045">
        <f t="shared" si="35"/>
        <v>0</v>
      </c>
      <c r="O148" s="1045">
        <f t="shared" si="35"/>
        <v>0</v>
      </c>
      <c r="P148" s="1046">
        <f t="shared" si="32"/>
        <v>0.43372985061496261</v>
      </c>
      <c r="Q148" s="988">
        <f t="shared" si="21"/>
        <v>19.517843277673318</v>
      </c>
      <c r="R148" s="1045"/>
      <c r="S148" s="1047">
        <f t="shared" si="22"/>
        <v>1.1710705966603989</v>
      </c>
      <c r="T148" s="1048">
        <f t="shared" si="23"/>
        <v>0.94874268786412896</v>
      </c>
      <c r="U148" s="1049">
        <f t="shared" si="23"/>
        <v>42.693420953885806</v>
      </c>
      <c r="V148" s="1049">
        <f t="shared" si="23"/>
        <v>0</v>
      </c>
      <c r="W148" s="1050">
        <f t="shared" si="23"/>
        <v>2.5616052572331478</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2562.5527582487894</v>
      </c>
      <c r="L151" s="518">
        <f>($L$154-$L$80)/($A$154-$A$80)+L150</f>
        <v>0.1</v>
      </c>
      <c r="M151" s="518">
        <f>($M$154-$M$80)/($A$154-$A$80)+M150</f>
        <v>0.9</v>
      </c>
      <c r="N151" s="12">
        <f t="shared" ref="N151:O166" si="44">N149</f>
        <v>0</v>
      </c>
      <c r="O151" s="12">
        <f t="shared" si="44"/>
        <v>0</v>
      </c>
      <c r="P151" s="690">
        <f t="shared" ref="P151:P182" si="45">L151*$D$5*K151/1000-N151</f>
        <v>0.20500422065990317</v>
      </c>
      <c r="Q151" s="465">
        <f t="shared" si="37"/>
        <v>9.2251899296956417</v>
      </c>
      <c r="R151" s="12"/>
      <c r="S151" s="1044">
        <f t="shared" si="38"/>
        <v>0.55351139578173858</v>
      </c>
      <c r="T151" s="1033">
        <f t="shared" si="39"/>
        <v>0.42961305766478691</v>
      </c>
      <c r="U151" s="1034">
        <f t="shared" si="39"/>
        <v>24.145634102162916</v>
      </c>
      <c r="V151" s="1034">
        <f t="shared" si="39"/>
        <v>0</v>
      </c>
      <c r="W151" s="1035">
        <f t="shared" si="39"/>
        <v>1.448738046129775</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2560.9621544777392</v>
      </c>
      <c r="L152" s="518">
        <f>($L$154-$L$80)/($A$154-$A$80)+L151</f>
        <v>0.1</v>
      </c>
      <c r="M152" s="518">
        <f>($M$154-$M$80)/($A$154-$A$80)+M151</f>
        <v>0.9</v>
      </c>
      <c r="N152" s="12">
        <f t="shared" si="44"/>
        <v>0</v>
      </c>
      <c r="O152" s="12">
        <f t="shared" si="44"/>
        <v>0</v>
      </c>
      <c r="P152" s="690">
        <f t="shared" si="45"/>
        <v>0.20487697235821917</v>
      </c>
      <c r="Q152" s="465">
        <f t="shared" si="37"/>
        <v>9.2194637561198611</v>
      </c>
      <c r="R152" s="12"/>
      <c r="S152" s="1044">
        <f t="shared" si="38"/>
        <v>0.55316782536719167</v>
      </c>
      <c r="T152" s="1033">
        <f t="shared" si="39"/>
        <v>0.50040140009795275</v>
      </c>
      <c r="U152" s="1034">
        <f t="shared" si="39"/>
        <v>26.21211835115454</v>
      </c>
      <c r="V152" s="1034">
        <f t="shared" si="39"/>
        <v>0</v>
      </c>
      <c r="W152" s="1035">
        <f t="shared" si="39"/>
        <v>1.5727271010692725</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2937.5012039878866</v>
      </c>
      <c r="L153" s="518">
        <f>($L$154-$L$80)/($A$154-$A$80)+L152</f>
        <v>0.1</v>
      </c>
      <c r="M153" s="518">
        <f>($M$154-$M$80)/($A$154-$A$80)+M152</f>
        <v>0.9</v>
      </c>
      <c r="N153" s="12">
        <f t="shared" si="44"/>
        <v>0</v>
      </c>
      <c r="O153" s="12">
        <f t="shared" si="44"/>
        <v>0</v>
      </c>
      <c r="P153" s="690">
        <f t="shared" si="45"/>
        <v>0.23500009631903096</v>
      </c>
      <c r="Q153" s="465">
        <f t="shared" si="37"/>
        <v>10.575004334356391</v>
      </c>
      <c r="R153" s="12"/>
      <c r="S153" s="1044">
        <f t="shared" si="38"/>
        <v>0.63450026006138349</v>
      </c>
      <c r="T153" s="1033">
        <f t="shared" si="39"/>
        <v>0.65482945907093093</v>
      </c>
      <c r="U153" s="1034">
        <f t="shared" si="39"/>
        <v>31.799711006813553</v>
      </c>
      <c r="V153" s="1034">
        <f t="shared" si="39"/>
        <v>0</v>
      </c>
      <c r="W153" s="1035">
        <f t="shared" si="39"/>
        <v>1.9079826604088135</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3148.72204906348</v>
      </c>
      <c r="L154" s="518">
        <f>'Recycling - Case 2'!E31</f>
        <v>0.1</v>
      </c>
      <c r="M154" s="518">
        <f>'Recycling - Case 2'!F31</f>
        <v>0.9</v>
      </c>
      <c r="N154" s="12">
        <f t="shared" si="44"/>
        <v>0</v>
      </c>
      <c r="O154" s="12">
        <f t="shared" si="44"/>
        <v>0</v>
      </c>
      <c r="P154" s="690">
        <f t="shared" si="45"/>
        <v>0.25189776392507846</v>
      </c>
      <c r="Q154" s="465">
        <f t="shared" si="37"/>
        <v>11.335399376628528</v>
      </c>
      <c r="R154" s="12"/>
      <c r="S154" s="1044">
        <f t="shared" si="38"/>
        <v>0.68012396259771157</v>
      </c>
      <c r="T154" s="1033">
        <f t="shared" si="39"/>
        <v>0.76691060117424481</v>
      </c>
      <c r="U154" s="1034">
        <f t="shared" si="39"/>
        <v>34.510977052841014</v>
      </c>
      <c r="V154" s="1034">
        <f t="shared" si="39"/>
        <v>0</v>
      </c>
      <c r="W154" s="1035">
        <f t="shared" si="39"/>
        <v>2.0706586231704609</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3204.8349418807438</v>
      </c>
      <c r="L155" s="518">
        <f>L154</f>
        <v>0.1</v>
      </c>
      <c r="M155" s="518">
        <f>M154</f>
        <v>0.9</v>
      </c>
      <c r="N155" s="12">
        <f t="shared" si="44"/>
        <v>0</v>
      </c>
      <c r="O155" s="12">
        <f t="shared" si="44"/>
        <v>0</v>
      </c>
      <c r="P155" s="690">
        <f t="shared" si="45"/>
        <v>0.25638679535045961</v>
      </c>
      <c r="Q155" s="465">
        <f t="shared" si="37"/>
        <v>11.537405790770677</v>
      </c>
      <c r="R155" s="12"/>
      <c r="S155" s="1044">
        <f t="shared" si="38"/>
        <v>0.69224434744624064</v>
      </c>
      <c r="T155" s="1033">
        <f t="shared" si="39"/>
        <v>0.77139963259962596</v>
      </c>
      <c r="U155" s="1034">
        <f t="shared" si="39"/>
        <v>34.712983466983161</v>
      </c>
      <c r="V155" s="1034">
        <f t="shared" si="39"/>
        <v>0</v>
      </c>
      <c r="W155" s="1035">
        <f t="shared" si="39"/>
        <v>2.0827790080189899</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3265.0525952906887</v>
      </c>
      <c r="L156" s="518">
        <f t="shared" ref="L156:M171" si="47">L155</f>
        <v>0.1</v>
      </c>
      <c r="M156" s="518">
        <f t="shared" si="47"/>
        <v>0.9</v>
      </c>
      <c r="N156" s="12">
        <f t="shared" si="44"/>
        <v>0</v>
      </c>
      <c r="O156" s="12">
        <f t="shared" si="44"/>
        <v>0</v>
      </c>
      <c r="P156" s="690">
        <f t="shared" si="45"/>
        <v>0.26120420762325519</v>
      </c>
      <c r="Q156" s="465">
        <f t="shared" si="37"/>
        <v>11.754189343046479</v>
      </c>
      <c r="R156" s="12"/>
      <c r="S156" s="1044">
        <f t="shared" si="38"/>
        <v>0.7052513605827887</v>
      </c>
      <c r="T156" s="1033">
        <f t="shared" si="39"/>
        <v>0.77621704487242149</v>
      </c>
      <c r="U156" s="1034">
        <f t="shared" si="39"/>
        <v>34.929767019258961</v>
      </c>
      <c r="V156" s="1034">
        <f t="shared" si="39"/>
        <v>0</v>
      </c>
      <c r="W156" s="1035">
        <f t="shared" si="39"/>
        <v>2.0957860211555377</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3322.0462446854558</v>
      </c>
      <c r="L157" s="518">
        <f t="shared" si="47"/>
        <v>0.1</v>
      </c>
      <c r="M157" s="518">
        <f t="shared" si="47"/>
        <v>0.9</v>
      </c>
      <c r="N157" s="12">
        <f t="shared" si="44"/>
        <v>0</v>
      </c>
      <c r="O157" s="12">
        <f t="shared" si="44"/>
        <v>0</v>
      </c>
      <c r="P157" s="690">
        <f t="shared" si="45"/>
        <v>0.26576369957483648</v>
      </c>
      <c r="Q157" s="465">
        <f t="shared" si="37"/>
        <v>11.95936648086764</v>
      </c>
      <c r="R157" s="12"/>
      <c r="S157" s="1044">
        <f t="shared" si="38"/>
        <v>0.71756198885205846</v>
      </c>
      <c r="T157" s="1033">
        <f t="shared" si="39"/>
        <v>0.78077653682400283</v>
      </c>
      <c r="U157" s="1034">
        <f t="shared" si="39"/>
        <v>35.134944157080128</v>
      </c>
      <c r="V157" s="1034">
        <f t="shared" si="39"/>
        <v>0</v>
      </c>
      <c r="W157" s="1035">
        <f t="shared" si="39"/>
        <v>2.1080966494248075</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3371.5806470164412</v>
      </c>
      <c r="L158" s="518">
        <f t="shared" si="47"/>
        <v>0.1</v>
      </c>
      <c r="M158" s="518">
        <f t="shared" si="47"/>
        <v>0.9</v>
      </c>
      <c r="N158" s="12">
        <f t="shared" si="44"/>
        <v>0</v>
      </c>
      <c r="O158" s="12">
        <f t="shared" si="44"/>
        <v>0</v>
      </c>
      <c r="P158" s="690">
        <f t="shared" si="45"/>
        <v>0.26972645176131532</v>
      </c>
      <c r="Q158" s="465">
        <f t="shared" si="37"/>
        <v>12.137690329259188</v>
      </c>
      <c r="R158" s="12"/>
      <c r="S158" s="1044">
        <f t="shared" si="38"/>
        <v>0.72826141975555125</v>
      </c>
      <c r="T158" s="1033">
        <f t="shared" si="39"/>
        <v>0.78473928901048162</v>
      </c>
      <c r="U158" s="1034">
        <f t="shared" si="39"/>
        <v>35.31326800547167</v>
      </c>
      <c r="V158" s="1034">
        <f t="shared" si="39"/>
        <v>0</v>
      </c>
      <c r="W158" s="1035">
        <f t="shared" si="39"/>
        <v>2.1187960803283001</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3420.7616593626267</v>
      </c>
      <c r="L159" s="518">
        <f t="shared" si="47"/>
        <v>0.1</v>
      </c>
      <c r="M159" s="518">
        <f t="shared" si="47"/>
        <v>0.9</v>
      </c>
      <c r="N159" s="12">
        <f t="shared" si="44"/>
        <v>0</v>
      </c>
      <c r="O159" s="12">
        <f t="shared" si="44"/>
        <v>0</v>
      </c>
      <c r="P159" s="690">
        <f t="shared" si="45"/>
        <v>0.27366093274901021</v>
      </c>
      <c r="Q159" s="465">
        <f t="shared" si="37"/>
        <v>12.314741973705457</v>
      </c>
      <c r="R159" s="12"/>
      <c r="S159" s="1044">
        <f t="shared" si="38"/>
        <v>0.73888451842232739</v>
      </c>
      <c r="T159" s="1033">
        <f t="shared" si="39"/>
        <v>0.78867376999817651</v>
      </c>
      <c r="U159" s="1034">
        <f t="shared" si="39"/>
        <v>35.490319649917943</v>
      </c>
      <c r="V159" s="1034">
        <f t="shared" si="39"/>
        <v>0</v>
      </c>
      <c r="W159" s="1035">
        <f t="shared" si="39"/>
        <v>2.1294191789950765</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3471.0300255081979</v>
      </c>
      <c r="L160" s="518">
        <f t="shared" si="47"/>
        <v>0.1</v>
      </c>
      <c r="M160" s="518">
        <f t="shared" si="47"/>
        <v>0.9</v>
      </c>
      <c r="N160" s="12">
        <f t="shared" si="44"/>
        <v>0</v>
      </c>
      <c r="O160" s="12">
        <f t="shared" si="44"/>
        <v>0</v>
      </c>
      <c r="P160" s="690">
        <f t="shared" si="45"/>
        <v>0.27768240204065592</v>
      </c>
      <c r="Q160" s="465">
        <f t="shared" si="37"/>
        <v>12.495708091829512</v>
      </c>
      <c r="R160" s="12"/>
      <c r="S160" s="1044">
        <f t="shared" si="38"/>
        <v>0.74974248550977074</v>
      </c>
      <c r="T160" s="1033">
        <f t="shared" si="39"/>
        <v>0.79269523928982233</v>
      </c>
      <c r="U160" s="1034">
        <f t="shared" si="39"/>
        <v>35.671285768041997</v>
      </c>
      <c r="V160" s="1034">
        <f t="shared" si="39"/>
        <v>0</v>
      </c>
      <c r="W160" s="1035">
        <f t="shared" si="39"/>
        <v>2.1402771460825196</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3537.8044223284328</v>
      </c>
      <c r="L161" s="518">
        <f t="shared" si="47"/>
        <v>0.1</v>
      </c>
      <c r="M161" s="518">
        <f t="shared" si="47"/>
        <v>0.9</v>
      </c>
      <c r="N161" s="12">
        <f t="shared" si="44"/>
        <v>0</v>
      </c>
      <c r="O161" s="12">
        <f t="shared" si="44"/>
        <v>0</v>
      </c>
      <c r="P161" s="690">
        <f t="shared" si="45"/>
        <v>0.28302435378627466</v>
      </c>
      <c r="Q161" s="465">
        <f t="shared" si="37"/>
        <v>12.736095920382359</v>
      </c>
      <c r="R161" s="12"/>
      <c r="S161" s="1044">
        <f t="shared" si="38"/>
        <v>0.7641657552229415</v>
      </c>
      <c r="T161" s="1033">
        <f t="shared" si="39"/>
        <v>0.79803719103544102</v>
      </c>
      <c r="U161" s="1034">
        <f t="shared" si="39"/>
        <v>35.911673596594845</v>
      </c>
      <c r="V161" s="1034">
        <f t="shared" si="39"/>
        <v>0</v>
      </c>
      <c r="W161" s="1035">
        <f t="shared" si="39"/>
        <v>2.1547004157956904</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3597.8752829754594</v>
      </c>
      <c r="L162" s="518">
        <f t="shared" si="47"/>
        <v>0.1</v>
      </c>
      <c r="M162" s="518">
        <f t="shared" si="47"/>
        <v>0.9</v>
      </c>
      <c r="N162" s="12">
        <f t="shared" si="44"/>
        <v>0</v>
      </c>
      <c r="O162" s="12">
        <f t="shared" si="44"/>
        <v>0</v>
      </c>
      <c r="P162" s="690">
        <f t="shared" si="45"/>
        <v>0.28783002263803686</v>
      </c>
      <c r="Q162" s="465">
        <f t="shared" si="37"/>
        <v>12.952351018711653</v>
      </c>
      <c r="R162" s="12"/>
      <c r="S162" s="1044">
        <f t="shared" si="38"/>
        <v>0.77714106112269921</v>
      </c>
      <c r="T162" s="1033">
        <f t="shared" si="39"/>
        <v>0.80284285988720328</v>
      </c>
      <c r="U162" s="1034">
        <f t="shared" si="39"/>
        <v>36.127928694924137</v>
      </c>
      <c r="V162" s="1034">
        <f t="shared" si="39"/>
        <v>0</v>
      </c>
      <c r="W162" s="1035">
        <f t="shared" si="39"/>
        <v>2.1676757216954483</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3668.9827846862445</v>
      </c>
      <c r="L163" s="518">
        <f t="shared" si="47"/>
        <v>0.1</v>
      </c>
      <c r="M163" s="518">
        <f t="shared" si="47"/>
        <v>0.9</v>
      </c>
      <c r="N163" s="12">
        <f t="shared" si="44"/>
        <v>0</v>
      </c>
      <c r="O163" s="12">
        <f t="shared" si="44"/>
        <v>0</v>
      </c>
      <c r="P163" s="690">
        <f t="shared" si="45"/>
        <v>0.2935186227748996</v>
      </c>
      <c r="Q163" s="465">
        <f t="shared" si="37"/>
        <v>13.20833802487048</v>
      </c>
      <c r="R163" s="12"/>
      <c r="S163" s="1044">
        <f t="shared" si="38"/>
        <v>0.79250028149222884</v>
      </c>
      <c r="T163" s="1033">
        <f t="shared" si="39"/>
        <v>0.80853146002406595</v>
      </c>
      <c r="U163" s="1034">
        <f t="shared" si="39"/>
        <v>36.383915701082962</v>
      </c>
      <c r="V163" s="1034">
        <f t="shared" si="39"/>
        <v>0</v>
      </c>
      <c r="W163" s="1035">
        <f t="shared" si="39"/>
        <v>2.1830349420649782</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3743.3904051781628</v>
      </c>
      <c r="L164" s="518">
        <f t="shared" si="47"/>
        <v>0.1</v>
      </c>
      <c r="M164" s="518">
        <f t="shared" si="47"/>
        <v>0.9</v>
      </c>
      <c r="N164" s="12">
        <f t="shared" si="44"/>
        <v>0</v>
      </c>
      <c r="O164" s="12">
        <f t="shared" si="44"/>
        <v>0</v>
      </c>
      <c r="P164" s="690">
        <f t="shared" si="45"/>
        <v>0.29947123241425311</v>
      </c>
      <c r="Q164" s="465">
        <f t="shared" si="37"/>
        <v>13.476205458641386</v>
      </c>
      <c r="R164" s="12"/>
      <c r="S164" s="1044">
        <f t="shared" si="38"/>
        <v>0.80857232751848307</v>
      </c>
      <c r="T164" s="1033">
        <f t="shared" si="39"/>
        <v>0.81448406966341946</v>
      </c>
      <c r="U164" s="1034">
        <f t="shared" si="39"/>
        <v>36.651783134853872</v>
      </c>
      <c r="V164" s="1034">
        <f t="shared" si="39"/>
        <v>0</v>
      </c>
      <c r="W164" s="1035">
        <f t="shared" si="39"/>
        <v>2.1991069880912324</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3830.9006389526726</v>
      </c>
      <c r="L165" s="518">
        <f t="shared" si="47"/>
        <v>0.1</v>
      </c>
      <c r="M165" s="518">
        <f t="shared" si="47"/>
        <v>0.9</v>
      </c>
      <c r="N165" s="12">
        <f t="shared" si="44"/>
        <v>0</v>
      </c>
      <c r="O165" s="12">
        <f t="shared" si="44"/>
        <v>0</v>
      </c>
      <c r="P165" s="690">
        <f t="shared" si="45"/>
        <v>0.30647205111621389</v>
      </c>
      <c r="Q165" s="465">
        <f t="shared" si="37"/>
        <v>13.791242300229621</v>
      </c>
      <c r="R165" s="12"/>
      <c r="S165" s="1044">
        <f t="shared" si="38"/>
        <v>0.82747453801377735</v>
      </c>
      <c r="T165" s="1033">
        <f t="shared" si="39"/>
        <v>0.82148488836538025</v>
      </c>
      <c r="U165" s="1034">
        <f t="shared" si="39"/>
        <v>36.966819976442103</v>
      </c>
      <c r="V165" s="1034">
        <f t="shared" si="39"/>
        <v>0</v>
      </c>
      <c r="W165" s="1035">
        <f t="shared" si="39"/>
        <v>2.2180091985865262</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3926.3322451557001</v>
      </c>
      <c r="L166" s="518">
        <f t="shared" si="47"/>
        <v>0.1</v>
      </c>
      <c r="M166" s="518">
        <f t="shared" si="47"/>
        <v>0.9</v>
      </c>
      <c r="N166" s="12">
        <f t="shared" si="44"/>
        <v>0</v>
      </c>
      <c r="O166" s="12">
        <f t="shared" si="44"/>
        <v>0</v>
      </c>
      <c r="P166" s="690">
        <f t="shared" si="45"/>
        <v>0.31410657961245608</v>
      </c>
      <c r="Q166" s="465">
        <f t="shared" si="37"/>
        <v>14.13479608256052</v>
      </c>
      <c r="R166" s="12"/>
      <c r="S166" s="1044">
        <f t="shared" si="38"/>
        <v>0.84808776495363125</v>
      </c>
      <c r="T166" s="1033">
        <f t="shared" si="39"/>
        <v>0.82911941686162249</v>
      </c>
      <c r="U166" s="1034">
        <f t="shared" si="39"/>
        <v>37.310373758773004</v>
      </c>
      <c r="V166" s="1034">
        <f t="shared" si="39"/>
        <v>0</v>
      </c>
      <c r="W166" s="1035">
        <f t="shared" si="39"/>
        <v>2.2386224255263802</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4002.4905052646268</v>
      </c>
      <c r="L167" s="518">
        <f t="shared" si="47"/>
        <v>0.1</v>
      </c>
      <c r="M167" s="518">
        <f t="shared" si="47"/>
        <v>0.9</v>
      </c>
      <c r="N167" s="12">
        <f t="shared" ref="N167:O182" si="48">N165</f>
        <v>0</v>
      </c>
      <c r="O167" s="12">
        <f t="shared" si="48"/>
        <v>0</v>
      </c>
      <c r="P167" s="690">
        <f t="shared" si="45"/>
        <v>0.32019924042117021</v>
      </c>
      <c r="Q167" s="465">
        <f t="shared" si="37"/>
        <v>14.408965818952657</v>
      </c>
      <c r="R167" s="12"/>
      <c r="S167" s="1044">
        <f t="shared" si="38"/>
        <v>0.86453794913715931</v>
      </c>
      <c r="T167" s="1033">
        <f t="shared" si="39"/>
        <v>0.83521207767033656</v>
      </c>
      <c r="U167" s="1034">
        <f t="shared" si="39"/>
        <v>37.584543495165143</v>
      </c>
      <c r="V167" s="1034">
        <f t="shared" si="39"/>
        <v>0</v>
      </c>
      <c r="W167" s="1035">
        <f t="shared" si="39"/>
        <v>2.2550726097099085</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4078.7466272155002</v>
      </c>
      <c r="L168" s="518">
        <f t="shared" si="47"/>
        <v>0.1</v>
      </c>
      <c r="M168" s="518">
        <f t="shared" si="47"/>
        <v>0.9</v>
      </c>
      <c r="N168" s="12">
        <f t="shared" si="48"/>
        <v>0</v>
      </c>
      <c r="O168" s="12">
        <f t="shared" si="48"/>
        <v>0</v>
      </c>
      <c r="P168" s="690">
        <f t="shared" si="45"/>
        <v>0.32629973017724007</v>
      </c>
      <c r="Q168" s="465">
        <f t="shared" si="37"/>
        <v>14.6834878579758</v>
      </c>
      <c r="R168" s="12"/>
      <c r="S168" s="1044">
        <f t="shared" si="38"/>
        <v>0.88100927147854802</v>
      </c>
      <c r="T168" s="1033">
        <f t="shared" si="39"/>
        <v>0.84131256742640637</v>
      </c>
      <c r="U168" s="1034">
        <f t="shared" si="39"/>
        <v>37.859065534188282</v>
      </c>
      <c r="V168" s="1034">
        <f t="shared" si="39"/>
        <v>0</v>
      </c>
      <c r="W168" s="1035">
        <f t="shared" si="39"/>
        <v>2.2715439320512969</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4167.9694432240412</v>
      </c>
      <c r="L169" s="518">
        <f t="shared" si="47"/>
        <v>0.1</v>
      </c>
      <c r="M169" s="518">
        <f t="shared" si="47"/>
        <v>0.9</v>
      </c>
      <c r="N169" s="12">
        <f t="shared" si="48"/>
        <v>0</v>
      </c>
      <c r="O169" s="12">
        <f t="shared" si="48"/>
        <v>0</v>
      </c>
      <c r="P169" s="690">
        <f t="shared" si="45"/>
        <v>0.33343755545792336</v>
      </c>
      <c r="Q169" s="465">
        <f t="shared" si="37"/>
        <v>15.004689995606547</v>
      </c>
      <c r="R169" s="12"/>
      <c r="S169" s="1044">
        <f t="shared" si="38"/>
        <v>0.90028139973639287</v>
      </c>
      <c r="T169" s="1033">
        <f t="shared" si="39"/>
        <v>0.84845039270708966</v>
      </c>
      <c r="U169" s="1034">
        <f t="shared" si="39"/>
        <v>38.180267671819031</v>
      </c>
      <c r="V169" s="1034">
        <f t="shared" si="39"/>
        <v>0</v>
      </c>
      <c r="W169" s="1035">
        <f t="shared" si="39"/>
        <v>2.2908160603091421</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4255.0991031687627</v>
      </c>
      <c r="L170" s="518">
        <f t="shared" si="47"/>
        <v>0.1</v>
      </c>
      <c r="M170" s="518">
        <f t="shared" si="47"/>
        <v>0.9</v>
      </c>
      <c r="N170" s="12">
        <f t="shared" si="48"/>
        <v>0</v>
      </c>
      <c r="O170" s="12">
        <f t="shared" si="48"/>
        <v>0</v>
      </c>
      <c r="P170" s="690">
        <f t="shared" si="45"/>
        <v>0.34040792825350108</v>
      </c>
      <c r="Q170" s="465">
        <f t="shared" si="37"/>
        <v>15.318356771407545</v>
      </c>
      <c r="R170" s="12"/>
      <c r="S170" s="1044">
        <f t="shared" si="38"/>
        <v>0.9191014062844528</v>
      </c>
      <c r="T170" s="1033">
        <f t="shared" si="39"/>
        <v>0.85542076550266744</v>
      </c>
      <c r="U170" s="1034">
        <f t="shared" si="39"/>
        <v>38.493934447620028</v>
      </c>
      <c r="V170" s="1034">
        <f t="shared" si="39"/>
        <v>0</v>
      </c>
      <c r="W170" s="1035">
        <f t="shared" si="39"/>
        <v>2.3096360668572018</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4348.4810474599535</v>
      </c>
      <c r="L171" s="518">
        <f t="shared" si="47"/>
        <v>0.1</v>
      </c>
      <c r="M171" s="518">
        <f t="shared" si="47"/>
        <v>0.9</v>
      </c>
      <c r="N171" s="12">
        <f t="shared" si="48"/>
        <v>0</v>
      </c>
      <c r="O171" s="12">
        <f t="shared" si="48"/>
        <v>0</v>
      </c>
      <c r="P171" s="690">
        <f t="shared" si="45"/>
        <v>0.34787848379679631</v>
      </c>
      <c r="Q171" s="465">
        <f t="shared" si="37"/>
        <v>15.654531770855833</v>
      </c>
      <c r="R171" s="12"/>
      <c r="S171" s="1044">
        <f t="shared" si="38"/>
        <v>0.93927190625134993</v>
      </c>
      <c r="T171" s="1033">
        <f t="shared" si="39"/>
        <v>0.86289132104596267</v>
      </c>
      <c r="U171" s="1034">
        <f t="shared" si="39"/>
        <v>38.830109447068317</v>
      </c>
      <c r="V171" s="1034">
        <f t="shared" si="39"/>
        <v>0</v>
      </c>
      <c r="W171" s="1035">
        <f t="shared" si="39"/>
        <v>2.3298065668240993</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4442.1783243529617</v>
      </c>
      <c r="L172" s="518">
        <f t="shared" ref="L172:M182" si="50">L171</f>
        <v>0.1</v>
      </c>
      <c r="M172" s="518">
        <f t="shared" si="50"/>
        <v>0.9</v>
      </c>
      <c r="N172" s="12">
        <f t="shared" si="48"/>
        <v>0</v>
      </c>
      <c r="O172" s="12">
        <f t="shared" si="48"/>
        <v>0</v>
      </c>
      <c r="P172" s="690">
        <f t="shared" si="45"/>
        <v>0.35537426594823701</v>
      </c>
      <c r="Q172" s="465">
        <f t="shared" si="37"/>
        <v>15.991841967670661</v>
      </c>
      <c r="R172" s="12"/>
      <c r="S172" s="1044">
        <f t="shared" si="38"/>
        <v>0.95951051806023979</v>
      </c>
      <c r="T172" s="1033">
        <f t="shared" si="39"/>
        <v>0.87038710319740331</v>
      </c>
      <c r="U172" s="1034">
        <f t="shared" si="39"/>
        <v>39.167419643883143</v>
      </c>
      <c r="V172" s="1034">
        <f t="shared" si="39"/>
        <v>0</v>
      </c>
      <c r="W172" s="1035">
        <f t="shared" si="39"/>
        <v>2.350045178632989</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4547.532033975378</v>
      </c>
      <c r="L173" s="518">
        <f t="shared" si="50"/>
        <v>0.1</v>
      </c>
      <c r="M173" s="518">
        <f t="shared" si="50"/>
        <v>0.9</v>
      </c>
      <c r="N173" s="12">
        <f t="shared" si="48"/>
        <v>0</v>
      </c>
      <c r="O173" s="12">
        <f t="shared" si="48"/>
        <v>0</v>
      </c>
      <c r="P173" s="690">
        <f t="shared" si="45"/>
        <v>0.3638025627180303</v>
      </c>
      <c r="Q173" s="465">
        <f t="shared" si="37"/>
        <v>16.371115322311361</v>
      </c>
      <c r="R173" s="12"/>
      <c r="S173" s="1044">
        <f t="shared" si="38"/>
        <v>0.9822669193386816</v>
      </c>
      <c r="T173" s="1033">
        <f t="shared" si="39"/>
        <v>0.8788153999671966</v>
      </c>
      <c r="U173" s="1034">
        <f t="shared" si="39"/>
        <v>39.546692998523845</v>
      </c>
      <c r="V173" s="1034">
        <f t="shared" si="39"/>
        <v>0</v>
      </c>
      <c r="W173" s="1035">
        <f t="shared" si="39"/>
        <v>2.3728015799114308</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4654.5439581418577</v>
      </c>
      <c r="L174" s="518">
        <f t="shared" si="50"/>
        <v>0.1</v>
      </c>
      <c r="M174" s="518">
        <f t="shared" si="50"/>
        <v>0.9</v>
      </c>
      <c r="N174" s="12">
        <f t="shared" si="48"/>
        <v>0</v>
      </c>
      <c r="O174" s="12">
        <f t="shared" si="48"/>
        <v>0</v>
      </c>
      <c r="P174" s="690">
        <f t="shared" si="45"/>
        <v>0.3723635166513487</v>
      </c>
      <c r="Q174" s="465">
        <f t="shared" si="37"/>
        <v>16.756358249310686</v>
      </c>
      <c r="R174" s="12"/>
      <c r="S174" s="1044">
        <f t="shared" si="38"/>
        <v>1.0053814949586413</v>
      </c>
      <c r="T174" s="1033">
        <f t="shared" si="39"/>
        <v>0.88737635390051506</v>
      </c>
      <c r="U174" s="1034">
        <f t="shared" si="39"/>
        <v>39.93193592552317</v>
      </c>
      <c r="V174" s="1034">
        <f t="shared" si="39"/>
        <v>0</v>
      </c>
      <c r="W174" s="1035">
        <f t="shared" si="39"/>
        <v>2.3959161555313901</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4764.3177609587738</v>
      </c>
      <c r="L175" s="518">
        <f t="shared" si="50"/>
        <v>0.1</v>
      </c>
      <c r="M175" s="518">
        <f t="shared" si="50"/>
        <v>0.9</v>
      </c>
      <c r="N175" s="12">
        <f t="shared" si="48"/>
        <v>0</v>
      </c>
      <c r="O175" s="12">
        <f t="shared" si="48"/>
        <v>0</v>
      </c>
      <c r="P175" s="690">
        <f t="shared" si="45"/>
        <v>0.38114542087670195</v>
      </c>
      <c r="Q175" s="465">
        <f t="shared" si="37"/>
        <v>17.151543939451585</v>
      </c>
      <c r="R175" s="12"/>
      <c r="S175" s="1044">
        <f t="shared" si="38"/>
        <v>1.0290926363670951</v>
      </c>
      <c r="T175" s="1033">
        <f t="shared" si="39"/>
        <v>0.89615825812586825</v>
      </c>
      <c r="U175" s="1034">
        <f t="shared" si="39"/>
        <v>40.327121615664069</v>
      </c>
      <c r="V175" s="1034">
        <f t="shared" si="39"/>
        <v>0</v>
      </c>
      <c r="W175" s="1035">
        <f t="shared" si="39"/>
        <v>2.4196272969398445</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4878.3539906692804</v>
      </c>
      <c r="L176" s="518">
        <f t="shared" si="50"/>
        <v>0.1</v>
      </c>
      <c r="M176" s="518">
        <f t="shared" si="50"/>
        <v>0.9</v>
      </c>
      <c r="N176" s="12">
        <f t="shared" si="48"/>
        <v>0</v>
      </c>
      <c r="O176" s="12">
        <f t="shared" si="48"/>
        <v>0</v>
      </c>
      <c r="P176" s="690">
        <f t="shared" si="45"/>
        <v>0.39026831925354255</v>
      </c>
      <c r="Q176" s="465">
        <f t="shared" si="37"/>
        <v>17.562074366409412</v>
      </c>
      <c r="R176" s="12"/>
      <c r="S176" s="1044">
        <f t="shared" si="38"/>
        <v>1.0537244619845647</v>
      </c>
      <c r="T176" s="1033">
        <f t="shared" si="39"/>
        <v>0.90528115650270891</v>
      </c>
      <c r="U176" s="1034">
        <f t="shared" si="39"/>
        <v>40.737652042621896</v>
      </c>
      <c r="V176" s="1034">
        <f t="shared" si="39"/>
        <v>0</v>
      </c>
      <c r="W176" s="1035">
        <f t="shared" si="39"/>
        <v>2.4442591225573138</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4997.2071977110627</v>
      </c>
      <c r="L177" s="518">
        <f t="shared" si="50"/>
        <v>0.1</v>
      </c>
      <c r="M177" s="518">
        <f t="shared" si="50"/>
        <v>0.9</v>
      </c>
      <c r="N177" s="12">
        <f t="shared" si="48"/>
        <v>0</v>
      </c>
      <c r="O177" s="12">
        <f t="shared" si="48"/>
        <v>0</v>
      </c>
      <c r="P177" s="690">
        <f t="shared" si="45"/>
        <v>0.39977657581688508</v>
      </c>
      <c r="Q177" s="465">
        <f t="shared" si="37"/>
        <v>17.989945911759825</v>
      </c>
      <c r="R177" s="12"/>
      <c r="S177" s="1044">
        <f t="shared" si="38"/>
        <v>1.0793967547055896</v>
      </c>
      <c r="T177" s="1033">
        <f t="shared" si="39"/>
        <v>0.91478941306605144</v>
      </c>
      <c r="U177" s="1034">
        <f t="shared" si="39"/>
        <v>41.165523587972309</v>
      </c>
      <c r="V177" s="1034">
        <f t="shared" si="39"/>
        <v>0</v>
      </c>
      <c r="W177" s="1035">
        <f t="shared" si="39"/>
        <v>2.4699314152783387</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5124.3025465521841</v>
      </c>
      <c r="L178" s="518">
        <f t="shared" si="50"/>
        <v>0.1</v>
      </c>
      <c r="M178" s="518">
        <f t="shared" si="50"/>
        <v>0.9</v>
      </c>
      <c r="N178" s="12">
        <f t="shared" si="48"/>
        <v>0</v>
      </c>
      <c r="O178" s="12">
        <f t="shared" si="48"/>
        <v>0</v>
      </c>
      <c r="P178" s="690">
        <f t="shared" si="45"/>
        <v>0.40994420372417484</v>
      </c>
      <c r="Q178" s="465">
        <f t="shared" si="37"/>
        <v>18.447489167587865</v>
      </c>
      <c r="R178" s="12"/>
      <c r="S178" s="1044">
        <f t="shared" si="38"/>
        <v>1.1068493500552719</v>
      </c>
      <c r="T178" s="1033">
        <f t="shared" si="39"/>
        <v>0.92495704097334119</v>
      </c>
      <c r="U178" s="1034">
        <f t="shared" si="39"/>
        <v>41.623066843800345</v>
      </c>
      <c r="V178" s="1034">
        <f t="shared" si="39"/>
        <v>0</v>
      </c>
      <c r="W178" s="1035">
        <f t="shared" si="39"/>
        <v>2.497384010628021</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5203.2226853115508</v>
      </c>
      <c r="L179" s="518">
        <f t="shared" si="50"/>
        <v>0.1</v>
      </c>
      <c r="M179" s="518">
        <f t="shared" si="50"/>
        <v>0.9</v>
      </c>
      <c r="N179" s="12">
        <f t="shared" si="48"/>
        <v>0</v>
      </c>
      <c r="O179" s="12">
        <f t="shared" si="48"/>
        <v>0</v>
      </c>
      <c r="P179" s="690">
        <f t="shared" si="45"/>
        <v>0.41625781482492413</v>
      </c>
      <c r="Q179" s="465">
        <f t="shared" si="37"/>
        <v>18.731601667121584</v>
      </c>
      <c r="R179" s="12"/>
      <c r="S179" s="1044">
        <f t="shared" si="38"/>
        <v>1.1238961000272949</v>
      </c>
      <c r="T179" s="1033">
        <f t="shared" si="39"/>
        <v>0.93127065207409054</v>
      </c>
      <c r="U179" s="1034">
        <f t="shared" si="39"/>
        <v>41.907179343334064</v>
      </c>
      <c r="V179" s="1034">
        <f t="shared" si="39"/>
        <v>0</v>
      </c>
      <c r="W179" s="1035">
        <f t="shared" si="39"/>
        <v>2.5144307606000442</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5276.7441124569687</v>
      </c>
      <c r="L180" s="518">
        <f t="shared" si="50"/>
        <v>0.1</v>
      </c>
      <c r="M180" s="518">
        <f t="shared" si="50"/>
        <v>0.9</v>
      </c>
      <c r="N180" s="12">
        <f t="shared" si="48"/>
        <v>0</v>
      </c>
      <c r="O180" s="12">
        <f t="shared" si="48"/>
        <v>0</v>
      </c>
      <c r="P180" s="690">
        <f t="shared" si="45"/>
        <v>0.4221395289965576</v>
      </c>
      <c r="Q180" s="465">
        <f t="shared" si="37"/>
        <v>18.99627880484509</v>
      </c>
      <c r="R180" s="12"/>
      <c r="S180" s="1044">
        <f t="shared" si="38"/>
        <v>1.1397767282907052</v>
      </c>
      <c r="T180" s="1033">
        <f t="shared" si="39"/>
        <v>0.93715236624572396</v>
      </c>
      <c r="U180" s="1034">
        <f t="shared" si="39"/>
        <v>42.171856481057574</v>
      </c>
      <c r="V180" s="1034">
        <f t="shared" si="39"/>
        <v>0</v>
      </c>
      <c r="W180" s="1035">
        <f t="shared" si="39"/>
        <v>2.5303113888634545</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5349.9991379215398</v>
      </c>
      <c r="L181" s="518">
        <f t="shared" si="50"/>
        <v>0.1</v>
      </c>
      <c r="M181" s="518">
        <f t="shared" si="50"/>
        <v>0.9</v>
      </c>
      <c r="N181" s="12">
        <f t="shared" si="48"/>
        <v>0</v>
      </c>
      <c r="O181" s="12">
        <f t="shared" si="48"/>
        <v>0</v>
      </c>
      <c r="P181" s="690">
        <f t="shared" si="45"/>
        <v>0.42799993103372325</v>
      </c>
      <c r="Q181" s="465">
        <f t="shared" si="37"/>
        <v>19.259996896517542</v>
      </c>
      <c r="R181" s="12"/>
      <c r="S181" s="1044">
        <f t="shared" si="38"/>
        <v>1.1555998137910526</v>
      </c>
      <c r="T181" s="1033">
        <f t="shared" si="39"/>
        <v>0.9430127682828896</v>
      </c>
      <c r="U181" s="1034">
        <f t="shared" si="39"/>
        <v>42.435574572730026</v>
      </c>
      <c r="V181" s="1034">
        <f t="shared" si="39"/>
        <v>0</v>
      </c>
      <c r="W181" s="1035">
        <f t="shared" si="39"/>
        <v>2.5461344743638019</v>
      </c>
    </row>
    <row r="182" spans="1:23" ht="15.7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5421.623132687032</v>
      </c>
      <c r="L182" s="520">
        <f t="shared" si="50"/>
        <v>0.1</v>
      </c>
      <c r="M182" s="520">
        <f t="shared" si="50"/>
        <v>0.9</v>
      </c>
      <c r="N182" s="1045">
        <f t="shared" si="48"/>
        <v>0</v>
      </c>
      <c r="O182" s="1045">
        <f t="shared" si="48"/>
        <v>0</v>
      </c>
      <c r="P182" s="1046">
        <f t="shared" si="45"/>
        <v>0.43372985061496261</v>
      </c>
      <c r="Q182" s="988">
        <f t="shared" si="37"/>
        <v>19.517843277673318</v>
      </c>
      <c r="R182" s="1045"/>
      <c r="S182" s="1047">
        <f t="shared" si="38"/>
        <v>1.1710705966603989</v>
      </c>
      <c r="T182" s="1048">
        <f t="shared" si="39"/>
        <v>0.94874268786412896</v>
      </c>
      <c r="U182" s="1049">
        <f t="shared" si="39"/>
        <v>42.693420953885806</v>
      </c>
      <c r="V182" s="1049">
        <f t="shared" si="39"/>
        <v>0</v>
      </c>
      <c r="W182" s="1050">
        <f t="shared" si="39"/>
        <v>2.5616052572331478</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2562.5527582487894</v>
      </c>
      <c r="L185" s="518">
        <f>($L$188-$L$80)/($A$188-$A$80)+L184</f>
        <v>0.1</v>
      </c>
      <c r="M185" s="518">
        <f t="shared" ref="M185:M216" si="59">1-L185</f>
        <v>0.9</v>
      </c>
      <c r="N185" s="12">
        <f t="shared" ref="N185:O200" si="60">N183</f>
        <v>0</v>
      </c>
      <c r="O185" s="12">
        <f t="shared" si="60"/>
        <v>0</v>
      </c>
      <c r="P185" s="690">
        <f t="shared" si="54"/>
        <v>0.20500422065990317</v>
      </c>
      <c r="Q185" s="465">
        <f t="shared" si="55"/>
        <v>9.2251899296956417</v>
      </c>
      <c r="R185" s="12"/>
      <c r="S185" s="1044">
        <f t="shared" si="56"/>
        <v>0.55351139578173858</v>
      </c>
      <c r="T185" s="1033">
        <f t="shared" si="57"/>
        <v>0.42961305766478691</v>
      </c>
      <c r="U185" s="1034">
        <f t="shared" si="57"/>
        <v>24.145634102162916</v>
      </c>
      <c r="V185" s="1034">
        <f t="shared" si="57"/>
        <v>0</v>
      </c>
      <c r="W185" s="1035">
        <f t="shared" si="57"/>
        <v>1.448738046129775</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2560.9621544777392</v>
      </c>
      <c r="L186" s="518">
        <f t="shared" ref="L186:L187" si="62">($L$188-$L$80)/($A$188-$A$80)+L185</f>
        <v>0.1</v>
      </c>
      <c r="M186" s="518">
        <f t="shared" si="59"/>
        <v>0.9</v>
      </c>
      <c r="N186" s="12">
        <f t="shared" si="60"/>
        <v>0</v>
      </c>
      <c r="O186" s="12">
        <f t="shared" si="60"/>
        <v>0</v>
      </c>
      <c r="P186" s="690">
        <f t="shared" si="54"/>
        <v>0.20487697235821917</v>
      </c>
      <c r="Q186" s="465">
        <f t="shared" si="55"/>
        <v>9.2194637561198611</v>
      </c>
      <c r="R186" s="12"/>
      <c r="S186" s="1044">
        <f t="shared" si="56"/>
        <v>0.55316782536719167</v>
      </c>
      <c r="T186" s="1033">
        <f t="shared" si="57"/>
        <v>0.50040140009795275</v>
      </c>
      <c r="U186" s="1034">
        <f t="shared" si="57"/>
        <v>26.21211835115454</v>
      </c>
      <c r="V186" s="1034">
        <f t="shared" si="57"/>
        <v>0</v>
      </c>
      <c r="W186" s="1035">
        <f t="shared" si="57"/>
        <v>1.5727271010692725</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2937.5012039878866</v>
      </c>
      <c r="L187" s="518">
        <f t="shared" si="62"/>
        <v>0.1</v>
      </c>
      <c r="M187" s="518">
        <f t="shared" si="59"/>
        <v>0.9</v>
      </c>
      <c r="N187" s="12">
        <f t="shared" si="60"/>
        <v>0</v>
      </c>
      <c r="O187" s="12">
        <f t="shared" si="60"/>
        <v>0</v>
      </c>
      <c r="P187" s="690">
        <f t="shared" si="54"/>
        <v>0.23500009631903096</v>
      </c>
      <c r="Q187" s="465">
        <f t="shared" si="55"/>
        <v>10.575004334356391</v>
      </c>
      <c r="R187" s="12"/>
      <c r="S187" s="1044">
        <f t="shared" si="56"/>
        <v>0.63450026006138349</v>
      </c>
      <c r="T187" s="1033">
        <f t="shared" si="57"/>
        <v>0.65482945907093093</v>
      </c>
      <c r="U187" s="1034">
        <f t="shared" si="57"/>
        <v>31.799711006813553</v>
      </c>
      <c r="V187" s="1034">
        <f t="shared" si="57"/>
        <v>0</v>
      </c>
      <c r="W187" s="1035">
        <f t="shared" si="57"/>
        <v>1.9079826604088135</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3148.72204906348</v>
      </c>
      <c r="L188" s="518">
        <f>'Recycling - Case 2'!E31</f>
        <v>0.1</v>
      </c>
      <c r="M188" s="518">
        <f t="shared" si="59"/>
        <v>0.9</v>
      </c>
      <c r="N188" s="12">
        <f t="shared" si="60"/>
        <v>0</v>
      </c>
      <c r="O188" s="12">
        <f t="shared" si="60"/>
        <v>0</v>
      </c>
      <c r="P188" s="690">
        <f t="shared" si="54"/>
        <v>0.25189776392507846</v>
      </c>
      <c r="Q188" s="465">
        <f t="shared" si="55"/>
        <v>11.335399376628528</v>
      </c>
      <c r="R188" s="12"/>
      <c r="S188" s="1044">
        <f t="shared" si="56"/>
        <v>0.68012396259771157</v>
      </c>
      <c r="T188" s="1033">
        <f t="shared" si="57"/>
        <v>0.76691060117424481</v>
      </c>
      <c r="U188" s="1034">
        <f t="shared" si="57"/>
        <v>34.510977052841014</v>
      </c>
      <c r="V188" s="1034">
        <f t="shared" si="57"/>
        <v>0</v>
      </c>
      <c r="W188" s="1035">
        <f t="shared" si="57"/>
        <v>2.0706586231704609</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3204.8349418807438</v>
      </c>
      <c r="L189" s="518">
        <f>L188</f>
        <v>0.1</v>
      </c>
      <c r="M189" s="518">
        <f t="shared" si="59"/>
        <v>0.9</v>
      </c>
      <c r="N189" s="12">
        <f t="shared" si="60"/>
        <v>0</v>
      </c>
      <c r="O189" s="12">
        <f t="shared" si="60"/>
        <v>0</v>
      </c>
      <c r="P189" s="690">
        <f t="shared" si="54"/>
        <v>0.25638679535045961</v>
      </c>
      <c r="Q189" s="465">
        <f t="shared" si="55"/>
        <v>11.537405790770677</v>
      </c>
      <c r="R189" s="12"/>
      <c r="S189" s="1044">
        <f t="shared" si="56"/>
        <v>0.69224434744624064</v>
      </c>
      <c r="T189" s="1033">
        <f t="shared" si="57"/>
        <v>0.77139963259962596</v>
      </c>
      <c r="U189" s="1034">
        <f t="shared" si="57"/>
        <v>34.712983466983161</v>
      </c>
      <c r="V189" s="1034">
        <f t="shared" si="57"/>
        <v>0</v>
      </c>
      <c r="W189" s="1035">
        <f t="shared" si="57"/>
        <v>2.0827790080189899</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3265.0525952906887</v>
      </c>
      <c r="L190" s="518">
        <f t="shared" ref="L190:L216" si="64">L189</f>
        <v>0.1</v>
      </c>
      <c r="M190" s="518">
        <f t="shared" si="59"/>
        <v>0.9</v>
      </c>
      <c r="N190" s="12">
        <f t="shared" si="60"/>
        <v>0</v>
      </c>
      <c r="O190" s="12">
        <f t="shared" si="60"/>
        <v>0</v>
      </c>
      <c r="P190" s="690">
        <f t="shared" si="54"/>
        <v>0.26120420762325519</v>
      </c>
      <c r="Q190" s="465">
        <f t="shared" si="55"/>
        <v>11.754189343046479</v>
      </c>
      <c r="R190" s="12"/>
      <c r="S190" s="1044">
        <f t="shared" si="56"/>
        <v>0.7052513605827887</v>
      </c>
      <c r="T190" s="1033">
        <f t="shared" si="57"/>
        <v>0.77621704487242149</v>
      </c>
      <c r="U190" s="1034">
        <f t="shared" si="57"/>
        <v>34.929767019258961</v>
      </c>
      <c r="V190" s="1034">
        <f t="shared" si="57"/>
        <v>0</v>
      </c>
      <c r="W190" s="1035">
        <f t="shared" si="57"/>
        <v>2.0957860211555377</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3322.0462446854558</v>
      </c>
      <c r="L191" s="518">
        <f t="shared" si="64"/>
        <v>0.1</v>
      </c>
      <c r="M191" s="518">
        <f t="shared" si="59"/>
        <v>0.9</v>
      </c>
      <c r="N191" s="12">
        <f t="shared" si="60"/>
        <v>0</v>
      </c>
      <c r="O191" s="12">
        <f t="shared" si="60"/>
        <v>0</v>
      </c>
      <c r="P191" s="690">
        <f t="shared" si="54"/>
        <v>0.26576369957483648</v>
      </c>
      <c r="Q191" s="465">
        <f t="shared" si="55"/>
        <v>11.95936648086764</v>
      </c>
      <c r="R191" s="12"/>
      <c r="S191" s="1044">
        <f t="shared" si="56"/>
        <v>0.71756198885205846</v>
      </c>
      <c r="T191" s="1033">
        <f t="shared" si="57"/>
        <v>0.78077653682400283</v>
      </c>
      <c r="U191" s="1034">
        <f t="shared" si="57"/>
        <v>35.134944157080128</v>
      </c>
      <c r="V191" s="1034">
        <f t="shared" si="57"/>
        <v>0</v>
      </c>
      <c r="W191" s="1035">
        <f t="shared" si="57"/>
        <v>2.1080966494248075</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3371.5806470164412</v>
      </c>
      <c r="L192" s="518">
        <f t="shared" si="64"/>
        <v>0.1</v>
      </c>
      <c r="M192" s="518">
        <f t="shared" si="59"/>
        <v>0.9</v>
      </c>
      <c r="N192" s="12">
        <f t="shared" si="60"/>
        <v>0</v>
      </c>
      <c r="O192" s="12">
        <f t="shared" si="60"/>
        <v>0</v>
      </c>
      <c r="P192" s="690">
        <f t="shared" si="54"/>
        <v>0.26972645176131532</v>
      </c>
      <c r="Q192" s="465">
        <f t="shared" si="55"/>
        <v>12.137690329259188</v>
      </c>
      <c r="R192" s="12"/>
      <c r="S192" s="1044">
        <f t="shared" si="56"/>
        <v>0.72826141975555125</v>
      </c>
      <c r="T192" s="1033">
        <f t="shared" si="57"/>
        <v>0.78473928901048162</v>
      </c>
      <c r="U192" s="1034">
        <f t="shared" si="57"/>
        <v>35.31326800547167</v>
      </c>
      <c r="V192" s="1034">
        <f t="shared" si="57"/>
        <v>0</v>
      </c>
      <c r="W192" s="1035">
        <f t="shared" si="57"/>
        <v>2.1187960803283001</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3420.7616593626267</v>
      </c>
      <c r="L193" s="518">
        <f t="shared" si="64"/>
        <v>0.1</v>
      </c>
      <c r="M193" s="518">
        <f t="shared" si="59"/>
        <v>0.9</v>
      </c>
      <c r="N193" s="12">
        <f t="shared" si="60"/>
        <v>0</v>
      </c>
      <c r="O193" s="12">
        <f t="shared" si="60"/>
        <v>0</v>
      </c>
      <c r="P193" s="690">
        <f t="shared" si="54"/>
        <v>0.27366093274901021</v>
      </c>
      <c r="Q193" s="465">
        <f t="shared" si="55"/>
        <v>12.314741973705457</v>
      </c>
      <c r="R193" s="12"/>
      <c r="S193" s="1044">
        <f t="shared" si="56"/>
        <v>0.73888451842232739</v>
      </c>
      <c r="T193" s="1033">
        <f t="shared" si="57"/>
        <v>0.78867376999817651</v>
      </c>
      <c r="U193" s="1034">
        <f t="shared" si="57"/>
        <v>35.490319649917943</v>
      </c>
      <c r="V193" s="1034">
        <f t="shared" si="57"/>
        <v>0</v>
      </c>
      <c r="W193" s="1035">
        <f t="shared" si="57"/>
        <v>2.1294191789950765</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3471.0300255081979</v>
      </c>
      <c r="L194" s="518">
        <f t="shared" si="64"/>
        <v>0.1</v>
      </c>
      <c r="M194" s="518">
        <f t="shared" si="59"/>
        <v>0.9</v>
      </c>
      <c r="N194" s="12">
        <f t="shared" si="60"/>
        <v>0</v>
      </c>
      <c r="O194" s="12">
        <f t="shared" si="60"/>
        <v>0</v>
      </c>
      <c r="P194" s="690">
        <f t="shared" si="54"/>
        <v>0.27768240204065592</v>
      </c>
      <c r="Q194" s="465">
        <f t="shared" si="55"/>
        <v>12.495708091829512</v>
      </c>
      <c r="R194" s="12"/>
      <c r="S194" s="1044">
        <f t="shared" si="56"/>
        <v>0.74974248550977074</v>
      </c>
      <c r="T194" s="1033">
        <f t="shared" si="57"/>
        <v>0.79269523928982233</v>
      </c>
      <c r="U194" s="1034">
        <f t="shared" si="57"/>
        <v>35.671285768041997</v>
      </c>
      <c r="V194" s="1034">
        <f t="shared" si="57"/>
        <v>0</v>
      </c>
      <c r="W194" s="1035">
        <f t="shared" si="57"/>
        <v>2.1402771460825196</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3537.8044223284328</v>
      </c>
      <c r="L195" s="518">
        <f t="shared" si="64"/>
        <v>0.1</v>
      </c>
      <c r="M195" s="518">
        <f t="shared" si="59"/>
        <v>0.9</v>
      </c>
      <c r="N195" s="12">
        <f t="shared" si="60"/>
        <v>0</v>
      </c>
      <c r="O195" s="12">
        <f t="shared" si="60"/>
        <v>0</v>
      </c>
      <c r="P195" s="690">
        <f t="shared" si="54"/>
        <v>0.28302435378627466</v>
      </c>
      <c r="Q195" s="465">
        <f t="shared" si="55"/>
        <v>12.736095920382359</v>
      </c>
      <c r="R195" s="12"/>
      <c r="S195" s="1044">
        <f t="shared" si="56"/>
        <v>0.7641657552229415</v>
      </c>
      <c r="T195" s="1033">
        <f t="shared" si="57"/>
        <v>0.79803719103544102</v>
      </c>
      <c r="U195" s="1034">
        <f t="shared" si="57"/>
        <v>35.911673596594845</v>
      </c>
      <c r="V195" s="1034">
        <f t="shared" si="57"/>
        <v>0</v>
      </c>
      <c r="W195" s="1035">
        <f t="shared" si="57"/>
        <v>2.1547004157956904</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3597.8752829754594</v>
      </c>
      <c r="L196" s="518">
        <f t="shared" si="64"/>
        <v>0.1</v>
      </c>
      <c r="M196" s="518">
        <f t="shared" si="59"/>
        <v>0.9</v>
      </c>
      <c r="N196" s="12">
        <f t="shared" si="60"/>
        <v>0</v>
      </c>
      <c r="O196" s="12">
        <f t="shared" si="60"/>
        <v>0</v>
      </c>
      <c r="P196" s="690">
        <f t="shared" si="54"/>
        <v>0.28783002263803686</v>
      </c>
      <c r="Q196" s="465">
        <f t="shared" si="55"/>
        <v>12.952351018711653</v>
      </c>
      <c r="R196" s="12"/>
      <c r="S196" s="1044">
        <f t="shared" si="56"/>
        <v>0.77714106112269921</v>
      </c>
      <c r="T196" s="1033">
        <f t="shared" si="57"/>
        <v>0.80284285988720328</v>
      </c>
      <c r="U196" s="1034">
        <f t="shared" si="57"/>
        <v>36.127928694924137</v>
      </c>
      <c r="V196" s="1034">
        <f t="shared" si="57"/>
        <v>0</v>
      </c>
      <c r="W196" s="1035">
        <f t="shared" si="57"/>
        <v>2.1676757216954483</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3668.9827846862445</v>
      </c>
      <c r="L197" s="518">
        <f t="shared" si="64"/>
        <v>0.1</v>
      </c>
      <c r="M197" s="518">
        <f t="shared" si="59"/>
        <v>0.9</v>
      </c>
      <c r="N197" s="12">
        <f t="shared" si="60"/>
        <v>0</v>
      </c>
      <c r="O197" s="12">
        <f t="shared" si="60"/>
        <v>0</v>
      </c>
      <c r="P197" s="690">
        <f t="shared" si="54"/>
        <v>0.2935186227748996</v>
      </c>
      <c r="Q197" s="465">
        <f t="shared" si="55"/>
        <v>13.20833802487048</v>
      </c>
      <c r="R197" s="12"/>
      <c r="S197" s="1044">
        <f t="shared" si="56"/>
        <v>0.79250028149222884</v>
      </c>
      <c r="T197" s="1033">
        <f t="shared" si="57"/>
        <v>0.80853146002406595</v>
      </c>
      <c r="U197" s="1034">
        <f t="shared" si="57"/>
        <v>36.383915701082962</v>
      </c>
      <c r="V197" s="1034">
        <f t="shared" si="57"/>
        <v>0</v>
      </c>
      <c r="W197" s="1035">
        <f t="shared" si="57"/>
        <v>2.1830349420649782</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3743.3904051781628</v>
      </c>
      <c r="L198" s="518">
        <f t="shared" si="64"/>
        <v>0.1</v>
      </c>
      <c r="M198" s="518">
        <f t="shared" si="59"/>
        <v>0.9</v>
      </c>
      <c r="N198" s="12">
        <f t="shared" si="60"/>
        <v>0</v>
      </c>
      <c r="O198" s="12">
        <f t="shared" si="60"/>
        <v>0</v>
      </c>
      <c r="P198" s="690">
        <f t="shared" si="54"/>
        <v>0.29947123241425311</v>
      </c>
      <c r="Q198" s="465">
        <f t="shared" si="55"/>
        <v>13.476205458641386</v>
      </c>
      <c r="R198" s="12"/>
      <c r="S198" s="1044">
        <f t="shared" si="56"/>
        <v>0.80857232751848307</v>
      </c>
      <c r="T198" s="1033">
        <f t="shared" si="57"/>
        <v>0.81448406966341946</v>
      </c>
      <c r="U198" s="1034">
        <f t="shared" si="57"/>
        <v>36.651783134853872</v>
      </c>
      <c r="V198" s="1034">
        <f t="shared" si="57"/>
        <v>0</v>
      </c>
      <c r="W198" s="1035">
        <f t="shared" si="57"/>
        <v>2.1991069880912324</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3830.9006389526726</v>
      </c>
      <c r="L199" s="518">
        <f t="shared" si="64"/>
        <v>0.1</v>
      </c>
      <c r="M199" s="518">
        <f t="shared" si="59"/>
        <v>0.9</v>
      </c>
      <c r="N199" s="12">
        <f t="shared" si="60"/>
        <v>0</v>
      </c>
      <c r="O199" s="12">
        <f t="shared" si="60"/>
        <v>0</v>
      </c>
      <c r="P199" s="690">
        <f t="shared" si="54"/>
        <v>0.30647205111621389</v>
      </c>
      <c r="Q199" s="465">
        <f t="shared" si="55"/>
        <v>13.791242300229621</v>
      </c>
      <c r="R199" s="12"/>
      <c r="S199" s="1044">
        <f t="shared" si="56"/>
        <v>0.82747453801377735</v>
      </c>
      <c r="T199" s="1033">
        <f t="shared" si="57"/>
        <v>0.82148488836538025</v>
      </c>
      <c r="U199" s="1034">
        <f t="shared" si="57"/>
        <v>36.966819976442103</v>
      </c>
      <c r="V199" s="1034">
        <f t="shared" si="57"/>
        <v>0</v>
      </c>
      <c r="W199" s="1035">
        <f t="shared" si="57"/>
        <v>2.2180091985865262</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3926.3322451557001</v>
      </c>
      <c r="L200" s="518">
        <f t="shared" si="64"/>
        <v>0.1</v>
      </c>
      <c r="M200" s="518">
        <f t="shared" si="59"/>
        <v>0.9</v>
      </c>
      <c r="N200" s="12">
        <f t="shared" si="60"/>
        <v>0</v>
      </c>
      <c r="O200" s="12">
        <f t="shared" si="60"/>
        <v>0</v>
      </c>
      <c r="P200" s="690">
        <f t="shared" si="54"/>
        <v>0.31410657961245608</v>
      </c>
      <c r="Q200" s="465">
        <f t="shared" si="55"/>
        <v>14.13479608256052</v>
      </c>
      <c r="R200" s="12"/>
      <c r="S200" s="1044">
        <f t="shared" si="56"/>
        <v>0.84808776495363125</v>
      </c>
      <c r="T200" s="1033">
        <f t="shared" si="57"/>
        <v>0.82911941686162249</v>
      </c>
      <c r="U200" s="1034">
        <f t="shared" si="57"/>
        <v>37.310373758773004</v>
      </c>
      <c r="V200" s="1034">
        <f t="shared" si="57"/>
        <v>0</v>
      </c>
      <c r="W200" s="1035">
        <f t="shared" si="57"/>
        <v>2.2386224255263802</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4002.4905052646268</v>
      </c>
      <c r="L201" s="518">
        <f t="shared" si="64"/>
        <v>0.1</v>
      </c>
      <c r="M201" s="518">
        <f t="shared" si="59"/>
        <v>0.9</v>
      </c>
      <c r="N201" s="12">
        <f t="shared" ref="N201:O216" si="65">N199</f>
        <v>0</v>
      </c>
      <c r="O201" s="12">
        <f t="shared" si="65"/>
        <v>0</v>
      </c>
      <c r="P201" s="690">
        <f t="shared" si="54"/>
        <v>0.32019924042117021</v>
      </c>
      <c r="Q201" s="465">
        <f t="shared" si="55"/>
        <v>14.408965818952657</v>
      </c>
      <c r="R201" s="12"/>
      <c r="S201" s="1044">
        <f t="shared" si="56"/>
        <v>0.86453794913715931</v>
      </c>
      <c r="T201" s="1033">
        <f t="shared" si="57"/>
        <v>0.83521207767033656</v>
      </c>
      <c r="U201" s="1034">
        <f t="shared" si="57"/>
        <v>37.584543495165143</v>
      </c>
      <c r="V201" s="1034">
        <f t="shared" si="57"/>
        <v>0</v>
      </c>
      <c r="W201" s="1035">
        <f t="shared" si="57"/>
        <v>2.2550726097099085</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4078.7466272155002</v>
      </c>
      <c r="L202" s="518">
        <f t="shared" si="64"/>
        <v>0.1</v>
      </c>
      <c r="M202" s="518">
        <f t="shared" si="59"/>
        <v>0.9</v>
      </c>
      <c r="N202" s="12">
        <f t="shared" si="65"/>
        <v>0</v>
      </c>
      <c r="O202" s="12">
        <f t="shared" si="65"/>
        <v>0</v>
      </c>
      <c r="P202" s="690">
        <f t="shared" si="54"/>
        <v>0.32629973017724007</v>
      </c>
      <c r="Q202" s="465">
        <f t="shared" si="55"/>
        <v>14.6834878579758</v>
      </c>
      <c r="R202" s="12"/>
      <c r="S202" s="1044">
        <f t="shared" si="56"/>
        <v>0.88100927147854802</v>
      </c>
      <c r="T202" s="1033">
        <f t="shared" si="57"/>
        <v>0.84131256742640637</v>
      </c>
      <c r="U202" s="1034">
        <f t="shared" si="57"/>
        <v>37.859065534188282</v>
      </c>
      <c r="V202" s="1034">
        <f t="shared" si="57"/>
        <v>0</v>
      </c>
      <c r="W202" s="1035">
        <f t="shared" si="57"/>
        <v>2.2715439320512969</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4167.9694432240412</v>
      </c>
      <c r="L203" s="518">
        <f t="shared" si="64"/>
        <v>0.1</v>
      </c>
      <c r="M203" s="518">
        <f t="shared" si="59"/>
        <v>0.9</v>
      </c>
      <c r="N203" s="12">
        <f t="shared" si="65"/>
        <v>0</v>
      </c>
      <c r="O203" s="12">
        <f t="shared" si="65"/>
        <v>0</v>
      </c>
      <c r="P203" s="690">
        <f t="shared" si="54"/>
        <v>0.33343755545792336</v>
      </c>
      <c r="Q203" s="465">
        <f t="shared" si="55"/>
        <v>15.004689995606547</v>
      </c>
      <c r="R203" s="12"/>
      <c r="S203" s="1044">
        <f t="shared" si="56"/>
        <v>0.90028139973639287</v>
      </c>
      <c r="T203" s="1033">
        <f t="shared" si="57"/>
        <v>0.84845039270708966</v>
      </c>
      <c r="U203" s="1034">
        <f t="shared" si="57"/>
        <v>38.180267671819031</v>
      </c>
      <c r="V203" s="1034">
        <f t="shared" si="57"/>
        <v>0</v>
      </c>
      <c r="W203" s="1035">
        <f t="shared" si="57"/>
        <v>2.2908160603091421</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4255.0991031687627</v>
      </c>
      <c r="L204" s="518">
        <f t="shared" si="64"/>
        <v>0.1</v>
      </c>
      <c r="M204" s="518">
        <f t="shared" si="59"/>
        <v>0.9</v>
      </c>
      <c r="N204" s="12">
        <f t="shared" si="65"/>
        <v>0</v>
      </c>
      <c r="O204" s="12">
        <f t="shared" si="65"/>
        <v>0</v>
      </c>
      <c r="P204" s="690">
        <f t="shared" si="54"/>
        <v>0.34040792825350108</v>
      </c>
      <c r="Q204" s="465">
        <f t="shared" si="55"/>
        <v>15.318356771407545</v>
      </c>
      <c r="R204" s="12"/>
      <c r="S204" s="1044">
        <f t="shared" si="56"/>
        <v>0.9191014062844528</v>
      </c>
      <c r="T204" s="1033">
        <f t="shared" si="57"/>
        <v>0.85542076550266744</v>
      </c>
      <c r="U204" s="1034">
        <f t="shared" si="57"/>
        <v>38.493934447620028</v>
      </c>
      <c r="V204" s="1034">
        <f t="shared" si="57"/>
        <v>0</v>
      </c>
      <c r="W204" s="1035">
        <f t="shared" si="57"/>
        <v>2.3096360668572018</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4348.4810474599535</v>
      </c>
      <c r="L205" s="518">
        <f t="shared" si="64"/>
        <v>0.1</v>
      </c>
      <c r="M205" s="518">
        <f t="shared" si="59"/>
        <v>0.9</v>
      </c>
      <c r="N205" s="12">
        <f t="shared" si="65"/>
        <v>0</v>
      </c>
      <c r="O205" s="12">
        <f t="shared" si="65"/>
        <v>0</v>
      </c>
      <c r="P205" s="690">
        <f t="shared" si="54"/>
        <v>0.34787848379679631</v>
      </c>
      <c r="Q205" s="465">
        <f t="shared" si="55"/>
        <v>15.654531770855833</v>
      </c>
      <c r="R205" s="12"/>
      <c r="S205" s="1044">
        <f t="shared" si="56"/>
        <v>0.93927190625134993</v>
      </c>
      <c r="T205" s="1033">
        <f t="shared" si="57"/>
        <v>0.86289132104596267</v>
      </c>
      <c r="U205" s="1034">
        <f t="shared" si="57"/>
        <v>38.830109447068317</v>
      </c>
      <c r="V205" s="1034">
        <f t="shared" si="57"/>
        <v>0</v>
      </c>
      <c r="W205" s="1035">
        <f t="shared" si="57"/>
        <v>2.3298065668240993</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4442.1783243529617</v>
      </c>
      <c r="L206" s="518">
        <f t="shared" si="64"/>
        <v>0.1</v>
      </c>
      <c r="M206" s="518">
        <f t="shared" si="59"/>
        <v>0.9</v>
      </c>
      <c r="N206" s="12">
        <f t="shared" si="65"/>
        <v>0</v>
      </c>
      <c r="O206" s="12">
        <f t="shared" si="65"/>
        <v>0</v>
      </c>
      <c r="P206" s="690">
        <f t="shared" si="54"/>
        <v>0.35537426594823701</v>
      </c>
      <c r="Q206" s="465">
        <f t="shared" si="55"/>
        <v>15.991841967670661</v>
      </c>
      <c r="R206" s="12"/>
      <c r="S206" s="1044">
        <f t="shared" si="56"/>
        <v>0.95951051806023979</v>
      </c>
      <c r="T206" s="1033">
        <f t="shared" si="57"/>
        <v>0.87038710319740331</v>
      </c>
      <c r="U206" s="1034">
        <f t="shared" si="57"/>
        <v>39.167419643883143</v>
      </c>
      <c r="V206" s="1034">
        <f t="shared" si="57"/>
        <v>0</v>
      </c>
      <c r="W206" s="1035">
        <f t="shared" si="57"/>
        <v>2.350045178632989</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4547.532033975378</v>
      </c>
      <c r="L207" s="518">
        <f t="shared" si="64"/>
        <v>0.1</v>
      </c>
      <c r="M207" s="518">
        <f t="shared" si="59"/>
        <v>0.9</v>
      </c>
      <c r="N207" s="12">
        <f t="shared" si="65"/>
        <v>0</v>
      </c>
      <c r="O207" s="12">
        <f t="shared" si="65"/>
        <v>0</v>
      </c>
      <c r="P207" s="690">
        <f t="shared" si="54"/>
        <v>0.3638025627180303</v>
      </c>
      <c r="Q207" s="465">
        <f t="shared" si="55"/>
        <v>16.371115322311361</v>
      </c>
      <c r="R207" s="12"/>
      <c r="S207" s="1044">
        <f t="shared" si="56"/>
        <v>0.9822669193386816</v>
      </c>
      <c r="T207" s="1033">
        <f t="shared" si="57"/>
        <v>0.8788153999671966</v>
      </c>
      <c r="U207" s="1034">
        <f t="shared" si="57"/>
        <v>39.546692998523845</v>
      </c>
      <c r="V207" s="1034">
        <f t="shared" si="57"/>
        <v>0</v>
      </c>
      <c r="W207" s="1035">
        <f t="shared" si="57"/>
        <v>2.3728015799114308</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4654.5439581418577</v>
      </c>
      <c r="L208" s="518">
        <f t="shared" si="64"/>
        <v>0.1</v>
      </c>
      <c r="M208" s="518">
        <f t="shared" si="59"/>
        <v>0.9</v>
      </c>
      <c r="N208" s="12">
        <f t="shared" si="65"/>
        <v>0</v>
      </c>
      <c r="O208" s="12">
        <f t="shared" si="65"/>
        <v>0</v>
      </c>
      <c r="P208" s="690">
        <f t="shared" si="54"/>
        <v>0.3723635166513487</v>
      </c>
      <c r="Q208" s="465">
        <f t="shared" si="55"/>
        <v>16.756358249310686</v>
      </c>
      <c r="R208" s="12"/>
      <c r="S208" s="1044">
        <f t="shared" si="56"/>
        <v>1.0053814949586413</v>
      </c>
      <c r="T208" s="1033">
        <f t="shared" si="57"/>
        <v>0.88737635390051506</v>
      </c>
      <c r="U208" s="1034">
        <f t="shared" si="57"/>
        <v>39.93193592552317</v>
      </c>
      <c r="V208" s="1034">
        <f t="shared" si="57"/>
        <v>0</v>
      </c>
      <c r="W208" s="1035">
        <f t="shared" si="57"/>
        <v>2.3959161555313901</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4764.3177609587738</v>
      </c>
      <c r="L209" s="518">
        <f t="shared" si="64"/>
        <v>0.1</v>
      </c>
      <c r="M209" s="518">
        <f t="shared" si="59"/>
        <v>0.9</v>
      </c>
      <c r="N209" s="12">
        <f t="shared" si="65"/>
        <v>0</v>
      </c>
      <c r="O209" s="12">
        <f t="shared" si="65"/>
        <v>0</v>
      </c>
      <c r="P209" s="690">
        <f t="shared" si="54"/>
        <v>0.38114542087670195</v>
      </c>
      <c r="Q209" s="465">
        <f t="shared" si="55"/>
        <v>17.151543939451585</v>
      </c>
      <c r="R209" s="12"/>
      <c r="S209" s="1044">
        <f t="shared" si="56"/>
        <v>1.0290926363670951</v>
      </c>
      <c r="T209" s="1033">
        <f t="shared" si="57"/>
        <v>0.89615825812586825</v>
      </c>
      <c r="U209" s="1034">
        <f t="shared" si="57"/>
        <v>40.327121615664069</v>
      </c>
      <c r="V209" s="1034">
        <f t="shared" si="57"/>
        <v>0</v>
      </c>
      <c r="W209" s="1035">
        <f t="shared" si="57"/>
        <v>2.4196272969398445</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4878.3539906692804</v>
      </c>
      <c r="L210" s="518">
        <f t="shared" si="64"/>
        <v>0.1</v>
      </c>
      <c r="M210" s="518">
        <f t="shared" si="59"/>
        <v>0.9</v>
      </c>
      <c r="N210" s="12">
        <f t="shared" si="65"/>
        <v>0</v>
      </c>
      <c r="O210" s="12">
        <f t="shared" si="65"/>
        <v>0</v>
      </c>
      <c r="P210" s="690">
        <f t="shared" si="54"/>
        <v>0.39026831925354255</v>
      </c>
      <c r="Q210" s="465">
        <f t="shared" si="55"/>
        <v>17.562074366409412</v>
      </c>
      <c r="R210" s="12"/>
      <c r="S210" s="1044">
        <f t="shared" si="56"/>
        <v>1.0537244619845647</v>
      </c>
      <c r="T210" s="1033">
        <f t="shared" si="57"/>
        <v>0.90528115650270891</v>
      </c>
      <c r="U210" s="1034">
        <f t="shared" si="57"/>
        <v>40.737652042621896</v>
      </c>
      <c r="V210" s="1034">
        <f t="shared" si="57"/>
        <v>0</v>
      </c>
      <c r="W210" s="1035">
        <f t="shared" si="57"/>
        <v>2.4442591225573138</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4997.2071977110627</v>
      </c>
      <c r="L211" s="518">
        <f t="shared" si="64"/>
        <v>0.1</v>
      </c>
      <c r="M211" s="518">
        <f t="shared" si="59"/>
        <v>0.9</v>
      </c>
      <c r="N211" s="12">
        <f t="shared" si="65"/>
        <v>0</v>
      </c>
      <c r="O211" s="12">
        <f t="shared" si="65"/>
        <v>0</v>
      </c>
      <c r="P211" s="690">
        <f t="shared" si="54"/>
        <v>0.39977657581688508</v>
      </c>
      <c r="Q211" s="465">
        <f t="shared" si="55"/>
        <v>17.989945911759825</v>
      </c>
      <c r="R211" s="12"/>
      <c r="S211" s="1044">
        <f t="shared" si="56"/>
        <v>1.0793967547055896</v>
      </c>
      <c r="T211" s="1033">
        <f t="shared" si="57"/>
        <v>0.91478941306605144</v>
      </c>
      <c r="U211" s="1034">
        <f t="shared" si="57"/>
        <v>41.165523587972309</v>
      </c>
      <c r="V211" s="1034">
        <f t="shared" si="57"/>
        <v>0</v>
      </c>
      <c r="W211" s="1035">
        <f t="shared" si="57"/>
        <v>2.4699314152783387</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5124.3025465521841</v>
      </c>
      <c r="L212" s="518">
        <f t="shared" si="64"/>
        <v>0.1</v>
      </c>
      <c r="M212" s="518">
        <f t="shared" si="59"/>
        <v>0.9</v>
      </c>
      <c r="N212" s="12">
        <f t="shared" si="65"/>
        <v>0</v>
      </c>
      <c r="O212" s="12">
        <f t="shared" si="65"/>
        <v>0</v>
      </c>
      <c r="P212" s="690">
        <f t="shared" si="54"/>
        <v>0.40994420372417484</v>
      </c>
      <c r="Q212" s="465">
        <f t="shared" si="55"/>
        <v>18.447489167587865</v>
      </c>
      <c r="R212" s="12"/>
      <c r="S212" s="1044">
        <f t="shared" si="56"/>
        <v>1.1068493500552719</v>
      </c>
      <c r="T212" s="1033">
        <f t="shared" si="57"/>
        <v>0.92495704097334119</v>
      </c>
      <c r="U212" s="1034">
        <f t="shared" si="57"/>
        <v>41.623066843800345</v>
      </c>
      <c r="V212" s="1034">
        <f t="shared" si="57"/>
        <v>0</v>
      </c>
      <c r="W212" s="1035">
        <f t="shared" si="57"/>
        <v>2.497384010628021</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5203.2226853115508</v>
      </c>
      <c r="L213" s="518">
        <f t="shared" si="64"/>
        <v>0.1</v>
      </c>
      <c r="M213" s="518">
        <f t="shared" si="59"/>
        <v>0.9</v>
      </c>
      <c r="N213" s="12">
        <f t="shared" si="65"/>
        <v>0</v>
      </c>
      <c r="O213" s="12">
        <f t="shared" si="65"/>
        <v>0</v>
      </c>
      <c r="P213" s="690">
        <f t="shared" si="54"/>
        <v>0.41625781482492413</v>
      </c>
      <c r="Q213" s="465">
        <f t="shared" si="55"/>
        <v>18.731601667121584</v>
      </c>
      <c r="R213" s="12"/>
      <c r="S213" s="1044">
        <f t="shared" si="56"/>
        <v>1.1238961000272949</v>
      </c>
      <c r="T213" s="1033">
        <f t="shared" si="57"/>
        <v>0.93127065207409054</v>
      </c>
      <c r="U213" s="1034">
        <f t="shared" si="57"/>
        <v>41.907179343334064</v>
      </c>
      <c r="V213" s="1034">
        <f t="shared" si="57"/>
        <v>0</v>
      </c>
      <c r="W213" s="1035">
        <f t="shared" si="57"/>
        <v>2.5144307606000442</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5276.7441124569687</v>
      </c>
      <c r="L214" s="518">
        <f t="shared" si="64"/>
        <v>0.1</v>
      </c>
      <c r="M214" s="518">
        <f t="shared" si="59"/>
        <v>0.9</v>
      </c>
      <c r="N214" s="12">
        <f t="shared" si="65"/>
        <v>0</v>
      </c>
      <c r="O214" s="12">
        <f t="shared" si="65"/>
        <v>0</v>
      </c>
      <c r="P214" s="690">
        <f t="shared" si="54"/>
        <v>0.4221395289965576</v>
      </c>
      <c r="Q214" s="465">
        <f t="shared" si="55"/>
        <v>18.99627880484509</v>
      </c>
      <c r="R214" s="12"/>
      <c r="S214" s="1044">
        <f t="shared" si="56"/>
        <v>1.1397767282907052</v>
      </c>
      <c r="T214" s="1033">
        <f t="shared" si="57"/>
        <v>0.93715236624572396</v>
      </c>
      <c r="U214" s="1034">
        <f t="shared" si="57"/>
        <v>42.171856481057574</v>
      </c>
      <c r="V214" s="1034">
        <f t="shared" si="57"/>
        <v>0</v>
      </c>
      <c r="W214" s="1035">
        <f t="shared" si="57"/>
        <v>2.5303113888634545</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5349.9991379215398</v>
      </c>
      <c r="L215" s="518">
        <f t="shared" si="64"/>
        <v>0.1</v>
      </c>
      <c r="M215" s="518">
        <f t="shared" si="59"/>
        <v>0.9</v>
      </c>
      <c r="N215" s="12">
        <f t="shared" si="65"/>
        <v>0</v>
      </c>
      <c r="O215" s="12">
        <f t="shared" si="65"/>
        <v>0</v>
      </c>
      <c r="P215" s="690">
        <f t="shared" si="54"/>
        <v>0.42799993103372325</v>
      </c>
      <c r="Q215" s="465">
        <f t="shared" si="55"/>
        <v>19.259996896517542</v>
      </c>
      <c r="R215" s="12"/>
      <c r="S215" s="1044">
        <f t="shared" si="56"/>
        <v>1.1555998137910526</v>
      </c>
      <c r="T215" s="1033">
        <f t="shared" si="57"/>
        <v>0.9430127682828896</v>
      </c>
      <c r="U215" s="1034">
        <f t="shared" si="57"/>
        <v>42.435574572730026</v>
      </c>
      <c r="V215" s="1034">
        <f t="shared" si="57"/>
        <v>0</v>
      </c>
      <c r="W215" s="1035">
        <f t="shared" si="57"/>
        <v>2.5461344743638019</v>
      </c>
    </row>
    <row r="216" spans="1:23" ht="15.7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5421.623132687032</v>
      </c>
      <c r="L216" s="520">
        <f t="shared" si="64"/>
        <v>0.1</v>
      </c>
      <c r="M216" s="520">
        <f t="shared" si="59"/>
        <v>0.9</v>
      </c>
      <c r="N216" s="1045">
        <f t="shared" si="65"/>
        <v>0</v>
      </c>
      <c r="O216" s="1045">
        <f t="shared" si="65"/>
        <v>0</v>
      </c>
      <c r="P216" s="1046">
        <f t="shared" si="54"/>
        <v>0.43372985061496261</v>
      </c>
      <c r="Q216" s="988">
        <f t="shared" si="55"/>
        <v>19.517843277673318</v>
      </c>
      <c r="R216" s="1045"/>
      <c r="S216" s="1047">
        <f t="shared" si="56"/>
        <v>1.1710705966603989</v>
      </c>
      <c r="T216" s="1048">
        <f t="shared" si="57"/>
        <v>0.94874268786412896</v>
      </c>
      <c r="U216" s="1049">
        <f t="shared" si="57"/>
        <v>42.693420953885806</v>
      </c>
      <c r="V216" s="1049">
        <f t="shared" si="57"/>
        <v>0</v>
      </c>
      <c r="W216" s="1050">
        <f t="shared" si="57"/>
        <v>2.5616052572331478</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2562.5527582487894</v>
      </c>
      <c r="L219" s="518">
        <f>($L$222-$L$80)/($A$222-$A$80)+L218</f>
        <v>0.26</v>
      </c>
      <c r="M219" s="518">
        <f>($M$222-$M$80)/($A$222-$A$80)+M218</f>
        <v>0.7400000000000001</v>
      </c>
      <c r="N219" s="12">
        <f t="shared" si="66"/>
        <v>0</v>
      </c>
      <c r="O219" s="12">
        <f t="shared" si="66"/>
        <v>0</v>
      </c>
      <c r="P219" s="690">
        <f t="shared" si="67"/>
        <v>0.53301097371574824</v>
      </c>
      <c r="Q219" s="465">
        <f t="shared" si="68"/>
        <v>7.5851561644164178</v>
      </c>
      <c r="R219" s="12"/>
      <c r="S219" s="1044">
        <f t="shared" si="69"/>
        <v>0.45510936986498501</v>
      </c>
      <c r="T219" s="1033">
        <f t="shared" si="70"/>
        <v>1.2710114381603663</v>
      </c>
      <c r="U219" s="1034">
        <f t="shared" si="70"/>
        <v>19.93864219968502</v>
      </c>
      <c r="V219" s="1034">
        <f t="shared" si="70"/>
        <v>0</v>
      </c>
      <c r="W219" s="1035">
        <f t="shared" si="70"/>
        <v>1.1963185319811012</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2560.9621544777392</v>
      </c>
      <c r="L220" s="518">
        <f>($L$222-$L$80)/($A$222-$A$80)+L219</f>
        <v>0.34</v>
      </c>
      <c r="M220" s="518">
        <f>($M$222-$M$80)/($A$222-$A$80)+M219</f>
        <v>0.66000000000000014</v>
      </c>
      <c r="N220" s="12">
        <f t="shared" si="66"/>
        <v>0</v>
      </c>
      <c r="O220" s="12">
        <f t="shared" si="66"/>
        <v>0</v>
      </c>
      <c r="P220" s="690">
        <f t="shared" si="67"/>
        <v>0.69658170601794511</v>
      </c>
      <c r="Q220" s="465">
        <f t="shared" si="68"/>
        <v>6.7609400878212327</v>
      </c>
      <c r="R220" s="12"/>
      <c r="S220" s="1044">
        <f t="shared" si="69"/>
        <v>0.40565640526927399</v>
      </c>
      <c r="T220" s="1033">
        <f t="shared" si="70"/>
        <v>1.8786794169768795</v>
      </c>
      <c r="U220" s="1034">
        <f t="shared" si="70"/>
        <v>19.320728266759911</v>
      </c>
      <c r="V220" s="1034">
        <f t="shared" si="70"/>
        <v>0</v>
      </c>
      <c r="W220" s="1035">
        <f t="shared" si="70"/>
        <v>1.1592436960055945</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2937.5012039878866</v>
      </c>
      <c r="L221" s="518">
        <f>($L$222-$L$80)/($A$222-$A$80)+L220</f>
        <v>0.42000000000000004</v>
      </c>
      <c r="M221" s="518">
        <f>($M$222-$M$80)/($A$222-$A$80)+M220</f>
        <v>0.58000000000000018</v>
      </c>
      <c r="N221" s="12">
        <f t="shared" si="66"/>
        <v>0</v>
      </c>
      <c r="O221" s="12">
        <f t="shared" si="66"/>
        <v>0</v>
      </c>
      <c r="P221" s="690">
        <f t="shared" si="67"/>
        <v>0.98700040453993021</v>
      </c>
      <c r="Q221" s="465">
        <f t="shared" si="68"/>
        <v>6.8150027932518986</v>
      </c>
      <c r="R221" s="12"/>
      <c r="S221" s="1044">
        <f t="shared" si="69"/>
        <v>0.40890016759511394</v>
      </c>
      <c r="T221" s="1033">
        <f t="shared" si="70"/>
        <v>2.899556390409697</v>
      </c>
      <c r="U221" s="1034">
        <f t="shared" si="70"/>
        <v>20.576076350119727</v>
      </c>
      <c r="V221" s="1034">
        <f t="shared" si="70"/>
        <v>0</v>
      </c>
      <c r="W221" s="1035">
        <f t="shared" si="70"/>
        <v>1.2345645810071837</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3148.72204906348</v>
      </c>
      <c r="L222" s="518">
        <f>'Recycling - Case 3'!G31</f>
        <v>0.5</v>
      </c>
      <c r="M222" s="518">
        <f>'Recycling - Case 3'!H31</f>
        <v>0.5</v>
      </c>
      <c r="N222" s="12">
        <f t="shared" si="66"/>
        <v>0</v>
      </c>
      <c r="O222" s="12">
        <f t="shared" si="66"/>
        <v>0</v>
      </c>
      <c r="P222" s="690">
        <f t="shared" si="67"/>
        <v>1.2594888196253922</v>
      </c>
      <c r="Q222" s="465">
        <f t="shared" si="68"/>
        <v>6.2974440981269604</v>
      </c>
      <c r="R222" s="12"/>
      <c r="S222" s="1044">
        <f t="shared" si="69"/>
        <v>0.37784664588761757</v>
      </c>
      <c r="T222" s="1033">
        <f t="shared" si="70"/>
        <v>3.8345530058712241</v>
      </c>
      <c r="U222" s="1034">
        <f t="shared" si="70"/>
        <v>19.172765029356118</v>
      </c>
      <c r="V222" s="1034">
        <f t="shared" si="70"/>
        <v>0</v>
      </c>
      <c r="W222" s="1035">
        <f t="shared" si="70"/>
        <v>1.150365901761367</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3204.8349418807438</v>
      </c>
      <c r="L223" s="518">
        <f>L222</f>
        <v>0.5</v>
      </c>
      <c r="M223" s="518">
        <f>M222</f>
        <v>0.5</v>
      </c>
      <c r="N223" s="12">
        <f t="shared" si="66"/>
        <v>0</v>
      </c>
      <c r="O223" s="12">
        <f t="shared" si="66"/>
        <v>0</v>
      </c>
      <c r="P223" s="690">
        <f t="shared" si="67"/>
        <v>1.2819339767522977</v>
      </c>
      <c r="Q223" s="465">
        <f t="shared" si="68"/>
        <v>6.4096698837614881</v>
      </c>
      <c r="R223" s="12"/>
      <c r="S223" s="1044">
        <f t="shared" si="69"/>
        <v>0.38458019302568924</v>
      </c>
      <c r="T223" s="1033">
        <f t="shared" si="70"/>
        <v>3.8569981629981296</v>
      </c>
      <c r="U223" s="1034">
        <f t="shared" si="70"/>
        <v>19.284990814990646</v>
      </c>
      <c r="V223" s="1034">
        <f t="shared" si="70"/>
        <v>0</v>
      </c>
      <c r="W223" s="1035">
        <f t="shared" si="70"/>
        <v>1.1570994488994386</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3265.0525952906887</v>
      </c>
      <c r="L224" s="518">
        <f t="shared" ref="L224:M239" si="76">L223</f>
        <v>0.5</v>
      </c>
      <c r="M224" s="518">
        <f t="shared" si="76"/>
        <v>0.5</v>
      </c>
      <c r="N224" s="12">
        <f t="shared" si="66"/>
        <v>0</v>
      </c>
      <c r="O224" s="12">
        <f t="shared" si="66"/>
        <v>0</v>
      </c>
      <c r="P224" s="690">
        <f t="shared" si="67"/>
        <v>1.3060210381162756</v>
      </c>
      <c r="Q224" s="465">
        <f t="shared" si="68"/>
        <v>6.5301051905813772</v>
      </c>
      <c r="R224" s="12"/>
      <c r="S224" s="1044">
        <f t="shared" si="69"/>
        <v>0.39180631143488259</v>
      </c>
      <c r="T224" s="1033">
        <f t="shared" si="70"/>
        <v>3.8810852243621072</v>
      </c>
      <c r="U224" s="1034">
        <f t="shared" si="70"/>
        <v>19.405426121810535</v>
      </c>
      <c r="V224" s="1034">
        <f t="shared" si="70"/>
        <v>0</v>
      </c>
      <c r="W224" s="1035">
        <f t="shared" si="70"/>
        <v>1.1643255673086321</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3322.0462446854558</v>
      </c>
      <c r="L225" s="518">
        <f t="shared" si="76"/>
        <v>0.5</v>
      </c>
      <c r="M225" s="518">
        <f t="shared" si="76"/>
        <v>0.5</v>
      </c>
      <c r="N225" s="12">
        <f t="shared" si="66"/>
        <v>0</v>
      </c>
      <c r="O225" s="12">
        <f t="shared" si="66"/>
        <v>0</v>
      </c>
      <c r="P225" s="690">
        <f t="shared" si="67"/>
        <v>1.3288184978741824</v>
      </c>
      <c r="Q225" s="465">
        <f t="shared" si="68"/>
        <v>6.6440924893709115</v>
      </c>
      <c r="R225" s="12"/>
      <c r="S225" s="1044">
        <f t="shared" si="69"/>
        <v>0.39864554936225466</v>
      </c>
      <c r="T225" s="1033">
        <f t="shared" si="70"/>
        <v>3.9038826841200143</v>
      </c>
      <c r="U225" s="1034">
        <f t="shared" si="70"/>
        <v>19.51941342060007</v>
      </c>
      <c r="V225" s="1034">
        <f t="shared" si="70"/>
        <v>0</v>
      </c>
      <c r="W225" s="1035">
        <f t="shared" si="70"/>
        <v>1.1711648052360042</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3371.5806470164412</v>
      </c>
      <c r="L226" s="518">
        <f t="shared" si="76"/>
        <v>0.5</v>
      </c>
      <c r="M226" s="518">
        <f t="shared" si="76"/>
        <v>0.5</v>
      </c>
      <c r="N226" s="12">
        <f t="shared" si="66"/>
        <v>0</v>
      </c>
      <c r="O226" s="12">
        <f t="shared" si="66"/>
        <v>0</v>
      </c>
      <c r="P226" s="690">
        <f t="shared" si="67"/>
        <v>1.3486322588065767</v>
      </c>
      <c r="Q226" s="465">
        <f t="shared" si="68"/>
        <v>6.7431612940328822</v>
      </c>
      <c r="R226" s="12"/>
      <c r="S226" s="1044">
        <f t="shared" si="69"/>
        <v>0.4045896776419729</v>
      </c>
      <c r="T226" s="1033">
        <f t="shared" si="70"/>
        <v>3.9236964450524088</v>
      </c>
      <c r="U226" s="1034">
        <f t="shared" si="70"/>
        <v>19.618482225262042</v>
      </c>
      <c r="V226" s="1034">
        <f t="shared" si="70"/>
        <v>0</v>
      </c>
      <c r="W226" s="1035">
        <f t="shared" si="70"/>
        <v>1.1771089335157223</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3420.7616593626267</v>
      </c>
      <c r="L227" s="518">
        <f t="shared" si="76"/>
        <v>0.5</v>
      </c>
      <c r="M227" s="518">
        <f t="shared" si="76"/>
        <v>0.5</v>
      </c>
      <c r="N227" s="12">
        <f t="shared" si="66"/>
        <v>0</v>
      </c>
      <c r="O227" s="12">
        <f t="shared" si="66"/>
        <v>0</v>
      </c>
      <c r="P227" s="690">
        <f t="shared" si="67"/>
        <v>1.3683046637450507</v>
      </c>
      <c r="Q227" s="465">
        <f t="shared" si="68"/>
        <v>6.8415233187252538</v>
      </c>
      <c r="R227" s="12"/>
      <c r="S227" s="1044">
        <f t="shared" si="69"/>
        <v>0.41049139912351518</v>
      </c>
      <c r="T227" s="1033">
        <f t="shared" si="70"/>
        <v>3.9433688499908826</v>
      </c>
      <c r="U227" s="1034">
        <f t="shared" si="70"/>
        <v>19.716844249954413</v>
      </c>
      <c r="V227" s="1034">
        <f t="shared" si="70"/>
        <v>0</v>
      </c>
      <c r="W227" s="1035">
        <f t="shared" si="70"/>
        <v>1.1830106549972648</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3471.0300255081979</v>
      </c>
      <c r="L228" s="518">
        <f t="shared" si="76"/>
        <v>0.5</v>
      </c>
      <c r="M228" s="518">
        <f t="shared" si="76"/>
        <v>0.5</v>
      </c>
      <c r="N228" s="12">
        <f t="shared" si="66"/>
        <v>0</v>
      </c>
      <c r="O228" s="12">
        <f t="shared" si="66"/>
        <v>0</v>
      </c>
      <c r="P228" s="690">
        <f t="shared" si="67"/>
        <v>1.3884120102032793</v>
      </c>
      <c r="Q228" s="465">
        <f t="shared" si="68"/>
        <v>6.9420600510163961</v>
      </c>
      <c r="R228" s="12"/>
      <c r="S228" s="1044">
        <f t="shared" si="69"/>
        <v>0.41652360306098374</v>
      </c>
      <c r="T228" s="1033">
        <f t="shared" si="70"/>
        <v>3.9634761964491112</v>
      </c>
      <c r="U228" s="1034">
        <f t="shared" si="70"/>
        <v>19.817380982245552</v>
      </c>
      <c r="V228" s="1034">
        <f t="shared" si="70"/>
        <v>0</v>
      </c>
      <c r="W228" s="1035">
        <f t="shared" si="70"/>
        <v>1.1890428589347333</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3537.8044223284328</v>
      </c>
      <c r="L229" s="518">
        <f t="shared" si="76"/>
        <v>0.5</v>
      </c>
      <c r="M229" s="518">
        <f t="shared" si="76"/>
        <v>0.5</v>
      </c>
      <c r="N229" s="12">
        <f t="shared" si="66"/>
        <v>0</v>
      </c>
      <c r="O229" s="12">
        <f t="shared" si="66"/>
        <v>0</v>
      </c>
      <c r="P229" s="690">
        <f t="shared" si="67"/>
        <v>1.4151217689313733</v>
      </c>
      <c r="Q229" s="465">
        <f t="shared" si="68"/>
        <v>7.0756088446568652</v>
      </c>
      <c r="R229" s="12"/>
      <c r="S229" s="1044">
        <f t="shared" si="69"/>
        <v>0.42453653067941188</v>
      </c>
      <c r="T229" s="1033">
        <f t="shared" si="70"/>
        <v>3.9901859551772052</v>
      </c>
      <c r="U229" s="1034">
        <f t="shared" si="70"/>
        <v>19.950929775886024</v>
      </c>
      <c r="V229" s="1034">
        <f t="shared" si="70"/>
        <v>0</v>
      </c>
      <c r="W229" s="1035">
        <f t="shared" si="70"/>
        <v>1.1970557865531615</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3597.8752829754594</v>
      </c>
      <c r="L230" s="518">
        <f t="shared" si="76"/>
        <v>0.5</v>
      </c>
      <c r="M230" s="518">
        <f t="shared" si="76"/>
        <v>0.5</v>
      </c>
      <c r="N230" s="12">
        <f t="shared" si="66"/>
        <v>0</v>
      </c>
      <c r="O230" s="12">
        <f t="shared" si="66"/>
        <v>0</v>
      </c>
      <c r="P230" s="690">
        <f t="shared" si="67"/>
        <v>1.4391501131901838</v>
      </c>
      <c r="Q230" s="465">
        <f t="shared" si="68"/>
        <v>7.1957505659509184</v>
      </c>
      <c r="R230" s="12"/>
      <c r="S230" s="1044">
        <f t="shared" si="69"/>
        <v>0.4317450339570551</v>
      </c>
      <c r="T230" s="1033">
        <f t="shared" si="70"/>
        <v>4.0142142994360155</v>
      </c>
      <c r="U230" s="1034">
        <f t="shared" si="70"/>
        <v>20.071071497180078</v>
      </c>
      <c r="V230" s="1034">
        <f t="shared" si="70"/>
        <v>0</v>
      </c>
      <c r="W230" s="1035">
        <f t="shared" si="70"/>
        <v>1.2042642898308045</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3668.9827846862445</v>
      </c>
      <c r="L231" s="518">
        <f t="shared" si="76"/>
        <v>0.5</v>
      </c>
      <c r="M231" s="518">
        <f t="shared" si="76"/>
        <v>0.5</v>
      </c>
      <c r="N231" s="12">
        <f t="shared" si="66"/>
        <v>0</v>
      </c>
      <c r="O231" s="12">
        <f t="shared" si="66"/>
        <v>0</v>
      </c>
      <c r="P231" s="690">
        <f t="shared" si="67"/>
        <v>1.467593113874498</v>
      </c>
      <c r="Q231" s="465">
        <f t="shared" si="68"/>
        <v>7.3379655693724892</v>
      </c>
      <c r="R231" s="12"/>
      <c r="S231" s="1044">
        <f t="shared" si="69"/>
        <v>0.44027793416234934</v>
      </c>
      <c r="T231" s="1033">
        <f t="shared" si="70"/>
        <v>4.0426573001203296</v>
      </c>
      <c r="U231" s="1034">
        <f t="shared" si="70"/>
        <v>20.213286500601647</v>
      </c>
      <c r="V231" s="1034">
        <f t="shared" si="70"/>
        <v>0</v>
      </c>
      <c r="W231" s="1035">
        <f t="shared" si="70"/>
        <v>1.2127971900360988</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3743.3904051781628</v>
      </c>
      <c r="L232" s="518">
        <f t="shared" si="76"/>
        <v>0.5</v>
      </c>
      <c r="M232" s="518">
        <f t="shared" si="76"/>
        <v>0.5</v>
      </c>
      <c r="N232" s="12">
        <f t="shared" si="66"/>
        <v>0</v>
      </c>
      <c r="O232" s="12">
        <f t="shared" si="66"/>
        <v>0</v>
      </c>
      <c r="P232" s="690">
        <f t="shared" si="67"/>
        <v>1.4973561620712652</v>
      </c>
      <c r="Q232" s="465">
        <f t="shared" si="68"/>
        <v>7.4867808103563256</v>
      </c>
      <c r="R232" s="12"/>
      <c r="S232" s="1044">
        <f t="shared" si="69"/>
        <v>0.44920684862137955</v>
      </c>
      <c r="T232" s="1033">
        <f t="shared" si="70"/>
        <v>4.0724203483170971</v>
      </c>
      <c r="U232" s="1034">
        <f t="shared" si="70"/>
        <v>20.362101741585484</v>
      </c>
      <c r="V232" s="1034">
        <f t="shared" si="70"/>
        <v>0</v>
      </c>
      <c r="W232" s="1035">
        <f t="shared" si="70"/>
        <v>1.2217261044951291</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3830.9006389526726</v>
      </c>
      <c r="L233" s="518">
        <f t="shared" si="76"/>
        <v>0.5</v>
      </c>
      <c r="M233" s="518">
        <f t="shared" si="76"/>
        <v>0.5</v>
      </c>
      <c r="N233" s="12">
        <f t="shared" si="66"/>
        <v>0</v>
      </c>
      <c r="O233" s="12">
        <f t="shared" si="66"/>
        <v>0</v>
      </c>
      <c r="P233" s="690">
        <f t="shared" si="67"/>
        <v>1.5323602555810691</v>
      </c>
      <c r="Q233" s="465">
        <f t="shared" si="68"/>
        <v>7.6618012779053455</v>
      </c>
      <c r="R233" s="12"/>
      <c r="S233" s="1044">
        <f t="shared" si="69"/>
        <v>0.45970807667432068</v>
      </c>
      <c r="T233" s="1033">
        <f t="shared" si="70"/>
        <v>4.1074244418269013</v>
      </c>
      <c r="U233" s="1034">
        <f t="shared" si="70"/>
        <v>20.537122209134502</v>
      </c>
      <c r="V233" s="1034">
        <f t="shared" si="70"/>
        <v>0</v>
      </c>
      <c r="W233" s="1035">
        <f t="shared" si="70"/>
        <v>1.2322273325480702</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3926.3322451557001</v>
      </c>
      <c r="L234" s="518">
        <f t="shared" si="76"/>
        <v>0.5</v>
      </c>
      <c r="M234" s="518">
        <f t="shared" si="76"/>
        <v>0.5</v>
      </c>
      <c r="N234" s="12">
        <f t="shared" ref="N234:O249" si="77">N96</f>
        <v>0</v>
      </c>
      <c r="O234" s="12">
        <f t="shared" si="77"/>
        <v>0</v>
      </c>
      <c r="P234" s="690">
        <f t="shared" si="67"/>
        <v>1.5705328980622801</v>
      </c>
      <c r="Q234" s="465">
        <f t="shared" si="68"/>
        <v>7.8526644903114002</v>
      </c>
      <c r="R234" s="12"/>
      <c r="S234" s="1044">
        <f t="shared" si="69"/>
        <v>0.47115986941868399</v>
      </c>
      <c r="T234" s="1033">
        <f t="shared" si="70"/>
        <v>4.145597084308112</v>
      </c>
      <c r="U234" s="1034">
        <f t="shared" si="70"/>
        <v>20.727985421540559</v>
      </c>
      <c r="V234" s="1034">
        <f t="shared" si="70"/>
        <v>0</v>
      </c>
      <c r="W234" s="1035">
        <f t="shared" si="70"/>
        <v>1.2436791252924335</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4002.4905052646268</v>
      </c>
      <c r="L235" s="518">
        <f t="shared" si="76"/>
        <v>0.5</v>
      </c>
      <c r="M235" s="518">
        <f t="shared" si="76"/>
        <v>0.5</v>
      </c>
      <c r="N235" s="12">
        <f t="shared" si="77"/>
        <v>0</v>
      </c>
      <c r="O235" s="12">
        <f t="shared" si="77"/>
        <v>0</v>
      </c>
      <c r="P235" s="690">
        <f t="shared" si="67"/>
        <v>1.6009962021058508</v>
      </c>
      <c r="Q235" s="465">
        <f t="shared" si="68"/>
        <v>8.0049810105292529</v>
      </c>
      <c r="R235" s="12"/>
      <c r="S235" s="1044">
        <f t="shared" si="69"/>
        <v>0.4802988606317552</v>
      </c>
      <c r="T235" s="1033">
        <f t="shared" si="70"/>
        <v>4.1760603883516829</v>
      </c>
      <c r="U235" s="1034">
        <f t="shared" si="70"/>
        <v>20.880301941758411</v>
      </c>
      <c r="V235" s="1034">
        <f t="shared" si="70"/>
        <v>0</v>
      </c>
      <c r="W235" s="1035">
        <f t="shared" si="70"/>
        <v>1.2528181165055048</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4078.7466272155002</v>
      </c>
      <c r="L236" s="518">
        <f t="shared" si="76"/>
        <v>0.5</v>
      </c>
      <c r="M236" s="518">
        <f t="shared" si="76"/>
        <v>0.5</v>
      </c>
      <c r="N236" s="12">
        <f t="shared" si="77"/>
        <v>0</v>
      </c>
      <c r="O236" s="12">
        <f t="shared" si="77"/>
        <v>0</v>
      </c>
      <c r="P236" s="690">
        <f t="shared" si="67"/>
        <v>1.6314986508862002</v>
      </c>
      <c r="Q236" s="465">
        <f t="shared" si="68"/>
        <v>8.1574932544310013</v>
      </c>
      <c r="R236" s="12"/>
      <c r="S236" s="1044">
        <f t="shared" si="69"/>
        <v>0.48944959526586002</v>
      </c>
      <c r="T236" s="1033">
        <f t="shared" si="70"/>
        <v>4.2065628371320321</v>
      </c>
      <c r="U236" s="1034">
        <f t="shared" si="70"/>
        <v>21.032814185660158</v>
      </c>
      <c r="V236" s="1034">
        <f t="shared" si="70"/>
        <v>0</v>
      </c>
      <c r="W236" s="1035">
        <f t="shared" si="70"/>
        <v>1.2619688511396094</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4167.9694432240412</v>
      </c>
      <c r="L237" s="518">
        <f t="shared" si="76"/>
        <v>0.5</v>
      </c>
      <c r="M237" s="518">
        <f t="shared" si="76"/>
        <v>0.5</v>
      </c>
      <c r="N237" s="12">
        <f t="shared" si="77"/>
        <v>0</v>
      </c>
      <c r="O237" s="12">
        <f t="shared" si="77"/>
        <v>0</v>
      </c>
      <c r="P237" s="690">
        <f t="shared" si="67"/>
        <v>1.6671877772896166</v>
      </c>
      <c r="Q237" s="465">
        <f t="shared" si="68"/>
        <v>8.3359388864480817</v>
      </c>
      <c r="R237" s="12"/>
      <c r="S237" s="1044">
        <f t="shared" si="69"/>
        <v>0.5001563331868849</v>
      </c>
      <c r="T237" s="1033">
        <f t="shared" si="70"/>
        <v>4.2422519635354483</v>
      </c>
      <c r="U237" s="1034">
        <f t="shared" si="70"/>
        <v>21.211259817677238</v>
      </c>
      <c r="V237" s="1034">
        <f t="shared" si="70"/>
        <v>0</v>
      </c>
      <c r="W237" s="1035">
        <f t="shared" si="70"/>
        <v>1.2726755890606345</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4255.0991031687627</v>
      </c>
      <c r="L238" s="518">
        <f t="shared" si="76"/>
        <v>0.5</v>
      </c>
      <c r="M238" s="518">
        <f t="shared" si="76"/>
        <v>0.5</v>
      </c>
      <c r="N238" s="12">
        <f t="shared" si="77"/>
        <v>0</v>
      </c>
      <c r="O238" s="12">
        <f t="shared" si="77"/>
        <v>0</v>
      </c>
      <c r="P238" s="690">
        <f t="shared" si="67"/>
        <v>1.7020396412675052</v>
      </c>
      <c r="Q238" s="465">
        <f t="shared" si="68"/>
        <v>8.5101982063375257</v>
      </c>
      <c r="R238" s="12"/>
      <c r="S238" s="1044">
        <f t="shared" si="69"/>
        <v>0.51061189238025151</v>
      </c>
      <c r="T238" s="1033">
        <f t="shared" si="70"/>
        <v>4.2771038275133373</v>
      </c>
      <c r="U238" s="1034">
        <f t="shared" si="70"/>
        <v>21.385519137566682</v>
      </c>
      <c r="V238" s="1034">
        <f t="shared" si="70"/>
        <v>0</v>
      </c>
      <c r="W238" s="1035">
        <f t="shared" si="70"/>
        <v>1.2831311482540011</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4348.4810474599535</v>
      </c>
      <c r="L239" s="518">
        <f t="shared" si="76"/>
        <v>0.5</v>
      </c>
      <c r="M239" s="518">
        <f t="shared" si="76"/>
        <v>0.5</v>
      </c>
      <c r="N239" s="12">
        <f t="shared" si="77"/>
        <v>0</v>
      </c>
      <c r="O239" s="12">
        <f t="shared" si="77"/>
        <v>0</v>
      </c>
      <c r="P239" s="690">
        <f t="shared" si="67"/>
        <v>1.7393924189839816</v>
      </c>
      <c r="Q239" s="465">
        <f t="shared" si="68"/>
        <v>8.6969620949199076</v>
      </c>
      <c r="R239" s="12"/>
      <c r="S239" s="1044">
        <f t="shared" si="69"/>
        <v>0.52181772569519447</v>
      </c>
      <c r="T239" s="1033">
        <f t="shared" si="70"/>
        <v>4.3144566052298137</v>
      </c>
      <c r="U239" s="1034">
        <f t="shared" si="70"/>
        <v>21.572283026149066</v>
      </c>
      <c r="V239" s="1034">
        <f t="shared" si="70"/>
        <v>0</v>
      </c>
      <c r="W239" s="1035">
        <f t="shared" si="70"/>
        <v>1.2943369815689438</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4442.1783243529617</v>
      </c>
      <c r="L240" s="518">
        <f t="shared" ref="L240:M250" si="79">L239</f>
        <v>0.5</v>
      </c>
      <c r="M240" s="518">
        <f t="shared" si="79"/>
        <v>0.5</v>
      </c>
      <c r="N240" s="12">
        <f t="shared" si="77"/>
        <v>0</v>
      </c>
      <c r="O240" s="12">
        <f t="shared" si="77"/>
        <v>0</v>
      </c>
      <c r="P240" s="690">
        <f t="shared" si="67"/>
        <v>1.7768713297411849</v>
      </c>
      <c r="Q240" s="465">
        <f t="shared" si="68"/>
        <v>8.8843566487059231</v>
      </c>
      <c r="R240" s="12"/>
      <c r="S240" s="1044">
        <f t="shared" si="69"/>
        <v>0.53306139892235538</v>
      </c>
      <c r="T240" s="1033">
        <f t="shared" si="70"/>
        <v>4.3519355159870168</v>
      </c>
      <c r="U240" s="1034">
        <f t="shared" si="70"/>
        <v>21.759677579935079</v>
      </c>
      <c r="V240" s="1034">
        <f t="shared" si="70"/>
        <v>0</v>
      </c>
      <c r="W240" s="1035">
        <f t="shared" si="70"/>
        <v>1.3055806547961049</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4547.532033975378</v>
      </c>
      <c r="L241" s="518">
        <f t="shared" si="79"/>
        <v>0.5</v>
      </c>
      <c r="M241" s="518">
        <f t="shared" si="79"/>
        <v>0.5</v>
      </c>
      <c r="N241" s="12">
        <f t="shared" si="77"/>
        <v>0</v>
      </c>
      <c r="O241" s="12">
        <f t="shared" si="77"/>
        <v>0</v>
      </c>
      <c r="P241" s="690">
        <f t="shared" si="67"/>
        <v>1.8190128135901513</v>
      </c>
      <c r="Q241" s="465">
        <f t="shared" si="68"/>
        <v>9.0950640679507568</v>
      </c>
      <c r="R241" s="12"/>
      <c r="S241" s="1044">
        <f t="shared" si="69"/>
        <v>0.54570384407704531</v>
      </c>
      <c r="T241" s="1033">
        <f t="shared" si="70"/>
        <v>4.394076999835983</v>
      </c>
      <c r="U241" s="1034">
        <f t="shared" si="70"/>
        <v>21.970384999179913</v>
      </c>
      <c r="V241" s="1034">
        <f t="shared" si="70"/>
        <v>0</v>
      </c>
      <c r="W241" s="1035">
        <f t="shared" si="70"/>
        <v>1.3182230999507949</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4654.5439581418577</v>
      </c>
      <c r="L242" s="518">
        <f t="shared" si="79"/>
        <v>0.5</v>
      </c>
      <c r="M242" s="518">
        <f t="shared" si="79"/>
        <v>0.5</v>
      </c>
      <c r="N242" s="12">
        <f t="shared" si="77"/>
        <v>0</v>
      </c>
      <c r="O242" s="12">
        <f t="shared" si="77"/>
        <v>0</v>
      </c>
      <c r="P242" s="690">
        <f t="shared" si="67"/>
        <v>1.8618175832567432</v>
      </c>
      <c r="Q242" s="465">
        <f t="shared" si="68"/>
        <v>9.3090879162837155</v>
      </c>
      <c r="R242" s="12"/>
      <c r="S242" s="1044">
        <f t="shared" si="69"/>
        <v>0.55854527497702289</v>
      </c>
      <c r="T242" s="1033">
        <f t="shared" si="70"/>
        <v>4.4368817695025751</v>
      </c>
      <c r="U242" s="1034">
        <f t="shared" si="70"/>
        <v>22.184408847512874</v>
      </c>
      <c r="V242" s="1034">
        <f t="shared" si="70"/>
        <v>0</v>
      </c>
      <c r="W242" s="1035">
        <f t="shared" si="70"/>
        <v>1.3310645308507723</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4764.3177609587738</v>
      </c>
      <c r="L243" s="518">
        <f t="shared" si="79"/>
        <v>0.5</v>
      </c>
      <c r="M243" s="518">
        <f t="shared" si="79"/>
        <v>0.5</v>
      </c>
      <c r="N243" s="12">
        <f t="shared" si="77"/>
        <v>0</v>
      </c>
      <c r="O243" s="12">
        <f t="shared" si="77"/>
        <v>0</v>
      </c>
      <c r="P243" s="690">
        <f t="shared" si="67"/>
        <v>1.9057271043835096</v>
      </c>
      <c r="Q243" s="465">
        <f t="shared" si="68"/>
        <v>9.5286355219175469</v>
      </c>
      <c r="R243" s="12"/>
      <c r="S243" s="1044">
        <f t="shared" si="69"/>
        <v>0.57171813131505278</v>
      </c>
      <c r="T243" s="1033">
        <f t="shared" si="70"/>
        <v>4.480791290629341</v>
      </c>
      <c r="U243" s="1034">
        <f t="shared" si="70"/>
        <v>22.403956453146705</v>
      </c>
      <c r="V243" s="1034">
        <f t="shared" si="70"/>
        <v>0</v>
      </c>
      <c r="W243" s="1035">
        <f t="shared" si="70"/>
        <v>1.3442373871888023</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4878.3539906692804</v>
      </c>
      <c r="L244" s="518">
        <f t="shared" si="79"/>
        <v>0.5</v>
      </c>
      <c r="M244" s="518">
        <f t="shared" si="79"/>
        <v>0.5</v>
      </c>
      <c r="N244" s="12">
        <f t="shared" si="77"/>
        <v>0</v>
      </c>
      <c r="O244" s="12">
        <f t="shared" si="77"/>
        <v>0</v>
      </c>
      <c r="P244" s="690">
        <f t="shared" si="67"/>
        <v>1.9513415962677123</v>
      </c>
      <c r="Q244" s="465">
        <f t="shared" si="68"/>
        <v>9.7567079813385611</v>
      </c>
      <c r="R244" s="12"/>
      <c r="S244" s="1044">
        <f t="shared" si="69"/>
        <v>0.5854024788803136</v>
      </c>
      <c r="T244" s="1033">
        <f t="shared" si="70"/>
        <v>4.5264057825135442</v>
      </c>
      <c r="U244" s="1034">
        <f t="shared" si="70"/>
        <v>22.632028912567719</v>
      </c>
      <c r="V244" s="1034">
        <f t="shared" si="70"/>
        <v>0</v>
      </c>
      <c r="W244" s="1035">
        <f t="shared" si="70"/>
        <v>1.3579217347540631</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4997.2071977110627</v>
      </c>
      <c r="L245" s="518">
        <f t="shared" si="79"/>
        <v>0.5</v>
      </c>
      <c r="M245" s="518">
        <f t="shared" si="79"/>
        <v>0.5</v>
      </c>
      <c r="N245" s="12">
        <f t="shared" si="77"/>
        <v>0</v>
      </c>
      <c r="O245" s="12">
        <f t="shared" si="77"/>
        <v>0</v>
      </c>
      <c r="P245" s="690">
        <f t="shared" si="67"/>
        <v>1.9988828790844253</v>
      </c>
      <c r="Q245" s="465">
        <f t="shared" si="68"/>
        <v>9.9944143954221261</v>
      </c>
      <c r="R245" s="12"/>
      <c r="S245" s="1044">
        <f t="shared" si="69"/>
        <v>0.59966486372532746</v>
      </c>
      <c r="T245" s="1033">
        <f t="shared" si="70"/>
        <v>4.5739470653302572</v>
      </c>
      <c r="U245" s="1034">
        <f t="shared" si="70"/>
        <v>22.869735326651284</v>
      </c>
      <c r="V245" s="1034">
        <f t="shared" si="70"/>
        <v>0</v>
      </c>
      <c r="W245" s="1035">
        <f t="shared" si="70"/>
        <v>1.3721841195990769</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5124.3025465521841</v>
      </c>
      <c r="L246" s="518">
        <f t="shared" si="79"/>
        <v>0.5</v>
      </c>
      <c r="M246" s="518">
        <f t="shared" si="79"/>
        <v>0.5</v>
      </c>
      <c r="N246" s="12">
        <f t="shared" si="77"/>
        <v>0</v>
      </c>
      <c r="O246" s="12">
        <f t="shared" si="77"/>
        <v>0</v>
      </c>
      <c r="P246" s="690">
        <f t="shared" si="67"/>
        <v>2.0497210186208736</v>
      </c>
      <c r="Q246" s="465">
        <f t="shared" si="68"/>
        <v>10.248605093104368</v>
      </c>
      <c r="R246" s="12"/>
      <c r="S246" s="1044">
        <f t="shared" si="69"/>
        <v>0.61491630558626209</v>
      </c>
      <c r="T246" s="1033">
        <f t="shared" si="70"/>
        <v>4.624785204866706</v>
      </c>
      <c r="U246" s="1034">
        <f t="shared" si="70"/>
        <v>23.123926024333528</v>
      </c>
      <c r="V246" s="1034">
        <f t="shared" si="70"/>
        <v>0</v>
      </c>
      <c r="W246" s="1035">
        <f t="shared" si="70"/>
        <v>1.3874355614600116</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5203.2226853115508</v>
      </c>
      <c r="L247" s="518">
        <f t="shared" si="79"/>
        <v>0.5</v>
      </c>
      <c r="M247" s="518">
        <f t="shared" si="79"/>
        <v>0.5</v>
      </c>
      <c r="N247" s="12">
        <f t="shared" si="77"/>
        <v>0</v>
      </c>
      <c r="O247" s="12">
        <f t="shared" si="77"/>
        <v>0</v>
      </c>
      <c r="P247" s="690">
        <f t="shared" si="67"/>
        <v>2.0812890741246206</v>
      </c>
      <c r="Q247" s="465">
        <f t="shared" si="68"/>
        <v>10.406445370623102</v>
      </c>
      <c r="R247" s="12"/>
      <c r="S247" s="1044">
        <f t="shared" si="69"/>
        <v>0.624386722237386</v>
      </c>
      <c r="T247" s="1033">
        <f t="shared" si="70"/>
        <v>4.6563532603704525</v>
      </c>
      <c r="U247" s="1034">
        <f t="shared" si="70"/>
        <v>23.281766301852258</v>
      </c>
      <c r="V247" s="1034">
        <f t="shared" si="70"/>
        <v>0</v>
      </c>
      <c r="W247" s="1035">
        <f t="shared" si="70"/>
        <v>1.3969059781111355</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5276.7441124569687</v>
      </c>
      <c r="L248" s="518">
        <f t="shared" si="79"/>
        <v>0.5</v>
      </c>
      <c r="M248" s="518">
        <f t="shared" si="79"/>
        <v>0.5</v>
      </c>
      <c r="N248" s="12">
        <f t="shared" si="77"/>
        <v>0</v>
      </c>
      <c r="O248" s="12">
        <f t="shared" si="77"/>
        <v>0</v>
      </c>
      <c r="P248" s="690">
        <f t="shared" si="67"/>
        <v>2.1106976449827877</v>
      </c>
      <c r="Q248" s="465">
        <f t="shared" si="68"/>
        <v>10.553488224913938</v>
      </c>
      <c r="R248" s="12"/>
      <c r="S248" s="1044">
        <f t="shared" si="69"/>
        <v>0.63320929349483612</v>
      </c>
      <c r="T248" s="1033">
        <f t="shared" si="70"/>
        <v>4.6857618312286196</v>
      </c>
      <c r="U248" s="1034">
        <f t="shared" si="70"/>
        <v>23.428809156143096</v>
      </c>
      <c r="V248" s="1034">
        <f t="shared" si="70"/>
        <v>0</v>
      </c>
      <c r="W248" s="1035">
        <f t="shared" si="70"/>
        <v>1.4057285493685856</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5349.9991379215398</v>
      </c>
      <c r="L249" s="518">
        <f t="shared" si="79"/>
        <v>0.5</v>
      </c>
      <c r="M249" s="518">
        <f t="shared" si="79"/>
        <v>0.5</v>
      </c>
      <c r="N249" s="12">
        <f t="shared" si="77"/>
        <v>0</v>
      </c>
      <c r="O249" s="12">
        <f t="shared" si="77"/>
        <v>0</v>
      </c>
      <c r="P249" s="690">
        <f t="shared" si="67"/>
        <v>2.1399996551686158</v>
      </c>
      <c r="Q249" s="465">
        <f t="shared" si="68"/>
        <v>10.699998275843079</v>
      </c>
      <c r="R249" s="12"/>
      <c r="S249" s="1044">
        <f t="shared" si="69"/>
        <v>0.64199989655058476</v>
      </c>
      <c r="T249" s="1033">
        <f t="shared" si="70"/>
        <v>4.7150638414144481</v>
      </c>
      <c r="U249" s="1034">
        <f t="shared" si="70"/>
        <v>23.575319207072237</v>
      </c>
      <c r="V249" s="1034">
        <f t="shared" si="70"/>
        <v>0</v>
      </c>
      <c r="W249" s="1035">
        <f t="shared" si="70"/>
        <v>1.4145191524243343</v>
      </c>
    </row>
    <row r="250" spans="1:23" ht="15.7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5421.623132687032</v>
      </c>
      <c r="L250" s="520">
        <f t="shared" si="79"/>
        <v>0.5</v>
      </c>
      <c r="M250" s="520">
        <f t="shared" si="79"/>
        <v>0.5</v>
      </c>
      <c r="N250" s="1045">
        <f t="shared" ref="N250:O250" si="80">N112</f>
        <v>0</v>
      </c>
      <c r="O250" s="1045">
        <f t="shared" si="80"/>
        <v>0</v>
      </c>
      <c r="P250" s="1046">
        <f t="shared" si="67"/>
        <v>2.1686492530748129</v>
      </c>
      <c r="Q250" s="988">
        <f t="shared" si="68"/>
        <v>10.843246265374065</v>
      </c>
      <c r="R250" s="1045"/>
      <c r="S250" s="1047">
        <f t="shared" si="69"/>
        <v>0.65059477592244375</v>
      </c>
      <c r="T250" s="1048">
        <f t="shared" si="70"/>
        <v>4.7437134393206453</v>
      </c>
      <c r="U250" s="1049">
        <f t="shared" si="70"/>
        <v>23.718567196603225</v>
      </c>
      <c r="V250" s="1049">
        <f t="shared" si="70"/>
        <v>0</v>
      </c>
      <c r="W250" s="1050">
        <f t="shared" si="70"/>
        <v>1.4231140317961932</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2562.5527582487894</v>
      </c>
      <c r="L253" s="518">
        <f>($L$256-$L$80)/($A$256-$A$80)+L252</f>
        <v>0.26</v>
      </c>
      <c r="M253" s="518">
        <f t="shared" ref="M253:M284" si="90">1-L253</f>
        <v>0.74</v>
      </c>
      <c r="N253" s="12">
        <f t="shared" si="81"/>
        <v>0</v>
      </c>
      <c r="O253" s="12">
        <f t="shared" si="81"/>
        <v>0</v>
      </c>
      <c r="P253" s="690">
        <f t="shared" si="82"/>
        <v>0.53301097371574824</v>
      </c>
      <c r="Q253" s="465">
        <f t="shared" si="83"/>
        <v>7.5851561644164169</v>
      </c>
      <c r="R253" s="12"/>
      <c r="S253" s="1044">
        <f t="shared" si="84"/>
        <v>0.45510936986498496</v>
      </c>
      <c r="T253" s="1033">
        <f t="shared" si="85"/>
        <v>1.2710114381603663</v>
      </c>
      <c r="U253" s="1034">
        <f t="shared" si="85"/>
        <v>19.93864219968502</v>
      </c>
      <c r="V253" s="1034">
        <f t="shared" si="85"/>
        <v>0</v>
      </c>
      <c r="W253" s="1035">
        <f t="shared" si="85"/>
        <v>1.1963185319811012</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2560.9621544777392</v>
      </c>
      <c r="L254" s="518">
        <f t="shared" ref="L254:L255" si="92">($L$256-$L$80)/($A$256-$A$80)+L253</f>
        <v>0.34</v>
      </c>
      <c r="M254" s="518">
        <f t="shared" si="90"/>
        <v>0.65999999999999992</v>
      </c>
      <c r="N254" s="12">
        <f t="shared" si="81"/>
        <v>0</v>
      </c>
      <c r="O254" s="12">
        <f t="shared" si="81"/>
        <v>0</v>
      </c>
      <c r="P254" s="690">
        <f t="shared" si="82"/>
        <v>0.69658170601794511</v>
      </c>
      <c r="Q254" s="465">
        <f t="shared" si="83"/>
        <v>6.7609400878212309</v>
      </c>
      <c r="R254" s="12"/>
      <c r="S254" s="1044">
        <f t="shared" si="84"/>
        <v>0.40565640526927388</v>
      </c>
      <c r="T254" s="1033">
        <f t="shared" si="85"/>
        <v>1.8786794169768795</v>
      </c>
      <c r="U254" s="1034">
        <f t="shared" si="85"/>
        <v>19.320728266759907</v>
      </c>
      <c r="V254" s="1034">
        <f t="shared" si="85"/>
        <v>0</v>
      </c>
      <c r="W254" s="1035">
        <f t="shared" si="85"/>
        <v>1.1592436960055945</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2937.5012039878866</v>
      </c>
      <c r="L255" s="518">
        <f t="shared" si="92"/>
        <v>0.42000000000000004</v>
      </c>
      <c r="M255" s="518">
        <f t="shared" si="90"/>
        <v>0.57999999999999996</v>
      </c>
      <c r="N255" s="12">
        <f t="shared" si="81"/>
        <v>0</v>
      </c>
      <c r="O255" s="12">
        <f t="shared" si="81"/>
        <v>0</v>
      </c>
      <c r="P255" s="690">
        <f t="shared" si="82"/>
        <v>0.98700040453993021</v>
      </c>
      <c r="Q255" s="465">
        <f t="shared" si="83"/>
        <v>6.815002793251896</v>
      </c>
      <c r="R255" s="12"/>
      <c r="S255" s="1044">
        <f t="shared" si="84"/>
        <v>0.40890016759511377</v>
      </c>
      <c r="T255" s="1033">
        <f t="shared" si="85"/>
        <v>2.899556390409697</v>
      </c>
      <c r="U255" s="1034">
        <f t="shared" si="85"/>
        <v>20.576076350119727</v>
      </c>
      <c r="V255" s="1034">
        <f t="shared" si="85"/>
        <v>0</v>
      </c>
      <c r="W255" s="1035">
        <f t="shared" si="85"/>
        <v>1.2345645810071835</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3148.72204906348</v>
      </c>
      <c r="L256" s="518">
        <f>'Recycling - Case 3'!G31</f>
        <v>0.5</v>
      </c>
      <c r="M256" s="518">
        <f t="shared" si="90"/>
        <v>0.5</v>
      </c>
      <c r="N256" s="12">
        <f t="shared" si="81"/>
        <v>0</v>
      </c>
      <c r="O256" s="12">
        <f t="shared" si="81"/>
        <v>0</v>
      </c>
      <c r="P256" s="690">
        <f t="shared" si="82"/>
        <v>1.2594888196253922</v>
      </c>
      <c r="Q256" s="465">
        <f t="shared" si="83"/>
        <v>6.2974440981269604</v>
      </c>
      <c r="R256" s="12"/>
      <c r="S256" s="1044">
        <f t="shared" si="84"/>
        <v>0.37784664588761757</v>
      </c>
      <c r="T256" s="1033">
        <f t="shared" si="85"/>
        <v>3.8345530058712241</v>
      </c>
      <c r="U256" s="1034">
        <f t="shared" si="85"/>
        <v>19.172765029356118</v>
      </c>
      <c r="V256" s="1034">
        <f t="shared" si="85"/>
        <v>0</v>
      </c>
      <c r="W256" s="1035">
        <f t="shared" si="85"/>
        <v>1.150365901761367</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3204.8349418807438</v>
      </c>
      <c r="L257" s="518">
        <f>L256</f>
        <v>0.5</v>
      </c>
      <c r="M257" s="518">
        <f t="shared" si="90"/>
        <v>0.5</v>
      </c>
      <c r="N257" s="12">
        <f t="shared" si="81"/>
        <v>0</v>
      </c>
      <c r="O257" s="12">
        <f t="shared" si="81"/>
        <v>0</v>
      </c>
      <c r="P257" s="690">
        <f t="shared" si="82"/>
        <v>1.2819339767522977</v>
      </c>
      <c r="Q257" s="465">
        <f t="shared" si="83"/>
        <v>6.4096698837614881</v>
      </c>
      <c r="R257" s="12"/>
      <c r="S257" s="1044">
        <f t="shared" si="84"/>
        <v>0.38458019302568924</v>
      </c>
      <c r="T257" s="1033">
        <f t="shared" si="85"/>
        <v>3.8569981629981296</v>
      </c>
      <c r="U257" s="1034">
        <f t="shared" si="85"/>
        <v>19.284990814990646</v>
      </c>
      <c r="V257" s="1034">
        <f t="shared" si="85"/>
        <v>0</v>
      </c>
      <c r="W257" s="1035">
        <f t="shared" si="85"/>
        <v>1.1570994488994386</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3265.0525952906887</v>
      </c>
      <c r="L258" s="518">
        <f t="shared" ref="L258:L284" si="94">L257</f>
        <v>0.5</v>
      </c>
      <c r="M258" s="518">
        <f t="shared" si="90"/>
        <v>0.5</v>
      </c>
      <c r="N258" s="12">
        <f t="shared" si="81"/>
        <v>0</v>
      </c>
      <c r="O258" s="12">
        <f t="shared" si="81"/>
        <v>0</v>
      </c>
      <c r="P258" s="690">
        <f t="shared" si="82"/>
        <v>1.3060210381162756</v>
      </c>
      <c r="Q258" s="465">
        <f t="shared" si="83"/>
        <v>6.5301051905813772</v>
      </c>
      <c r="R258" s="12"/>
      <c r="S258" s="1044">
        <f t="shared" si="84"/>
        <v>0.39180631143488259</v>
      </c>
      <c r="T258" s="1033">
        <f t="shared" si="85"/>
        <v>3.8810852243621072</v>
      </c>
      <c r="U258" s="1034">
        <f t="shared" si="85"/>
        <v>19.405426121810535</v>
      </c>
      <c r="V258" s="1034">
        <f t="shared" si="85"/>
        <v>0</v>
      </c>
      <c r="W258" s="1035">
        <f t="shared" si="85"/>
        <v>1.1643255673086321</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3322.0462446854558</v>
      </c>
      <c r="L259" s="518">
        <f t="shared" si="94"/>
        <v>0.5</v>
      </c>
      <c r="M259" s="518">
        <f t="shared" si="90"/>
        <v>0.5</v>
      </c>
      <c r="N259" s="12">
        <f t="shared" si="81"/>
        <v>0</v>
      </c>
      <c r="O259" s="12">
        <f t="shared" si="81"/>
        <v>0</v>
      </c>
      <c r="P259" s="690">
        <f t="shared" si="82"/>
        <v>1.3288184978741824</v>
      </c>
      <c r="Q259" s="465">
        <f t="shared" si="83"/>
        <v>6.6440924893709115</v>
      </c>
      <c r="R259" s="12"/>
      <c r="S259" s="1044">
        <f t="shared" si="84"/>
        <v>0.39864554936225466</v>
      </c>
      <c r="T259" s="1033">
        <f t="shared" si="85"/>
        <v>3.9038826841200143</v>
      </c>
      <c r="U259" s="1034">
        <f t="shared" si="85"/>
        <v>19.51941342060007</v>
      </c>
      <c r="V259" s="1034">
        <f t="shared" si="85"/>
        <v>0</v>
      </c>
      <c r="W259" s="1035">
        <f t="shared" si="85"/>
        <v>1.1711648052360042</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3371.5806470164412</v>
      </c>
      <c r="L260" s="518">
        <f t="shared" si="94"/>
        <v>0.5</v>
      </c>
      <c r="M260" s="518">
        <f t="shared" si="90"/>
        <v>0.5</v>
      </c>
      <c r="N260" s="12">
        <f t="shared" si="81"/>
        <v>0</v>
      </c>
      <c r="O260" s="12">
        <f t="shared" si="81"/>
        <v>0</v>
      </c>
      <c r="P260" s="690">
        <f t="shared" si="82"/>
        <v>1.3486322588065767</v>
      </c>
      <c r="Q260" s="465">
        <f t="shared" si="83"/>
        <v>6.7431612940328822</v>
      </c>
      <c r="R260" s="12"/>
      <c r="S260" s="1044">
        <f t="shared" si="84"/>
        <v>0.4045896776419729</v>
      </c>
      <c r="T260" s="1033">
        <f t="shared" si="85"/>
        <v>3.9236964450524088</v>
      </c>
      <c r="U260" s="1034">
        <f t="shared" si="85"/>
        <v>19.618482225262042</v>
      </c>
      <c r="V260" s="1034">
        <f t="shared" si="85"/>
        <v>0</v>
      </c>
      <c r="W260" s="1035">
        <f t="shared" si="85"/>
        <v>1.1771089335157223</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3420.7616593626267</v>
      </c>
      <c r="L261" s="518">
        <f t="shared" si="94"/>
        <v>0.5</v>
      </c>
      <c r="M261" s="518">
        <f t="shared" si="90"/>
        <v>0.5</v>
      </c>
      <c r="N261" s="12">
        <f t="shared" si="81"/>
        <v>0</v>
      </c>
      <c r="O261" s="12">
        <f t="shared" si="81"/>
        <v>0</v>
      </c>
      <c r="P261" s="690">
        <f t="shared" si="82"/>
        <v>1.3683046637450507</v>
      </c>
      <c r="Q261" s="465">
        <f t="shared" si="83"/>
        <v>6.8415233187252538</v>
      </c>
      <c r="R261" s="12"/>
      <c r="S261" s="1044">
        <f t="shared" si="84"/>
        <v>0.41049139912351518</v>
      </c>
      <c r="T261" s="1033">
        <f t="shared" si="85"/>
        <v>3.9433688499908826</v>
      </c>
      <c r="U261" s="1034">
        <f t="shared" si="85"/>
        <v>19.716844249954413</v>
      </c>
      <c r="V261" s="1034">
        <f t="shared" si="85"/>
        <v>0</v>
      </c>
      <c r="W261" s="1035">
        <f t="shared" si="85"/>
        <v>1.1830106549972648</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3471.0300255081979</v>
      </c>
      <c r="L262" s="518">
        <f t="shared" si="94"/>
        <v>0.5</v>
      </c>
      <c r="M262" s="518">
        <f t="shared" si="90"/>
        <v>0.5</v>
      </c>
      <c r="N262" s="12">
        <f t="shared" si="81"/>
        <v>0</v>
      </c>
      <c r="O262" s="12">
        <f t="shared" si="81"/>
        <v>0</v>
      </c>
      <c r="P262" s="690">
        <f t="shared" si="82"/>
        <v>1.3884120102032793</v>
      </c>
      <c r="Q262" s="465">
        <f t="shared" si="83"/>
        <v>6.9420600510163961</v>
      </c>
      <c r="R262" s="12"/>
      <c r="S262" s="1044">
        <f t="shared" si="84"/>
        <v>0.41652360306098374</v>
      </c>
      <c r="T262" s="1033">
        <f t="shared" si="85"/>
        <v>3.9634761964491112</v>
      </c>
      <c r="U262" s="1034">
        <f t="shared" si="85"/>
        <v>19.817380982245552</v>
      </c>
      <c r="V262" s="1034">
        <f t="shared" si="85"/>
        <v>0</v>
      </c>
      <c r="W262" s="1035">
        <f t="shared" si="85"/>
        <v>1.1890428589347333</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3537.8044223284328</v>
      </c>
      <c r="L263" s="518">
        <f t="shared" si="94"/>
        <v>0.5</v>
      </c>
      <c r="M263" s="518">
        <f t="shared" si="90"/>
        <v>0.5</v>
      </c>
      <c r="N263" s="12">
        <f t="shared" si="81"/>
        <v>0</v>
      </c>
      <c r="O263" s="12">
        <f t="shared" si="81"/>
        <v>0</v>
      </c>
      <c r="P263" s="690">
        <f t="shared" si="82"/>
        <v>1.4151217689313733</v>
      </c>
      <c r="Q263" s="465">
        <f t="shared" si="83"/>
        <v>7.0756088446568652</v>
      </c>
      <c r="R263" s="12"/>
      <c r="S263" s="1044">
        <f t="shared" si="84"/>
        <v>0.42453653067941188</v>
      </c>
      <c r="T263" s="1033">
        <f t="shared" si="85"/>
        <v>3.9901859551772052</v>
      </c>
      <c r="U263" s="1034">
        <f t="shared" si="85"/>
        <v>19.950929775886024</v>
      </c>
      <c r="V263" s="1034">
        <f t="shared" si="85"/>
        <v>0</v>
      </c>
      <c r="W263" s="1035">
        <f t="shared" si="85"/>
        <v>1.1970557865531615</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3597.8752829754594</v>
      </c>
      <c r="L264" s="518">
        <f t="shared" si="94"/>
        <v>0.5</v>
      </c>
      <c r="M264" s="518">
        <f t="shared" si="90"/>
        <v>0.5</v>
      </c>
      <c r="N264" s="12">
        <f t="shared" si="81"/>
        <v>0</v>
      </c>
      <c r="O264" s="12">
        <f t="shared" si="81"/>
        <v>0</v>
      </c>
      <c r="P264" s="690">
        <f t="shared" si="82"/>
        <v>1.4391501131901838</v>
      </c>
      <c r="Q264" s="465">
        <f t="shared" si="83"/>
        <v>7.1957505659509184</v>
      </c>
      <c r="R264" s="12"/>
      <c r="S264" s="1044">
        <f t="shared" si="84"/>
        <v>0.4317450339570551</v>
      </c>
      <c r="T264" s="1033">
        <f t="shared" si="85"/>
        <v>4.0142142994360155</v>
      </c>
      <c r="U264" s="1034">
        <f t="shared" si="85"/>
        <v>20.071071497180078</v>
      </c>
      <c r="V264" s="1034">
        <f t="shared" si="85"/>
        <v>0</v>
      </c>
      <c r="W264" s="1035">
        <f t="shared" si="85"/>
        <v>1.2042642898308045</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3668.9827846862445</v>
      </c>
      <c r="L265" s="518">
        <f t="shared" si="94"/>
        <v>0.5</v>
      </c>
      <c r="M265" s="518">
        <f t="shared" si="90"/>
        <v>0.5</v>
      </c>
      <c r="N265" s="12">
        <f t="shared" si="81"/>
        <v>0</v>
      </c>
      <c r="O265" s="12">
        <f t="shared" si="81"/>
        <v>0</v>
      </c>
      <c r="P265" s="690">
        <f t="shared" si="82"/>
        <v>1.467593113874498</v>
      </c>
      <c r="Q265" s="465">
        <f t="shared" si="83"/>
        <v>7.3379655693724892</v>
      </c>
      <c r="R265" s="12"/>
      <c r="S265" s="1044">
        <f t="shared" si="84"/>
        <v>0.44027793416234934</v>
      </c>
      <c r="T265" s="1033">
        <f t="shared" si="85"/>
        <v>4.0426573001203296</v>
      </c>
      <c r="U265" s="1034">
        <f t="shared" si="85"/>
        <v>20.213286500601647</v>
      </c>
      <c r="V265" s="1034">
        <f t="shared" si="85"/>
        <v>0</v>
      </c>
      <c r="W265" s="1035">
        <f t="shared" si="85"/>
        <v>1.2127971900360988</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3743.3904051781628</v>
      </c>
      <c r="L266" s="518">
        <f t="shared" si="94"/>
        <v>0.5</v>
      </c>
      <c r="M266" s="518">
        <f t="shared" si="90"/>
        <v>0.5</v>
      </c>
      <c r="N266" s="12">
        <f t="shared" si="81"/>
        <v>0</v>
      </c>
      <c r="O266" s="12">
        <f t="shared" si="81"/>
        <v>0</v>
      </c>
      <c r="P266" s="690">
        <f t="shared" si="82"/>
        <v>1.4973561620712652</v>
      </c>
      <c r="Q266" s="465">
        <f t="shared" si="83"/>
        <v>7.4867808103563256</v>
      </c>
      <c r="R266" s="12"/>
      <c r="S266" s="1044">
        <f t="shared" si="84"/>
        <v>0.44920684862137955</v>
      </c>
      <c r="T266" s="1033">
        <f t="shared" si="85"/>
        <v>4.0724203483170971</v>
      </c>
      <c r="U266" s="1034">
        <f t="shared" si="85"/>
        <v>20.362101741585484</v>
      </c>
      <c r="V266" s="1034">
        <f t="shared" si="85"/>
        <v>0</v>
      </c>
      <c r="W266" s="1035">
        <f t="shared" si="85"/>
        <v>1.2217261044951291</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3830.9006389526726</v>
      </c>
      <c r="L267" s="518">
        <f t="shared" si="94"/>
        <v>0.5</v>
      </c>
      <c r="M267" s="518">
        <f t="shared" si="90"/>
        <v>0.5</v>
      </c>
      <c r="N267" s="12">
        <f t="shared" si="81"/>
        <v>0</v>
      </c>
      <c r="O267" s="12">
        <f t="shared" si="81"/>
        <v>0</v>
      </c>
      <c r="P267" s="690">
        <f t="shared" si="82"/>
        <v>1.5323602555810691</v>
      </c>
      <c r="Q267" s="465">
        <f t="shared" si="83"/>
        <v>7.6618012779053455</v>
      </c>
      <c r="R267" s="12"/>
      <c r="S267" s="1044">
        <f t="shared" si="84"/>
        <v>0.45970807667432068</v>
      </c>
      <c r="T267" s="1033">
        <f t="shared" si="85"/>
        <v>4.1074244418269013</v>
      </c>
      <c r="U267" s="1034">
        <f t="shared" si="85"/>
        <v>20.537122209134502</v>
      </c>
      <c r="V267" s="1034">
        <f t="shared" si="85"/>
        <v>0</v>
      </c>
      <c r="W267" s="1035">
        <f t="shared" si="85"/>
        <v>1.2322273325480702</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3926.3322451557001</v>
      </c>
      <c r="L268" s="518">
        <f t="shared" si="94"/>
        <v>0.5</v>
      </c>
      <c r="M268" s="518">
        <f t="shared" si="90"/>
        <v>0.5</v>
      </c>
      <c r="N268" s="12">
        <f t="shared" ref="N268:O283" si="95">N130</f>
        <v>0</v>
      </c>
      <c r="O268" s="12">
        <f t="shared" si="95"/>
        <v>0</v>
      </c>
      <c r="P268" s="690">
        <f t="shared" si="82"/>
        <v>1.5705328980622801</v>
      </c>
      <c r="Q268" s="465">
        <f t="shared" si="83"/>
        <v>7.8526644903114002</v>
      </c>
      <c r="R268" s="12"/>
      <c r="S268" s="1044">
        <f t="shared" si="84"/>
        <v>0.47115986941868399</v>
      </c>
      <c r="T268" s="1033">
        <f t="shared" si="85"/>
        <v>4.145597084308112</v>
      </c>
      <c r="U268" s="1034">
        <f t="shared" si="85"/>
        <v>20.727985421540559</v>
      </c>
      <c r="V268" s="1034">
        <f t="shared" si="85"/>
        <v>0</v>
      </c>
      <c r="W268" s="1035">
        <f t="shared" si="85"/>
        <v>1.2436791252924335</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4002.4905052646268</v>
      </c>
      <c r="L269" s="518">
        <f t="shared" si="94"/>
        <v>0.5</v>
      </c>
      <c r="M269" s="518">
        <f t="shared" si="90"/>
        <v>0.5</v>
      </c>
      <c r="N269" s="12">
        <f t="shared" si="95"/>
        <v>0</v>
      </c>
      <c r="O269" s="12">
        <f t="shared" si="95"/>
        <v>0</v>
      </c>
      <c r="P269" s="690">
        <f t="shared" si="82"/>
        <v>1.6009962021058508</v>
      </c>
      <c r="Q269" s="465">
        <f t="shared" si="83"/>
        <v>8.0049810105292529</v>
      </c>
      <c r="R269" s="12"/>
      <c r="S269" s="1044">
        <f t="shared" si="84"/>
        <v>0.4802988606317552</v>
      </c>
      <c r="T269" s="1033">
        <f t="shared" si="85"/>
        <v>4.1760603883516829</v>
      </c>
      <c r="U269" s="1034">
        <f t="shared" si="85"/>
        <v>20.880301941758411</v>
      </c>
      <c r="V269" s="1034">
        <f t="shared" si="85"/>
        <v>0</v>
      </c>
      <c r="W269" s="1035">
        <f t="shared" si="85"/>
        <v>1.2528181165055048</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4078.7466272155002</v>
      </c>
      <c r="L270" s="518">
        <f t="shared" si="94"/>
        <v>0.5</v>
      </c>
      <c r="M270" s="518">
        <f t="shared" si="90"/>
        <v>0.5</v>
      </c>
      <c r="N270" s="12">
        <f t="shared" si="95"/>
        <v>0</v>
      </c>
      <c r="O270" s="12">
        <f t="shared" si="95"/>
        <v>0</v>
      </c>
      <c r="P270" s="690">
        <f t="shared" si="82"/>
        <v>1.6314986508862002</v>
      </c>
      <c r="Q270" s="465">
        <f t="shared" si="83"/>
        <v>8.1574932544310013</v>
      </c>
      <c r="R270" s="12"/>
      <c r="S270" s="1044">
        <f t="shared" si="84"/>
        <v>0.48944959526586002</v>
      </c>
      <c r="T270" s="1033">
        <f t="shared" si="85"/>
        <v>4.2065628371320321</v>
      </c>
      <c r="U270" s="1034">
        <f t="shared" si="85"/>
        <v>21.032814185660158</v>
      </c>
      <c r="V270" s="1034">
        <f t="shared" si="85"/>
        <v>0</v>
      </c>
      <c r="W270" s="1035">
        <f t="shared" si="85"/>
        <v>1.2619688511396094</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4167.9694432240412</v>
      </c>
      <c r="L271" s="518">
        <f t="shared" si="94"/>
        <v>0.5</v>
      </c>
      <c r="M271" s="518">
        <f t="shared" si="90"/>
        <v>0.5</v>
      </c>
      <c r="N271" s="12">
        <f t="shared" si="95"/>
        <v>0</v>
      </c>
      <c r="O271" s="12">
        <f t="shared" si="95"/>
        <v>0</v>
      </c>
      <c r="P271" s="690">
        <f t="shared" si="82"/>
        <v>1.6671877772896166</v>
      </c>
      <c r="Q271" s="465">
        <f t="shared" si="83"/>
        <v>8.3359388864480817</v>
      </c>
      <c r="R271" s="12"/>
      <c r="S271" s="1044">
        <f t="shared" si="84"/>
        <v>0.5001563331868849</v>
      </c>
      <c r="T271" s="1033">
        <f t="shared" si="85"/>
        <v>4.2422519635354483</v>
      </c>
      <c r="U271" s="1034">
        <f t="shared" si="85"/>
        <v>21.211259817677238</v>
      </c>
      <c r="V271" s="1034">
        <f t="shared" si="85"/>
        <v>0</v>
      </c>
      <c r="W271" s="1035">
        <f t="shared" si="85"/>
        <v>1.2726755890606345</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4255.0991031687627</v>
      </c>
      <c r="L272" s="518">
        <f t="shared" si="94"/>
        <v>0.5</v>
      </c>
      <c r="M272" s="518">
        <f t="shared" si="90"/>
        <v>0.5</v>
      </c>
      <c r="N272" s="12">
        <f t="shared" si="95"/>
        <v>0</v>
      </c>
      <c r="O272" s="12">
        <f t="shared" si="95"/>
        <v>0</v>
      </c>
      <c r="P272" s="690">
        <f t="shared" si="82"/>
        <v>1.7020396412675052</v>
      </c>
      <c r="Q272" s="465">
        <f t="shared" si="83"/>
        <v>8.5101982063375257</v>
      </c>
      <c r="R272" s="12"/>
      <c r="S272" s="1044">
        <f t="shared" si="84"/>
        <v>0.51061189238025151</v>
      </c>
      <c r="T272" s="1033">
        <f t="shared" si="85"/>
        <v>4.2771038275133373</v>
      </c>
      <c r="U272" s="1034">
        <f t="shared" si="85"/>
        <v>21.385519137566682</v>
      </c>
      <c r="V272" s="1034">
        <f t="shared" si="85"/>
        <v>0</v>
      </c>
      <c r="W272" s="1035">
        <f t="shared" si="85"/>
        <v>1.2831311482540011</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4348.4810474599535</v>
      </c>
      <c r="L273" s="518">
        <f t="shared" si="94"/>
        <v>0.5</v>
      </c>
      <c r="M273" s="518">
        <f t="shared" si="90"/>
        <v>0.5</v>
      </c>
      <c r="N273" s="12">
        <f t="shared" si="95"/>
        <v>0</v>
      </c>
      <c r="O273" s="12">
        <f t="shared" si="95"/>
        <v>0</v>
      </c>
      <c r="P273" s="690">
        <f t="shared" si="82"/>
        <v>1.7393924189839816</v>
      </c>
      <c r="Q273" s="465">
        <f t="shared" si="83"/>
        <v>8.6969620949199076</v>
      </c>
      <c r="R273" s="12"/>
      <c r="S273" s="1044">
        <f t="shared" si="84"/>
        <v>0.52181772569519447</v>
      </c>
      <c r="T273" s="1033">
        <f t="shared" si="85"/>
        <v>4.3144566052298137</v>
      </c>
      <c r="U273" s="1034">
        <f t="shared" si="85"/>
        <v>21.572283026149066</v>
      </c>
      <c r="V273" s="1034">
        <f t="shared" si="85"/>
        <v>0</v>
      </c>
      <c r="W273" s="1035">
        <f t="shared" si="85"/>
        <v>1.2943369815689438</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4442.1783243529617</v>
      </c>
      <c r="L274" s="518">
        <f t="shared" si="94"/>
        <v>0.5</v>
      </c>
      <c r="M274" s="518">
        <f t="shared" si="90"/>
        <v>0.5</v>
      </c>
      <c r="N274" s="12">
        <f t="shared" si="95"/>
        <v>0</v>
      </c>
      <c r="O274" s="12">
        <f t="shared" si="95"/>
        <v>0</v>
      </c>
      <c r="P274" s="690">
        <f t="shared" si="82"/>
        <v>1.7768713297411849</v>
      </c>
      <c r="Q274" s="465">
        <f t="shared" si="83"/>
        <v>8.8843566487059231</v>
      </c>
      <c r="R274" s="12"/>
      <c r="S274" s="1044">
        <f t="shared" si="84"/>
        <v>0.53306139892235538</v>
      </c>
      <c r="T274" s="1033">
        <f t="shared" si="85"/>
        <v>4.3519355159870168</v>
      </c>
      <c r="U274" s="1034">
        <f t="shared" si="85"/>
        <v>21.759677579935079</v>
      </c>
      <c r="V274" s="1034">
        <f t="shared" si="85"/>
        <v>0</v>
      </c>
      <c r="W274" s="1035">
        <f t="shared" si="85"/>
        <v>1.3055806547961049</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4547.532033975378</v>
      </c>
      <c r="L275" s="518">
        <f t="shared" si="94"/>
        <v>0.5</v>
      </c>
      <c r="M275" s="518">
        <f t="shared" si="90"/>
        <v>0.5</v>
      </c>
      <c r="N275" s="12">
        <f t="shared" si="95"/>
        <v>0</v>
      </c>
      <c r="O275" s="12">
        <f t="shared" si="95"/>
        <v>0</v>
      </c>
      <c r="P275" s="690">
        <f t="shared" si="82"/>
        <v>1.8190128135901513</v>
      </c>
      <c r="Q275" s="465">
        <f t="shared" si="83"/>
        <v>9.0950640679507568</v>
      </c>
      <c r="R275" s="12"/>
      <c r="S275" s="1044">
        <f t="shared" si="84"/>
        <v>0.54570384407704531</v>
      </c>
      <c r="T275" s="1033">
        <f t="shared" si="85"/>
        <v>4.394076999835983</v>
      </c>
      <c r="U275" s="1034">
        <f t="shared" si="85"/>
        <v>21.970384999179913</v>
      </c>
      <c r="V275" s="1034">
        <f t="shared" si="85"/>
        <v>0</v>
      </c>
      <c r="W275" s="1035">
        <f t="shared" si="85"/>
        <v>1.3182230999507949</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4654.5439581418577</v>
      </c>
      <c r="L276" s="518">
        <f t="shared" si="94"/>
        <v>0.5</v>
      </c>
      <c r="M276" s="518">
        <f t="shared" si="90"/>
        <v>0.5</v>
      </c>
      <c r="N276" s="12">
        <f t="shared" si="95"/>
        <v>0</v>
      </c>
      <c r="O276" s="12">
        <f t="shared" si="95"/>
        <v>0</v>
      </c>
      <c r="P276" s="690">
        <f t="shared" si="82"/>
        <v>1.8618175832567432</v>
      </c>
      <c r="Q276" s="465">
        <f t="shared" si="83"/>
        <v>9.3090879162837155</v>
      </c>
      <c r="R276" s="12"/>
      <c r="S276" s="1044">
        <f t="shared" si="84"/>
        <v>0.55854527497702289</v>
      </c>
      <c r="T276" s="1033">
        <f t="shared" si="85"/>
        <v>4.4368817695025751</v>
      </c>
      <c r="U276" s="1034">
        <f t="shared" si="85"/>
        <v>22.184408847512874</v>
      </c>
      <c r="V276" s="1034">
        <f t="shared" si="85"/>
        <v>0</v>
      </c>
      <c r="W276" s="1035">
        <f t="shared" si="85"/>
        <v>1.3310645308507723</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4764.3177609587738</v>
      </c>
      <c r="L277" s="518">
        <f t="shared" si="94"/>
        <v>0.5</v>
      </c>
      <c r="M277" s="518">
        <f t="shared" si="90"/>
        <v>0.5</v>
      </c>
      <c r="N277" s="12">
        <f t="shared" si="95"/>
        <v>0</v>
      </c>
      <c r="O277" s="12">
        <f t="shared" si="95"/>
        <v>0</v>
      </c>
      <c r="P277" s="690">
        <f t="shared" si="82"/>
        <v>1.9057271043835096</v>
      </c>
      <c r="Q277" s="465">
        <f t="shared" si="83"/>
        <v>9.5286355219175469</v>
      </c>
      <c r="R277" s="12"/>
      <c r="S277" s="1044">
        <f t="shared" si="84"/>
        <v>0.57171813131505278</v>
      </c>
      <c r="T277" s="1033">
        <f t="shared" si="85"/>
        <v>4.480791290629341</v>
      </c>
      <c r="U277" s="1034">
        <f t="shared" si="85"/>
        <v>22.403956453146705</v>
      </c>
      <c r="V277" s="1034">
        <f t="shared" si="85"/>
        <v>0</v>
      </c>
      <c r="W277" s="1035">
        <f t="shared" si="85"/>
        <v>1.3442373871888023</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4878.3539906692804</v>
      </c>
      <c r="L278" s="518">
        <f t="shared" si="94"/>
        <v>0.5</v>
      </c>
      <c r="M278" s="518">
        <f t="shared" si="90"/>
        <v>0.5</v>
      </c>
      <c r="N278" s="12">
        <f t="shared" si="95"/>
        <v>0</v>
      </c>
      <c r="O278" s="12">
        <f t="shared" si="95"/>
        <v>0</v>
      </c>
      <c r="P278" s="690">
        <f t="shared" si="82"/>
        <v>1.9513415962677123</v>
      </c>
      <c r="Q278" s="465">
        <f t="shared" si="83"/>
        <v>9.7567079813385611</v>
      </c>
      <c r="R278" s="12"/>
      <c r="S278" s="1044">
        <f t="shared" si="84"/>
        <v>0.5854024788803136</v>
      </c>
      <c r="T278" s="1033">
        <f t="shared" si="85"/>
        <v>4.5264057825135442</v>
      </c>
      <c r="U278" s="1034">
        <f t="shared" si="85"/>
        <v>22.632028912567719</v>
      </c>
      <c r="V278" s="1034">
        <f t="shared" si="85"/>
        <v>0</v>
      </c>
      <c r="W278" s="1035">
        <f t="shared" si="85"/>
        <v>1.3579217347540631</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4997.2071977110627</v>
      </c>
      <c r="L279" s="518">
        <f t="shared" si="94"/>
        <v>0.5</v>
      </c>
      <c r="M279" s="518">
        <f t="shared" si="90"/>
        <v>0.5</v>
      </c>
      <c r="N279" s="12">
        <f t="shared" si="95"/>
        <v>0</v>
      </c>
      <c r="O279" s="12">
        <f t="shared" si="95"/>
        <v>0</v>
      </c>
      <c r="P279" s="690">
        <f t="shared" si="82"/>
        <v>1.9988828790844253</v>
      </c>
      <c r="Q279" s="465">
        <f t="shared" si="83"/>
        <v>9.9944143954221261</v>
      </c>
      <c r="R279" s="12"/>
      <c r="S279" s="1044">
        <f t="shared" si="84"/>
        <v>0.59966486372532746</v>
      </c>
      <c r="T279" s="1033">
        <f t="shared" si="85"/>
        <v>4.5739470653302572</v>
      </c>
      <c r="U279" s="1034">
        <f t="shared" si="85"/>
        <v>22.869735326651284</v>
      </c>
      <c r="V279" s="1034">
        <f t="shared" si="85"/>
        <v>0</v>
      </c>
      <c r="W279" s="1035">
        <f t="shared" si="85"/>
        <v>1.3721841195990769</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5124.3025465521841</v>
      </c>
      <c r="L280" s="518">
        <f t="shared" si="94"/>
        <v>0.5</v>
      </c>
      <c r="M280" s="518">
        <f t="shared" si="90"/>
        <v>0.5</v>
      </c>
      <c r="N280" s="12">
        <f t="shared" si="95"/>
        <v>0</v>
      </c>
      <c r="O280" s="12">
        <f t="shared" si="95"/>
        <v>0</v>
      </c>
      <c r="P280" s="690">
        <f t="shared" si="82"/>
        <v>2.0497210186208736</v>
      </c>
      <c r="Q280" s="465">
        <f t="shared" si="83"/>
        <v>10.248605093104368</v>
      </c>
      <c r="R280" s="12"/>
      <c r="S280" s="1044">
        <f t="shared" si="84"/>
        <v>0.61491630558626209</v>
      </c>
      <c r="T280" s="1033">
        <f t="shared" si="85"/>
        <v>4.624785204866706</v>
      </c>
      <c r="U280" s="1034">
        <f t="shared" si="85"/>
        <v>23.123926024333528</v>
      </c>
      <c r="V280" s="1034">
        <f t="shared" si="85"/>
        <v>0</v>
      </c>
      <c r="W280" s="1035">
        <f t="shared" si="85"/>
        <v>1.3874355614600116</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5203.2226853115508</v>
      </c>
      <c r="L281" s="518">
        <f t="shared" si="94"/>
        <v>0.5</v>
      </c>
      <c r="M281" s="518">
        <f t="shared" si="90"/>
        <v>0.5</v>
      </c>
      <c r="N281" s="12">
        <f t="shared" si="95"/>
        <v>0</v>
      </c>
      <c r="O281" s="12">
        <f t="shared" si="95"/>
        <v>0</v>
      </c>
      <c r="P281" s="690">
        <f t="shared" si="82"/>
        <v>2.0812890741246206</v>
      </c>
      <c r="Q281" s="465">
        <f t="shared" si="83"/>
        <v>10.406445370623102</v>
      </c>
      <c r="R281" s="12"/>
      <c r="S281" s="1044">
        <f t="shared" si="84"/>
        <v>0.624386722237386</v>
      </c>
      <c r="T281" s="1033">
        <f t="shared" si="85"/>
        <v>4.6563532603704525</v>
      </c>
      <c r="U281" s="1034">
        <f t="shared" si="85"/>
        <v>23.281766301852258</v>
      </c>
      <c r="V281" s="1034">
        <f t="shared" si="85"/>
        <v>0</v>
      </c>
      <c r="W281" s="1035">
        <f t="shared" si="85"/>
        <v>1.3969059781111355</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5276.7441124569687</v>
      </c>
      <c r="L282" s="518">
        <f t="shared" si="94"/>
        <v>0.5</v>
      </c>
      <c r="M282" s="518">
        <f t="shared" si="90"/>
        <v>0.5</v>
      </c>
      <c r="N282" s="12">
        <f t="shared" si="95"/>
        <v>0</v>
      </c>
      <c r="O282" s="12">
        <f t="shared" si="95"/>
        <v>0</v>
      </c>
      <c r="P282" s="690">
        <f t="shared" si="82"/>
        <v>2.1106976449827877</v>
      </c>
      <c r="Q282" s="465">
        <f t="shared" si="83"/>
        <v>10.553488224913938</v>
      </c>
      <c r="R282" s="12"/>
      <c r="S282" s="1044">
        <f t="shared" si="84"/>
        <v>0.63320929349483612</v>
      </c>
      <c r="T282" s="1033">
        <f t="shared" si="85"/>
        <v>4.6857618312286196</v>
      </c>
      <c r="U282" s="1034">
        <f t="shared" si="85"/>
        <v>23.428809156143096</v>
      </c>
      <c r="V282" s="1034">
        <f t="shared" si="85"/>
        <v>0</v>
      </c>
      <c r="W282" s="1035">
        <f t="shared" si="85"/>
        <v>1.4057285493685856</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5349.9991379215398</v>
      </c>
      <c r="L283" s="518">
        <f t="shared" si="94"/>
        <v>0.5</v>
      </c>
      <c r="M283" s="518">
        <f t="shared" si="90"/>
        <v>0.5</v>
      </c>
      <c r="N283" s="12">
        <f t="shared" si="95"/>
        <v>0</v>
      </c>
      <c r="O283" s="12">
        <f t="shared" si="95"/>
        <v>0</v>
      </c>
      <c r="P283" s="690">
        <f t="shared" si="82"/>
        <v>2.1399996551686158</v>
      </c>
      <c r="Q283" s="465">
        <f t="shared" si="83"/>
        <v>10.699998275843079</v>
      </c>
      <c r="R283" s="12"/>
      <c r="S283" s="1044">
        <f t="shared" si="84"/>
        <v>0.64199989655058476</v>
      </c>
      <c r="T283" s="1033">
        <f t="shared" si="85"/>
        <v>4.7150638414144481</v>
      </c>
      <c r="U283" s="1034">
        <f t="shared" si="85"/>
        <v>23.575319207072237</v>
      </c>
      <c r="V283" s="1034">
        <f t="shared" si="85"/>
        <v>0</v>
      </c>
      <c r="W283" s="1035">
        <f t="shared" si="85"/>
        <v>1.4145191524243343</v>
      </c>
    </row>
    <row r="284" spans="1:23" ht="15.7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5421.623132687032</v>
      </c>
      <c r="L284" s="520">
        <f t="shared" si="94"/>
        <v>0.5</v>
      </c>
      <c r="M284" s="520">
        <f t="shared" si="90"/>
        <v>0.5</v>
      </c>
      <c r="N284" s="1045">
        <f t="shared" ref="N284:O284" si="96">N146</f>
        <v>0</v>
      </c>
      <c r="O284" s="1045">
        <f t="shared" si="96"/>
        <v>0</v>
      </c>
      <c r="P284" s="1046">
        <f t="shared" si="82"/>
        <v>2.1686492530748129</v>
      </c>
      <c r="Q284" s="988">
        <f t="shared" si="83"/>
        <v>10.843246265374065</v>
      </c>
      <c r="R284" s="1045"/>
      <c r="S284" s="1047">
        <f t="shared" si="84"/>
        <v>0.65059477592244375</v>
      </c>
      <c r="T284" s="1048">
        <f t="shared" si="85"/>
        <v>4.7437134393206453</v>
      </c>
      <c r="U284" s="1049">
        <f t="shared" si="85"/>
        <v>23.718567196603225</v>
      </c>
      <c r="V284" s="1049">
        <f t="shared" si="85"/>
        <v>0</v>
      </c>
      <c r="W284" s="1050">
        <f t="shared" si="85"/>
        <v>1.4231140317961932</v>
      </c>
    </row>
  </sheetData>
  <mergeCells count="15">
    <mergeCell ref="T11:U11"/>
    <mergeCell ref="V11:W11"/>
    <mergeCell ref="K10:S10"/>
    <mergeCell ref="B10:J10"/>
    <mergeCell ref="T10:W10"/>
    <mergeCell ref="N11:O11"/>
    <mergeCell ref="P11:Q11"/>
    <mergeCell ref="R11:S11"/>
    <mergeCell ref="L11:M11"/>
    <mergeCell ref="C11:D11"/>
    <mergeCell ref="A11:A12"/>
    <mergeCell ref="F4:F8"/>
    <mergeCell ref="E11:F11"/>
    <mergeCell ref="I11:J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5"/>
  <cols>
    <col min="2" max="2" width="15.42578125" bestFit="1" customWidth="1"/>
    <col min="3" max="3" width="17.285156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5"/>
  <cols>
    <col min="1" max="1" width="76.5703125" customWidth="1"/>
    <col min="2" max="2" width="43.85546875" customWidth="1"/>
    <col min="3" max="3" width="12.5703125" bestFit="1" customWidth="1"/>
    <col min="4" max="4" width="16.85546875" bestFit="1" customWidth="1"/>
    <col min="5" max="6" width="12.5703125" bestFit="1" customWidth="1"/>
    <col min="7" max="7" width="12.140625" customWidth="1"/>
    <col min="8" max="8" width="12.5703125" customWidth="1"/>
    <col min="9" max="9" width="12.7109375" customWidth="1"/>
    <col min="10" max="10" width="15.140625" style="1" bestFit="1" customWidth="1"/>
    <col min="11" max="11" width="16.140625" customWidth="1"/>
    <col min="16" max="16" width="12.140625" customWidth="1"/>
    <col min="17" max="17" width="11.5703125" customWidth="1"/>
    <col min="18" max="18" width="13.140625" style="1" customWidth="1"/>
    <col min="20" max="20" width="11.140625" customWidth="1"/>
    <col min="23" max="23" width="10.5703125" customWidth="1"/>
    <col min="24" max="24" width="10.28515625" customWidth="1"/>
    <col min="25" max="25" width="10.7109375" customWidth="1"/>
    <col min="26" max="26" width="8.85546875" style="1"/>
    <col min="28" max="28" width="21.7109375" customWidth="1"/>
    <col min="29" max="29" width="17.7109375" customWidth="1"/>
    <col min="30" max="30" width="15.7109375" customWidth="1"/>
    <col min="31" max="31" width="14.5703125" customWidth="1"/>
    <col min="32" max="32" width="11.85546875" customWidth="1"/>
    <col min="33" max="33" width="11.5703125" customWidth="1"/>
    <col min="35" max="37" width="14.28515625" style="1183" customWidth="1"/>
  </cols>
  <sheetData>
    <row r="1" spans="1:26">
      <c r="A1" s="2" t="s">
        <v>38</v>
      </c>
    </row>
    <row r="3" spans="1:26" ht="15.7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30">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7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7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7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7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0.11503127801861517</v>
      </c>
      <c r="C91" s="473">
        <f>$B91*'Recycling - Case 1'!BM100*'Recycling - Case 1'!$AK100</f>
        <v>781.36403170691767</v>
      </c>
      <c r="D91" s="474">
        <f>$B91*'Recycling - Case 1'!BN100*'Recycling - Case 1'!$AK100</f>
        <v>816.06067920830117</v>
      </c>
      <c r="E91" s="474">
        <f>$B91*'Recycling - Case 1'!BO100*'Recycling - Case 1'!$AK100</f>
        <v>222.89094519569196</v>
      </c>
      <c r="F91" s="474">
        <f>$B91*'Recycling - Case 1'!BP100*'Recycling - Case 1'!$AK100</f>
        <v>0</v>
      </c>
      <c r="G91" s="474">
        <f>$B91*'Recycling - Case 1'!BQ100*'Recycling - Case 1'!$AK100</f>
        <v>0</v>
      </c>
      <c r="H91" s="474">
        <f>$B91*'Recycling - Case 1'!BR100*'Recycling - Case 1'!$AK100</f>
        <v>0</v>
      </c>
      <c r="I91" s="474">
        <f>$B91*'Recycling - Case 1'!BS100*'Recycling - Case 1'!$AK100</f>
        <v>871.42701763418643</v>
      </c>
      <c r="J91" s="663">
        <f t="shared" si="11"/>
        <v>2691.7426737450974</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1.1774526227285702</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30.022403611532987</v>
      </c>
      <c r="R91" s="104">
        <f t="shared" si="8"/>
        <v>31.199856234261556</v>
      </c>
      <c r="S91" s="431">
        <f>C91*'4C2 Open-burning '!$C$9*'4C2 Open-burning '!$C$11*$C$5</f>
        <v>3.0473197236569782</v>
      </c>
      <c r="T91" s="431">
        <f>D91*'4C2 Open-burning '!$C$9*'4C2 Open-burning '!$C$11*$C$5</f>
        <v>3.1826366489123745</v>
      </c>
      <c r="U91" s="431">
        <f>E91*'4C2 Open-burning '!$C$9*'4C2 Open-burning '!$C$11*$C$5</f>
        <v>0.86927468626319848</v>
      </c>
      <c r="V91" s="431">
        <f>F91*'4C2 Open-burning '!$C$9*'4C2 Open-burning '!$C$11*$C$5</f>
        <v>0</v>
      </c>
      <c r="W91" s="431">
        <f>G91*'4C2 Open-burning '!$C$9*'4C2 Open-burning '!$C$11*$C$5</f>
        <v>0</v>
      </c>
      <c r="X91" s="431">
        <f>H91*'4C2 Open-burning '!$C$9*'4C2 Open-burning '!$C$11*$C$5</f>
        <v>0</v>
      </c>
      <c r="Y91" s="431">
        <f>I91*'4C2 Open-burning '!$C$9*'4C2 Open-burning '!$C$11*$C$5</f>
        <v>3.398565368773327</v>
      </c>
      <c r="Z91" s="432">
        <f t="shared" si="9"/>
        <v>10.497796427605877</v>
      </c>
      <c r="AA91" s="433">
        <f>C91*'4C2 Open-burning '!$C$10*'4C2 Open-burning '!$C$11*$C$5*C$15</f>
        <v>2.8129105141449035E-2</v>
      </c>
      <c r="AB91" s="433">
        <f>D91*'4C2 Open-burning '!$C$10*'4C2 Open-burning '!$C$11*$C$5*D$15</f>
        <v>2.937818445149884E-2</v>
      </c>
      <c r="AC91" s="433">
        <f>E91*'4C2 Open-burning '!$C$10*'4C2 Open-burning '!$C$11*$C$5*E$15</f>
        <v>1.8054166560851046E-2</v>
      </c>
      <c r="AD91" s="433">
        <f>F91*'4C2 Open-burning '!$C$10*'4C2 Open-burning '!$C$11*$C$5*F$15</f>
        <v>0</v>
      </c>
      <c r="AE91" s="433">
        <f>G91*'4C2 Open-burning '!$C$10*'4C2 Open-burning '!$C$11*$C$5*G$15</f>
        <v>0</v>
      </c>
      <c r="AF91" s="433">
        <f>H91*'4C2 Open-burning '!$C$10*'4C2 Open-burning '!$C$11*$C$5*H$15</f>
        <v>0</v>
      </c>
      <c r="AG91" s="433">
        <f>I91*'4C2 Open-burning '!$C$10*'4C2 Open-burning '!$C$11*$C$5*I$15</f>
        <v>7.0585588428369095E-2</v>
      </c>
      <c r="AH91" s="434">
        <f t="shared" si="10"/>
        <v>0.14614704458216801</v>
      </c>
    </row>
    <row r="92" spans="1:44">
      <c r="A92" s="435">
        <f>'Input data'!A121</f>
        <v>2021</v>
      </c>
      <c r="B92" s="107">
        <f>'Recycling - Case 1'!AP101</f>
        <v>0.11280903851257212</v>
      </c>
      <c r="C92" s="473">
        <f>$B92*'Recycling - Case 1'!BM101*'Recycling - Case 1'!$AK101</f>
        <v>760.99216259783259</v>
      </c>
      <c r="D92" s="474">
        <f>$B92*'Recycling - Case 1'!BN101*'Recycling - Case 1'!$AK101</f>
        <v>794.7841926190921</v>
      </c>
      <c r="E92" s="474">
        <f>$B92*'Recycling - Case 1'!BO101*'Recycling - Case 1'!$AK101</f>
        <v>217.07969080353934</v>
      </c>
      <c r="F92" s="474">
        <f>$B92*'Recycling - Case 1'!BP101*'Recycling - Case 1'!$AK101</f>
        <v>0</v>
      </c>
      <c r="G92" s="474">
        <f>$B92*'Recycling - Case 1'!BQ101*'Recycling - Case 1'!$AK101</f>
        <v>0</v>
      </c>
      <c r="H92" s="474">
        <f>$B92*'Recycling - Case 1'!BR101*'Recycling - Case 1'!$AK101</f>
        <v>0</v>
      </c>
      <c r="I92" s="474">
        <f>$B92*'Recycling - Case 1'!BS101*'Recycling - Case 1'!$AK101</f>
        <v>848.70700951891274</v>
      </c>
      <c r="J92" s="663">
        <f t="shared" si="11"/>
        <v>2621.5630555393768</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1.1467538578264089</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29.239653891945579</v>
      </c>
      <c r="R92" s="104">
        <f t="shared" si="8"/>
        <v>30.386407749771987</v>
      </c>
      <c r="S92" s="431">
        <f>C92*'4C2 Open-burning '!$C$9*'4C2 Open-burning '!$C$11*$C$5</f>
        <v>2.9678694341315475</v>
      </c>
      <c r="T92" s="431">
        <f>D92*'4C2 Open-burning '!$C$9*'4C2 Open-burning '!$C$11*$C$5</f>
        <v>3.0996583512144587</v>
      </c>
      <c r="U92" s="431">
        <f>E92*'4C2 Open-burning '!$C$9*'4C2 Open-burning '!$C$11*$C$5</f>
        <v>0.84661079413380336</v>
      </c>
      <c r="V92" s="431">
        <f>F92*'4C2 Open-burning '!$C$9*'4C2 Open-burning '!$C$11*$C$5</f>
        <v>0</v>
      </c>
      <c r="W92" s="431">
        <f>G92*'4C2 Open-burning '!$C$9*'4C2 Open-burning '!$C$11*$C$5</f>
        <v>0</v>
      </c>
      <c r="X92" s="431">
        <f>H92*'4C2 Open-burning '!$C$9*'4C2 Open-burning '!$C$11*$C$5</f>
        <v>0</v>
      </c>
      <c r="Y92" s="431">
        <f>I92*'4C2 Open-burning '!$C$9*'4C2 Open-burning '!$C$11*$C$5</f>
        <v>3.3099573371237594</v>
      </c>
      <c r="Z92" s="432">
        <f t="shared" si="9"/>
        <v>10.224095916603568</v>
      </c>
      <c r="AA92" s="433">
        <f>C92*'4C2 Open-burning '!$C$10*'4C2 Open-burning '!$C$11*$C$5*C$15</f>
        <v>2.7395717853521975E-2</v>
      </c>
      <c r="AB92" s="433">
        <f>D92*'4C2 Open-burning '!$C$10*'4C2 Open-burning '!$C$11*$C$5*D$15</f>
        <v>2.8612230934287317E-2</v>
      </c>
      <c r="AC92" s="433">
        <f>E92*'4C2 Open-burning '!$C$10*'4C2 Open-burning '!$C$11*$C$5*E$15</f>
        <v>1.7583454955086685E-2</v>
      </c>
      <c r="AD92" s="433">
        <f>F92*'4C2 Open-burning '!$C$10*'4C2 Open-burning '!$C$11*$C$5*F$15</f>
        <v>0</v>
      </c>
      <c r="AE92" s="433">
        <f>G92*'4C2 Open-burning '!$C$10*'4C2 Open-burning '!$C$11*$C$5*G$15</f>
        <v>0</v>
      </c>
      <c r="AF92" s="433">
        <f>H92*'4C2 Open-burning '!$C$10*'4C2 Open-burning '!$C$11*$C$5*H$15</f>
        <v>0</v>
      </c>
      <c r="AG92" s="433">
        <f>I92*'4C2 Open-burning '!$C$10*'4C2 Open-burning '!$C$11*$C$5*I$15</f>
        <v>6.8745267771031932E-2</v>
      </c>
      <c r="AH92" s="434">
        <f t="shared" si="10"/>
        <v>0.14233667151392793</v>
      </c>
    </row>
    <row r="93" spans="1:44">
      <c r="A93" s="435">
        <f>'Input data'!A122</f>
        <v>2022</v>
      </c>
      <c r="B93" s="107">
        <f>'Recycling - Case 1'!AP102</f>
        <v>0.11053468779676857</v>
      </c>
      <c r="C93" s="473">
        <f>$B93*'Recycling - Case 1'!BM102*'Recycling - Case 1'!$AK102</f>
        <v>741.20128953847404</v>
      </c>
      <c r="D93" s="474">
        <f>$B93*'Recycling - Case 1'!BN102*'Recycling - Case 1'!$AK102</f>
        <v>774.11450134130962</v>
      </c>
      <c r="E93" s="474">
        <f>$B93*'Recycling - Case 1'!BO102*'Recycling - Case 1'!$AK102</f>
        <v>211.43417063183148</v>
      </c>
      <c r="F93" s="474">
        <f>$B93*'Recycling - Case 1'!BP102*'Recycling - Case 1'!$AK102</f>
        <v>0</v>
      </c>
      <c r="G93" s="474">
        <f>$B93*'Recycling - Case 1'!BQ102*'Recycling - Case 1'!$AK102</f>
        <v>0</v>
      </c>
      <c r="H93" s="474">
        <f>$B93*'Recycling - Case 1'!BR102*'Recycling - Case 1'!$AK102</f>
        <v>0</v>
      </c>
      <c r="I93" s="474">
        <f>$B93*'Recycling - Case 1'!BS102*'Recycling - Case 1'!$AK102</f>
        <v>826.6349652646893</v>
      </c>
      <c r="J93" s="663">
        <f t="shared" si="11"/>
        <v>2553.3849267763044</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1.1169306071465381</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28.479227823299073</v>
      </c>
      <c r="R93" s="104">
        <f t="shared" si="8"/>
        <v>29.596158430445612</v>
      </c>
      <c r="S93" s="431">
        <f>C93*'4C2 Open-burning '!$C$9*'4C2 Open-burning '!$C$11*$C$5</f>
        <v>2.8906850292000486</v>
      </c>
      <c r="T93" s="431">
        <f>D93*'4C2 Open-burning '!$C$9*'4C2 Open-burning '!$C$11*$C$5</f>
        <v>3.0190465552311077</v>
      </c>
      <c r="U93" s="431">
        <f>E93*'4C2 Open-burning '!$C$9*'4C2 Open-burning '!$C$11*$C$5</f>
        <v>0.82459326546414269</v>
      </c>
      <c r="V93" s="431">
        <f>F93*'4C2 Open-burning '!$C$9*'4C2 Open-burning '!$C$11*$C$5</f>
        <v>0</v>
      </c>
      <c r="W93" s="431">
        <f>G93*'4C2 Open-burning '!$C$9*'4C2 Open-burning '!$C$11*$C$5</f>
        <v>0</v>
      </c>
      <c r="X93" s="431">
        <f>H93*'4C2 Open-burning '!$C$9*'4C2 Open-burning '!$C$11*$C$5</f>
        <v>0</v>
      </c>
      <c r="Y93" s="431">
        <f>I93*'4C2 Open-burning '!$C$9*'4C2 Open-burning '!$C$11*$C$5</f>
        <v>3.2238763645322881</v>
      </c>
      <c r="Z93" s="432">
        <f t="shared" si="9"/>
        <v>9.9582012144275875</v>
      </c>
      <c r="AA93" s="433">
        <f>C93*'4C2 Open-burning '!$C$10*'4C2 Open-burning '!$C$11*$C$5*C$15</f>
        <v>2.668324642338506E-2</v>
      </c>
      <c r="AB93" s="433">
        <f>D93*'4C2 Open-burning '!$C$10*'4C2 Open-burning '!$C$11*$C$5*D$15</f>
        <v>2.7868122048287144E-2</v>
      </c>
      <c r="AC93" s="433">
        <f>E93*'4C2 Open-burning '!$C$10*'4C2 Open-burning '!$C$11*$C$5*E$15</f>
        <v>1.7126167821178349E-2</v>
      </c>
      <c r="AD93" s="433">
        <f>F93*'4C2 Open-burning '!$C$10*'4C2 Open-burning '!$C$11*$C$5*F$15</f>
        <v>0</v>
      </c>
      <c r="AE93" s="433">
        <f>G93*'4C2 Open-burning '!$C$10*'4C2 Open-burning '!$C$11*$C$5*G$15</f>
        <v>0</v>
      </c>
      <c r="AF93" s="433">
        <f>H93*'4C2 Open-burning '!$C$10*'4C2 Open-burning '!$C$11*$C$5*H$15</f>
        <v>0</v>
      </c>
      <c r="AG93" s="433">
        <f>I93*'4C2 Open-burning '!$C$10*'4C2 Open-burning '!$C$11*$C$5*I$15</f>
        <v>6.6957432186439819E-2</v>
      </c>
      <c r="AH93" s="434">
        <f t="shared" si="10"/>
        <v>0.13863496847929035</v>
      </c>
    </row>
    <row r="94" spans="1:44">
      <c r="A94" s="435">
        <f>'Input data'!A123</f>
        <v>2023</v>
      </c>
      <c r="B94" s="107">
        <f>'Recycling - Case 1'!AP103</f>
        <v>0.10822657615214164</v>
      </c>
      <c r="C94" s="473">
        <f>$B94*'Recycling - Case 1'!BM103*'Recycling - Case 1'!$AK103</f>
        <v>722.03022246439241</v>
      </c>
      <c r="D94" s="474">
        <f>$B94*'Recycling - Case 1'!BN103*'Recycling - Case 1'!$AK103</f>
        <v>754.09213867451717</v>
      </c>
      <c r="E94" s="474">
        <f>$B94*'Recycling - Case 1'!BO103*'Recycling - Case 1'!$AK103</f>
        <v>205.96545555517585</v>
      </c>
      <c r="F94" s="474">
        <f>$B94*'Recycling - Case 1'!BP103*'Recycling - Case 1'!$AK103</f>
        <v>0</v>
      </c>
      <c r="G94" s="474">
        <f>$B94*'Recycling - Case 1'!BQ103*'Recycling - Case 1'!$AK103</f>
        <v>0</v>
      </c>
      <c r="H94" s="474">
        <f>$B94*'Recycling - Case 1'!BR103*'Recycling - Case 1'!$AK103</f>
        <v>0</v>
      </c>
      <c r="I94" s="474">
        <f>$B94*'Recycling - Case 1'!BS103*'Recycling - Case 1'!$AK103</f>
        <v>805.25416818763858</v>
      </c>
      <c r="J94" s="663">
        <f t="shared" si="11"/>
        <v>2487.3419848817239</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1.0880413541339942</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27.742616602400521</v>
      </c>
      <c r="R94" s="104">
        <f t="shared" si="8"/>
        <v>28.830657956534516</v>
      </c>
      <c r="S94" s="431">
        <f>C94*'4C2 Open-burning '!$C$9*'4C2 Open-burning '!$C$11*$C$5</f>
        <v>2.8159178676111303</v>
      </c>
      <c r="T94" s="431">
        <f>D94*'4C2 Open-burning '!$C$9*'4C2 Open-burning '!$C$11*$C$5</f>
        <v>2.9409593408306169</v>
      </c>
      <c r="U94" s="431">
        <f>E94*'4C2 Open-burning '!$C$9*'4C2 Open-burning '!$C$11*$C$5</f>
        <v>0.80326527666518588</v>
      </c>
      <c r="V94" s="431">
        <f>F94*'4C2 Open-burning '!$C$9*'4C2 Open-burning '!$C$11*$C$5</f>
        <v>0</v>
      </c>
      <c r="W94" s="431">
        <f>G94*'4C2 Open-burning '!$C$9*'4C2 Open-burning '!$C$11*$C$5</f>
        <v>0</v>
      </c>
      <c r="X94" s="431">
        <f>H94*'4C2 Open-burning '!$C$9*'4C2 Open-burning '!$C$11*$C$5</f>
        <v>0</v>
      </c>
      <c r="Y94" s="431">
        <f>I94*'4C2 Open-burning '!$C$9*'4C2 Open-burning '!$C$11*$C$5</f>
        <v>3.1404912559317903</v>
      </c>
      <c r="Z94" s="432">
        <f t="shared" si="9"/>
        <v>9.7006337410387218</v>
      </c>
      <c r="AA94" s="433">
        <f>C94*'4C2 Open-burning '!$C$10*'4C2 Open-burning '!$C$11*$C$5*C$15</f>
        <v>2.5993088008718124E-2</v>
      </c>
      <c r="AB94" s="433">
        <f>D94*'4C2 Open-burning '!$C$10*'4C2 Open-burning '!$C$11*$C$5*D$15</f>
        <v>2.7147316992282618E-2</v>
      </c>
      <c r="AC94" s="433">
        <f>E94*'4C2 Open-burning '!$C$10*'4C2 Open-burning '!$C$11*$C$5*E$15</f>
        <v>1.6683201899969243E-2</v>
      </c>
      <c r="AD94" s="433">
        <f>F94*'4C2 Open-burning '!$C$10*'4C2 Open-burning '!$C$11*$C$5*F$15</f>
        <v>0</v>
      </c>
      <c r="AE94" s="433">
        <f>G94*'4C2 Open-burning '!$C$10*'4C2 Open-burning '!$C$11*$C$5*G$15</f>
        <v>0</v>
      </c>
      <c r="AF94" s="433">
        <f>H94*'4C2 Open-burning '!$C$10*'4C2 Open-burning '!$C$11*$C$5*H$15</f>
        <v>0</v>
      </c>
      <c r="AG94" s="433">
        <f>I94*'4C2 Open-burning '!$C$10*'4C2 Open-burning '!$C$11*$C$5*I$15</f>
        <v>6.5225587623198716E-2</v>
      </c>
      <c r="AH94" s="434">
        <f t="shared" si="10"/>
        <v>0.13504919452416869</v>
      </c>
    </row>
    <row r="95" spans="1:44">
      <c r="A95" s="435">
        <f>'Input data'!A124</f>
        <v>2024</v>
      </c>
      <c r="B95" s="107">
        <f>'Recycling - Case 1'!AP104</f>
        <v>0.10590246561237524</v>
      </c>
      <c r="C95" s="473">
        <f>$B95*'Recycling - Case 1'!BM104*'Recycling - Case 1'!$AK104</f>
        <v>703.51600335856881</v>
      </c>
      <c r="D95" s="474">
        <f>$B95*'Recycling - Case 1'!BN104*'Recycling - Case 1'!$AK104</f>
        <v>734.75579145937331</v>
      </c>
      <c r="E95" s="474">
        <f>$B95*'Recycling - Case 1'!BO104*'Recycling - Case 1'!$AK104</f>
        <v>200.68411212419869</v>
      </c>
      <c r="F95" s="474">
        <f>$B95*'Recycling - Case 1'!BP104*'Recycling - Case 1'!$AK104</f>
        <v>0</v>
      </c>
      <c r="G95" s="474">
        <f>$B95*'Recycling - Case 1'!BQ104*'Recycling - Case 1'!$AK104</f>
        <v>0</v>
      </c>
      <c r="H95" s="474">
        <f>$B95*'Recycling - Case 1'!BR104*'Recycling - Case 1'!$AK104</f>
        <v>0</v>
      </c>
      <c r="I95" s="474">
        <f>$B95*'Recycling - Case 1'!BS104*'Recycling - Case 1'!$AK104</f>
        <v>784.60592987038592</v>
      </c>
      <c r="J95" s="663">
        <f t="shared" si="11"/>
        <v>2423.5618368125265</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1.060141918071777</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27.031243495894532</v>
      </c>
      <c r="R95" s="104">
        <f t="shared" si="8"/>
        <v>28.091385413966311</v>
      </c>
      <c r="S95" s="431">
        <f>C95*'4C2 Open-burning '!$C$9*'4C2 Open-burning '!$C$11*$C$5</f>
        <v>2.7437124130984185</v>
      </c>
      <c r="T95" s="431">
        <f>D95*'4C2 Open-burning '!$C$9*'4C2 Open-burning '!$C$11*$C$5</f>
        <v>2.8655475866915556</v>
      </c>
      <c r="U95" s="431">
        <f>E95*'4C2 Open-burning '!$C$9*'4C2 Open-burning '!$C$11*$C$5</f>
        <v>0.78266803728437484</v>
      </c>
      <c r="V95" s="431">
        <f>F95*'4C2 Open-burning '!$C$9*'4C2 Open-burning '!$C$11*$C$5</f>
        <v>0</v>
      </c>
      <c r="W95" s="431">
        <f>G95*'4C2 Open-burning '!$C$9*'4C2 Open-burning '!$C$11*$C$5</f>
        <v>0</v>
      </c>
      <c r="X95" s="431">
        <f>H95*'4C2 Open-burning '!$C$9*'4C2 Open-burning '!$C$11*$C$5</f>
        <v>0</v>
      </c>
      <c r="Y95" s="431">
        <f>I95*'4C2 Open-burning '!$C$9*'4C2 Open-burning '!$C$11*$C$5</f>
        <v>3.0599631264945049</v>
      </c>
      <c r="Z95" s="432">
        <f t="shared" si="9"/>
        <v>9.4518911635688543</v>
      </c>
      <c r="AA95" s="433">
        <f>C95*'4C2 Open-burning '!$C$10*'4C2 Open-burning '!$C$11*$C$5*C$15</f>
        <v>2.5326576120908474E-2</v>
      </c>
      <c r="AB95" s="433">
        <f>D95*'4C2 Open-burning '!$C$10*'4C2 Open-burning '!$C$11*$C$5*D$15</f>
        <v>2.6451208492537438E-2</v>
      </c>
      <c r="AC95" s="433">
        <f>E95*'4C2 Open-burning '!$C$10*'4C2 Open-burning '!$C$11*$C$5*E$15</f>
        <v>1.6255413082060091E-2</v>
      </c>
      <c r="AD95" s="433">
        <f>F95*'4C2 Open-burning '!$C$10*'4C2 Open-burning '!$C$11*$C$5*F$15</f>
        <v>0</v>
      </c>
      <c r="AE95" s="433">
        <f>G95*'4C2 Open-burning '!$C$10*'4C2 Open-burning '!$C$11*$C$5*G$15</f>
        <v>0</v>
      </c>
      <c r="AF95" s="433">
        <f>H95*'4C2 Open-burning '!$C$10*'4C2 Open-burning '!$C$11*$C$5*H$15</f>
        <v>0</v>
      </c>
      <c r="AG95" s="433">
        <f>I95*'4C2 Open-burning '!$C$10*'4C2 Open-burning '!$C$11*$C$5*I$15</f>
        <v>6.3553080319501257E-2</v>
      </c>
      <c r="AH95" s="434">
        <f t="shared" si="10"/>
        <v>0.13158627801500727</v>
      </c>
    </row>
    <row r="96" spans="1:44">
      <c r="A96" s="435">
        <f>'Input data'!A125</f>
        <v>2025</v>
      </c>
      <c r="B96" s="107">
        <f>'Recycling - Case 1'!AP105</f>
        <v>0.10357945994230633</v>
      </c>
      <c r="C96" s="473">
        <f>$B96*'Recycling - Case 1'!BM105*'Recycling - Case 1'!$AK105</f>
        <v>685.69442408918042</v>
      </c>
      <c r="D96" s="474">
        <f>$B96*'Recycling - Case 1'!BN105*'Recycling - Case 1'!$AK105</f>
        <v>716.14284091010006</v>
      </c>
      <c r="E96" s="474">
        <f>$B96*'Recycling - Case 1'!BO105*'Recycling - Case 1'!$AK105</f>
        <v>195.6003502833108</v>
      </c>
      <c r="F96" s="474">
        <f>$B96*'Recycling - Case 1'!BP105*'Recycling - Case 1'!$AK105</f>
        <v>0</v>
      </c>
      <c r="G96" s="474">
        <f>$B96*'Recycling - Case 1'!BQ105*'Recycling - Case 1'!$AK105</f>
        <v>0</v>
      </c>
      <c r="H96" s="474">
        <f>$B96*'Recycling - Case 1'!BR105*'Recycling - Case 1'!$AK105</f>
        <v>0</v>
      </c>
      <c r="I96" s="474">
        <f>$B96*'Recycling - Case 1'!BS105*'Recycling - Case 1'!$AK105</f>
        <v>764.73016768777302</v>
      </c>
      <c r="J96" s="663">
        <f t="shared" si="11"/>
        <v>2362.167782970364</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1.0332862344206291</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26.346483737179152</v>
      </c>
      <c r="R96" s="104">
        <f t="shared" si="8"/>
        <v>27.379769971599782</v>
      </c>
      <c r="S96" s="431">
        <f>C96*'4C2 Open-burning '!$C$9*'4C2 Open-burning '!$C$11*$C$5</f>
        <v>2.6742082539478034</v>
      </c>
      <c r="T96" s="431">
        <f>D96*'4C2 Open-burning '!$C$9*'4C2 Open-burning '!$C$11*$C$5</f>
        <v>2.7929570795493901</v>
      </c>
      <c r="U96" s="431">
        <f>E96*'4C2 Open-burning '!$C$9*'4C2 Open-burning '!$C$11*$C$5</f>
        <v>0.76284136610491216</v>
      </c>
      <c r="V96" s="431">
        <f>F96*'4C2 Open-burning '!$C$9*'4C2 Open-burning '!$C$11*$C$5</f>
        <v>0</v>
      </c>
      <c r="W96" s="431">
        <f>G96*'4C2 Open-burning '!$C$9*'4C2 Open-burning '!$C$11*$C$5</f>
        <v>0</v>
      </c>
      <c r="X96" s="431">
        <f>H96*'4C2 Open-burning '!$C$9*'4C2 Open-burning '!$C$11*$C$5</f>
        <v>0</v>
      </c>
      <c r="Y96" s="431">
        <f>I96*'4C2 Open-burning '!$C$9*'4C2 Open-burning '!$C$11*$C$5</f>
        <v>2.9824476539823146</v>
      </c>
      <c r="Z96" s="432">
        <f t="shared" si="9"/>
        <v>9.2124543535844214</v>
      </c>
      <c r="AA96" s="433">
        <f>C96*'4C2 Open-burning '!$C$10*'4C2 Open-burning '!$C$11*$C$5*C$15</f>
        <v>2.4684999267210492E-2</v>
      </c>
      <c r="AB96" s="433">
        <f>D96*'4C2 Open-burning '!$C$10*'4C2 Open-burning '!$C$11*$C$5*D$15</f>
        <v>2.5781142272763603E-2</v>
      </c>
      <c r="AC96" s="433">
        <f>E96*'4C2 Open-burning '!$C$10*'4C2 Open-burning '!$C$11*$C$5*E$15</f>
        <v>1.5843628372948174E-2</v>
      </c>
      <c r="AD96" s="433">
        <f>F96*'4C2 Open-burning '!$C$10*'4C2 Open-burning '!$C$11*$C$5*F$15</f>
        <v>0</v>
      </c>
      <c r="AE96" s="433">
        <f>G96*'4C2 Open-burning '!$C$10*'4C2 Open-burning '!$C$11*$C$5*G$15</f>
        <v>0</v>
      </c>
      <c r="AF96" s="433">
        <f>H96*'4C2 Open-burning '!$C$10*'4C2 Open-burning '!$C$11*$C$5*H$15</f>
        <v>0</v>
      </c>
      <c r="AG96" s="433">
        <f>I96*'4C2 Open-burning '!$C$10*'4C2 Open-burning '!$C$11*$C$5*I$15</f>
        <v>6.1943143582709609E-2</v>
      </c>
      <c r="AH96" s="434">
        <f t="shared" si="10"/>
        <v>0.12825291349563189</v>
      </c>
    </row>
    <row r="97" spans="1:34">
      <c r="A97" s="435">
        <f>'Input data'!A126</f>
        <v>2026</v>
      </c>
      <c r="B97" s="107">
        <f>'Recycling - Case 1'!AP106</f>
        <v>0.10123951226637472</v>
      </c>
      <c r="C97" s="473">
        <f>$B97*'Recycling - Case 1'!BM106*'Recycling - Case 1'!$AK106</f>
        <v>668.49083736141279</v>
      </c>
      <c r="D97" s="474">
        <f>$B97*'Recycling - Case 1'!BN106*'Recycling - Case 1'!$AK106</f>
        <v>698.17532500178265</v>
      </c>
      <c r="E97" s="474">
        <f>$B97*'Recycling - Case 1'!BO106*'Recycling - Case 1'!$AK106</f>
        <v>190.69287623676232</v>
      </c>
      <c r="F97" s="474">
        <f>$B97*'Recycling - Case 1'!BP106*'Recycling - Case 1'!$AK106</f>
        <v>0</v>
      </c>
      <c r="G97" s="474">
        <f>$B97*'Recycling - Case 1'!BQ106*'Recycling - Case 1'!$AK106</f>
        <v>0</v>
      </c>
      <c r="H97" s="474">
        <f>$B97*'Recycling - Case 1'!BR106*'Recycling - Case 1'!$AK106</f>
        <v>0</v>
      </c>
      <c r="I97" s="474">
        <f>$B97*'Recycling - Case 1'!BS106*'Recycling - Case 1'!$AK106</f>
        <v>745.54363021427309</v>
      </c>
      <c r="J97" s="663">
        <f t="shared" si="11"/>
        <v>2302.9026688142308</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1.0073618157233701</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25.685469148142133</v>
      </c>
      <c r="R97" s="104">
        <f t="shared" si="8"/>
        <v>26.692830963865504</v>
      </c>
      <c r="S97" s="431">
        <f>C97*'4C2 Open-burning '!$C$9*'4C2 Open-burning '!$C$11*$C$5</f>
        <v>2.6071142657095101</v>
      </c>
      <c r="T97" s="431">
        <f>D97*'4C2 Open-burning '!$C$9*'4C2 Open-burning '!$C$11*$C$5</f>
        <v>2.7228837675069522</v>
      </c>
      <c r="U97" s="431">
        <f>E97*'4C2 Open-burning '!$C$9*'4C2 Open-burning '!$C$11*$C$5</f>
        <v>0.74370221732337294</v>
      </c>
      <c r="V97" s="431">
        <f>F97*'4C2 Open-burning '!$C$9*'4C2 Open-burning '!$C$11*$C$5</f>
        <v>0</v>
      </c>
      <c r="W97" s="431">
        <f>G97*'4C2 Open-burning '!$C$9*'4C2 Open-burning '!$C$11*$C$5</f>
        <v>0</v>
      </c>
      <c r="X97" s="431">
        <f>H97*'4C2 Open-burning '!$C$9*'4C2 Open-burning '!$C$11*$C$5</f>
        <v>0</v>
      </c>
      <c r="Y97" s="431">
        <f>I97*'4C2 Open-burning '!$C$9*'4C2 Open-burning '!$C$11*$C$5</f>
        <v>2.9076201578356646</v>
      </c>
      <c r="Z97" s="432">
        <f t="shared" si="9"/>
        <v>8.9813204083754989</v>
      </c>
      <c r="AA97" s="433">
        <f>C97*'4C2 Open-burning '!$C$10*'4C2 Open-burning '!$C$11*$C$5*C$15</f>
        <v>2.4065670145010862E-2</v>
      </c>
      <c r="AB97" s="433">
        <f>D97*'4C2 Open-burning '!$C$10*'4C2 Open-burning '!$C$11*$C$5*D$15</f>
        <v>2.5134311700064173E-2</v>
      </c>
      <c r="AC97" s="433">
        <f>E97*'4C2 Open-burning '!$C$10*'4C2 Open-burning '!$C$11*$C$5*E$15</f>
        <v>1.5446122975177747E-2</v>
      </c>
      <c r="AD97" s="433">
        <f>F97*'4C2 Open-burning '!$C$10*'4C2 Open-burning '!$C$11*$C$5*F$15</f>
        <v>0</v>
      </c>
      <c r="AE97" s="433">
        <f>G97*'4C2 Open-burning '!$C$10*'4C2 Open-burning '!$C$11*$C$5*G$15</f>
        <v>0</v>
      </c>
      <c r="AF97" s="433">
        <f>H97*'4C2 Open-burning '!$C$10*'4C2 Open-burning '!$C$11*$C$5*H$15</f>
        <v>0</v>
      </c>
      <c r="AG97" s="433">
        <f>I97*'4C2 Open-burning '!$C$10*'4C2 Open-burning '!$C$11*$C$5*I$15</f>
        <v>6.038903404735612E-2</v>
      </c>
      <c r="AH97" s="434">
        <f t="shared" si="10"/>
        <v>0.12503513886760889</v>
      </c>
    </row>
    <row r="98" spans="1:34">
      <c r="A98" s="435">
        <f>'Input data'!A127</f>
        <v>2027</v>
      </c>
      <c r="B98" s="107">
        <f>'Recycling - Case 1'!AP107</f>
        <v>9.8894086505521617E-2</v>
      </c>
      <c r="C98" s="473">
        <f>$B98*'Recycling - Case 1'!BM107*'Recycling - Case 1'!$AK107</f>
        <v>651.90579371534534</v>
      </c>
      <c r="D98" s="474">
        <f>$B98*'Recycling - Case 1'!BN107*'Recycling - Case 1'!$AK107</f>
        <v>680.85381872135838</v>
      </c>
      <c r="E98" s="474">
        <f>$B98*'Recycling - Case 1'!BO107*'Recycling - Case 1'!$AK107</f>
        <v>185.96184703094093</v>
      </c>
      <c r="F98" s="474">
        <f>$B98*'Recycling - Case 1'!BP107*'Recycling - Case 1'!$AK107</f>
        <v>0</v>
      </c>
      <c r="G98" s="474">
        <f>$B98*'Recycling - Case 1'!BQ107*'Recycling - Case 1'!$AK107</f>
        <v>0</v>
      </c>
      <c r="H98" s="474">
        <f>$B98*'Recycling - Case 1'!BR107*'Recycling - Case 1'!$AK107</f>
        <v>0</v>
      </c>
      <c r="I98" s="474">
        <f>$B98*'Recycling - Case 1'!BS107*'Recycling - Case 1'!$AK107</f>
        <v>727.04693144730675</v>
      </c>
      <c r="J98" s="663">
        <f t="shared" si="11"/>
        <v>2245.7683909149514</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0.9823694915995298</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25.048220882222608</v>
      </c>
      <c r="R98" s="104">
        <f t="shared" si="8"/>
        <v>26.03059037382214</v>
      </c>
      <c r="S98" s="431">
        <f>C98*'4C2 Open-burning '!$C$9*'4C2 Open-burning '!$C$11*$C$5</f>
        <v>2.5424325954898466</v>
      </c>
      <c r="T98" s="431">
        <f>D98*'4C2 Open-burning '!$C$9*'4C2 Open-burning '!$C$11*$C$5</f>
        <v>2.655329893013298</v>
      </c>
      <c r="U98" s="431">
        <f>E98*'4C2 Open-burning '!$C$9*'4C2 Open-burning '!$C$11*$C$5</f>
        <v>0.72525120342066962</v>
      </c>
      <c r="V98" s="431">
        <f>F98*'4C2 Open-burning '!$C$9*'4C2 Open-burning '!$C$11*$C$5</f>
        <v>0</v>
      </c>
      <c r="W98" s="431">
        <f>G98*'4C2 Open-burning '!$C$9*'4C2 Open-burning '!$C$11*$C$5</f>
        <v>0</v>
      </c>
      <c r="X98" s="431">
        <f>H98*'4C2 Open-burning '!$C$9*'4C2 Open-burning '!$C$11*$C$5</f>
        <v>0</v>
      </c>
      <c r="Y98" s="431">
        <f>I98*'4C2 Open-burning '!$C$9*'4C2 Open-burning '!$C$11*$C$5</f>
        <v>2.8354830326444964</v>
      </c>
      <c r="Z98" s="432">
        <f t="shared" si="9"/>
        <v>8.7584967245683103</v>
      </c>
      <c r="AA98" s="433">
        <f>C98*'4C2 Open-burning '!$C$10*'4C2 Open-burning '!$C$11*$C$5*C$15</f>
        <v>2.3468608573752429E-2</v>
      </c>
      <c r="AB98" s="433">
        <f>D98*'4C2 Open-burning '!$C$10*'4C2 Open-burning '!$C$11*$C$5*D$15</f>
        <v>2.45107374739689E-2</v>
      </c>
      <c r="AC98" s="433">
        <f>E98*'4C2 Open-burning '!$C$10*'4C2 Open-burning '!$C$11*$C$5*E$15</f>
        <v>1.5062909609506217E-2</v>
      </c>
      <c r="AD98" s="433">
        <f>F98*'4C2 Open-burning '!$C$10*'4C2 Open-burning '!$C$11*$C$5*F$15</f>
        <v>0</v>
      </c>
      <c r="AE98" s="433">
        <f>G98*'4C2 Open-burning '!$C$10*'4C2 Open-burning '!$C$11*$C$5*G$15</f>
        <v>0</v>
      </c>
      <c r="AF98" s="433">
        <f>H98*'4C2 Open-burning '!$C$10*'4C2 Open-burning '!$C$11*$C$5*H$15</f>
        <v>0</v>
      </c>
      <c r="AG98" s="433">
        <f>I98*'4C2 Open-burning '!$C$10*'4C2 Open-burning '!$C$11*$C$5*I$15</f>
        <v>5.8890801447231841E-2</v>
      </c>
      <c r="AH98" s="434">
        <f t="shared" si="10"/>
        <v>0.1219330571044594</v>
      </c>
    </row>
    <row r="99" spans="1:34">
      <c r="A99" s="435">
        <f>'Input data'!A128</f>
        <v>2028</v>
      </c>
      <c r="B99" s="107">
        <f>'Recycling - Case 1'!AP108</f>
        <v>9.5116098775772956E-2</v>
      </c>
      <c r="C99" s="473">
        <f>$B99*'Recycling - Case 1'!BM108*'Recycling - Case 1'!$AK108</f>
        <v>616.21737642049845</v>
      </c>
      <c r="D99" s="474">
        <f>$B99*'Recycling - Case 1'!BN108*'Recycling - Case 1'!$AK108</f>
        <v>643.58064914138697</v>
      </c>
      <c r="E99" s="474">
        <f>$B99*'Recycling - Case 1'!BO108*'Recycling - Case 1'!$AK108</f>
        <v>175.78141289192695</v>
      </c>
      <c r="F99" s="474">
        <f>$B99*'Recycling - Case 1'!BP108*'Recycling - Case 1'!$AK108</f>
        <v>0</v>
      </c>
      <c r="G99" s="474">
        <f>$B99*'Recycling - Case 1'!BQ108*'Recycling - Case 1'!$AK108</f>
        <v>0</v>
      </c>
      <c r="H99" s="474">
        <f>$B99*'Recycling - Case 1'!BR108*'Recycling - Case 1'!$AK108</f>
        <v>0</v>
      </c>
      <c r="I99" s="474">
        <f>$B99*'Recycling - Case 1'!BS108*'Recycling - Case 1'!$AK108</f>
        <v>687.24493162989256</v>
      </c>
      <c r="J99" s="663">
        <f t="shared" si="11"/>
        <v>2122.8243700837047</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0.9285899229994089</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23.676962384513057</v>
      </c>
      <c r="R99" s="104">
        <f t="shared" si="8"/>
        <v>24.605552307512465</v>
      </c>
      <c r="S99" s="431">
        <f>C99*'4C2 Open-burning '!$C$9*'4C2 Open-burning '!$C$11*$C$5</f>
        <v>2.403247768039944</v>
      </c>
      <c r="T99" s="431">
        <f>D99*'4C2 Open-burning '!$C$9*'4C2 Open-burning '!$C$11*$C$5</f>
        <v>2.5099645316514092</v>
      </c>
      <c r="U99" s="431">
        <f>E99*'4C2 Open-burning '!$C$9*'4C2 Open-burning '!$C$11*$C$5</f>
        <v>0.68554751027851513</v>
      </c>
      <c r="V99" s="431">
        <f>F99*'4C2 Open-burning '!$C$9*'4C2 Open-burning '!$C$11*$C$5</f>
        <v>0</v>
      </c>
      <c r="W99" s="431">
        <f>G99*'4C2 Open-burning '!$C$9*'4C2 Open-burning '!$C$11*$C$5</f>
        <v>0</v>
      </c>
      <c r="X99" s="431">
        <f>H99*'4C2 Open-burning '!$C$9*'4C2 Open-burning '!$C$11*$C$5</f>
        <v>0</v>
      </c>
      <c r="Y99" s="431">
        <f>I99*'4C2 Open-burning '!$C$9*'4C2 Open-burning '!$C$11*$C$5</f>
        <v>2.680255233356581</v>
      </c>
      <c r="Z99" s="432">
        <f t="shared" si="9"/>
        <v>8.2790150433264493</v>
      </c>
      <c r="AA99" s="433">
        <f>C99*'4C2 Open-burning '!$C$10*'4C2 Open-burning '!$C$11*$C$5*C$15</f>
        <v>2.2183825551137945E-2</v>
      </c>
      <c r="AB99" s="433">
        <f>D99*'4C2 Open-burning '!$C$10*'4C2 Open-burning '!$C$11*$C$5*D$15</f>
        <v>2.316890336908993E-2</v>
      </c>
      <c r="AC99" s="433">
        <f>E99*'4C2 Open-burning '!$C$10*'4C2 Open-burning '!$C$11*$C$5*E$15</f>
        <v>1.4238294444246083E-2</v>
      </c>
      <c r="AD99" s="433">
        <f>F99*'4C2 Open-burning '!$C$10*'4C2 Open-burning '!$C$11*$C$5*F$15</f>
        <v>0</v>
      </c>
      <c r="AE99" s="433">
        <f>G99*'4C2 Open-burning '!$C$10*'4C2 Open-burning '!$C$11*$C$5*G$15</f>
        <v>0</v>
      </c>
      <c r="AF99" s="433">
        <f>H99*'4C2 Open-burning '!$C$10*'4C2 Open-burning '!$C$11*$C$5*H$15</f>
        <v>0</v>
      </c>
      <c r="AG99" s="433">
        <f>I99*'4C2 Open-burning '!$C$10*'4C2 Open-burning '!$C$11*$C$5*I$15</f>
        <v>5.5666839462021299E-2</v>
      </c>
      <c r="AH99" s="434">
        <f t="shared" si="10"/>
        <v>0.11525786282649525</v>
      </c>
    </row>
    <row r="100" spans="1:34">
      <c r="A100" s="435">
        <f>'Input data'!A129</f>
        <v>2029</v>
      </c>
      <c r="B100" s="107">
        <f>'Recycling - Case 1'!AP109</f>
        <v>9.1428022937354705E-2</v>
      </c>
      <c r="C100" s="473">
        <f>$B100*'Recycling - Case 1'!BM109*'Recycling - Case 1'!$AK109</f>
        <v>582.56322553879045</v>
      </c>
      <c r="D100" s="474">
        <f>$B100*'Recycling - Case 1'!BN109*'Recycling - Case 1'!$AK109</f>
        <v>608.4320780371994</v>
      </c>
      <c r="E100" s="474">
        <f>$B100*'Recycling - Case 1'!BO109*'Recycling - Case 1'!$AK109</f>
        <v>166.18127109451706</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649.71167549857114</v>
      </c>
      <c r="J100" s="663">
        <f t="shared" si="11"/>
        <v>2006.8882501690782</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0.87787582993473956</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22.383866644276772</v>
      </c>
      <c r="R100" s="104">
        <f t="shared" si="8"/>
        <v>23.261742474211513</v>
      </c>
      <c r="S100" s="431">
        <f>C100*'4C2 Open-burning '!$C$9*'4C2 Open-burning '!$C$11*$C$5</f>
        <v>2.2719965796012827</v>
      </c>
      <c r="T100" s="431">
        <f>D100*'4C2 Open-burning '!$C$9*'4C2 Open-burning '!$C$11*$C$5</f>
        <v>2.3728851043450776</v>
      </c>
      <c r="U100" s="431">
        <f>E100*'4C2 Open-burning '!$C$9*'4C2 Open-burning '!$C$11*$C$5</f>
        <v>0.64810695726861656</v>
      </c>
      <c r="V100" s="431">
        <f>F100*'4C2 Open-burning '!$C$9*'4C2 Open-burning '!$C$11*$C$5</f>
        <v>0</v>
      </c>
      <c r="W100" s="431">
        <f>G100*'4C2 Open-burning '!$C$9*'4C2 Open-burning '!$C$11*$C$5</f>
        <v>0</v>
      </c>
      <c r="X100" s="431">
        <f>H100*'4C2 Open-burning '!$C$9*'4C2 Open-burning '!$C$11*$C$5</f>
        <v>0</v>
      </c>
      <c r="Y100" s="431">
        <f>I100*'4C2 Open-burning '!$C$9*'4C2 Open-burning '!$C$11*$C$5</f>
        <v>2.533875534444427</v>
      </c>
      <c r="Z100" s="432">
        <f t="shared" si="9"/>
        <v>7.826864175659404</v>
      </c>
      <c r="AA100" s="433">
        <f>C100*'4C2 Open-burning '!$C$10*'4C2 Open-burning '!$C$11*$C$5*C$15</f>
        <v>2.0972276119396456E-2</v>
      </c>
      <c r="AB100" s="433">
        <f>D100*'4C2 Open-burning '!$C$10*'4C2 Open-burning '!$C$11*$C$5*D$15</f>
        <v>2.1903554809339178E-2</v>
      </c>
      <c r="AC100" s="433">
        <f>E100*'4C2 Open-burning '!$C$10*'4C2 Open-burning '!$C$11*$C$5*E$15</f>
        <v>1.3460682958655882E-2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5.2626645715384258E-2</v>
      </c>
      <c r="AH100" s="434">
        <f t="shared" si="10"/>
        <v>0.10896315960277578</v>
      </c>
    </row>
    <row r="101" spans="1:34">
      <c r="A101" s="435">
        <f>'Input data'!A130</f>
        <v>2030</v>
      </c>
      <c r="B101" s="107">
        <f>'Recycling - Case 1'!AP110</f>
        <v>8.7832303269682555E-2</v>
      </c>
      <c r="C101" s="473">
        <f>$B101*'Recycling - Case 1'!BM110*'Recycling - Case 1'!$AK110</f>
        <v>550.82089855242293</v>
      </c>
      <c r="D101" s="474">
        <f>$B101*'Recycling - Case 1'!BN110*'Recycling - Case 1'!$AK110</f>
        <v>575.28022580315223</v>
      </c>
      <c r="E101" s="474">
        <f>$B101*'Recycling - Case 1'!BO110*'Recycling - Case 1'!$AK110</f>
        <v>157.12649383628258</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614.3106073459038</v>
      </c>
      <c r="J101" s="663">
        <f t="shared" si="11"/>
        <v>1897.5382255377617</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0.83004270139929981</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21.164229044281075</v>
      </c>
      <c r="R101" s="104">
        <f t="shared" si="8"/>
        <v>21.994271745680376</v>
      </c>
      <c r="S101" s="431">
        <f>C101*'4C2 Open-burning '!$C$9*'4C2 Open-burning '!$C$11*$C$5</f>
        <v>2.1482015043544491</v>
      </c>
      <c r="T101" s="431">
        <f>D101*'4C2 Open-burning '!$C$9*'4C2 Open-burning '!$C$11*$C$5</f>
        <v>2.2435928806322933</v>
      </c>
      <c r="U101" s="431">
        <f>E101*'4C2 Open-burning '!$C$9*'4C2 Open-burning '!$C$11*$C$5</f>
        <v>0.61279332596150204</v>
      </c>
      <c r="V101" s="431">
        <f>F101*'4C2 Open-burning '!$C$9*'4C2 Open-burning '!$C$11*$C$5</f>
        <v>0</v>
      </c>
      <c r="W101" s="431">
        <f>G101*'4C2 Open-burning '!$C$9*'4C2 Open-burning '!$C$11*$C$5</f>
        <v>0</v>
      </c>
      <c r="X101" s="431">
        <f>H101*'4C2 Open-burning '!$C$9*'4C2 Open-burning '!$C$11*$C$5</f>
        <v>0</v>
      </c>
      <c r="Y101" s="431">
        <f>I101*'4C2 Open-burning '!$C$9*'4C2 Open-burning '!$C$11*$C$5</f>
        <v>2.3958113686490248</v>
      </c>
      <c r="Z101" s="432">
        <f t="shared" si="9"/>
        <v>7.4003990795972694</v>
      </c>
      <c r="AA101" s="433">
        <f>C101*'4C2 Open-burning '!$C$10*'4C2 Open-burning '!$C$11*$C$5*C$15</f>
        <v>1.9829552347887226E-2</v>
      </c>
      <c r="AB101" s="433">
        <f>D101*'4C2 Open-burning '!$C$10*'4C2 Open-burning '!$C$11*$C$5*D$15</f>
        <v>2.0710088128913482E-2</v>
      </c>
      <c r="AC101" s="433">
        <f>E101*'4C2 Open-burning '!$C$10*'4C2 Open-burning '!$C$11*$C$5*E$15</f>
        <v>1.2727246000738889E-2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4.9759159195018207E-2</v>
      </c>
      <c r="AH101" s="434">
        <f t="shared" si="10"/>
        <v>0.10302604567255781</v>
      </c>
    </row>
    <row r="102" spans="1:34">
      <c r="A102" s="435">
        <f>'Input data'!A131</f>
        <v>2031</v>
      </c>
      <c r="B102" s="107">
        <f>'Recycling - Case 1'!AP111</f>
        <v>8.4598455387842872E-2</v>
      </c>
      <c r="C102" s="473">
        <f>$B102*'Recycling - Case 1'!BM111*'Recycling - Case 1'!$AK111</f>
        <v>523.37916906365444</v>
      </c>
      <c r="D102" s="474">
        <f>$B102*'Recycling - Case 1'!BN111*'Recycling - Case 1'!$AK111</f>
        <v>546.61994007649287</v>
      </c>
      <c r="E102" s="474">
        <f>$B102*'Recycling - Case 1'!BO111*'Recycling - Case 1'!$AK111</f>
        <v>149.29849974472663</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583.70583989214504</v>
      </c>
      <c r="J102" s="663">
        <f t="shared" si="11"/>
        <v>1803.003448777019</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0.7886902266914827</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20.109833595964179</v>
      </c>
      <c r="R102" s="104">
        <f t="shared" si="8"/>
        <v>20.898523822655662</v>
      </c>
      <c r="S102" s="431">
        <f>C102*'4C2 Open-burning '!$C$9*'4C2 Open-burning '!$C$11*$C$5</f>
        <v>2.0411787593482522</v>
      </c>
      <c r="T102" s="431">
        <f>D102*'4C2 Open-burning '!$C$9*'4C2 Open-burning '!$C$11*$C$5</f>
        <v>2.131817766298322</v>
      </c>
      <c r="U102" s="431">
        <f>E102*'4C2 Open-burning '!$C$9*'4C2 Open-burning '!$C$11*$C$5</f>
        <v>0.5822641490044338</v>
      </c>
      <c r="V102" s="431">
        <f>F102*'4C2 Open-burning '!$C$9*'4C2 Open-burning '!$C$11*$C$5</f>
        <v>0</v>
      </c>
      <c r="W102" s="431">
        <f>G102*'4C2 Open-burning '!$C$9*'4C2 Open-burning '!$C$11*$C$5</f>
        <v>0</v>
      </c>
      <c r="X102" s="431">
        <f>H102*'4C2 Open-burning '!$C$9*'4C2 Open-burning '!$C$11*$C$5</f>
        <v>0</v>
      </c>
      <c r="Y102" s="431">
        <f>I102*'4C2 Open-burning '!$C$9*'4C2 Open-burning '!$C$11*$C$5</f>
        <v>2.2764527755793655</v>
      </c>
      <c r="Z102" s="432">
        <f t="shared" si="9"/>
        <v>7.0317134502303738</v>
      </c>
      <c r="AA102" s="433">
        <f>C102*'4C2 Open-burning '!$C$10*'4C2 Open-burning '!$C$11*$C$5*C$15</f>
        <v>1.8841650086291559E-2</v>
      </c>
      <c r="AB102" s="433">
        <f>D102*'4C2 Open-burning '!$C$10*'4C2 Open-burning '!$C$11*$C$5*D$15</f>
        <v>1.9678317842753743E-2</v>
      </c>
      <c r="AC102" s="433">
        <f>E102*'4C2 Open-burning '!$C$10*'4C2 Open-burning '!$C$11*$C$5*E$15</f>
        <v>1.2093178479322857E-2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4.7280173031263743E-2</v>
      </c>
      <c r="AH102" s="434">
        <f t="shared" si="10"/>
        <v>9.7893319439631893E-2</v>
      </c>
    </row>
    <row r="103" spans="1:34">
      <c r="A103" s="435">
        <f>'Input data'!A132</f>
        <v>2032</v>
      </c>
      <c r="B103" s="107">
        <f>'Recycling - Case 1'!AP112</f>
        <v>8.1309333437070822E-2</v>
      </c>
      <c r="C103" s="473">
        <f>$B103*'Recycling - Case 1'!BM112*'Recycling - Case 1'!$AK112</f>
        <v>496.12882819464585</v>
      </c>
      <c r="D103" s="474">
        <f>$B103*'Recycling - Case 1'!BN112*'Recycling - Case 1'!$AK112</f>
        <v>518.15954162477328</v>
      </c>
      <c r="E103" s="474">
        <f>$B103*'Recycling - Case 1'!BO112*'Recycling - Case 1'!$AK112</f>
        <v>141.52510093606946</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553.31452123735664</v>
      </c>
      <c r="J103" s="663">
        <f t="shared" si="11"/>
        <v>1709.1279919928452</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0.74762615920891795</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19.062791885669409</v>
      </c>
      <c r="R103" s="104">
        <f t="shared" si="8"/>
        <v>19.810418044878325</v>
      </c>
      <c r="S103" s="431">
        <f>C103*'4C2 Open-burning '!$C$9*'4C2 Open-burning '!$C$11*$C$5</f>
        <v>1.9349024299591189</v>
      </c>
      <c r="T103" s="431">
        <f>D103*'4C2 Open-burning '!$C$9*'4C2 Open-burning '!$C$11*$C$5</f>
        <v>2.0208222123366157</v>
      </c>
      <c r="U103" s="431">
        <f>E103*'4C2 Open-burning '!$C$9*'4C2 Open-burning '!$C$11*$C$5</f>
        <v>0.55194789365067087</v>
      </c>
      <c r="V103" s="431">
        <f>F103*'4C2 Open-burning '!$C$9*'4C2 Open-burning '!$C$11*$C$5</f>
        <v>0</v>
      </c>
      <c r="W103" s="431">
        <f>G103*'4C2 Open-burning '!$C$9*'4C2 Open-burning '!$C$11*$C$5</f>
        <v>0</v>
      </c>
      <c r="X103" s="431">
        <f>H103*'4C2 Open-burning '!$C$9*'4C2 Open-burning '!$C$11*$C$5</f>
        <v>0</v>
      </c>
      <c r="Y103" s="431">
        <f>I103*'4C2 Open-burning '!$C$9*'4C2 Open-burning '!$C$11*$C$5</f>
        <v>2.1579266328256907</v>
      </c>
      <c r="Z103" s="432">
        <f t="shared" si="9"/>
        <v>6.665599168772097</v>
      </c>
      <c r="AA103" s="433">
        <f>C103*'4C2 Open-burning '!$C$10*'4C2 Open-burning '!$C$11*$C$5*C$15</f>
        <v>1.7860637815007251E-2</v>
      </c>
      <c r="AB103" s="433">
        <f>D103*'4C2 Open-burning '!$C$10*'4C2 Open-burning '!$C$11*$C$5*D$15</f>
        <v>1.8653743498491838E-2</v>
      </c>
      <c r="AC103" s="433">
        <f>E103*'4C2 Open-burning '!$C$10*'4C2 Open-burning '!$C$11*$C$5*E$15</f>
        <v>1.1463533175821624E-2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4.4818476220225889E-2</v>
      </c>
      <c r="AH103" s="434">
        <f t="shared" si="10"/>
        <v>9.2796390709546595E-2</v>
      </c>
    </row>
    <row r="104" spans="1:34">
      <c r="A104" s="435">
        <f>'Input data'!A133</f>
        <v>2033</v>
      </c>
      <c r="B104" s="107">
        <f>'Recycling - Case 1'!AP113</f>
        <v>7.7960784631917232E-2</v>
      </c>
      <c r="C104" s="473">
        <f>$B104*'Recycling - Case 1'!BM113*'Recycling - Case 1'!$AK113</f>
        <v>469.0593711708886</v>
      </c>
      <c r="D104" s="474">
        <f>$B104*'Recycling - Case 1'!BN113*'Recycling - Case 1'!$AK113</f>
        <v>489.88805920658444</v>
      </c>
      <c r="E104" s="474">
        <f>$B104*'Recycling - Case 1'!BO113*'Recycling - Case 1'!$AK113</f>
        <v>133.80330083122081</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523.12493578682279</v>
      </c>
      <c r="J104" s="663">
        <f t="shared" si="11"/>
        <v>1615.8756669955167</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0.70683466910304027</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18.022700287727616</v>
      </c>
      <c r="R104" s="104">
        <f t="shared" si="8"/>
        <v>18.729534956830655</v>
      </c>
      <c r="S104" s="431">
        <f>C104*'4C2 Open-burning '!$C$9*'4C2 Open-burning '!$C$11*$C$5</f>
        <v>1.8293315475664653</v>
      </c>
      <c r="T104" s="431">
        <f>D104*'4C2 Open-burning '!$C$9*'4C2 Open-burning '!$C$11*$C$5</f>
        <v>1.9105634309056794</v>
      </c>
      <c r="U104" s="431">
        <f>E104*'4C2 Open-burning '!$C$9*'4C2 Open-burning '!$C$11*$C$5</f>
        <v>0.52183287324176109</v>
      </c>
      <c r="V104" s="431">
        <f>F104*'4C2 Open-burning '!$C$9*'4C2 Open-burning '!$C$11*$C$5</f>
        <v>0</v>
      </c>
      <c r="W104" s="431">
        <f>G104*'4C2 Open-burning '!$C$9*'4C2 Open-burning '!$C$11*$C$5</f>
        <v>0</v>
      </c>
      <c r="X104" s="431">
        <f>H104*'4C2 Open-burning '!$C$9*'4C2 Open-burning '!$C$11*$C$5</f>
        <v>0</v>
      </c>
      <c r="Y104" s="431">
        <f>I104*'4C2 Open-burning '!$C$9*'4C2 Open-burning '!$C$11*$C$5</f>
        <v>2.0401872495686089</v>
      </c>
      <c r="Z104" s="432">
        <f t="shared" si="9"/>
        <v>6.301915101282515</v>
      </c>
      <c r="AA104" s="433">
        <f>C104*'4C2 Open-burning '!$C$10*'4C2 Open-burning '!$C$11*$C$5*C$15</f>
        <v>1.6886137362151988E-2</v>
      </c>
      <c r="AB104" s="433">
        <f>D104*'4C2 Open-burning '!$C$10*'4C2 Open-burning '!$C$11*$C$5*D$15</f>
        <v>1.7635970131437039E-2</v>
      </c>
      <c r="AC104" s="433">
        <f>E104*'4C2 Open-burning '!$C$10*'4C2 Open-burning '!$C$11*$C$5*E$15</f>
        <v>1.0838067367328886E-2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4.2373119798732643E-2</v>
      </c>
      <c r="AH104" s="434">
        <f t="shared" si="10"/>
        <v>8.7733294659650546E-2</v>
      </c>
    </row>
    <row r="105" spans="1:34">
      <c r="A105" s="435">
        <f>'Input data'!A134</f>
        <v>2034</v>
      </c>
      <c r="B105" s="107">
        <f>'Recycling - Case 1'!AP114</f>
        <v>7.4548419956466785E-2</v>
      </c>
      <c r="C105" s="473">
        <f>$B105*'Recycling - Case 1'!BM114*'Recycling - Case 1'!$AK114</f>
        <v>442.16076780721471</v>
      </c>
      <c r="D105" s="474">
        <f>$B105*'Recycling - Case 1'!BN114*'Recycling - Case 1'!$AK114</f>
        <v>461.79501724410528</v>
      </c>
      <c r="E105" s="474">
        <f>$B105*'Recycling - Case 1'!BO114*'Recycling - Case 1'!$AK114</f>
        <v>126.13023823186366</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493.12589723813858</v>
      </c>
      <c r="J105" s="663">
        <f t="shared" si="11"/>
        <v>1523.2119205213221</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0.66630064169317227</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16.989173411648348</v>
      </c>
      <c r="R105" s="104">
        <f t="shared" si="8"/>
        <v>17.655474053341521</v>
      </c>
      <c r="S105" s="431">
        <f>C105*'4C2 Open-burning '!$C$9*'4C2 Open-burning '!$C$11*$C$5</f>
        <v>1.7244269944481374</v>
      </c>
      <c r="T105" s="431">
        <f>D105*'4C2 Open-burning '!$C$9*'4C2 Open-burning '!$C$11*$C$5</f>
        <v>1.8010005672520104</v>
      </c>
      <c r="U105" s="431">
        <f>E105*'4C2 Open-burning '!$C$9*'4C2 Open-burning '!$C$11*$C$5</f>
        <v>0.49190792910426828</v>
      </c>
      <c r="V105" s="431">
        <f>F105*'4C2 Open-burning '!$C$9*'4C2 Open-burning '!$C$11*$C$5</f>
        <v>0</v>
      </c>
      <c r="W105" s="431">
        <f>G105*'4C2 Open-burning '!$C$9*'4C2 Open-burning '!$C$11*$C$5</f>
        <v>0</v>
      </c>
      <c r="X105" s="431">
        <f>H105*'4C2 Open-burning '!$C$9*'4C2 Open-burning '!$C$11*$C$5</f>
        <v>0</v>
      </c>
      <c r="Y105" s="431">
        <f>I105*'4C2 Open-burning '!$C$9*'4C2 Open-burning '!$C$11*$C$5</f>
        <v>1.9231909992287402</v>
      </c>
      <c r="Z105" s="432">
        <f t="shared" si="9"/>
        <v>5.9405264900331556</v>
      </c>
      <c r="AA105" s="433">
        <f>C105*'4C2 Open-burning '!$C$10*'4C2 Open-burning '!$C$11*$C$5*C$15</f>
        <v>1.5917787641059725E-2</v>
      </c>
      <c r="AB105" s="433">
        <f>D105*'4C2 Open-burning '!$C$10*'4C2 Open-burning '!$C$11*$C$5*D$15</f>
        <v>1.6624620620787789E-2</v>
      </c>
      <c r="AC105" s="433">
        <f>E105*'4C2 Open-burning '!$C$10*'4C2 Open-burning '!$C$11*$C$5*E$15</f>
        <v>1.0216549296780956E-2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3.9943197676289226E-2</v>
      </c>
      <c r="AH105" s="434">
        <f t="shared" si="10"/>
        <v>8.2702155234917696E-2</v>
      </c>
    </row>
    <row r="106" spans="1:34">
      <c r="A106" s="435">
        <f>'Input data'!A135</f>
        <v>2035</v>
      </c>
      <c r="B106" s="107">
        <f>'Recycling - Case 1'!AP115</f>
        <v>7.1067589164263728E-2</v>
      </c>
      <c r="C106" s="473">
        <f>$B106*'Recycling - Case 1'!BM115*'Recycling - Case 1'!$AK115</f>
        <v>415.42343022508265</v>
      </c>
      <c r="D106" s="474">
        <f>$B106*'Recycling - Case 1'!BN115*'Recycling - Case 1'!$AK115</f>
        <v>433.87040210686712</v>
      </c>
      <c r="E106" s="474">
        <f>$B106*'Recycling - Case 1'!BO115*'Recycling - Case 1'!$AK115</f>
        <v>118.50317811152644</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463.30671257746644</v>
      </c>
      <c r="J106" s="663">
        <f t="shared" si="11"/>
        <v>1431.1037230209427</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0.62600962881907396</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15.961842861718873</v>
      </c>
      <c r="R106" s="104">
        <f t="shared" si="8"/>
        <v>16.587852490537948</v>
      </c>
      <c r="S106" s="431">
        <f>C106*'4C2 Open-burning '!$C$9*'4C2 Open-burning '!$C$11*$C$5</f>
        <v>1.6201513778778223</v>
      </c>
      <c r="T106" s="431">
        <f>D106*'4C2 Open-burning '!$C$9*'4C2 Open-burning '!$C$11*$C$5</f>
        <v>1.6920945682167816</v>
      </c>
      <c r="U106" s="431">
        <f>E106*'4C2 Open-burning '!$C$9*'4C2 Open-burning '!$C$11*$C$5</f>
        <v>0.46216239463495301</v>
      </c>
      <c r="V106" s="431">
        <f>F106*'4C2 Open-burning '!$C$9*'4C2 Open-burning '!$C$11*$C$5</f>
        <v>0</v>
      </c>
      <c r="W106" s="431">
        <f>G106*'4C2 Open-burning '!$C$9*'4C2 Open-burning '!$C$11*$C$5</f>
        <v>0</v>
      </c>
      <c r="X106" s="431">
        <f>H106*'4C2 Open-burning '!$C$9*'4C2 Open-burning '!$C$11*$C$5</f>
        <v>0</v>
      </c>
      <c r="Y106" s="431">
        <f>I106*'4C2 Open-burning '!$C$9*'4C2 Open-burning '!$C$11*$C$5</f>
        <v>1.8068961790521187</v>
      </c>
      <c r="Z106" s="432">
        <f t="shared" si="9"/>
        <v>5.5813045197816757</v>
      </c>
      <c r="AA106" s="433">
        <f>C106*'4C2 Open-burning '!$C$10*'4C2 Open-burning '!$C$11*$C$5*C$15</f>
        <v>1.4955243488102975E-2</v>
      </c>
      <c r="AB106" s="433">
        <f>D106*'4C2 Open-burning '!$C$10*'4C2 Open-burning '!$C$11*$C$5*D$15</f>
        <v>1.5619334475847214E-2</v>
      </c>
      <c r="AC106" s="433">
        <f>E106*'4C2 Open-burning '!$C$10*'4C2 Open-burning '!$C$11*$C$5*E$15</f>
        <v>9.5987574270336388E-3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3.7527843718774781E-2</v>
      </c>
      <c r="AH106" s="434">
        <f t="shared" si="10"/>
        <v>7.77011791097586E-2</v>
      </c>
    </row>
    <row r="107" spans="1:34">
      <c r="A107" s="435">
        <f>'Input data'!A136</f>
        <v>2036</v>
      </c>
      <c r="B107" s="107">
        <f>'Recycling - Case 1'!AP116</f>
        <v>6.7512461377185501E-2</v>
      </c>
      <c r="C107" s="473">
        <f>$B107*'Recycling - Case 1'!BM116*'Recycling - Case 1'!$AK116</f>
        <v>388.83600765466025</v>
      </c>
      <c r="D107" s="474">
        <f>$B107*'Recycling - Case 1'!BN116*'Recycling - Case 1'!$AK116</f>
        <v>406.10235899152275</v>
      </c>
      <c r="E107" s="474">
        <f>$B107*'Recycling - Case 1'!BO116*'Recycling - Case 1'!$AK116</f>
        <v>110.91888256353077</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433.65472270213326</v>
      </c>
      <c r="J107" s="663">
        <f t="shared" si="11"/>
        <v>1339.511971911847</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0.58594452578541023</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14.940272506533894</v>
      </c>
      <c r="R107" s="104">
        <f t="shared" si="8"/>
        <v>15.526217032319304</v>
      </c>
      <c r="S107" s="431">
        <f>C107*'4C2 Open-burning '!$C$9*'4C2 Open-burning '!$C$11*$C$5</f>
        <v>1.5164604298531748</v>
      </c>
      <c r="T107" s="431">
        <f>D107*'4C2 Open-burning '!$C$9*'4C2 Open-burning '!$C$11*$C$5</f>
        <v>1.5837992000669388</v>
      </c>
      <c r="U107" s="431">
        <f>E107*'4C2 Open-burning '!$C$9*'4C2 Open-burning '!$C$11*$C$5</f>
        <v>0.43258364199777</v>
      </c>
      <c r="V107" s="431">
        <f>F107*'4C2 Open-burning '!$C$9*'4C2 Open-burning '!$C$11*$C$5</f>
        <v>0</v>
      </c>
      <c r="W107" s="431">
        <f>G107*'4C2 Open-burning '!$C$9*'4C2 Open-burning '!$C$11*$C$5</f>
        <v>0</v>
      </c>
      <c r="X107" s="431">
        <f>H107*'4C2 Open-burning '!$C$9*'4C2 Open-burning '!$C$11*$C$5</f>
        <v>0</v>
      </c>
      <c r="Y107" s="431">
        <f>I107*'4C2 Open-burning '!$C$9*'4C2 Open-burning '!$C$11*$C$5</f>
        <v>1.6912534185383197</v>
      </c>
      <c r="Z107" s="432">
        <f t="shared" si="9"/>
        <v>5.2240966904562036</v>
      </c>
      <c r="AA107" s="433">
        <f>C107*'4C2 Open-burning '!$C$10*'4C2 Open-burning '!$C$11*$C$5*C$15</f>
        <v>1.3998096275567768E-2</v>
      </c>
      <c r="AB107" s="433">
        <f>D107*'4C2 Open-burning '!$C$10*'4C2 Open-burning '!$C$11*$C$5*D$15</f>
        <v>1.4619684923694818E-2</v>
      </c>
      <c r="AC107" s="433">
        <f>E107*'4C2 Open-burning '!$C$10*'4C2 Open-burning '!$C$11*$C$5*E$15</f>
        <v>8.9844294876459917E-3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3.5126032538872795E-2</v>
      </c>
      <c r="AH107" s="434">
        <f t="shared" si="10"/>
        <v>7.2728243225781378E-2</v>
      </c>
    </row>
    <row r="108" spans="1:34">
      <c r="A108" s="435">
        <f>'Input data'!A137</f>
        <v>2037</v>
      </c>
      <c r="B108" s="107">
        <f>'Recycling - Case 1'!AP117</f>
        <v>6.6089586114970927E-2</v>
      </c>
      <c r="C108" s="473">
        <f>$B108*'Recycling - Case 1'!BM117*'Recycling - Case 1'!$AK117</f>
        <v>379.42209682653026</v>
      </c>
      <c r="D108" s="474">
        <f>$B108*'Recycling - Case 1'!BN117*'Recycling - Case 1'!$AK117</f>
        <v>396.27042131245167</v>
      </c>
      <c r="E108" s="474">
        <f>$B108*'Recycling - Case 1'!BO117*'Recycling - Case 1'!$AK117</f>
        <v>108.23348190861952</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423.15572875777343</v>
      </c>
      <c r="J108" s="663">
        <f t="shared" si="11"/>
        <v>1307.081728805375</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0.57175852086974988</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14.578561167162809</v>
      </c>
      <c r="R108" s="104">
        <f t="shared" si="8"/>
        <v>15.150319688032559</v>
      </c>
      <c r="S108" s="431">
        <f>C108*'4C2 Open-burning '!$C$9*'4C2 Open-burning '!$C$11*$C$5</f>
        <v>1.4797461776234679</v>
      </c>
      <c r="T108" s="431">
        <f>D108*'4C2 Open-burning '!$C$9*'4C2 Open-burning '!$C$11*$C$5</f>
        <v>1.5454546431185614</v>
      </c>
      <c r="U108" s="431">
        <f>E108*'4C2 Open-burning '!$C$9*'4C2 Open-burning '!$C$11*$C$5</f>
        <v>0.42211057944361613</v>
      </c>
      <c r="V108" s="431">
        <f>F108*'4C2 Open-burning '!$C$9*'4C2 Open-burning '!$C$11*$C$5</f>
        <v>0</v>
      </c>
      <c r="W108" s="431">
        <f>G108*'4C2 Open-burning '!$C$9*'4C2 Open-burning '!$C$11*$C$5</f>
        <v>0</v>
      </c>
      <c r="X108" s="431">
        <f>H108*'4C2 Open-burning '!$C$9*'4C2 Open-burning '!$C$11*$C$5</f>
        <v>0</v>
      </c>
      <c r="Y108" s="431">
        <f>I108*'4C2 Open-burning '!$C$9*'4C2 Open-burning '!$C$11*$C$5</f>
        <v>1.6503073421553163</v>
      </c>
      <c r="Z108" s="432">
        <f t="shared" si="9"/>
        <v>5.0976187423409618</v>
      </c>
      <c r="AA108" s="433">
        <f>C108*'4C2 Open-burning '!$C$10*'4C2 Open-burning '!$C$11*$C$5*C$15</f>
        <v>1.3659195485755088E-2</v>
      </c>
      <c r="AB108" s="433">
        <f>D108*'4C2 Open-burning '!$C$10*'4C2 Open-burning '!$C$11*$C$5*D$15</f>
        <v>1.4265735167248259E-2</v>
      </c>
      <c r="AC108" s="433">
        <f>E108*'4C2 Open-burning '!$C$10*'4C2 Open-burning '!$C$11*$C$5*E$15</f>
        <v>8.7669120345981819E-3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3.4275614029379647E-2</v>
      </c>
      <c r="AH108" s="434">
        <f t="shared" si="10"/>
        <v>7.0967456716981181E-2</v>
      </c>
    </row>
    <row r="109" spans="1:34">
      <c r="A109" s="435">
        <f>'Input data'!A138</f>
        <v>2038</v>
      </c>
      <c r="B109" s="107">
        <f>'Recycling - Case 1'!AP118</f>
        <v>6.3681099234553104E-2</v>
      </c>
      <c r="C109" s="473">
        <f>$B109*'Recycling - Case 1'!BM118*'Recycling - Case 1'!$AK118</f>
        <v>362.46110538757597</v>
      </c>
      <c r="D109" s="474">
        <f>$B109*'Recycling - Case 1'!BN118*'Recycling - Case 1'!$AK118</f>
        <v>378.55627319191092</v>
      </c>
      <c r="E109" s="474">
        <f>$B109*'Recycling - Case 1'!BO118*'Recycling - Case 1'!$AK118</f>
        <v>103.39521029656947</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404.23974902745636</v>
      </c>
      <c r="J109" s="663">
        <f t="shared" si="11"/>
        <v>1248.6523379035127</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0.5461996737210697</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13.926867833493924</v>
      </c>
      <c r="R109" s="104">
        <f t="shared" si="8"/>
        <v>14.473067507214994</v>
      </c>
      <c r="S109" s="431">
        <f>C109*'4C2 Open-burning '!$C$9*'4C2 Open-burning '!$C$11*$C$5</f>
        <v>1.4135983110115462</v>
      </c>
      <c r="T109" s="431">
        <f>D109*'4C2 Open-burning '!$C$9*'4C2 Open-burning '!$C$11*$C$5</f>
        <v>1.4763694654484527</v>
      </c>
      <c r="U109" s="431">
        <f>E109*'4C2 Open-burning '!$C$9*'4C2 Open-burning '!$C$11*$C$5</f>
        <v>0.40324132015662095</v>
      </c>
      <c r="V109" s="431">
        <f>F109*'4C2 Open-burning '!$C$9*'4C2 Open-burning '!$C$11*$C$5</f>
        <v>0</v>
      </c>
      <c r="W109" s="431">
        <f>G109*'4C2 Open-burning '!$C$9*'4C2 Open-burning '!$C$11*$C$5</f>
        <v>0</v>
      </c>
      <c r="X109" s="431">
        <f>H109*'4C2 Open-burning '!$C$9*'4C2 Open-burning '!$C$11*$C$5</f>
        <v>0</v>
      </c>
      <c r="Y109" s="431">
        <f>I109*'4C2 Open-burning '!$C$9*'4C2 Open-burning '!$C$11*$C$5</f>
        <v>1.5765350212070799</v>
      </c>
      <c r="Z109" s="432">
        <f t="shared" si="9"/>
        <v>4.8697441178237</v>
      </c>
      <c r="AA109" s="433">
        <f>C109*'4C2 Open-burning '!$C$10*'4C2 Open-burning '!$C$11*$C$5*C$15</f>
        <v>1.3048599793952734E-2</v>
      </c>
      <c r="AB109" s="433">
        <f>D109*'4C2 Open-burning '!$C$10*'4C2 Open-burning '!$C$11*$C$5*D$15</f>
        <v>1.3628025834908795E-2</v>
      </c>
      <c r="AC109" s="433">
        <f>E109*'4C2 Open-burning '!$C$10*'4C2 Open-burning '!$C$11*$C$5*E$15</f>
        <v>8.3750120340221265E-3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3.2743419671223961E-2</v>
      </c>
      <c r="AH109" s="434">
        <f t="shared" si="10"/>
        <v>6.7795057334107622E-2</v>
      </c>
    </row>
    <row r="110" spans="1:34">
      <c r="A110" s="435">
        <f>'Input data'!A139</f>
        <v>2039</v>
      </c>
      <c r="B110" s="107">
        <f>'Recycling - Case 1'!AP119</f>
        <v>6.1251091272474766E-2</v>
      </c>
      <c r="C110" s="473">
        <f>$B110*'Recycling - Case 1'!BM119*'Recycling - Case 1'!$AK119</f>
        <v>345.59299593999538</v>
      </c>
      <c r="D110" s="474">
        <f>$B110*'Recycling - Case 1'!BN119*'Recycling - Case 1'!$AK119</f>
        <v>360.93913150869122</v>
      </c>
      <c r="E110" s="474">
        <f>$B110*'Recycling - Case 1'!BO119*'Recycling - Case 1'!$AK119</f>
        <v>98.58343408744156</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385.42735721960594</v>
      </c>
      <c r="J110" s="663">
        <f t="shared" si="11"/>
        <v>1190.5429187557343</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0.52078079224768226</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13.278743310929862</v>
      </c>
      <c r="R110" s="104">
        <f t="shared" si="8"/>
        <v>13.799524103177545</v>
      </c>
      <c r="S110" s="431">
        <f>C110*'4C2 Open-burning '!$C$9*'4C2 Open-burning '!$C$11*$C$5</f>
        <v>1.3478126841659817</v>
      </c>
      <c r="T110" s="431">
        <f>D110*'4C2 Open-burning '!$C$9*'4C2 Open-burning '!$C$11*$C$5</f>
        <v>1.4076626128838958</v>
      </c>
      <c r="U110" s="431">
        <f>E110*'4C2 Open-burning '!$C$9*'4C2 Open-burning '!$C$11*$C$5</f>
        <v>0.38447539294102201</v>
      </c>
      <c r="V110" s="431">
        <f>F110*'4C2 Open-burning '!$C$9*'4C2 Open-burning '!$C$11*$C$5</f>
        <v>0</v>
      </c>
      <c r="W110" s="431">
        <f>G110*'4C2 Open-burning '!$C$9*'4C2 Open-burning '!$C$11*$C$5</f>
        <v>0</v>
      </c>
      <c r="X110" s="431">
        <f>H110*'4C2 Open-burning '!$C$9*'4C2 Open-burning '!$C$11*$C$5</f>
        <v>0</v>
      </c>
      <c r="Y110" s="431">
        <f>I110*'4C2 Open-burning '!$C$9*'4C2 Open-burning '!$C$11*$C$5</f>
        <v>1.5031666931564631</v>
      </c>
      <c r="Z110" s="432">
        <f t="shared" si="9"/>
        <v>4.6431173831473629</v>
      </c>
      <c r="AA110" s="433">
        <f>C110*'4C2 Open-burning '!$C$10*'4C2 Open-burning '!$C$11*$C$5*C$15</f>
        <v>1.2441347853839831E-2</v>
      </c>
      <c r="AB110" s="433">
        <f>D110*'4C2 Open-burning '!$C$10*'4C2 Open-burning '!$C$11*$C$5*D$15</f>
        <v>1.2993808734312882E-2</v>
      </c>
      <c r="AC110" s="433">
        <f>E110*'4C2 Open-burning '!$C$10*'4C2 Open-burning '!$C$11*$C$5*E$15</f>
        <v>7.9852581610827655E-3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3.1219615934788079E-2</v>
      </c>
      <c r="AH110" s="434">
        <f t="shared" si="10"/>
        <v>6.4640030684023561E-2</v>
      </c>
    </row>
    <row r="111" spans="1:34">
      <c r="A111" s="435">
        <f>'Input data'!A140</f>
        <v>2040</v>
      </c>
      <c r="B111" s="107">
        <f>'Recycling - Case 1'!AP120</f>
        <v>5.8797777233791905E-2</v>
      </c>
      <c r="C111" s="473">
        <f>$B111*'Recycling - Case 1'!BM120*'Recycling - Case 1'!$AK120</f>
        <v>328.81275957872515</v>
      </c>
      <c r="D111" s="474">
        <f>$B111*'Recycling - Case 1'!BN120*'Recycling - Case 1'!$AK120</f>
        <v>343.41376493616076</v>
      </c>
      <c r="E111" s="474">
        <f>$B111*'Recycling - Case 1'!BO120*'Recycling - Case 1'!$AK120</f>
        <v>93.796724447121761</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366.71296708373734</v>
      </c>
      <c r="J111" s="663">
        <f t="shared" si="11"/>
        <v>1132.7362160457451</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0.49549432843334329</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12.633995141968917</v>
      </c>
      <c r="R111" s="104">
        <f t="shared" si="8"/>
        <v>13.129489470402261</v>
      </c>
      <c r="S111" s="431">
        <f>C111*'4C2 Open-burning '!$C$9*'4C2 Open-burning '!$C$11*$C$5</f>
        <v>1.282369762357028</v>
      </c>
      <c r="T111" s="431">
        <f>D111*'4C2 Open-burning '!$C$9*'4C2 Open-burning '!$C$11*$C$5</f>
        <v>1.3393136832510268</v>
      </c>
      <c r="U111" s="431">
        <f>E111*'4C2 Open-burning '!$C$9*'4C2 Open-burning '!$C$11*$C$5</f>
        <v>0.3658072253437748</v>
      </c>
      <c r="V111" s="431">
        <f>F111*'4C2 Open-burning '!$C$9*'4C2 Open-burning '!$C$11*$C$5</f>
        <v>0</v>
      </c>
      <c r="W111" s="431">
        <f>G111*'4C2 Open-burning '!$C$9*'4C2 Open-burning '!$C$11*$C$5</f>
        <v>0</v>
      </c>
      <c r="X111" s="431">
        <f>H111*'4C2 Open-burning '!$C$9*'4C2 Open-burning '!$C$11*$C$5</f>
        <v>0</v>
      </c>
      <c r="Y111" s="431">
        <f>I111*'4C2 Open-burning '!$C$9*'4C2 Open-burning '!$C$11*$C$5</f>
        <v>1.4301805716265754</v>
      </c>
      <c r="Z111" s="432">
        <f t="shared" si="9"/>
        <v>4.4176712425784057</v>
      </c>
      <c r="AA111" s="433">
        <f>C111*'4C2 Open-burning '!$C$10*'4C2 Open-burning '!$C$11*$C$5*C$15</f>
        <v>1.1837259344834105E-2</v>
      </c>
      <c r="AB111" s="433">
        <f>D111*'4C2 Open-burning '!$C$10*'4C2 Open-burning '!$C$11*$C$5*D$15</f>
        <v>1.2362895537701788E-2</v>
      </c>
      <c r="AC111" s="433">
        <f>E111*'4C2 Open-burning '!$C$10*'4C2 Open-burning '!$C$11*$C$5*E$15</f>
        <v>7.5975346802168624E-3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2.9703750333782728E-2</v>
      </c>
      <c r="AH111" s="434">
        <f t="shared" si="10"/>
        <v>6.150143989653549E-2</v>
      </c>
    </row>
    <row r="112" spans="1:34">
      <c r="A112" s="435">
        <f>'Input data'!A141</f>
        <v>2041</v>
      </c>
      <c r="B112" s="107">
        <f>'Recycling - Case 1'!AP121</f>
        <v>5.6318500655873717E-2</v>
      </c>
      <c r="C112" s="473">
        <f>$B112*'Recycling - Case 1'!BM121*'Recycling - Case 1'!$AK121</f>
        <v>312.11383859710014</v>
      </c>
      <c r="D112" s="474">
        <f>$B112*'Recycling - Case 1'!BN121*'Recycling - Case 1'!$AK121</f>
        <v>325.97332457119887</v>
      </c>
      <c r="E112" s="474">
        <f>$B112*'Recycling - Case 1'!BO121*'Recycling - Case 1'!$AK121</f>
        <v>89.03321073225105</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348.08926504700895</v>
      </c>
      <c r="J112" s="663">
        <f t="shared" si="11"/>
        <v>1075.2096389475589</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0.47033040034261869</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11.99237135939955</v>
      </c>
      <c r="R112" s="104">
        <f t="shared" si="8"/>
        <v>12.462701759742169</v>
      </c>
      <c r="S112" s="431">
        <f>C112*'4C2 Open-burning '!$C$9*'4C2 Open-burning '!$C$11*$C$5</f>
        <v>1.2172439705286906</v>
      </c>
      <c r="T112" s="431">
        <f>D112*'4C2 Open-burning '!$C$9*'4C2 Open-burning '!$C$11*$C$5</f>
        <v>1.2712959658276755</v>
      </c>
      <c r="U112" s="431">
        <f>E112*'4C2 Open-burning '!$C$9*'4C2 Open-burning '!$C$11*$C$5</f>
        <v>0.34722952185577904</v>
      </c>
      <c r="V112" s="431">
        <f>F112*'4C2 Open-burning '!$C$9*'4C2 Open-burning '!$C$11*$C$5</f>
        <v>0</v>
      </c>
      <c r="W112" s="431">
        <f>G112*'4C2 Open-burning '!$C$9*'4C2 Open-burning '!$C$11*$C$5</f>
        <v>0</v>
      </c>
      <c r="X112" s="431">
        <f>H112*'4C2 Open-burning '!$C$9*'4C2 Open-burning '!$C$11*$C$5</f>
        <v>0</v>
      </c>
      <c r="Y112" s="431">
        <f>I112*'4C2 Open-burning '!$C$9*'4C2 Open-burning '!$C$11*$C$5</f>
        <v>1.3575481336833348</v>
      </c>
      <c r="Z112" s="432">
        <f t="shared" si="9"/>
        <v>4.1933175918954797</v>
      </c>
      <c r="AA112" s="433">
        <f>C112*'4C2 Open-burning '!$C$10*'4C2 Open-burning '!$C$11*$C$5*C$15</f>
        <v>1.1236098189495607E-2</v>
      </c>
      <c r="AB112" s="433">
        <f>D112*'4C2 Open-burning '!$C$10*'4C2 Open-burning '!$C$11*$C$5*D$15</f>
        <v>1.1735039684563159E-2</v>
      </c>
      <c r="AC112" s="433">
        <f>E112*'4C2 Open-burning '!$C$10*'4C2 Open-burning '!$C$11*$C$5*E$15</f>
        <v>7.2116900693123352E-3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2.8195230468807723E-2</v>
      </c>
      <c r="AH112" s="434">
        <f t="shared" si="10"/>
        <v>5.8378058412178822E-2</v>
      </c>
    </row>
    <row r="113" spans="1:34">
      <c r="A113" s="435">
        <f>'Input data'!A142</f>
        <v>2042</v>
      </c>
      <c r="B113" s="107">
        <f>'Recycling - Case 1'!AP122</f>
        <v>5.3811414461203751E-2</v>
      </c>
      <c r="C113" s="473">
        <f>$B113*'Recycling - Case 1'!BM122*'Recycling - Case 1'!$AK122</f>
        <v>295.49190863096806</v>
      </c>
      <c r="D113" s="474">
        <f>$B113*'Recycling - Case 1'!BN122*'Recycling - Case 1'!$AK122</f>
        <v>308.6132940252798</v>
      </c>
      <c r="E113" s="474">
        <f>$B113*'Recycling - Case 1'!BO122*'Recycling - Case 1'!$AK122</f>
        <v>84.291659380015986</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329.5514283026323</v>
      </c>
      <c r="J113" s="663">
        <f t="shared" si="11"/>
        <v>1017.9482903388962</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0.44528249150724764</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11.353705807882287</v>
      </c>
      <c r="R113" s="104">
        <f t="shared" si="8"/>
        <v>11.798988299389535</v>
      </c>
      <c r="S113" s="431">
        <f>C113*'4C2 Open-burning '!$C$9*'4C2 Open-burning '!$C$11*$C$5</f>
        <v>1.1524184436607754</v>
      </c>
      <c r="T113" s="431">
        <f>D113*'4C2 Open-burning '!$C$9*'4C2 Open-burning '!$C$11*$C$5</f>
        <v>1.2035918466985911</v>
      </c>
      <c r="U113" s="431">
        <f>E113*'4C2 Open-burning '!$C$9*'4C2 Open-burning '!$C$11*$C$5</f>
        <v>0.32873747158206235</v>
      </c>
      <c r="V113" s="431">
        <f>F113*'4C2 Open-burning '!$C$9*'4C2 Open-burning '!$C$11*$C$5</f>
        <v>0</v>
      </c>
      <c r="W113" s="431">
        <f>G113*'4C2 Open-burning '!$C$9*'4C2 Open-burning '!$C$11*$C$5</f>
        <v>0</v>
      </c>
      <c r="X113" s="431">
        <f>H113*'4C2 Open-burning '!$C$9*'4C2 Open-burning '!$C$11*$C$5</f>
        <v>0</v>
      </c>
      <c r="Y113" s="431">
        <f>I113*'4C2 Open-burning '!$C$9*'4C2 Open-burning '!$C$11*$C$5</f>
        <v>1.2852505703802659</v>
      </c>
      <c r="Z113" s="432">
        <f t="shared" si="9"/>
        <v>3.969998332321695</v>
      </c>
      <c r="AA113" s="433">
        <f>C113*'4C2 Open-burning '!$C$10*'4C2 Open-burning '!$C$11*$C$5*C$15</f>
        <v>1.0637708710714851E-2</v>
      </c>
      <c r="AB113" s="433">
        <f>D113*'4C2 Open-burning '!$C$10*'4C2 Open-burning '!$C$11*$C$5*D$15</f>
        <v>1.1110078584910074E-2</v>
      </c>
      <c r="AC113" s="433">
        <f>E113*'4C2 Open-burning '!$C$10*'4C2 Open-burning '!$C$11*$C$5*E$15</f>
        <v>6.8276244097812949E-3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2.6693665692513215E-2</v>
      </c>
      <c r="AH113" s="434">
        <f t="shared" si="10"/>
        <v>5.5269077397919433E-2</v>
      </c>
    </row>
    <row r="114" spans="1:34">
      <c r="A114" s="435">
        <f>'Input data'!A143</f>
        <v>2043</v>
      </c>
      <c r="B114" s="107">
        <f>'Recycling - Case 1'!AP123</f>
        <v>5.1274590990268369E-2</v>
      </c>
      <c r="C114" s="473">
        <f>$B114*'Recycling - Case 1'!BM123*'Recycling - Case 1'!$AK123</f>
        <v>278.94279848939578</v>
      </c>
      <c r="D114" s="474">
        <f>$B114*'Recycling - Case 1'!BN123*'Recycling - Case 1'!$AK123</f>
        <v>291.32931688478857</v>
      </c>
      <c r="E114" s="474">
        <f>$B114*'Recycling - Case 1'!BO123*'Recycling - Case 1'!$AK123</f>
        <v>79.570880521607734</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311.09480487236505</v>
      </c>
      <c r="J114" s="663">
        <f t="shared" si="11"/>
        <v>960.9378007681571</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0.42034431627866586</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10.71783821746272</v>
      </c>
      <c r="R114" s="104">
        <f t="shared" si="8"/>
        <v>11.138182533741386</v>
      </c>
      <c r="S114" s="431">
        <f>C114*'4C2 Open-burning '!$C$9*'4C2 Open-burning '!$C$11*$C$5</f>
        <v>1.0878769141086435</v>
      </c>
      <c r="T114" s="431">
        <f>D114*'4C2 Open-burning '!$C$9*'4C2 Open-burning '!$C$11*$C$5</f>
        <v>1.1361843358506754</v>
      </c>
      <c r="U114" s="431">
        <f>E114*'4C2 Open-burning '!$C$9*'4C2 Open-burning '!$C$11*$C$5</f>
        <v>0.31032643403427013</v>
      </c>
      <c r="V114" s="431">
        <f>F114*'4C2 Open-burning '!$C$9*'4C2 Open-burning '!$C$11*$C$5</f>
        <v>0</v>
      </c>
      <c r="W114" s="431">
        <f>G114*'4C2 Open-burning '!$C$9*'4C2 Open-burning '!$C$11*$C$5</f>
        <v>0</v>
      </c>
      <c r="X114" s="431">
        <f>H114*'4C2 Open-burning '!$C$9*'4C2 Open-burning '!$C$11*$C$5</f>
        <v>0</v>
      </c>
      <c r="Y114" s="431">
        <f>I114*'4C2 Open-burning '!$C$9*'4C2 Open-burning '!$C$11*$C$5</f>
        <v>1.2132697390022236</v>
      </c>
      <c r="Z114" s="432">
        <f t="shared" si="9"/>
        <v>3.7476574229958128</v>
      </c>
      <c r="AA114" s="433">
        <f>C114*'4C2 Open-burning '!$C$10*'4C2 Open-burning '!$C$11*$C$5*C$15</f>
        <v>1.0041940745618249E-2</v>
      </c>
      <c r="AB114" s="433">
        <f>D114*'4C2 Open-burning '!$C$10*'4C2 Open-burning '!$C$11*$C$5*D$15</f>
        <v>1.0487855407852388E-2</v>
      </c>
      <c r="AC114" s="433">
        <f>E114*'4C2 Open-burning '!$C$10*'4C2 Open-burning '!$C$11*$C$5*E$15</f>
        <v>6.4452413222502256E-3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2.519867919466157E-2</v>
      </c>
      <c r="AH114" s="434">
        <f t="shared" si="10"/>
        <v>5.2173716670382425E-2</v>
      </c>
    </row>
    <row r="115" spans="1:34">
      <c r="A115" s="435">
        <f>'Input data'!A144</f>
        <v>2044</v>
      </c>
      <c r="B115" s="107">
        <f>'Recycling - Case 1'!AP124</f>
        <v>4.8706015266055849E-2</v>
      </c>
      <c r="C115" s="473">
        <f>$B115*'Recycling - Case 1'!BM124*'Recycling - Case 1'!$AK124</f>
        <v>262.46248047062744</v>
      </c>
      <c r="D115" s="474">
        <f>$B115*'Recycling - Case 1'!BN124*'Recycling - Case 1'!$AK124</f>
        <v>274.11718659695691</v>
      </c>
      <c r="E115" s="474">
        <f>$B115*'Recycling - Case 1'!BO124*'Recycling - Case 1'!$AK124</f>
        <v>74.869725219764121</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292.7149028062496</v>
      </c>
      <c r="J115" s="663">
        <f t="shared" si="11"/>
        <v>904.16429509359807</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0.39550980523493473</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10.08461383148091</v>
      </c>
      <c r="R115" s="104">
        <f t="shared" si="8"/>
        <v>10.480123636715845</v>
      </c>
      <c r="S115" s="431">
        <f>C115*'4C2 Open-burning '!$C$9*'4C2 Open-burning '!$C$11*$C$5</f>
        <v>1.0236036738354468</v>
      </c>
      <c r="T115" s="431">
        <f>D115*'4C2 Open-burning '!$C$9*'4C2 Open-burning '!$C$11*$C$5</f>
        <v>1.0690570277281319</v>
      </c>
      <c r="U115" s="431">
        <f>E115*'4C2 Open-burning '!$C$9*'4C2 Open-burning '!$C$11*$C$5</f>
        <v>0.29199192835708004</v>
      </c>
      <c r="V115" s="431">
        <f>F115*'4C2 Open-burning '!$C$9*'4C2 Open-burning '!$C$11*$C$5</f>
        <v>0</v>
      </c>
      <c r="W115" s="431">
        <f>G115*'4C2 Open-burning '!$C$9*'4C2 Open-burning '!$C$11*$C$5</f>
        <v>0</v>
      </c>
      <c r="X115" s="431">
        <f>H115*'4C2 Open-burning '!$C$9*'4C2 Open-burning '!$C$11*$C$5</f>
        <v>0</v>
      </c>
      <c r="Y115" s="431">
        <f>I115*'4C2 Open-burning '!$C$9*'4C2 Open-burning '!$C$11*$C$5</f>
        <v>1.1415881209443735</v>
      </c>
      <c r="Z115" s="432">
        <f t="shared" si="9"/>
        <v>3.526240750865032</v>
      </c>
      <c r="AA115" s="433">
        <f>C115*'4C2 Open-burning '!$C$10*'4C2 Open-burning '!$C$11*$C$5*C$15</f>
        <v>9.4486492969425868E-3</v>
      </c>
      <c r="AB115" s="433">
        <f>D115*'4C2 Open-burning '!$C$10*'4C2 Open-burning '!$C$11*$C$5*D$15</f>
        <v>9.868218717490447E-3</v>
      </c>
      <c r="AC115" s="433">
        <f>E115*'4C2 Open-burning '!$C$10*'4C2 Open-burning '!$C$11*$C$5*E$15</f>
        <v>6.0644477428008943E-3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2.3709907127306216E-2</v>
      </c>
      <c r="AH115" s="434">
        <f t="shared" si="10"/>
        <v>4.9091222884540139E-2</v>
      </c>
    </row>
    <row r="116" spans="1:34">
      <c r="A116" s="435">
        <f>'Input data'!A145</f>
        <v>2045</v>
      </c>
      <c r="B116" s="107">
        <f>'Recycling - Case 1'!AP125</f>
        <v>4.6103577810739614E-2</v>
      </c>
      <c r="C116" s="473">
        <f>$B116*'Recycling - Case 1'!BM125*'Recycling - Case 1'!$AK125</f>
        <v>246.04706120426906</v>
      </c>
      <c r="D116" s="474">
        <f>$B116*'Recycling - Case 1'!BN125*'Recycling - Case 1'!$AK125</f>
        <v>256.97283690539319</v>
      </c>
      <c r="E116" s="474">
        <f>$B116*'Recycling - Case 1'!BO125*'Recycling - Case 1'!$AK125</f>
        <v>70.187082856422535</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274.40737996923338</v>
      </c>
      <c r="J116" s="663">
        <f t="shared" si="11"/>
        <v>847.61436093531813</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0.37077309138065195</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9.453883054700027</v>
      </c>
      <c r="R116" s="104">
        <f t="shared" si="8"/>
        <v>9.8246561460806792</v>
      </c>
      <c r="S116" s="431">
        <f>C116*'4C2 Open-burning '!$C$9*'4C2 Open-burning '!$C$11*$C$5</f>
        <v>0.95958353869664925</v>
      </c>
      <c r="T116" s="431">
        <f>D116*'4C2 Open-burning '!$C$9*'4C2 Open-burning '!$C$11*$C$5</f>
        <v>1.0021940639310332</v>
      </c>
      <c r="U116" s="431">
        <f>E116*'4C2 Open-burning '!$C$9*'4C2 Open-burning '!$C$11*$C$5</f>
        <v>0.27372962314004784</v>
      </c>
      <c r="V116" s="431">
        <f>F116*'4C2 Open-burning '!$C$9*'4C2 Open-burning '!$C$11*$C$5</f>
        <v>0</v>
      </c>
      <c r="W116" s="431">
        <f>G116*'4C2 Open-burning '!$C$9*'4C2 Open-burning '!$C$11*$C$5</f>
        <v>0</v>
      </c>
      <c r="X116" s="431">
        <f>H116*'4C2 Open-burning '!$C$9*'4C2 Open-burning '!$C$11*$C$5</f>
        <v>0</v>
      </c>
      <c r="Y116" s="431">
        <f>I116*'4C2 Open-burning '!$C$9*'4C2 Open-burning '!$C$11*$C$5</f>
        <v>1.07018878188001</v>
      </c>
      <c r="Z116" s="432">
        <f t="shared" si="9"/>
        <v>3.3056960076477404</v>
      </c>
      <c r="AA116" s="433">
        <f>C116*'4C2 Open-burning '!$C$10*'4C2 Open-burning '!$C$11*$C$5*C$15</f>
        <v>8.8576942033536856E-3</v>
      </c>
      <c r="AB116" s="433">
        <f>D116*'4C2 Open-burning '!$C$10*'4C2 Open-burning '!$C$11*$C$5*D$15</f>
        <v>9.2510221285941538E-3</v>
      </c>
      <c r="AC116" s="433">
        <f>E116*'4C2 Open-burning '!$C$10*'4C2 Open-burning '!$C$11*$C$5*E$15</f>
        <v>5.6851537113702241E-3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2.2226997777507904E-2</v>
      </c>
      <c r="AH116" s="434">
        <f t="shared" si="10"/>
        <v>4.602086782082597E-2</v>
      </c>
    </row>
    <row r="117" spans="1:34">
      <c r="A117" s="435">
        <f>'Input data'!A146</f>
        <v>2046</v>
      </c>
      <c r="B117" s="107">
        <f>'Recycling - Case 1'!AP126</f>
        <v>4.3465041103333879E-2</v>
      </c>
      <c r="C117" s="473">
        <f>$B117*'Recycling - Case 1'!BM126*'Recycling - Case 1'!$AK126</f>
        <v>229.69272319586568</v>
      </c>
      <c r="D117" s="474">
        <f>$B117*'Recycling - Case 1'!BN126*'Recycling - Case 1'!$AK126</f>
        <v>239.89228079893323</v>
      </c>
      <c r="E117" s="474">
        <f>$B117*'Recycling - Case 1'!BO126*'Recycling - Case 1'!$AK126</f>
        <v>65.521864457797619</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256.1679788479517</v>
      </c>
      <c r="J117" s="663">
        <f t="shared" si="11"/>
        <v>791.27484730054812</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0.34612842205934002</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8.8254992072696314</v>
      </c>
      <c r="R117" s="104">
        <f t="shared" si="8"/>
        <v>9.171627629328972</v>
      </c>
      <c r="S117" s="431">
        <f>C117*'4C2 Open-burning '!$C$9*'4C2 Open-burning '!$C$11*$C$5</f>
        <v>0.89580162046387601</v>
      </c>
      <c r="T117" s="431">
        <f>D117*'4C2 Open-burning '!$C$9*'4C2 Open-burning '!$C$11*$C$5</f>
        <v>0.9355798951158395</v>
      </c>
      <c r="U117" s="431">
        <f>E117*'4C2 Open-burning '!$C$9*'4C2 Open-burning '!$C$11*$C$5</f>
        <v>0.25553527138541071</v>
      </c>
      <c r="V117" s="431">
        <f>F117*'4C2 Open-burning '!$C$9*'4C2 Open-burning '!$C$11*$C$5</f>
        <v>0</v>
      </c>
      <c r="W117" s="431">
        <f>G117*'4C2 Open-burning '!$C$9*'4C2 Open-burning '!$C$11*$C$5</f>
        <v>0</v>
      </c>
      <c r="X117" s="431">
        <f>H117*'4C2 Open-burning '!$C$9*'4C2 Open-burning '!$C$11*$C$5</f>
        <v>0</v>
      </c>
      <c r="Y117" s="431">
        <f>I117*'4C2 Open-burning '!$C$9*'4C2 Open-burning '!$C$11*$C$5</f>
        <v>0.99905511750701148</v>
      </c>
      <c r="Z117" s="432">
        <f t="shared" si="9"/>
        <v>3.0859719044721379</v>
      </c>
      <c r="AA117" s="433">
        <f>C117*'4C2 Open-burning '!$C$10*'4C2 Open-burning '!$C$11*$C$5*C$15</f>
        <v>8.2689380350511651E-3</v>
      </c>
      <c r="AB117" s="433">
        <f>D117*'4C2 Open-burning '!$C$10*'4C2 Open-burning '!$C$11*$C$5*D$15</f>
        <v>8.6361221087615948E-3</v>
      </c>
      <c r="AC117" s="433">
        <f>E117*'4C2 Open-burning '!$C$10*'4C2 Open-burning '!$C$11*$C$5*E$15</f>
        <v>5.3072710210816058E-3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2.0749606286684086E-2</v>
      </c>
      <c r="AH117" s="434">
        <f t="shared" si="10"/>
        <v>4.2961937451578447E-2</v>
      </c>
    </row>
    <row r="118" spans="1:34">
      <c r="A118" s="435">
        <f>'Input data'!A147</f>
        <v>2047</v>
      </c>
      <c r="B118" s="107">
        <f>'Recycling - Case 1'!AP127</f>
        <v>4.0788087208256621E-2</v>
      </c>
      <c r="C118" s="473">
        <f>$B118*'Recycling - Case 1'!BM127*'Recycling - Case 1'!$AK127</f>
        <v>213.39582759147575</v>
      </c>
      <c r="D118" s="474">
        <f>$B118*'Recycling - Case 1'!BN127*'Recycling - Case 1'!$AK127</f>
        <v>222.87171783949864</v>
      </c>
      <c r="E118" s="474">
        <f>$B118*'Recycling - Case 1'!BO127*'Recycling - Case 1'!$AK127</f>
        <v>60.873032008877722</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237.99264116033709</v>
      </c>
      <c r="J118" s="663">
        <f t="shared" si="11"/>
        <v>735.13321860018914</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0.32157031381137779</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8.1993224732559327</v>
      </c>
      <c r="R118" s="104">
        <f t="shared" si="8"/>
        <v>8.5208927870673108</v>
      </c>
      <c r="S118" s="431">
        <f>C118*'4C2 Open-burning '!$C$9*'4C2 Open-burning '!$C$11*$C$5</f>
        <v>0.83224372760675536</v>
      </c>
      <c r="T118" s="431">
        <f>D118*'4C2 Open-burning '!$C$9*'4C2 Open-burning '!$C$11*$C$5</f>
        <v>0.86919969957404464</v>
      </c>
      <c r="U118" s="431">
        <f>E118*'4C2 Open-burning '!$C$9*'4C2 Open-burning '!$C$11*$C$5</f>
        <v>0.23740482483462308</v>
      </c>
      <c r="V118" s="431">
        <f>F118*'4C2 Open-burning '!$C$9*'4C2 Open-burning '!$C$11*$C$5</f>
        <v>0</v>
      </c>
      <c r="W118" s="431">
        <f>G118*'4C2 Open-burning '!$C$9*'4C2 Open-burning '!$C$11*$C$5</f>
        <v>0</v>
      </c>
      <c r="X118" s="431">
        <f>H118*'4C2 Open-burning '!$C$9*'4C2 Open-burning '!$C$11*$C$5</f>
        <v>0</v>
      </c>
      <c r="Y118" s="431">
        <f>I118*'4C2 Open-burning '!$C$9*'4C2 Open-burning '!$C$11*$C$5</f>
        <v>0.92817130052531449</v>
      </c>
      <c r="Z118" s="432">
        <f t="shared" si="9"/>
        <v>2.8670195525407376</v>
      </c>
      <c r="AA118" s="433">
        <f>C118*'4C2 Open-burning '!$C$10*'4C2 Open-burning '!$C$11*$C$5*C$15</f>
        <v>7.6822497932931269E-3</v>
      </c>
      <c r="AB118" s="433">
        <f>D118*'4C2 Open-burning '!$C$10*'4C2 Open-burning '!$C$11*$C$5*D$15</f>
        <v>8.0233818422219515E-3</v>
      </c>
      <c r="AC118" s="433">
        <f>E118*'4C2 Open-burning '!$C$10*'4C2 Open-burning '!$C$11*$C$5*E$15</f>
        <v>4.9307155927190956E-3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1.9277403933987299E-2</v>
      </c>
      <c r="AH118" s="434">
        <f t="shared" si="10"/>
        <v>3.991375116222147E-2</v>
      </c>
    </row>
    <row r="119" spans="1:34">
      <c r="A119" s="435">
        <f>'Input data'!A148</f>
        <v>2048</v>
      </c>
      <c r="B119" s="107">
        <f>'Recycling - Case 1'!AP128</f>
        <v>4.0650684720171359E-2</v>
      </c>
      <c r="C119" s="473">
        <f>$B119*'Recycling - Case 1'!BM128*'Recycling - Case 1'!$AK128</f>
        <v>213.13821054898881</v>
      </c>
      <c r="D119" s="474">
        <f>$B119*'Recycling - Case 1'!BN128*'Recycling - Case 1'!$AK128</f>
        <v>222.60266125366087</v>
      </c>
      <c r="E119" s="474">
        <f>$B119*'Recycling - Case 1'!BO128*'Recycling - Case 1'!$AK128</f>
        <v>60.799544487353359</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237.70533019909965</v>
      </c>
      <c r="J119" s="663">
        <f t="shared" si="11"/>
        <v>734.24574648910266</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0.32118210569067235</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8.1894240360193802</v>
      </c>
      <c r="R119" s="104">
        <f t="shared" si="8"/>
        <v>8.5106061417100527</v>
      </c>
      <c r="S119" s="431">
        <f>C119*'4C2 Open-burning '!$C$9*'4C2 Open-burning '!$C$11*$C$5</f>
        <v>0.83123902114105619</v>
      </c>
      <c r="T119" s="431">
        <f>D119*'4C2 Open-burning '!$C$9*'4C2 Open-burning '!$C$11*$C$5</f>
        <v>0.86815037888927737</v>
      </c>
      <c r="U119" s="431">
        <f>E119*'4C2 Open-burning '!$C$9*'4C2 Open-burning '!$C$11*$C$5</f>
        <v>0.23711822350067807</v>
      </c>
      <c r="V119" s="431">
        <f>F119*'4C2 Open-burning '!$C$9*'4C2 Open-burning '!$C$11*$C$5</f>
        <v>0</v>
      </c>
      <c r="W119" s="431">
        <f>G119*'4C2 Open-burning '!$C$9*'4C2 Open-burning '!$C$11*$C$5</f>
        <v>0</v>
      </c>
      <c r="X119" s="431">
        <f>H119*'4C2 Open-burning '!$C$9*'4C2 Open-burning '!$C$11*$C$5</f>
        <v>0</v>
      </c>
      <c r="Y119" s="431">
        <f>I119*'4C2 Open-burning '!$C$9*'4C2 Open-burning '!$C$11*$C$5</f>
        <v>0.92705078777648853</v>
      </c>
      <c r="Z119" s="432">
        <f t="shared" si="9"/>
        <v>2.8635584113075003</v>
      </c>
      <c r="AA119" s="433">
        <f>C119*'4C2 Open-burning '!$C$10*'4C2 Open-burning '!$C$11*$C$5*C$15</f>
        <v>7.6729755797635959E-3</v>
      </c>
      <c r="AB119" s="433">
        <f>D119*'4C2 Open-burning '!$C$10*'4C2 Open-burning '!$C$11*$C$5*D$15</f>
        <v>8.0136958051317906E-3</v>
      </c>
      <c r="AC119" s="433">
        <f>E119*'4C2 Open-burning '!$C$10*'4C2 Open-burning '!$C$11*$C$5*E$15</f>
        <v>4.9247631034756217E-3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1.9254131746127071E-2</v>
      </c>
      <c r="AH119" s="434">
        <f t="shared" si="10"/>
        <v>3.9865566234498079E-2</v>
      </c>
    </row>
    <row r="120" spans="1:34">
      <c r="A120" s="435">
        <f>'Input data'!A149</f>
        <v>2049</v>
      </c>
      <c r="B120" s="107">
        <f>'Recycling - Case 1'!AP129</f>
        <v>4.0520290116252147E-2</v>
      </c>
      <c r="C120" s="473">
        <f>$B120*'Recycling - Case 1'!BM129*'Recycling - Case 1'!$AK129</f>
        <v>212.89452576128903</v>
      </c>
      <c r="D120" s="474">
        <f>$B120*'Recycling - Case 1'!BN129*'Recycling - Case 1'!$AK129</f>
        <v>222.34815558755207</v>
      </c>
      <c r="E120" s="474">
        <f>$B120*'Recycling - Case 1'!BO129*'Recycling - Case 1'!$AK129</f>
        <v>60.730031263739058</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237.43355737725096</v>
      </c>
      <c r="J120" s="663">
        <f t="shared" si="11"/>
        <v>733.40626998983112</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0.32081489235507848</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8.1800609187610487</v>
      </c>
      <c r="R120" s="104">
        <f t="shared" si="8"/>
        <v>8.5008758111161278</v>
      </c>
      <c r="S120" s="431">
        <f>C120*'4C2 Open-burning '!$C$9*'4C2 Open-burning '!$C$11*$C$5</f>
        <v>0.83028865046902711</v>
      </c>
      <c r="T120" s="431">
        <f>D120*'4C2 Open-burning '!$C$9*'4C2 Open-burning '!$C$11*$C$5</f>
        <v>0.86715780679145305</v>
      </c>
      <c r="U120" s="431">
        <f>E120*'4C2 Open-burning '!$C$9*'4C2 Open-burning '!$C$11*$C$5</f>
        <v>0.23684712192858229</v>
      </c>
      <c r="V120" s="431">
        <f>F120*'4C2 Open-burning '!$C$9*'4C2 Open-burning '!$C$11*$C$5</f>
        <v>0</v>
      </c>
      <c r="W120" s="431">
        <f>G120*'4C2 Open-burning '!$C$9*'4C2 Open-burning '!$C$11*$C$5</f>
        <v>0</v>
      </c>
      <c r="X120" s="431">
        <f>H120*'4C2 Open-burning '!$C$9*'4C2 Open-burning '!$C$11*$C$5</f>
        <v>0</v>
      </c>
      <c r="Y120" s="431">
        <f>I120*'4C2 Open-burning '!$C$9*'4C2 Open-burning '!$C$11*$C$5</f>
        <v>0.92599087377127876</v>
      </c>
      <c r="Z120" s="432">
        <f t="shared" si="9"/>
        <v>2.8602844529603413</v>
      </c>
      <c r="AA120" s="433">
        <f>C120*'4C2 Open-burning '!$C$10*'4C2 Open-burning '!$C$11*$C$5*C$15</f>
        <v>7.6642029274064053E-3</v>
      </c>
      <c r="AB120" s="433">
        <f>D120*'4C2 Open-burning '!$C$10*'4C2 Open-burning '!$C$11*$C$5*D$15</f>
        <v>8.0045336011518742E-3</v>
      </c>
      <c r="AC120" s="433">
        <f>E120*'4C2 Open-burning '!$C$10*'4C2 Open-burning '!$C$11*$C$5*E$15</f>
        <v>4.9191325323628635E-3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1.9232118147557327E-2</v>
      </c>
      <c r="AH120" s="434">
        <f t="shared" si="10"/>
        <v>3.9819987208478472E-2</v>
      </c>
    </row>
    <row r="121" spans="1:34" ht="15.75" thickBot="1">
      <c r="A121" s="435">
        <f>'Input data'!A150</f>
        <v>2050</v>
      </c>
      <c r="B121" s="560">
        <f>'Recycling - Case 1'!AP130</f>
        <v>4.0396832661975392E-2</v>
      </c>
      <c r="C121" s="598">
        <f>$B121*'Recycling - Case 1'!BM130*'Recycling - Case 1'!$AK130</f>
        <v>212.66451743262235</v>
      </c>
      <c r="D121" s="595">
        <f>$B121*'Recycling - Case 1'!BN130*'Recycling - Case 1'!$AK130</f>
        <v>222.10793368674962</v>
      </c>
      <c r="E121" s="595">
        <f>$B121*'Recycling - Case 1'!BO130*'Recycling - Case 1'!$AK130</f>
        <v>60.664419370051803</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237.17703741504693</v>
      </c>
      <c r="J121" s="814">
        <f t="shared" si="11"/>
        <v>732.61390790447069</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0.32046828834101043</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8.1712232930231963</v>
      </c>
      <c r="R121" s="1178">
        <f t="shared" si="8"/>
        <v>8.491691581364206</v>
      </c>
      <c r="S121" s="431">
        <f>C121*'4C2 Open-burning '!$C$9*'4C2 Open-burning '!$C$11*$C$5</f>
        <v>0.82939161798722705</v>
      </c>
      <c r="T121" s="431">
        <f>D121*'4C2 Open-burning '!$C$9*'4C2 Open-burning '!$C$11*$C$5</f>
        <v>0.86622094137832339</v>
      </c>
      <c r="U121" s="431">
        <f>E121*'4C2 Open-burning '!$C$9*'4C2 Open-burning '!$C$11*$C$5</f>
        <v>0.23659123554320202</v>
      </c>
      <c r="V121" s="431">
        <f>F121*'4C2 Open-burning '!$C$9*'4C2 Open-burning '!$C$11*$C$5</f>
        <v>0</v>
      </c>
      <c r="W121" s="431">
        <f>G121*'4C2 Open-burning '!$C$9*'4C2 Open-burning '!$C$11*$C$5</f>
        <v>0</v>
      </c>
      <c r="X121" s="431">
        <f>H121*'4C2 Open-burning '!$C$9*'4C2 Open-burning '!$C$11*$C$5</f>
        <v>0</v>
      </c>
      <c r="Y121" s="431">
        <f>I121*'4C2 Open-burning '!$C$9*'4C2 Open-burning '!$C$11*$C$5</f>
        <v>0.92499044591868296</v>
      </c>
      <c r="Z121" s="432">
        <f t="shared" si="9"/>
        <v>2.8571942408274356</v>
      </c>
      <c r="AA121" s="433">
        <f>C121*'4C2 Open-burning '!$C$10*'4C2 Open-burning '!$C$11*$C$5*C$15</f>
        <v>7.6559226275744047E-3</v>
      </c>
      <c r="AB121" s="433">
        <f>D121*'4C2 Open-burning '!$C$10*'4C2 Open-burning '!$C$11*$C$5*D$15</f>
        <v>7.9958856127229846E-3</v>
      </c>
      <c r="AC121" s="433">
        <f>E121*'4C2 Open-burning '!$C$10*'4C2 Open-burning '!$C$11*$C$5*E$15</f>
        <v>4.9138179689741952E-3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1.9211340030618803E-2</v>
      </c>
      <c r="AH121" s="439">
        <f t="shared" si="10"/>
        <v>3.9776966239890382E-2</v>
      </c>
    </row>
    <row r="122" spans="1:34" ht="21.75"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0.11516499941226198</v>
      </c>
      <c r="C125" s="473">
        <f>'Recycling - Case 2'!$AK100*'Recycling - Case 2'!BM100*'4C2 Open-burning '!$B125</f>
        <v>788.11293543078432</v>
      </c>
      <c r="D125" s="474">
        <f>'Recycling - Case 2'!$AK100*'Recycling - Case 2'!BN100*'4C2 Open-burning '!$B125</f>
        <v>823.10926953665137</v>
      </c>
      <c r="E125" s="474">
        <f>'Recycling - Case 2'!$AK100*'Recycling - Case 2'!BO100*'4C2 Open-burning '!$B125</f>
        <v>224.81612919317038</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878.95382563370708</v>
      </c>
      <c r="J125" s="663">
        <f t="shared" si="12"/>
        <v>2714.992159794313</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1.1876226767210096</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30.281717200732473</v>
      </c>
      <c r="R125" s="1181">
        <f t="shared" si="8"/>
        <v>31.469339877453482</v>
      </c>
      <c r="S125" s="431">
        <f>C125*'4C2 Open-burning '!$C$9*'4C2 Open-burning '!$C$11*$C$5</f>
        <v>3.073640448180059</v>
      </c>
      <c r="T125" s="431">
        <f>D125*'4C2 Open-burning '!$C$9*'4C2 Open-burning '!$C$11*$C$5</f>
        <v>3.2101261511929402</v>
      </c>
      <c r="U125" s="431">
        <f>E125*'4C2 Open-burning '!$C$9*'4C2 Open-burning '!$C$11*$C$5</f>
        <v>0.87678290385336444</v>
      </c>
      <c r="V125" s="431">
        <f>F125*'4C2 Open-burning '!$C$9*'4C2 Open-burning '!$C$11*$C$5</f>
        <v>0</v>
      </c>
      <c r="W125" s="431">
        <f>G125*'4C2 Open-burning '!$C$9*'4C2 Open-burning '!$C$11*$C$5</f>
        <v>0</v>
      </c>
      <c r="X125" s="431">
        <f>H125*'4C2 Open-burning '!$C$9*'4C2 Open-burning '!$C$11*$C$5</f>
        <v>0</v>
      </c>
      <c r="Y125" s="431">
        <f>I125*'4C2 Open-burning '!$C$9*'4C2 Open-burning '!$C$11*$C$5</f>
        <v>3.4279199199714574</v>
      </c>
      <c r="Z125" s="432">
        <f t="shared" si="9"/>
        <v>10.588469423197822</v>
      </c>
      <c r="AA125" s="433">
        <f>C125*'4C2 Open-burning '!$C$10*'4C2 Open-burning '!$C$11*$C$5*C$15</f>
        <v>2.8372065675508235E-2</v>
      </c>
      <c r="AB125" s="433">
        <f>D125*'4C2 Open-burning '!$C$10*'4C2 Open-burning '!$C$11*$C$5*D$15</f>
        <v>2.9631933703319447E-2</v>
      </c>
      <c r="AC125" s="433">
        <f>E125*'4C2 Open-burning '!$C$10*'4C2 Open-burning '!$C$11*$C$5*E$15</f>
        <v>1.82101064646468E-2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7.1195259876330269E-2</v>
      </c>
      <c r="AH125" s="434">
        <f t="shared" si="10"/>
        <v>0.14740936571980473</v>
      </c>
    </row>
    <row r="126" spans="1:34">
      <c r="A126" s="138">
        <f>'Input data'!A121</f>
        <v>2021</v>
      </c>
      <c r="B126" s="100">
        <f>'Recycling - Case 2'!AP101</f>
        <v>0.10846320842744943</v>
      </c>
      <c r="C126" s="473">
        <f>'Recycling - Case 2'!$AK101*'Recycling - Case 2'!BM101*'4C2 Open-burning '!$B126</f>
        <v>724.00163122169226</v>
      </c>
      <c r="D126" s="474">
        <f>'Recycling - Case 2'!$AK101*'Recycling - Case 2'!BN101*'4C2 Open-burning '!$B126</f>
        <v>756.15108828596124</v>
      </c>
      <c r="E126" s="474">
        <f>'Recycling - Case 2'!$AK101*'Recycling - Case 2'!BO101*'4C2 Open-burning '!$B126</f>
        <v>206.52781719898189</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807.45280900574585</v>
      </c>
      <c r="J126" s="663">
        <f t="shared" si="12"/>
        <v>2494.133345712381</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1.0910121082480297</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27.818364175865952</v>
      </c>
      <c r="R126" s="1181">
        <f t="shared" si="8"/>
        <v>28.909376284113982</v>
      </c>
      <c r="S126" s="431">
        <f>C126*'4C2 Open-burning '!$C$9*'4C2 Open-burning '!$C$11*$C$5</f>
        <v>2.8236063617645994</v>
      </c>
      <c r="T126" s="431">
        <f>D126*'4C2 Open-burning '!$C$9*'4C2 Open-burning '!$C$11*$C$5</f>
        <v>2.9489892443152486</v>
      </c>
      <c r="U126" s="431">
        <f>E126*'4C2 Open-burning '!$C$9*'4C2 Open-burning '!$C$11*$C$5</f>
        <v>0.80545848707602941</v>
      </c>
      <c r="V126" s="431">
        <f>F126*'4C2 Open-burning '!$C$9*'4C2 Open-burning '!$C$11*$C$5</f>
        <v>0</v>
      </c>
      <c r="W126" s="431">
        <f>G126*'4C2 Open-burning '!$C$9*'4C2 Open-burning '!$C$11*$C$5</f>
        <v>0</v>
      </c>
      <c r="X126" s="431">
        <f>H126*'4C2 Open-burning '!$C$9*'4C2 Open-burning '!$C$11*$C$5</f>
        <v>0</v>
      </c>
      <c r="Y126" s="431">
        <f>I126*'4C2 Open-burning '!$C$9*'4C2 Open-burning '!$C$11*$C$5</f>
        <v>3.1490659551224085</v>
      </c>
      <c r="Z126" s="432">
        <f t="shared" si="9"/>
        <v>9.7271200482782856</v>
      </c>
      <c r="AA126" s="433">
        <f>C126*'4C2 Open-burning '!$C$10*'4C2 Open-burning '!$C$11*$C$5*C$15</f>
        <v>2.6064058723980921E-2</v>
      </c>
      <c r="AB126" s="433">
        <f>D126*'4C2 Open-burning '!$C$10*'4C2 Open-burning '!$C$11*$C$5*D$15</f>
        <v>2.7221439178294601E-2</v>
      </c>
      <c r="AC126" s="433">
        <f>E126*'4C2 Open-burning '!$C$10*'4C2 Open-burning '!$C$11*$C$5*E$15</f>
        <v>1.6728753193117531E-2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6.5403677529465409E-2</v>
      </c>
      <c r="AH126" s="434">
        <f t="shared" si="10"/>
        <v>0.13541792862485846</v>
      </c>
    </row>
    <row r="127" spans="1:34">
      <c r="A127" s="138">
        <f>'Input data'!A122</f>
        <v>2022</v>
      </c>
      <c r="B127" s="100">
        <f>'Recycling - Case 2'!AP102</f>
        <v>9.548786241296324E-2</v>
      </c>
      <c r="C127" s="473">
        <f>'Recycling - Case 2'!$AK102*'Recycling - Case 2'!BM102*'4C2 Open-burning '!$B127</f>
        <v>602.00104538166909</v>
      </c>
      <c r="D127" s="474">
        <f>'Recycling - Case 2'!$AK102*'Recycling - Case 2'!BN102*'4C2 Open-burning '!$B127</f>
        <v>628.73303869014387</v>
      </c>
      <c r="E127" s="474">
        <f>'Recycling - Case 2'!$AK102*'Recycling - Case 2'!BO102*'4C2 Open-burning '!$B127</f>
        <v>171.7260797387776</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671.38997228168159</v>
      </c>
      <c r="J127" s="663">
        <f t="shared" si="12"/>
        <v>2073.8501360922719</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0.90716705787125607</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23.130727325048493</v>
      </c>
      <c r="R127" s="1181">
        <f t="shared" si="8"/>
        <v>24.037894382919749</v>
      </c>
      <c r="S127" s="431">
        <f>C127*'4C2 Open-burning '!$C$9*'4C2 Open-burning '!$C$11*$C$5</f>
        <v>2.3478040769885093</v>
      </c>
      <c r="T127" s="431">
        <f>D127*'4C2 Open-burning '!$C$9*'4C2 Open-burning '!$C$11*$C$5</f>
        <v>2.4520588508915604</v>
      </c>
      <c r="U127" s="431">
        <f>E127*'4C2 Open-burning '!$C$9*'4C2 Open-burning '!$C$11*$C$5</f>
        <v>0.66973171098123252</v>
      </c>
      <c r="V127" s="431">
        <f>F127*'4C2 Open-burning '!$C$9*'4C2 Open-burning '!$C$11*$C$5</f>
        <v>0</v>
      </c>
      <c r="W127" s="431">
        <f>G127*'4C2 Open-burning '!$C$9*'4C2 Open-burning '!$C$11*$C$5</f>
        <v>0</v>
      </c>
      <c r="X127" s="431">
        <f>H127*'4C2 Open-burning '!$C$9*'4C2 Open-burning '!$C$11*$C$5</f>
        <v>0</v>
      </c>
      <c r="Y127" s="431">
        <f>I127*'4C2 Open-burning '!$C$9*'4C2 Open-burning '!$C$11*$C$5</f>
        <v>2.6184208918985581</v>
      </c>
      <c r="Z127" s="432">
        <f t="shared" si="9"/>
        <v>8.0880155307598613</v>
      </c>
      <c r="AA127" s="433">
        <f>C127*'4C2 Open-burning '!$C$10*'4C2 Open-burning '!$C$11*$C$5*C$15</f>
        <v>2.1672037633740086E-2</v>
      </c>
      <c r="AB127" s="433">
        <f>D127*'4C2 Open-burning '!$C$10*'4C2 Open-burning '!$C$11*$C$5*D$15</f>
        <v>2.2634389392845178E-2</v>
      </c>
      <c r="AC127" s="433">
        <f>E127*'4C2 Open-burning '!$C$10*'4C2 Open-burning '!$C$11*$C$5*E$15</f>
        <v>1.3909812458840985E-2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5.4382587754816199E-2</v>
      </c>
      <c r="AH127" s="434">
        <f t="shared" si="10"/>
        <v>0.11259882724024245</v>
      </c>
    </row>
    <row r="128" spans="1:34">
      <c r="A128" s="138">
        <f>'Input data'!A123</f>
        <v>2023</v>
      </c>
      <c r="B128" s="100">
        <f>'Recycling - Case 2'!AP103</f>
        <v>9.1524246570186638E-2</v>
      </c>
      <c r="C128" s="473">
        <f>'Recycling - Case 2'!$AK103*'Recycling - Case 2'!BM103*'4C2 Open-burning '!$B128</f>
        <v>570.72781834892214</v>
      </c>
      <c r="D128" s="474">
        <f>'Recycling - Case 2'!$AK103*'Recycling - Case 2'!BN103*'4C2 Open-burning '!$B128</f>
        <v>596.07111689982582</v>
      </c>
      <c r="E128" s="474">
        <f>'Recycling - Case 2'!$AK103*'Recycling - Case 2'!BO103*'4C2 Open-burning '!$B128</f>
        <v>162.80511735787417</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636.512074324938</v>
      </c>
      <c r="J128" s="663">
        <f t="shared" si="12"/>
        <v>1966.1161269315603</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0.86004082515940039</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21.929113984642761</v>
      </c>
      <c r="R128" s="1181">
        <f t="shared" si="8"/>
        <v>22.789154809802163</v>
      </c>
      <c r="S128" s="431">
        <f>C128*'4C2 Open-burning '!$C$9*'4C2 Open-burning '!$C$11*$C$5</f>
        <v>2.2258384915607961</v>
      </c>
      <c r="T128" s="431">
        <f>D128*'4C2 Open-burning '!$C$9*'4C2 Open-burning '!$C$11*$C$5</f>
        <v>2.3246773559093206</v>
      </c>
      <c r="U128" s="431">
        <f>E128*'4C2 Open-burning '!$C$9*'4C2 Open-burning '!$C$11*$C$5</f>
        <v>0.63493995769570921</v>
      </c>
      <c r="V128" s="431">
        <f>F128*'4C2 Open-burning '!$C$9*'4C2 Open-burning '!$C$11*$C$5</f>
        <v>0</v>
      </c>
      <c r="W128" s="431">
        <f>G128*'4C2 Open-burning '!$C$9*'4C2 Open-burning '!$C$11*$C$5</f>
        <v>0</v>
      </c>
      <c r="X128" s="431">
        <f>H128*'4C2 Open-burning '!$C$9*'4C2 Open-burning '!$C$11*$C$5</f>
        <v>0</v>
      </c>
      <c r="Y128" s="431">
        <f>I128*'4C2 Open-burning '!$C$9*'4C2 Open-burning '!$C$11*$C$5</f>
        <v>2.4823970898672578</v>
      </c>
      <c r="Z128" s="432">
        <f t="shared" si="9"/>
        <v>7.667852895033084</v>
      </c>
      <c r="AA128" s="433">
        <f>C128*'4C2 Open-burning '!$C$10*'4C2 Open-burning '!$C$11*$C$5*C$15</f>
        <v>2.0546201460561197E-2</v>
      </c>
      <c r="AB128" s="433">
        <f>D128*'4C2 Open-burning '!$C$10*'4C2 Open-burning '!$C$11*$C$5*D$15</f>
        <v>2.1458560208393731E-2</v>
      </c>
      <c r="AC128" s="433">
        <f>E128*'4C2 Open-burning '!$C$10*'4C2 Open-burning '!$C$11*$C$5*E$15</f>
        <v>1.3187214505987806E-2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5.1557478020319972E-2</v>
      </c>
      <c r="AH128" s="434">
        <f t="shared" si="10"/>
        <v>0.1067494541952627</v>
      </c>
    </row>
    <row r="129" spans="1:34">
      <c r="A129" s="138">
        <f>'Input data'!A124</f>
        <v>2024</v>
      </c>
      <c r="B129" s="100">
        <f>'Recycling - Case 2'!AP104</f>
        <v>8.7437257998839377E-2</v>
      </c>
      <c r="C129" s="473">
        <f>'Recycling - Case 2'!$AK104*'Recycling - Case 2'!BM104*'4C2 Open-burning '!$B129</f>
        <v>539.1209888506603</v>
      </c>
      <c r="D129" s="474">
        <f>'Recycling - Case 2'!$AK104*'Recycling - Case 2'!BN104*'4C2 Open-burning '!$B129</f>
        <v>563.06077895065425</v>
      </c>
      <c r="E129" s="474">
        <f>'Recycling - Case 2'!$AK104*'Recycling - Case 2'!BO104*'4C2 Open-burning '!$B129</f>
        <v>153.78899194688375</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601.26212161547721</v>
      </c>
      <c r="J129" s="663">
        <f t="shared" si="12"/>
        <v>1857.2328813636755</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0.81241188041828594</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20.714682613896418</v>
      </c>
      <c r="R129" s="1181">
        <f t="shared" si="8"/>
        <v>21.527094494314703</v>
      </c>
      <c r="S129" s="431">
        <f>C129*'4C2 Open-burning '!$C$9*'4C2 Open-burning '!$C$11*$C$5</f>
        <v>2.1025718565175748</v>
      </c>
      <c r="T129" s="431">
        <f>D129*'4C2 Open-burning '!$C$9*'4C2 Open-burning '!$C$11*$C$5</f>
        <v>2.1959370379075516</v>
      </c>
      <c r="U129" s="431">
        <f>E129*'4C2 Open-burning '!$C$9*'4C2 Open-burning '!$C$11*$C$5</f>
        <v>0.59977706859284663</v>
      </c>
      <c r="V129" s="431">
        <f>F129*'4C2 Open-burning '!$C$9*'4C2 Open-burning '!$C$11*$C$5</f>
        <v>0</v>
      </c>
      <c r="W129" s="431">
        <f>G129*'4C2 Open-burning '!$C$9*'4C2 Open-burning '!$C$11*$C$5</f>
        <v>0</v>
      </c>
      <c r="X129" s="431">
        <f>H129*'4C2 Open-burning '!$C$9*'4C2 Open-burning '!$C$11*$C$5</f>
        <v>0</v>
      </c>
      <c r="Y129" s="431">
        <f>I129*'4C2 Open-burning '!$C$9*'4C2 Open-burning '!$C$11*$C$5</f>
        <v>2.344922274300361</v>
      </c>
      <c r="Z129" s="432">
        <f t="shared" si="9"/>
        <v>7.2432082373183331</v>
      </c>
      <c r="AA129" s="433">
        <f>C129*'4C2 Open-burning '!$C$10*'4C2 Open-burning '!$C$11*$C$5*C$15</f>
        <v>1.9408355598623771E-2</v>
      </c>
      <c r="AB129" s="433">
        <f>D129*'4C2 Open-burning '!$C$10*'4C2 Open-burning '!$C$11*$C$5*D$15</f>
        <v>2.0270188042223556E-2</v>
      </c>
      <c r="AC129" s="433">
        <f>E129*'4C2 Open-burning '!$C$10*'4C2 Open-burning '!$C$11*$C$5*E$15</f>
        <v>1.2456908347697583E-2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4.870223185085365E-2</v>
      </c>
      <c r="AH129" s="434">
        <f t="shared" si="10"/>
        <v>0.10083768383939856</v>
      </c>
    </row>
    <row r="130" spans="1:34">
      <c r="A130" s="138">
        <f>'Input data'!A125</f>
        <v>2025</v>
      </c>
      <c r="B130" s="100">
        <f>'Recycling - Case 2'!AP105</f>
        <v>8.3214176920004185E-2</v>
      </c>
      <c r="C130" s="473">
        <f>'Recycling - Case 2'!$AK105*'Recycling - Case 2'!BM105*'4C2 Open-burning '!$B130</f>
        <v>507.12877484516821</v>
      </c>
      <c r="D130" s="474">
        <f>'Recycling - Case 2'!$AK105*'Recycling - Case 2'!BN105*'4C2 Open-burning '!$B130</f>
        <v>529.6479434075768</v>
      </c>
      <c r="E130" s="474">
        <f>'Recycling - Case 2'!$AK105*'Recycling - Case 2'!BO105*'4C2 Open-burning '!$B130</f>
        <v>144.66293222410695</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565.58236351678636</v>
      </c>
      <c r="J130" s="663">
        <f t="shared" si="12"/>
        <v>1747.0220139936382</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0.76420219228435637</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19.485443587880322</v>
      </c>
      <c r="R130" s="1181">
        <f t="shared" si="8"/>
        <v>20.249645780164677</v>
      </c>
      <c r="S130" s="431">
        <f>C130*'4C2 Open-burning '!$C$9*'4C2 Open-burning '!$C$11*$C$5</f>
        <v>1.977802221896156</v>
      </c>
      <c r="T130" s="431">
        <f>D130*'4C2 Open-burning '!$C$9*'4C2 Open-burning '!$C$11*$C$5</f>
        <v>2.0656269792895494</v>
      </c>
      <c r="U130" s="431">
        <f>E130*'4C2 Open-burning '!$C$9*'4C2 Open-burning '!$C$11*$C$5</f>
        <v>0.56418543567401713</v>
      </c>
      <c r="V130" s="431">
        <f>F130*'4C2 Open-burning '!$C$9*'4C2 Open-burning '!$C$11*$C$5</f>
        <v>0</v>
      </c>
      <c r="W130" s="431">
        <f>G130*'4C2 Open-burning '!$C$9*'4C2 Open-burning '!$C$11*$C$5</f>
        <v>0</v>
      </c>
      <c r="X130" s="431">
        <f>H130*'4C2 Open-burning '!$C$9*'4C2 Open-burning '!$C$11*$C$5</f>
        <v>0</v>
      </c>
      <c r="Y130" s="431">
        <f>I130*'4C2 Open-burning '!$C$9*'4C2 Open-burning '!$C$11*$C$5</f>
        <v>2.2057712177154665</v>
      </c>
      <c r="Z130" s="432">
        <f t="shared" si="9"/>
        <v>6.8133858545751886</v>
      </c>
      <c r="AA130" s="433">
        <f>C130*'4C2 Open-burning '!$C$10*'4C2 Open-burning '!$C$11*$C$5*C$15</f>
        <v>1.8256635894426058E-2</v>
      </c>
      <c r="AB130" s="433">
        <f>D130*'4C2 Open-burning '!$C$10*'4C2 Open-burning '!$C$11*$C$5*D$15</f>
        <v>1.9067325962672767E-2</v>
      </c>
      <c r="AC130" s="433">
        <f>E130*'4C2 Open-burning '!$C$10*'4C2 Open-burning '!$C$11*$C$5*E$15</f>
        <v>1.1717697510152664E-2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4.581217144485969E-2</v>
      </c>
      <c r="AH130" s="434">
        <f t="shared" si="10"/>
        <v>9.4853830812111184E-2</v>
      </c>
    </row>
    <row r="131" spans="1:34">
      <c r="A131" s="138">
        <f>'Input data'!A126</f>
        <v>2026</v>
      </c>
      <c r="B131" s="100">
        <f>'Recycling - Case 2'!AP106</f>
        <v>7.8806521799605775E-2</v>
      </c>
      <c r="C131" s="473">
        <f>'Recycling - Case 2'!$AK106*'Recycling - Case 2'!BM106*'4C2 Open-burning '!$B131</f>
        <v>474.59849287624178</v>
      </c>
      <c r="D131" s="474">
        <f>'Recycling - Case 2'!$AK106*'Recycling - Case 2'!BN106*'4C2 Open-burning '!$B131</f>
        <v>495.67314687079806</v>
      </c>
      <c r="E131" s="474">
        <f>'Recycling - Case 2'!$AK106*'Recycling - Case 2'!BO106*'4C2 Open-burning '!$B131</f>
        <v>135.38338389412181</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529.30251769760525</v>
      </c>
      <c r="J131" s="663">
        <f t="shared" si="12"/>
        <v>1634.957541338767</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0.71518167909444363</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18.235530339717894</v>
      </c>
      <c r="R131" s="1181">
        <f t="shared" si="8"/>
        <v>18.950712018812336</v>
      </c>
      <c r="S131" s="431">
        <f>C131*'4C2 Open-burning '!$C$9*'4C2 Open-burning '!$C$11*$C$5</f>
        <v>1.8509341222173425</v>
      </c>
      <c r="T131" s="431">
        <f>D131*'4C2 Open-burning '!$C$9*'4C2 Open-burning '!$C$11*$C$5</f>
        <v>1.9331252727961123</v>
      </c>
      <c r="U131" s="431">
        <f>E131*'4C2 Open-burning '!$C$9*'4C2 Open-burning '!$C$11*$C$5</f>
        <v>0.52799519718707499</v>
      </c>
      <c r="V131" s="431">
        <f>F131*'4C2 Open-burning '!$C$9*'4C2 Open-burning '!$C$11*$C$5</f>
        <v>0</v>
      </c>
      <c r="W131" s="431">
        <f>G131*'4C2 Open-burning '!$C$9*'4C2 Open-burning '!$C$11*$C$5</f>
        <v>0</v>
      </c>
      <c r="X131" s="431">
        <f>H131*'4C2 Open-burning '!$C$9*'4C2 Open-burning '!$C$11*$C$5</f>
        <v>0</v>
      </c>
      <c r="Y131" s="431">
        <f>I131*'4C2 Open-burning '!$C$9*'4C2 Open-burning '!$C$11*$C$5</f>
        <v>2.0642798190206602</v>
      </c>
      <c r="Z131" s="432">
        <f t="shared" si="9"/>
        <v>6.3763344112211904</v>
      </c>
      <c r="AA131" s="433">
        <f>C131*'4C2 Open-burning '!$C$10*'4C2 Open-burning '!$C$11*$C$5*C$15</f>
        <v>1.7085545743544706E-2</v>
      </c>
      <c r="AB131" s="433">
        <f>D131*'4C2 Open-burning '!$C$10*'4C2 Open-burning '!$C$11*$C$5*D$15</f>
        <v>1.7844233287348729E-2</v>
      </c>
      <c r="AC131" s="433">
        <f>E131*'4C2 Open-burning '!$C$10*'4C2 Open-burning '!$C$11*$C$5*E$15</f>
        <v>1.0966054095423864E-2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4.2873503933506023E-2</v>
      </c>
      <c r="AH131" s="434">
        <f t="shared" si="10"/>
        <v>8.8769337059823317E-2</v>
      </c>
    </row>
    <row r="132" spans="1:34">
      <c r="A132" s="138">
        <f>'Input data'!A127</f>
        <v>2027</v>
      </c>
      <c r="B132" s="100">
        <f>'Recycling - Case 2'!AP107</f>
        <v>7.4202124145229045E-2</v>
      </c>
      <c r="C132" s="473">
        <f>'Recycling - Case 2'!$AK107*'Recycling - Case 2'!BM107*'4C2 Open-burning '!$B132</f>
        <v>441.49696665740703</v>
      </c>
      <c r="D132" s="474">
        <f>'Recycling - Case 2'!$AK107*'Recycling - Case 2'!BN107*'4C2 Open-burning '!$B132</f>
        <v>461.10173985329925</v>
      </c>
      <c r="E132" s="474">
        <f>'Recycling - Case 2'!$AK107*'Recycling - Case 2'!BO107*'4C2 Open-burning '!$B132</f>
        <v>125.94088313014565</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492.38558384667687</v>
      </c>
      <c r="J132" s="663">
        <f t="shared" si="12"/>
        <v>1520.9251734875288</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0.6653003468586326</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16.963668134685708</v>
      </c>
      <c r="R132" s="1181">
        <f t="shared" si="8"/>
        <v>17.628968481544341</v>
      </c>
      <c r="S132" s="431">
        <f>C132*'4C2 Open-burning '!$C$9*'4C2 Open-burning '!$C$11*$C$5</f>
        <v>1.7218381699638872</v>
      </c>
      <c r="T132" s="431">
        <f>D132*'4C2 Open-burning '!$C$9*'4C2 Open-burning '!$C$11*$C$5</f>
        <v>1.7982967854278666</v>
      </c>
      <c r="U132" s="431">
        <f>E132*'4C2 Open-burning '!$C$9*'4C2 Open-burning '!$C$11*$C$5</f>
        <v>0.49116944420756803</v>
      </c>
      <c r="V132" s="431">
        <f>F132*'4C2 Open-burning '!$C$9*'4C2 Open-burning '!$C$11*$C$5</f>
        <v>0</v>
      </c>
      <c r="W132" s="431">
        <f>G132*'4C2 Open-burning '!$C$9*'4C2 Open-burning '!$C$11*$C$5</f>
        <v>0</v>
      </c>
      <c r="X132" s="431">
        <f>H132*'4C2 Open-burning '!$C$9*'4C2 Open-burning '!$C$11*$C$5</f>
        <v>0</v>
      </c>
      <c r="Y132" s="431">
        <f>I132*'4C2 Open-burning '!$C$9*'4C2 Open-burning '!$C$11*$C$5</f>
        <v>1.9203037770020397</v>
      </c>
      <c r="Z132" s="432">
        <f t="shared" si="9"/>
        <v>5.9316081766013617</v>
      </c>
      <c r="AA132" s="433">
        <f>C132*'4C2 Open-burning '!$C$10*'4C2 Open-burning '!$C$11*$C$5*C$15</f>
        <v>1.5893890799666657E-2</v>
      </c>
      <c r="AB132" s="433">
        <f>D132*'4C2 Open-burning '!$C$10*'4C2 Open-burning '!$C$11*$C$5*D$15</f>
        <v>1.6599662634718775E-2</v>
      </c>
      <c r="AC132" s="433">
        <f>E132*'4C2 Open-burning '!$C$10*'4C2 Open-burning '!$C$11*$C$5*E$15</f>
        <v>1.0201211533541798E-2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3.9883232291580827E-2</v>
      </c>
      <c r="AH132" s="434">
        <f t="shared" si="10"/>
        <v>8.2577997259508054E-2</v>
      </c>
    </row>
    <row r="133" spans="1:34">
      <c r="A133" s="138">
        <f>'Input data'!A128</f>
        <v>2028</v>
      </c>
      <c r="B133" s="100">
        <f>'Recycling - Case 2'!AP108</f>
        <v>6.9387697028032852E-2</v>
      </c>
      <c r="C133" s="473">
        <f>'Recycling - Case 2'!$AK108*'Recycling - Case 2'!BM108*'4C2 Open-burning '!$B133</f>
        <v>407.78976406050231</v>
      </c>
      <c r="D133" s="474">
        <f>'Recycling - Case 2'!$AK108*'Recycling - Case 2'!BN108*'4C2 Open-burning '!$B133</f>
        <v>425.89776126043836</v>
      </c>
      <c r="E133" s="474">
        <f>'Recycling - Case 2'!$AK108*'Recycling - Case 2'!BO108*'4C2 Open-burning '!$B133</f>
        <v>116.32560786553655</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454.79316105797392</v>
      </c>
      <c r="J133" s="663">
        <f t="shared" si="12"/>
        <v>1404.8062942444512</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0.61450630913479798</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15.668533984769315</v>
      </c>
      <c r="R133" s="1181">
        <f t="shared" si="8"/>
        <v>16.283040293904111</v>
      </c>
      <c r="S133" s="431">
        <f>C133*'4C2 Open-burning '!$C$9*'4C2 Open-burning '!$C$11*$C$5</f>
        <v>1.5903800798359589</v>
      </c>
      <c r="T133" s="431">
        <f>D133*'4C2 Open-burning '!$C$9*'4C2 Open-burning '!$C$11*$C$5</f>
        <v>1.6610012689157094</v>
      </c>
      <c r="U133" s="431">
        <f>E133*'4C2 Open-burning '!$C$9*'4C2 Open-burning '!$C$11*$C$5</f>
        <v>0.4536698706755925</v>
      </c>
      <c r="V133" s="431">
        <f>F133*'4C2 Open-burning '!$C$9*'4C2 Open-burning '!$C$11*$C$5</f>
        <v>0</v>
      </c>
      <c r="W133" s="431">
        <f>G133*'4C2 Open-burning '!$C$9*'4C2 Open-burning '!$C$11*$C$5</f>
        <v>0</v>
      </c>
      <c r="X133" s="431">
        <f>H133*'4C2 Open-burning '!$C$9*'4C2 Open-burning '!$C$11*$C$5</f>
        <v>0</v>
      </c>
      <c r="Y133" s="431">
        <f>I133*'4C2 Open-burning '!$C$9*'4C2 Open-burning '!$C$11*$C$5</f>
        <v>1.7736933281260983</v>
      </c>
      <c r="Z133" s="432">
        <f t="shared" si="9"/>
        <v>5.4787445475533589</v>
      </c>
      <c r="AA133" s="433">
        <f>C133*'4C2 Open-burning '!$C$10*'4C2 Open-burning '!$C$11*$C$5*C$15</f>
        <v>1.4680431506178083E-2</v>
      </c>
      <c r="AB133" s="433">
        <f>D133*'4C2 Open-burning '!$C$10*'4C2 Open-burning '!$C$11*$C$5*D$15</f>
        <v>1.533231940537578E-2</v>
      </c>
      <c r="AC133" s="433">
        <f>E133*'4C2 Open-burning '!$C$10*'4C2 Open-burning '!$C$11*$C$5*E$15</f>
        <v>9.4223742371084603E-3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3.683824604569589E-2</v>
      </c>
      <c r="AH133" s="434">
        <f t="shared" si="10"/>
        <v>7.6273371194358217E-2</v>
      </c>
    </row>
    <row r="134" spans="1:34">
      <c r="A134" s="138">
        <f>'Input data'!A129</f>
        <v>2029</v>
      </c>
      <c r="B134" s="100">
        <f>'Recycling - Case 2'!AP109</f>
        <v>6.4348695646161552E-2</v>
      </c>
      <c r="C134" s="473">
        <f>'Recycling - Case 2'!$AK109*'Recycling - Case 2'!BM109*'4C2 Open-burning '!$B134</f>
        <v>373.44106712240159</v>
      </c>
      <c r="D134" s="474">
        <f>'Recycling - Case 2'!$AK109*'Recycling - Case 2'!BN109*'4C2 Open-burning '!$B134</f>
        <v>390.02380262429193</v>
      </c>
      <c r="E134" s="474">
        <f>'Recycling - Case 2'!$AK109*'Recycling - Case 2'!BO109*'4C2 Open-burning '!$B134</f>
        <v>106.52734071207058</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416.48530285390319</v>
      </c>
      <c r="J134" s="663">
        <f t="shared" si="12"/>
        <v>1286.4775133126673</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0.56274559113921252</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14.348751653922671</v>
      </c>
      <c r="R134" s="1181">
        <f t="shared" si="8"/>
        <v>14.911497245061883</v>
      </c>
      <c r="S134" s="431">
        <f>C134*'4C2 Open-burning '!$C$9*'4C2 Open-burning '!$C$11*$C$5</f>
        <v>1.456420161777366</v>
      </c>
      <c r="T134" s="431">
        <f>D134*'4C2 Open-burning '!$C$9*'4C2 Open-burning '!$C$11*$C$5</f>
        <v>1.5210928302347384</v>
      </c>
      <c r="U134" s="431">
        <f>E134*'4C2 Open-burning '!$C$9*'4C2 Open-burning '!$C$11*$C$5</f>
        <v>0.41545662877707523</v>
      </c>
      <c r="V134" s="431">
        <f>F134*'4C2 Open-burning '!$C$9*'4C2 Open-burning '!$C$11*$C$5</f>
        <v>0</v>
      </c>
      <c r="W134" s="431">
        <f>G134*'4C2 Open-burning '!$C$9*'4C2 Open-burning '!$C$11*$C$5</f>
        <v>0</v>
      </c>
      <c r="X134" s="431">
        <f>H134*'4C2 Open-burning '!$C$9*'4C2 Open-burning '!$C$11*$C$5</f>
        <v>0</v>
      </c>
      <c r="Y134" s="431">
        <f>I134*'4C2 Open-burning '!$C$9*'4C2 Open-burning '!$C$11*$C$5</f>
        <v>1.6242926811302223</v>
      </c>
      <c r="Z134" s="432">
        <f t="shared" si="9"/>
        <v>5.017262301919402</v>
      </c>
      <c r="AA134" s="433">
        <f>C134*'4C2 Open-burning '!$C$10*'4C2 Open-burning '!$C$11*$C$5*C$15</f>
        <v>1.3443878416406457E-2</v>
      </c>
      <c r="AB134" s="433">
        <f>D134*'4C2 Open-burning '!$C$10*'4C2 Open-burning '!$C$11*$C$5*D$15</f>
        <v>1.4040856894474511E-2</v>
      </c>
      <c r="AC134" s="433">
        <f>E134*'4C2 Open-burning '!$C$10*'4C2 Open-burning '!$C$11*$C$5*E$15</f>
        <v>8.6287145976777172E-3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3.3735309531166158E-2</v>
      </c>
      <c r="AH134" s="434">
        <f t="shared" si="10"/>
        <v>6.984875943972485E-2</v>
      </c>
    </row>
    <row r="135" spans="1:34">
      <c r="A135" s="138">
        <f>'Input data'!A130</f>
        <v>2030</v>
      </c>
      <c r="B135" s="100">
        <f>'Recycling - Case 2'!AP110</f>
        <v>5.9069158469499353E-2</v>
      </c>
      <c r="C135" s="473">
        <f>'Recycling - Case 2'!$AK110*'Recycling - Case 2'!BM110*'4C2 Open-burning '!$B135</f>
        <v>338.41353320305961</v>
      </c>
      <c r="D135" s="474">
        <f>'Recycling - Case 2'!$AK110*'Recycling - Case 2'!BN110*'4C2 Open-burning '!$B135</f>
        <v>353.44086309639226</v>
      </c>
      <c r="E135" s="474">
        <f>'Recycling - Case 2'!$AK110*'Recycling - Case 2'!BO110*'4C2 Open-burning '!$B135</f>
        <v>96.535429354056163</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377.42036233989995</v>
      </c>
      <c r="J135" s="663">
        <f t="shared" si="12"/>
        <v>1165.8101879934079</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0.50996192052291123</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13.002886323334232</v>
      </c>
      <c r="R135" s="1181">
        <f t="shared" si="8"/>
        <v>13.512848243857144</v>
      </c>
      <c r="S135" s="431">
        <f>C135*'4C2 Open-burning '!$C$9*'4C2 Open-burning '!$C$11*$C$5</f>
        <v>1.3198127794919323</v>
      </c>
      <c r="T135" s="431">
        <f>D135*'4C2 Open-burning '!$C$9*'4C2 Open-burning '!$C$11*$C$5</f>
        <v>1.3784193660759299</v>
      </c>
      <c r="U135" s="431">
        <f>E135*'4C2 Open-burning '!$C$9*'4C2 Open-burning '!$C$11*$C$5</f>
        <v>0.376488174480819</v>
      </c>
      <c r="V135" s="431">
        <f>F135*'4C2 Open-burning '!$C$9*'4C2 Open-burning '!$C$11*$C$5</f>
        <v>0</v>
      </c>
      <c r="W135" s="431">
        <f>G135*'4C2 Open-burning '!$C$9*'4C2 Open-burning '!$C$11*$C$5</f>
        <v>0</v>
      </c>
      <c r="X135" s="431">
        <f>H135*'4C2 Open-burning '!$C$9*'4C2 Open-burning '!$C$11*$C$5</f>
        <v>0</v>
      </c>
      <c r="Y135" s="431">
        <f>I135*'4C2 Open-burning '!$C$9*'4C2 Open-burning '!$C$11*$C$5</f>
        <v>1.4719394131256096</v>
      </c>
      <c r="Z135" s="432">
        <f t="shared" si="9"/>
        <v>4.5466597331742911</v>
      </c>
      <c r="AA135" s="433">
        <f>C135*'4C2 Open-burning '!$C$10*'4C2 Open-burning '!$C$11*$C$5*C$15</f>
        <v>1.2182887195310146E-2</v>
      </c>
      <c r="AB135" s="433">
        <f>D135*'4C2 Open-burning '!$C$10*'4C2 Open-burning '!$C$11*$C$5*D$15</f>
        <v>1.2723871071470123E-2</v>
      </c>
      <c r="AC135" s="433">
        <f>E135*'4C2 Open-burning '!$C$10*'4C2 Open-burning '!$C$11*$C$5*E$15</f>
        <v>7.8193697776785479E-3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3.0571049349531899E-2</v>
      </c>
      <c r="AH135" s="434">
        <f t="shared" si="10"/>
        <v>6.3297177393990711E-2</v>
      </c>
    </row>
    <row r="136" spans="1:34">
      <c r="A136" s="138">
        <f>'Input data'!A131</f>
        <v>2031</v>
      </c>
      <c r="B136" s="100">
        <f>'Recycling - Case 2'!AP111</f>
        <v>5.314869846054425E-2</v>
      </c>
      <c r="C136" s="473">
        <f>'Recycling - Case 2'!$AK111*'Recycling - Case 2'!BM111*'4C2 Open-burning '!$B136</f>
        <v>298.44783500785923</v>
      </c>
      <c r="D136" s="474">
        <f>'Recycling - Case 2'!$AK111*'Recycling - Case 2'!BN111*'4C2 Open-burning '!$B136</f>
        <v>311.70047898508147</v>
      </c>
      <c r="E136" s="474">
        <f>'Recycling - Case 2'!$AK111*'Recycling - Case 2'!BO111*'4C2 Open-burning '!$B136</f>
        <v>85.134863312291813</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332.84806598037829</v>
      </c>
      <c r="J136" s="663">
        <f t="shared" si="12"/>
        <v>1028.1312432856109</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0.44973683432804523</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11.467281569155992</v>
      </c>
      <c r="R136" s="1181">
        <f t="shared" si="8"/>
        <v>11.917018403484036</v>
      </c>
      <c r="S136" s="431">
        <f>C136*'4C2 Open-burning '!$C$9*'4C2 Open-burning '!$C$11*$C$5</f>
        <v>1.1639465565306508</v>
      </c>
      <c r="T136" s="431">
        <f>D136*'4C2 Open-burning '!$C$9*'4C2 Open-burning '!$C$11*$C$5</f>
        <v>1.2156318680418174</v>
      </c>
      <c r="U136" s="431">
        <f>E136*'4C2 Open-burning '!$C$9*'4C2 Open-burning '!$C$11*$C$5</f>
        <v>0.33202596691793801</v>
      </c>
      <c r="V136" s="431">
        <f>F136*'4C2 Open-burning '!$C$9*'4C2 Open-burning '!$C$11*$C$5</f>
        <v>0</v>
      </c>
      <c r="W136" s="431">
        <f>G136*'4C2 Open-burning '!$C$9*'4C2 Open-burning '!$C$11*$C$5</f>
        <v>0</v>
      </c>
      <c r="X136" s="431">
        <f>H136*'4C2 Open-burning '!$C$9*'4C2 Open-burning '!$C$11*$C$5</f>
        <v>0</v>
      </c>
      <c r="Y136" s="431">
        <f>I136*'4C2 Open-burning '!$C$9*'4C2 Open-burning '!$C$11*$C$5</f>
        <v>1.2981074573234754</v>
      </c>
      <c r="Z136" s="432">
        <f t="shared" si="9"/>
        <v>4.0097118488138817</v>
      </c>
      <c r="AA136" s="433">
        <f>C136*'4C2 Open-burning '!$C$10*'4C2 Open-burning '!$C$11*$C$5*C$15</f>
        <v>1.0744122060282933E-2</v>
      </c>
      <c r="AB136" s="433">
        <f>D136*'4C2 Open-burning '!$C$10*'4C2 Open-burning '!$C$11*$C$5*D$15</f>
        <v>1.1221217243462932E-2</v>
      </c>
      <c r="AC136" s="433">
        <f>E136*'4C2 Open-burning '!$C$10*'4C2 Open-burning '!$C$11*$C$5*E$15</f>
        <v>6.8959239282956374E-3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2.696069334441064E-2</v>
      </c>
      <c r="AH136" s="434">
        <f t="shared" si="10"/>
        <v>5.5821956576452142E-2</v>
      </c>
    </row>
    <row r="137" spans="1:34">
      <c r="A137" s="138">
        <f>'Input data'!A132</f>
        <v>2032</v>
      </c>
      <c r="B137" s="100">
        <f>'Recycling - Case 2'!AP112</f>
        <v>4.703528944615664E-2</v>
      </c>
      <c r="C137" s="473">
        <f>'Recycling - Case 2'!$AK112*'Recycling - Case 2'!BM112*'4C2 Open-burning '!$B137</f>
        <v>258.75680992464771</v>
      </c>
      <c r="D137" s="474">
        <f>'Recycling - Case 2'!$AK112*'Recycling - Case 2'!BN112*'4C2 Open-burning '!$B137</f>
        <v>270.246964907755</v>
      </c>
      <c r="E137" s="474">
        <f>'Recycling - Case 2'!$AK112*'Recycling - Case 2'!BO112*'4C2 Open-burning '!$B137</f>
        <v>73.81265018551548</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288.58210259894599</v>
      </c>
      <c r="J137" s="663">
        <f t="shared" si="12"/>
        <v>891.39852761686427</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0.38992565837601151</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9.9422305987388864</v>
      </c>
      <c r="R137" s="1181">
        <f t="shared" si="8"/>
        <v>10.332156257114898</v>
      </c>
      <c r="S137" s="431">
        <f>C137*'4C2 Open-burning '!$C$9*'4C2 Open-burning '!$C$11*$C$5</f>
        <v>1.0091515587061259</v>
      </c>
      <c r="T137" s="431">
        <f>D137*'4C2 Open-burning '!$C$9*'4C2 Open-burning '!$C$11*$C$5</f>
        <v>1.0539631631402444</v>
      </c>
      <c r="U137" s="431">
        <f>E137*'4C2 Open-burning '!$C$9*'4C2 Open-burning '!$C$11*$C$5</f>
        <v>0.28786933572351037</v>
      </c>
      <c r="V137" s="431">
        <f>F137*'4C2 Open-burning '!$C$9*'4C2 Open-burning '!$C$11*$C$5</f>
        <v>0</v>
      </c>
      <c r="W137" s="431">
        <f>G137*'4C2 Open-burning '!$C$9*'4C2 Open-burning '!$C$11*$C$5</f>
        <v>0</v>
      </c>
      <c r="X137" s="431">
        <f>H137*'4C2 Open-burning '!$C$9*'4C2 Open-burning '!$C$11*$C$5</f>
        <v>0</v>
      </c>
      <c r="Y137" s="431">
        <f>I137*'4C2 Open-burning '!$C$9*'4C2 Open-burning '!$C$11*$C$5</f>
        <v>1.1254702001358894</v>
      </c>
      <c r="Z137" s="432">
        <f t="shared" si="9"/>
        <v>3.47645425770577</v>
      </c>
      <c r="AA137" s="433">
        <f>C137*'4C2 Open-burning '!$C$10*'4C2 Open-burning '!$C$11*$C$5*C$15</f>
        <v>9.3152451572873184E-3</v>
      </c>
      <c r="AB137" s="433">
        <f>D137*'4C2 Open-burning '!$C$10*'4C2 Open-burning '!$C$11*$C$5*D$15</f>
        <v>9.7288907366791799E-3</v>
      </c>
      <c r="AC137" s="433">
        <f>E137*'4C2 Open-burning '!$C$10*'4C2 Open-burning '!$C$11*$C$5*E$15</f>
        <v>5.9788246650267539E-3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2.3375150310514625E-2</v>
      </c>
      <c r="AH137" s="434">
        <f t="shared" si="10"/>
        <v>4.8398110869507877E-2</v>
      </c>
    </row>
    <row r="138" spans="1:34">
      <c r="A138" s="138">
        <f>'Input data'!A133</f>
        <v>2033</v>
      </c>
      <c r="B138" s="100">
        <f>'Recycling - Case 2'!AP113</f>
        <v>4.6720326396297945E-2</v>
      </c>
      <c r="C138" s="473">
        <f>'Recycling - Case 2'!$AK113*'Recycling - Case 2'!BM113*'4C2 Open-burning '!$B138</f>
        <v>258.02774842242587</v>
      </c>
      <c r="D138" s="474">
        <f>'Recycling - Case 2'!$AK113*'Recycling - Case 2'!BN113*'4C2 Open-burning '!$B138</f>
        <v>269.48552926374651</v>
      </c>
      <c r="E138" s="474">
        <f>'Recycling - Case 2'!$AK113*'Recycling - Case 2'!BO113*'4C2 Open-burning '!$B138</f>
        <v>73.604678995721869</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287.76900669899112</v>
      </c>
      <c r="J138" s="663">
        <f t="shared" si="12"/>
        <v>888.88696338088539</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0.38882702144996018</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9.9142178187936416</v>
      </c>
      <c r="R138" s="1181">
        <f t="shared" si="8"/>
        <v>10.303044840243603</v>
      </c>
      <c r="S138" s="431">
        <f>C138*'4C2 Open-burning '!$C$9*'4C2 Open-burning '!$C$11*$C$5</f>
        <v>1.0063082188474608</v>
      </c>
      <c r="T138" s="431">
        <f>D138*'4C2 Open-burning '!$C$9*'4C2 Open-burning '!$C$11*$C$5</f>
        <v>1.0509935641286114</v>
      </c>
      <c r="U138" s="431">
        <f>E138*'4C2 Open-burning '!$C$9*'4C2 Open-burning '!$C$11*$C$5</f>
        <v>0.28705824808331526</v>
      </c>
      <c r="V138" s="431">
        <f>F138*'4C2 Open-burning '!$C$9*'4C2 Open-burning '!$C$11*$C$5</f>
        <v>0</v>
      </c>
      <c r="W138" s="431">
        <f>G138*'4C2 Open-burning '!$C$9*'4C2 Open-burning '!$C$11*$C$5</f>
        <v>0</v>
      </c>
      <c r="X138" s="431">
        <f>H138*'4C2 Open-burning '!$C$9*'4C2 Open-burning '!$C$11*$C$5</f>
        <v>0</v>
      </c>
      <c r="Y138" s="431">
        <f>I138*'4C2 Open-burning '!$C$9*'4C2 Open-burning '!$C$11*$C$5</f>
        <v>1.1222991261260653</v>
      </c>
      <c r="Z138" s="432">
        <f t="shared" si="9"/>
        <v>3.466659157185453</v>
      </c>
      <c r="AA138" s="433">
        <f>C138*'4C2 Open-burning '!$C$10*'4C2 Open-burning '!$C$11*$C$5*C$15</f>
        <v>9.2889989432073314E-3</v>
      </c>
      <c r="AB138" s="433">
        <f>D138*'4C2 Open-burning '!$C$10*'4C2 Open-burning '!$C$11*$C$5*D$15</f>
        <v>9.7014790534948759E-3</v>
      </c>
      <c r="AC138" s="433">
        <f>E138*'4C2 Open-burning '!$C$10*'4C2 Open-burning '!$C$11*$C$5*E$15</f>
        <v>5.9619789986534704E-3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2.3309289542618281E-2</v>
      </c>
      <c r="AH138" s="434">
        <f t="shared" si="10"/>
        <v>4.8261746537973958E-2</v>
      </c>
    </row>
    <row r="139" spans="1:34">
      <c r="A139" s="138">
        <f>'Input data'!A134</f>
        <v>2034</v>
      </c>
      <c r="B139" s="100">
        <f>'Recycling - Case 2'!AP114</f>
        <v>4.641797290134949E-2</v>
      </c>
      <c r="C139" s="473">
        <f>'Recycling - Case 2'!$AK114*'Recycling - Case 2'!BM114*'4C2 Open-burning '!$B139</f>
        <v>257.33153019977203</v>
      </c>
      <c r="D139" s="474">
        <f>'Recycling - Case 2'!$AK114*'Recycling - Case 2'!BN114*'4C2 Open-burning '!$B139</f>
        <v>268.75839531260351</v>
      </c>
      <c r="E139" s="474">
        <f>'Recycling - Case 2'!$AK114*'Recycling - Case 2'!BO114*'4C2 Open-burning '!$B139</f>
        <v>73.40607663956942</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286.99253971974662</v>
      </c>
      <c r="J139" s="663">
        <f t="shared" si="12"/>
        <v>886.4885418716915</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0.38777787669925501</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9.88746697842471</v>
      </c>
      <c r="R139" s="1181">
        <f t="shared" si="8"/>
        <v>10.275244855123965</v>
      </c>
      <c r="S139" s="431">
        <f>C139*'4C2 Open-burning '!$C$9*'4C2 Open-burning '!$C$11*$C$5</f>
        <v>1.0035929677791109</v>
      </c>
      <c r="T139" s="431">
        <f>D139*'4C2 Open-burning '!$C$9*'4C2 Open-burning '!$C$11*$C$5</f>
        <v>1.0481577417191537</v>
      </c>
      <c r="U139" s="431">
        <f>E139*'4C2 Open-burning '!$C$9*'4C2 Open-burning '!$C$11*$C$5</f>
        <v>0.2862836988943207</v>
      </c>
      <c r="V139" s="431">
        <f>F139*'4C2 Open-burning '!$C$9*'4C2 Open-burning '!$C$11*$C$5</f>
        <v>0</v>
      </c>
      <c r="W139" s="431">
        <f>G139*'4C2 Open-burning '!$C$9*'4C2 Open-burning '!$C$11*$C$5</f>
        <v>0</v>
      </c>
      <c r="X139" s="431">
        <f>H139*'4C2 Open-burning '!$C$9*'4C2 Open-burning '!$C$11*$C$5</f>
        <v>0</v>
      </c>
      <c r="Y139" s="431">
        <f>I139*'4C2 Open-burning '!$C$9*'4C2 Open-burning '!$C$11*$C$5</f>
        <v>1.1192709049070118</v>
      </c>
      <c r="Z139" s="432">
        <f t="shared" si="9"/>
        <v>3.4573053132995972</v>
      </c>
      <c r="AA139" s="433">
        <f>C139*'4C2 Open-burning '!$C$10*'4C2 Open-burning '!$C$11*$C$5*C$15</f>
        <v>9.2639350871917946E-3</v>
      </c>
      <c r="AB139" s="433">
        <f>D139*'4C2 Open-burning '!$C$10*'4C2 Open-burning '!$C$11*$C$5*D$15</f>
        <v>9.6753022312537282E-3</v>
      </c>
      <c r="AC139" s="433">
        <f>E139*'4C2 Open-burning '!$C$10*'4C2 Open-burning '!$C$11*$C$5*E$15</f>
        <v>5.9458922078051224E-3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2.3246395717299473E-2</v>
      </c>
      <c r="AH139" s="434">
        <f t="shared" si="10"/>
        <v>4.8131525243550119E-2</v>
      </c>
    </row>
    <row r="140" spans="1:34">
      <c r="A140" s="138">
        <f>'Input data'!A135</f>
        <v>2035</v>
      </c>
      <c r="B140" s="100">
        <f>'Recycling - Case 2'!AP115</f>
        <v>4.6127950305162022E-2</v>
      </c>
      <c r="C140" s="473">
        <f>'Recycling - Case 2'!$AK115*'Recycling - Case 2'!BM115*'4C2 Open-burning '!$B140</f>
        <v>256.66708152481419</v>
      </c>
      <c r="D140" s="474">
        <f>'Recycling - Case 2'!$AK115*'Recycling - Case 2'!BN115*'4C2 Open-burning '!$B140</f>
        <v>268.06444164314593</v>
      </c>
      <c r="E140" s="474">
        <f>'Recycling - Case 2'!$AK115*'Recycling - Case 2'!BO115*'4C2 Open-burning '!$B140</f>
        <v>73.216536825621418</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286.25150416692674</v>
      </c>
      <c r="J140" s="663">
        <f t="shared" si="12"/>
        <v>884.19956416050832</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0.38677660609650072</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9.8619368215589596</v>
      </c>
      <c r="R140" s="1181">
        <f t="shared" si="8"/>
        <v>10.24871342765546</v>
      </c>
      <c r="S140" s="431">
        <f>C140*'4C2 Open-burning '!$C$9*'4C2 Open-burning '!$C$11*$C$5</f>
        <v>1.0010016179467753</v>
      </c>
      <c r="T140" s="431">
        <f>D140*'4C2 Open-burning '!$C$9*'4C2 Open-burning '!$C$11*$C$5</f>
        <v>1.0454513224082691</v>
      </c>
      <c r="U140" s="431">
        <f>E140*'4C2 Open-burning '!$C$9*'4C2 Open-burning '!$C$11*$C$5</f>
        <v>0.28554449361992351</v>
      </c>
      <c r="V140" s="431">
        <f>F140*'4C2 Open-burning '!$C$9*'4C2 Open-burning '!$C$11*$C$5</f>
        <v>0</v>
      </c>
      <c r="W140" s="431">
        <f>G140*'4C2 Open-burning '!$C$9*'4C2 Open-burning '!$C$11*$C$5</f>
        <v>0</v>
      </c>
      <c r="X140" s="431">
        <f>H140*'4C2 Open-burning '!$C$9*'4C2 Open-burning '!$C$11*$C$5</f>
        <v>0</v>
      </c>
      <c r="Y140" s="431">
        <f>I140*'4C2 Open-burning '!$C$9*'4C2 Open-burning '!$C$11*$C$5</f>
        <v>1.1163808662510142</v>
      </c>
      <c r="Z140" s="432">
        <f t="shared" si="9"/>
        <v>3.4483783002259818</v>
      </c>
      <c r="AA140" s="433">
        <f>C140*'4C2 Open-burning '!$C$10*'4C2 Open-burning '!$C$11*$C$5*C$15</f>
        <v>9.2400149348933116E-3</v>
      </c>
      <c r="AB140" s="433">
        <f>D140*'4C2 Open-burning '!$C$10*'4C2 Open-burning '!$C$11*$C$5*D$15</f>
        <v>9.6503198991532545E-3</v>
      </c>
      <c r="AC140" s="433">
        <f>E140*'4C2 Open-burning '!$C$10*'4C2 Open-burning '!$C$11*$C$5*E$15</f>
        <v>5.9305394828753355E-3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2.3186371837521064E-2</v>
      </c>
      <c r="AH140" s="434">
        <f t="shared" si="10"/>
        <v>4.8007246154442962E-2</v>
      </c>
    </row>
    <row r="141" spans="1:34">
      <c r="A141" s="138">
        <f>'Input data'!A136</f>
        <v>2036</v>
      </c>
      <c r="B141" s="100">
        <f>'Recycling - Case 2'!AP116</f>
        <v>4.5849253729624659E-2</v>
      </c>
      <c r="C141" s="473">
        <f>'Recycling - Case 2'!$AK116*'Recycling - Case 2'!BM116*'4C2 Open-burning '!$B141</f>
        <v>256.03170490217059</v>
      </c>
      <c r="D141" s="474">
        <f>'Recycling - Case 2'!$AK116*'Recycling - Case 2'!BN116*'4C2 Open-burning '!$B141</f>
        <v>267.40085097709635</v>
      </c>
      <c r="E141" s="474">
        <f>'Recycling - Case 2'!$AK116*'Recycling - Case 2'!BO116*'4C2 Open-burning '!$B141</f>
        <v>73.035290069654295</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285.54289162158693</v>
      </c>
      <c r="J141" s="663">
        <f t="shared" si="12"/>
        <v>882.01073757050813</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0.38581914473355855</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9.8375237021469122</v>
      </c>
      <c r="R141" s="1181">
        <f t="shared" si="8"/>
        <v>10.22334284688047</v>
      </c>
      <c r="S141" s="431">
        <f>C141*'4C2 Open-burning '!$C$9*'4C2 Open-burning '!$C$11*$C$5</f>
        <v>0.99852364911846514</v>
      </c>
      <c r="T141" s="431">
        <f>D141*'4C2 Open-burning '!$C$9*'4C2 Open-burning '!$C$11*$C$5</f>
        <v>1.0428633188106757</v>
      </c>
      <c r="U141" s="431">
        <f>E141*'4C2 Open-burning '!$C$9*'4C2 Open-burning '!$C$11*$C$5</f>
        <v>0.28483763127165174</v>
      </c>
      <c r="V141" s="431">
        <f>F141*'4C2 Open-burning '!$C$9*'4C2 Open-burning '!$C$11*$C$5</f>
        <v>0</v>
      </c>
      <c r="W141" s="431">
        <f>G141*'4C2 Open-burning '!$C$9*'4C2 Open-burning '!$C$11*$C$5</f>
        <v>0</v>
      </c>
      <c r="X141" s="431">
        <f>H141*'4C2 Open-burning '!$C$9*'4C2 Open-burning '!$C$11*$C$5</f>
        <v>0</v>
      </c>
      <c r="Y141" s="431">
        <f>I141*'4C2 Open-burning '!$C$9*'4C2 Open-burning '!$C$11*$C$5</f>
        <v>1.113617277324189</v>
      </c>
      <c r="Z141" s="432">
        <f t="shared" si="9"/>
        <v>3.4398418765249819</v>
      </c>
      <c r="AA141" s="433">
        <f>C141*'4C2 Open-burning '!$C$10*'4C2 Open-burning '!$C$11*$C$5*C$15</f>
        <v>9.2171413764781419E-3</v>
      </c>
      <c r="AB141" s="433">
        <f>D141*'4C2 Open-burning '!$C$10*'4C2 Open-burning '!$C$11*$C$5*D$15</f>
        <v>9.6264306351754678E-3</v>
      </c>
      <c r="AC141" s="433">
        <f>E141*'4C2 Open-burning '!$C$10*'4C2 Open-burning '!$C$11*$C$5*E$15</f>
        <v>5.9158584956419975E-3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2.3128974221348544E-2</v>
      </c>
      <c r="AH141" s="434">
        <f t="shared" si="10"/>
        <v>4.7888404728644154E-2</v>
      </c>
    </row>
    <row r="142" spans="1:34">
      <c r="A142" s="138">
        <f>'Input data'!A137</f>
        <v>2037</v>
      </c>
      <c r="B142" s="100">
        <f>'Recycling - Case 2'!AP117</f>
        <v>4.5581651042010618E-2</v>
      </c>
      <c r="C142" s="473">
        <f>'Recycling - Case 2'!$AK117*'Recycling - Case 2'!BM117*'4C2 Open-burning '!$B142</f>
        <v>255.4245098653499</v>
      </c>
      <c r="D142" s="474">
        <f>'Recycling - Case 2'!$AK117*'Recycling - Case 2'!BN117*'4C2 Open-burning '!$B142</f>
        <v>266.76669330659627</v>
      </c>
      <c r="E142" s="474">
        <f>'Recycling - Case 2'!$AK117*'Recycling - Case 2'!BO117*'4C2 Open-burning '!$B142</f>
        <v>72.862082358289015</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284.86570897868614</v>
      </c>
      <c r="J142" s="663">
        <f t="shared" si="12"/>
        <v>879.9189945089214</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0.38490415074919188</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9.8141934057336933</v>
      </c>
      <c r="R142" s="1181">
        <f t="shared" si="8"/>
        <v>10.199097556482885</v>
      </c>
      <c r="S142" s="431">
        <f>C142*'4C2 Open-burning '!$C$9*'4C2 Open-burning '!$C$11*$C$5</f>
        <v>0.99615558847486452</v>
      </c>
      <c r="T142" s="431">
        <f>D142*'4C2 Open-burning '!$C$9*'4C2 Open-burning '!$C$11*$C$5</f>
        <v>1.0403901038957253</v>
      </c>
      <c r="U142" s="431">
        <f>E142*'4C2 Open-burning '!$C$9*'4C2 Open-burning '!$C$11*$C$5</f>
        <v>0.28416212119732714</v>
      </c>
      <c r="V142" s="431">
        <f>F142*'4C2 Open-burning '!$C$9*'4C2 Open-burning '!$C$11*$C$5</f>
        <v>0</v>
      </c>
      <c r="W142" s="431">
        <f>G142*'4C2 Open-burning '!$C$9*'4C2 Open-burning '!$C$11*$C$5</f>
        <v>0</v>
      </c>
      <c r="X142" s="431">
        <f>H142*'4C2 Open-burning '!$C$9*'4C2 Open-burning '!$C$11*$C$5</f>
        <v>0</v>
      </c>
      <c r="Y142" s="431">
        <f>I142*'4C2 Open-burning '!$C$9*'4C2 Open-burning '!$C$11*$C$5</f>
        <v>1.110976265016876</v>
      </c>
      <c r="Z142" s="432">
        <f t="shared" si="9"/>
        <v>3.4316840785847926</v>
      </c>
      <c r="AA142" s="433">
        <f>C142*'4C2 Open-burning '!$C$10*'4C2 Open-burning '!$C$11*$C$5*C$15</f>
        <v>9.1952823551525974E-3</v>
      </c>
      <c r="AB142" s="433">
        <f>D142*'4C2 Open-burning '!$C$10*'4C2 Open-burning '!$C$11*$C$5*D$15</f>
        <v>9.6036009590374644E-3</v>
      </c>
      <c r="AC142" s="433">
        <f>E142*'4C2 Open-burning '!$C$10*'4C2 Open-burning '!$C$11*$C$5*E$15</f>
        <v>5.9018286710214099E-3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2.3074122427273577E-2</v>
      </c>
      <c r="AH142" s="434">
        <f t="shared" si="10"/>
        <v>4.7774834412485048E-2</v>
      </c>
    </row>
    <row r="143" spans="1:34">
      <c r="A143" s="138">
        <f>'Input data'!A138</f>
        <v>2038</v>
      </c>
      <c r="B143" s="100">
        <f>'Recycling - Case 2'!AP118</f>
        <v>4.5324922860500445E-2</v>
      </c>
      <c r="C143" s="473">
        <f>'Recycling - Case 2'!$AK118*'Recycling - Case 2'!BM118*'4C2 Open-burning '!$B143</f>
        <v>254.84465710935734</v>
      </c>
      <c r="D143" s="474">
        <f>'Recycling - Case 2'!$AK118*'Recycling - Case 2'!BN118*'4C2 Open-burning '!$B143</f>
        <v>266.16109205712183</v>
      </c>
      <c r="E143" s="474">
        <f>'Recycling - Case 2'!$AK118*'Recycling - Case 2'!BO118*'4C2 Open-burning '!$B143</f>
        <v>72.696674272412366</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284.21902019174809</v>
      </c>
      <c r="J143" s="663">
        <f t="shared" si="12"/>
        <v>877.9214436306396</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0.38403035937841645</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9.7919136836461043</v>
      </c>
      <c r="R143" s="1181">
        <f t="shared" si="8"/>
        <v>10.17594404302452</v>
      </c>
      <c r="S143" s="431">
        <f>C143*'4C2 Open-burning '!$C$9*'4C2 Open-burning '!$C$11*$C$5</f>
        <v>0.99389416272649356</v>
      </c>
      <c r="T143" s="431">
        <f>D143*'4C2 Open-burning '!$C$9*'4C2 Open-burning '!$C$11*$C$5</f>
        <v>1.0380282590227752</v>
      </c>
      <c r="U143" s="431">
        <f>E143*'4C2 Open-burning '!$C$9*'4C2 Open-burning '!$C$11*$C$5</f>
        <v>0.28351702966240816</v>
      </c>
      <c r="V143" s="431">
        <f>F143*'4C2 Open-burning '!$C$9*'4C2 Open-burning '!$C$11*$C$5</f>
        <v>0</v>
      </c>
      <c r="W143" s="431">
        <f>G143*'4C2 Open-burning '!$C$9*'4C2 Open-burning '!$C$11*$C$5</f>
        <v>0</v>
      </c>
      <c r="X143" s="431">
        <f>H143*'4C2 Open-burning '!$C$9*'4C2 Open-burning '!$C$11*$C$5</f>
        <v>0</v>
      </c>
      <c r="Y143" s="431">
        <f>I143*'4C2 Open-burning '!$C$9*'4C2 Open-burning '!$C$11*$C$5</f>
        <v>1.1084541787478175</v>
      </c>
      <c r="Z143" s="432">
        <f t="shared" si="9"/>
        <v>3.4238936301594944</v>
      </c>
      <c r="AA143" s="433">
        <f>C143*'4C2 Open-burning '!$C$10*'4C2 Open-burning '!$C$11*$C$5*C$15</f>
        <v>9.1744076559368646E-3</v>
      </c>
      <c r="AB143" s="433">
        <f>D143*'4C2 Open-burning '!$C$10*'4C2 Open-burning '!$C$11*$C$5*D$15</f>
        <v>9.5817993140563853E-3</v>
      </c>
      <c r="AC143" s="433">
        <f>E143*'4C2 Open-burning '!$C$10*'4C2 Open-burning '!$C$11*$C$5*E$15</f>
        <v>5.8884306160654019E-3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2.3021740635531595E-2</v>
      </c>
      <c r="AH143" s="434">
        <f t="shared" si="10"/>
        <v>4.7666378221590242E-2</v>
      </c>
    </row>
    <row r="144" spans="1:34">
      <c r="A144" s="138">
        <f>'Input data'!A139</f>
        <v>2039</v>
      </c>
      <c r="B144" s="100">
        <f>'Recycling - Case 2'!AP119</f>
        <v>4.5078861908062012E-2</v>
      </c>
      <c r="C144" s="473">
        <f>'Recycling - Case 2'!$AK119*'Recycling - Case 2'!BM119*'4C2 Open-burning '!$B144</f>
        <v>254.2913557373372</v>
      </c>
      <c r="D144" s="474">
        <f>'Recycling - Case 2'!$AK119*'Recycling - Case 2'!BN119*'4C2 Open-burning '!$B144</f>
        <v>265.58322121186262</v>
      </c>
      <c r="E144" s="474">
        <f>'Recycling - Case 2'!$AK119*'Recycling - Case 2'!BO119*'4C2 Open-burning '!$B144</f>
        <v>72.538840201757438</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283.60194320214174</v>
      </c>
      <c r="J144" s="663">
        <f t="shared" si="12"/>
        <v>876.01536035309891</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0.3831965788034119</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9.7706541472001867</v>
      </c>
      <c r="R144" s="1181">
        <f t="shared" si="8"/>
        <v>10.153850726003599</v>
      </c>
      <c r="S144" s="431">
        <f>C144*'4C2 Open-burning '!$C$9*'4C2 Open-burning '!$C$11*$C$5</f>
        <v>0.99173628737561503</v>
      </c>
      <c r="T144" s="431">
        <f>D144*'4C2 Open-burning '!$C$9*'4C2 Open-burning '!$C$11*$C$5</f>
        <v>1.0357745627262642</v>
      </c>
      <c r="U144" s="431">
        <f>E144*'4C2 Open-burning '!$C$9*'4C2 Open-burning '!$C$11*$C$5</f>
        <v>0.28290147678685396</v>
      </c>
      <c r="V144" s="431">
        <f>F144*'4C2 Open-burning '!$C$9*'4C2 Open-burning '!$C$11*$C$5</f>
        <v>0</v>
      </c>
      <c r="W144" s="431">
        <f>G144*'4C2 Open-burning '!$C$9*'4C2 Open-burning '!$C$11*$C$5</f>
        <v>0</v>
      </c>
      <c r="X144" s="431">
        <f>H144*'4C2 Open-burning '!$C$9*'4C2 Open-burning '!$C$11*$C$5</f>
        <v>0</v>
      </c>
      <c r="Y144" s="431">
        <f>I144*'4C2 Open-burning '!$C$9*'4C2 Open-burning '!$C$11*$C$5</f>
        <v>1.1060475784883526</v>
      </c>
      <c r="Z144" s="432">
        <f t="shared" si="9"/>
        <v>3.4164599053770854</v>
      </c>
      <c r="AA144" s="433">
        <f>C144*'4C2 Open-burning '!$C$10*'4C2 Open-burning '!$C$11*$C$5*C$15</f>
        <v>9.1544888065441376E-3</v>
      </c>
      <c r="AB144" s="433">
        <f>D144*'4C2 Open-burning '!$C$10*'4C2 Open-burning '!$C$11*$C$5*D$15</f>
        <v>9.5609959636270558E-3</v>
      </c>
      <c r="AC144" s="433">
        <f>E144*'4C2 Open-burning '!$C$10*'4C2 Open-burning '!$C$11*$C$5*E$15</f>
        <v>5.8756460563423518E-3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2.2971757399373481E-2</v>
      </c>
      <c r="AH144" s="434">
        <f t="shared" si="10"/>
        <v>4.7562888225887029E-2</v>
      </c>
    </row>
    <row r="145" spans="1:34">
      <c r="A145" s="138">
        <f>'Input data'!A140</f>
        <v>2040</v>
      </c>
      <c r="B145" s="100">
        <f>'Recycling - Case 2'!AP120</f>
        <v>4.4843272415556461E-2</v>
      </c>
      <c r="C145" s="473">
        <f>'Recycling - Case 2'!$AK120*'Recycling - Case 2'!BM120*'4C2 Open-burning '!$B145</f>
        <v>253.76386071338862</v>
      </c>
      <c r="D145" s="474">
        <f>'Recycling - Case 2'!$AK120*'Recycling - Case 2'!BN120*'4C2 Open-burning '!$B145</f>
        <v>265.03230265142912</v>
      </c>
      <c r="E145" s="474">
        <f>'Recycling - Case 2'!$AK120*'Recycling - Case 2'!BO120*'4C2 Open-burning '!$B145</f>
        <v>72.38836761829711</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283.01364709829852</v>
      </c>
      <c r="J145" s="663">
        <f t="shared" si="12"/>
        <v>874.1981780814134</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0.38240168631512106</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9.7503861698305805</v>
      </c>
      <c r="R145" s="1181">
        <f t="shared" si="8"/>
        <v>10.132787856145702</v>
      </c>
      <c r="S145" s="431">
        <f>C145*'4C2 Open-burning '!$C$9*'4C2 Open-burning '!$C$11*$C$5</f>
        <v>0.98967905678221557</v>
      </c>
      <c r="T145" s="431">
        <f>D145*'4C2 Open-burning '!$C$9*'4C2 Open-burning '!$C$11*$C$5</f>
        <v>1.0336259803405734</v>
      </c>
      <c r="U145" s="431">
        <f>E145*'4C2 Open-burning '!$C$9*'4C2 Open-burning '!$C$11*$C$5</f>
        <v>0.28231463371135873</v>
      </c>
      <c r="V145" s="431">
        <f>F145*'4C2 Open-burning '!$C$9*'4C2 Open-burning '!$C$11*$C$5</f>
        <v>0</v>
      </c>
      <c r="W145" s="431">
        <f>G145*'4C2 Open-burning '!$C$9*'4C2 Open-burning '!$C$11*$C$5</f>
        <v>0</v>
      </c>
      <c r="X145" s="431">
        <f>H145*'4C2 Open-burning '!$C$9*'4C2 Open-burning '!$C$11*$C$5</f>
        <v>0</v>
      </c>
      <c r="Y145" s="431">
        <f>I145*'4C2 Open-burning '!$C$9*'4C2 Open-burning '!$C$11*$C$5</f>
        <v>1.103753223683364</v>
      </c>
      <c r="Z145" s="432">
        <f t="shared" si="9"/>
        <v>3.4093728945175119</v>
      </c>
      <c r="AA145" s="433">
        <f>C145*'4C2 Open-burning '!$C$10*'4C2 Open-burning '!$C$11*$C$5*C$15</f>
        <v>9.1354989856819915E-3</v>
      </c>
      <c r="AB145" s="433">
        <f>D145*'4C2 Open-burning '!$C$10*'4C2 Open-burning '!$C$11*$C$5*D$15</f>
        <v>9.541162895451448E-3</v>
      </c>
      <c r="AC145" s="433">
        <f>E145*'4C2 Open-burning '!$C$10*'4C2 Open-burning '!$C$11*$C$5*E$15</f>
        <v>5.8634577770820661E-3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2.2924105414962183E-2</v>
      </c>
      <c r="AH145" s="434">
        <f t="shared" si="10"/>
        <v>4.7464225073177692E-2</v>
      </c>
    </row>
    <row r="146" spans="1:34">
      <c r="A146" s="138">
        <f>'Input data'!A141</f>
        <v>2041</v>
      </c>
      <c r="B146" s="100">
        <f>'Recycling - Case 2'!AP121</f>
        <v>4.4617223008642994E-2</v>
      </c>
      <c r="C146" s="473">
        <f>'Recycling - Case 2'!$AK121*'Recycling - Case 2'!BM121*'4C2 Open-burning '!$B146</f>
        <v>253.25980916268185</v>
      </c>
      <c r="D146" s="474">
        <f>'Recycling - Case 2'!$AK121*'Recycling - Case 2'!BN121*'4C2 Open-burning '!$B146</f>
        <v>264.5058685769975</v>
      </c>
      <c r="E146" s="474">
        <f>'Recycling - Case 2'!$AK121*'Recycling - Case 2'!BO121*'4C2 Open-burning '!$B146</f>
        <v>72.244582491255926</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282.45149665146164</v>
      </c>
      <c r="J146" s="663">
        <f t="shared" si="12"/>
        <v>872.46175688239691</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0.38164212125160818</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9.7310189626361563</v>
      </c>
      <c r="R146" s="1181">
        <f t="shared" si="8"/>
        <v>10.112661083887765</v>
      </c>
      <c r="S146" s="431">
        <f>C146*'4C2 Open-burning '!$C$9*'4C2 Open-burning '!$C$11*$C$5</f>
        <v>0.98771325573445923</v>
      </c>
      <c r="T146" s="431">
        <f>D146*'4C2 Open-burning '!$C$9*'4C2 Open-burning '!$C$11*$C$5</f>
        <v>1.0315728874502901</v>
      </c>
      <c r="U146" s="431">
        <f>E146*'4C2 Open-burning '!$C$9*'4C2 Open-burning '!$C$11*$C$5</f>
        <v>0.28175387171589811</v>
      </c>
      <c r="V146" s="431">
        <f>F146*'4C2 Open-burning '!$C$9*'4C2 Open-burning '!$C$11*$C$5</f>
        <v>0</v>
      </c>
      <c r="W146" s="431">
        <f>G146*'4C2 Open-burning '!$C$9*'4C2 Open-burning '!$C$11*$C$5</f>
        <v>0</v>
      </c>
      <c r="X146" s="431">
        <f>H146*'4C2 Open-burning '!$C$9*'4C2 Open-burning '!$C$11*$C$5</f>
        <v>0</v>
      </c>
      <c r="Y146" s="431">
        <f>I146*'4C2 Open-burning '!$C$9*'4C2 Open-burning '!$C$11*$C$5</f>
        <v>1.1015608369407002</v>
      </c>
      <c r="Z146" s="432">
        <f t="shared" si="9"/>
        <v>3.4026008518413482</v>
      </c>
      <c r="AA146" s="433">
        <f>C146*'4C2 Open-burning '!$C$10*'4C2 Open-burning '!$C$11*$C$5*C$15</f>
        <v>9.1173531298565438E-3</v>
      </c>
      <c r="AB146" s="433">
        <f>D146*'4C2 Open-burning '!$C$10*'4C2 Open-burning '!$C$11*$C$5*D$15</f>
        <v>9.5222112687719102E-3</v>
      </c>
      <c r="AC146" s="433">
        <f>E146*'4C2 Open-burning '!$C$10*'4C2 Open-burning '!$C$11*$C$5*E$15</f>
        <v>5.8518111817917285E-3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2.2878571228768393E-2</v>
      </c>
      <c r="AH146" s="434">
        <f t="shared" si="10"/>
        <v>4.7369946809188573E-2</v>
      </c>
    </row>
    <row r="147" spans="1:34">
      <c r="A147" s="138">
        <f>'Input data'!A142</f>
        <v>2042</v>
      </c>
      <c r="B147" s="100">
        <f>'Recycling - Case 2'!AP122</f>
        <v>4.4400551987481149E-2</v>
      </c>
      <c r="C147" s="473">
        <f>'Recycling - Case 2'!$AK122*'Recycling - Case 2'!BM122*'4C2 Open-burning '!$B147</f>
        <v>252.77858831651892</v>
      </c>
      <c r="D147" s="474">
        <f>'Recycling - Case 2'!$AK122*'Recycling - Case 2'!BN122*'4C2 Open-burning '!$B147</f>
        <v>264.0032790097365</v>
      </c>
      <c r="E147" s="474">
        <f>'Recycling - Case 2'!$AK122*'Recycling - Case 2'!BO122*'4C2 Open-burning '!$B147</f>
        <v>72.107310022986809</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281.91480846288579</v>
      </c>
      <c r="J147" s="663">
        <f t="shared" si="12"/>
        <v>870.80398581212808</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0.38091696021983101</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9.7125289811633397</v>
      </c>
      <c r="R147" s="1181">
        <f t="shared" si="8"/>
        <v>10.093445941383171</v>
      </c>
      <c r="S147" s="431">
        <f>C147*'4C2 Open-burning '!$C$9*'4C2 Open-burning '!$C$11*$C$5</f>
        <v>0.98583649443442378</v>
      </c>
      <c r="T147" s="431">
        <f>D147*'4C2 Open-burning '!$C$9*'4C2 Open-burning '!$C$11*$C$5</f>
        <v>1.0296127881379722</v>
      </c>
      <c r="U147" s="431">
        <f>E147*'4C2 Open-burning '!$C$9*'4C2 Open-burning '!$C$11*$C$5</f>
        <v>0.28121850908964852</v>
      </c>
      <c r="V147" s="431">
        <f>F147*'4C2 Open-burning '!$C$9*'4C2 Open-burning '!$C$11*$C$5</f>
        <v>0</v>
      </c>
      <c r="W147" s="431">
        <f>G147*'4C2 Open-burning '!$C$9*'4C2 Open-burning '!$C$11*$C$5</f>
        <v>0</v>
      </c>
      <c r="X147" s="431">
        <f>H147*'4C2 Open-burning '!$C$9*'4C2 Open-burning '!$C$11*$C$5</f>
        <v>0</v>
      </c>
      <c r="Y147" s="431">
        <f>I147*'4C2 Open-burning '!$C$9*'4C2 Open-burning '!$C$11*$C$5</f>
        <v>1.0994677530052543</v>
      </c>
      <c r="Z147" s="432">
        <f t="shared" si="9"/>
        <v>3.3961355446672989</v>
      </c>
      <c r="AA147" s="433">
        <f>C147*'4C2 Open-burning '!$C$10*'4C2 Open-burning '!$C$11*$C$5*C$15</f>
        <v>9.1000291793946805E-3</v>
      </c>
      <c r="AB147" s="433">
        <f>D147*'4C2 Open-burning '!$C$10*'4C2 Open-burning '!$C$11*$C$5*D$15</f>
        <v>9.5041180443505152E-3</v>
      </c>
      <c r="AC147" s="433">
        <f>E147*'4C2 Open-burning '!$C$10*'4C2 Open-burning '!$C$11*$C$5*E$15</f>
        <v>5.8406921118619309E-3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2.2835099485493747E-2</v>
      </c>
      <c r="AH147" s="434">
        <f t="shared" si="10"/>
        <v>4.7279938821100875E-2</v>
      </c>
    </row>
    <row r="148" spans="1:34">
      <c r="A148" s="138">
        <f>'Input data'!A143</f>
        <v>2043</v>
      </c>
      <c r="B148" s="100">
        <f>'Recycling - Case 2'!AP123</f>
        <v>4.4193106357514833E-2</v>
      </c>
      <c r="C148" s="473">
        <f>'Recycling - Case 2'!$AK123*'Recycling - Case 2'!BM123*'4C2 Open-burning '!$B148</f>
        <v>252.31961983335157</v>
      </c>
      <c r="D148" s="474">
        <f>'Recycling - Case 2'!$AK123*'Recycling - Case 2'!BN123*'4C2 Open-burning '!$B148</f>
        <v>263.5239299267098</v>
      </c>
      <c r="E148" s="474">
        <f>'Recycling - Case 2'!$AK123*'Recycling - Case 2'!BO123*'4C2 Open-burning '!$B148</f>
        <v>71.976385236489108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281.40293752917904</v>
      </c>
      <c r="J148" s="663">
        <f t="shared" si="12"/>
        <v>869.2228725257296</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0.38022533170568679</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9.6948940037552749</v>
      </c>
      <c r="R148" s="1181">
        <f t="shared" si="8"/>
        <v>10.075119335460961</v>
      </c>
      <c r="S148" s="431">
        <f>C148*'4C2 Open-burning '!$C$9*'4C2 Open-burning '!$C$11*$C$5</f>
        <v>0.98404651735007109</v>
      </c>
      <c r="T148" s="431">
        <f>D148*'4C2 Open-burning '!$C$9*'4C2 Open-burning '!$C$11*$C$5</f>
        <v>1.0277433267141682</v>
      </c>
      <c r="U148" s="431">
        <f>E148*'4C2 Open-burning '!$C$9*'4C2 Open-burning '!$C$11*$C$5</f>
        <v>0.28070790242230753</v>
      </c>
      <c r="V148" s="431">
        <f>F148*'4C2 Open-burning '!$C$9*'4C2 Open-burning '!$C$11*$C$5</f>
        <v>0</v>
      </c>
      <c r="W148" s="431">
        <f>G148*'4C2 Open-burning '!$C$9*'4C2 Open-burning '!$C$11*$C$5</f>
        <v>0</v>
      </c>
      <c r="X148" s="431">
        <f>H148*'4C2 Open-burning '!$C$9*'4C2 Open-burning '!$C$11*$C$5</f>
        <v>0</v>
      </c>
      <c r="Y148" s="431">
        <f>I148*'4C2 Open-burning '!$C$9*'4C2 Open-burning '!$C$11*$C$5</f>
        <v>1.0974714563637982</v>
      </c>
      <c r="Z148" s="432">
        <f t="shared" si="9"/>
        <v>3.3899692028503452</v>
      </c>
      <c r="AA148" s="433">
        <f>C148*'4C2 Open-burning '!$C$10*'4C2 Open-burning '!$C$11*$C$5*C$15</f>
        <v>9.0835063140006552E-3</v>
      </c>
      <c r="AB148" s="433">
        <f>D148*'4C2 Open-burning '!$C$10*'4C2 Open-burning '!$C$11*$C$5*D$15</f>
        <v>9.4868614773615523E-3</v>
      </c>
      <c r="AC148" s="433">
        <f>E148*'4C2 Open-burning '!$C$10*'4C2 Open-burning '!$C$11*$C$5*E$15</f>
        <v>5.830087204155618E-3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2.2793637939863498E-2</v>
      </c>
      <c r="AH148" s="434">
        <f t="shared" si="10"/>
        <v>4.7194092935381321E-2</v>
      </c>
    </row>
    <row r="149" spans="1:34">
      <c r="A149" s="138">
        <f>'Input data'!A144</f>
        <v>2044</v>
      </c>
      <c r="B149" s="100">
        <f>'Recycling - Case 2'!AP124</f>
        <v>4.3994741452459497E-2</v>
      </c>
      <c r="C149" s="473">
        <f>'Recycling - Case 2'!$AK124*'Recycling - Case 2'!BM124*'4C2 Open-burning '!$B149</f>
        <v>251.88235818182599</v>
      </c>
      <c r="D149" s="474">
        <f>'Recycling - Case 2'!$AK124*'Recycling - Case 2'!BN124*'4C2 Open-burning '!$B149</f>
        <v>263.06725157211986</v>
      </c>
      <c r="E149" s="474">
        <f>'Recycling - Case 2'!$AK124*'Recycling - Case 2'!BO124*'4C2 Open-burning '!$B149</f>
        <v>71.851652514158076</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280.91527543897212</v>
      </c>
      <c r="J149" s="663">
        <f t="shared" si="12"/>
        <v>867.7165377070761</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0.37956641363739202</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9.6780930694234666</v>
      </c>
      <c r="R149" s="1181">
        <f t="shared" si="8"/>
        <v>10.057659483060858</v>
      </c>
      <c r="S149" s="431">
        <f>C149*'4C2 Open-burning '!$C$9*'4C2 Open-burning '!$C$11*$C$5</f>
        <v>0.98234119690912125</v>
      </c>
      <c r="T149" s="431">
        <f>D149*'4C2 Open-burning '!$C$9*'4C2 Open-burning '!$C$11*$C$5</f>
        <v>1.0259622811312674</v>
      </c>
      <c r="U149" s="431">
        <f>E149*'4C2 Open-burning '!$C$9*'4C2 Open-burning '!$C$11*$C$5</f>
        <v>0.28022144480521649</v>
      </c>
      <c r="V149" s="431">
        <f>F149*'4C2 Open-burning '!$C$9*'4C2 Open-burning '!$C$11*$C$5</f>
        <v>0</v>
      </c>
      <c r="W149" s="431">
        <f>G149*'4C2 Open-burning '!$C$9*'4C2 Open-burning '!$C$11*$C$5</f>
        <v>0</v>
      </c>
      <c r="X149" s="431">
        <f>H149*'4C2 Open-burning '!$C$9*'4C2 Open-burning '!$C$11*$C$5</f>
        <v>0</v>
      </c>
      <c r="Y149" s="431">
        <f>I149*'4C2 Open-burning '!$C$9*'4C2 Open-burning '!$C$11*$C$5</f>
        <v>1.0955695742119911</v>
      </c>
      <c r="Z149" s="432">
        <f t="shared" si="9"/>
        <v>3.3840944970575961</v>
      </c>
      <c r="AA149" s="433">
        <f>C149*'4C2 Open-burning '!$C$10*'4C2 Open-burning '!$C$11*$C$5*C$15</f>
        <v>9.0677648945457351E-3</v>
      </c>
      <c r="AB149" s="433">
        <f>D149*'4C2 Open-burning '!$C$10*'4C2 Open-burning '!$C$11*$C$5*D$15</f>
        <v>9.4704210565963141E-3</v>
      </c>
      <c r="AC149" s="433">
        <f>E149*'4C2 Open-burning '!$C$10*'4C2 Open-burning '!$C$11*$C$5*E$15</f>
        <v>5.8199838536468042E-3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2.2754137310556737E-2</v>
      </c>
      <c r="AH149" s="434">
        <f t="shared" si="10"/>
        <v>4.7112307115345586E-2</v>
      </c>
    </row>
    <row r="150" spans="1:34">
      <c r="A150" s="138">
        <f>'Input data'!A145</f>
        <v>2045</v>
      </c>
      <c r="B150" s="100">
        <f>'Recycling - Case 2'!AP125</f>
        <v>4.3805320584710726E-2</v>
      </c>
      <c r="C150" s="473">
        <f>'Recycling - Case 2'!$AK125*'Recycling - Case 2'!BM125*'4C2 Open-burning '!$B150</f>
        <v>251.46628913902831</v>
      </c>
      <c r="D150" s="474">
        <f>'Recycling - Case 2'!$AK125*'Recycling - Case 2'!BN125*'4C2 Open-burning '!$B150</f>
        <v>262.63270688886723</v>
      </c>
      <c r="E150" s="474">
        <f>'Recycling - Case 2'!$AK125*'Recycling - Case 2'!BO125*'4C2 Open-burning '!$B150</f>
        <v>71.732965169396039</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280.45124869806489</v>
      </c>
      <c r="J150" s="663">
        <f t="shared" si="12"/>
        <v>866.28320989535644</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0.37893943112245826</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9.6621064201457312</v>
      </c>
      <c r="R150" s="1181">
        <f t="shared" si="8"/>
        <v>10.041045851268189</v>
      </c>
      <c r="S150" s="431">
        <f>C150*'4C2 Open-burning '!$C$9*'4C2 Open-burning '!$C$11*$C$5</f>
        <v>0.98071852764221035</v>
      </c>
      <c r="T150" s="431">
        <f>D150*'4C2 Open-burning '!$C$9*'4C2 Open-burning '!$C$11*$C$5</f>
        <v>1.024267556866582</v>
      </c>
      <c r="U150" s="431">
        <f>E150*'4C2 Open-burning '!$C$9*'4C2 Open-burning '!$C$11*$C$5</f>
        <v>0.27975856416064449</v>
      </c>
      <c r="V150" s="431">
        <f>F150*'4C2 Open-burning '!$C$9*'4C2 Open-burning '!$C$11*$C$5</f>
        <v>0</v>
      </c>
      <c r="W150" s="431">
        <f>G150*'4C2 Open-burning '!$C$9*'4C2 Open-burning '!$C$11*$C$5</f>
        <v>0</v>
      </c>
      <c r="X150" s="431">
        <f>H150*'4C2 Open-burning '!$C$9*'4C2 Open-burning '!$C$11*$C$5</f>
        <v>0</v>
      </c>
      <c r="Y150" s="431">
        <f>I150*'4C2 Open-burning '!$C$9*'4C2 Open-burning '!$C$11*$C$5</f>
        <v>1.0937598699224529</v>
      </c>
      <c r="Z150" s="432">
        <f t="shared" si="9"/>
        <v>3.3785045185918898</v>
      </c>
      <c r="AA150" s="433">
        <f>C150*'4C2 Open-burning '!$C$10*'4C2 Open-burning '!$C$11*$C$5*C$15</f>
        <v>9.0527864090050193E-3</v>
      </c>
      <c r="AB150" s="433">
        <f>D150*'4C2 Open-burning '!$C$10*'4C2 Open-burning '!$C$11*$C$5*D$15</f>
        <v>9.4547774479992221E-3</v>
      </c>
      <c r="AC150" s="433">
        <f>E150*'4C2 Open-burning '!$C$10*'4C2 Open-burning '!$C$11*$C$5*E$15</f>
        <v>5.8103701787210792E-3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2.2716551144543254E-2</v>
      </c>
      <c r="AH150" s="434">
        <f t="shared" si="10"/>
        <v>4.7034485180268579E-2</v>
      </c>
    </row>
    <row r="151" spans="1:34">
      <c r="A151" s="138">
        <f>'Input data'!A146</f>
        <v>2046</v>
      </c>
      <c r="B151" s="100">
        <f>'Recycling - Case 2'!AP126</f>
        <v>4.3624685462840505E-2</v>
      </c>
      <c r="C151" s="473">
        <f>'Recycling - Case 2'!$AK126*'Recycling - Case 2'!BM126*'4C2 Open-burning '!$B151</f>
        <v>251.07086445349788</v>
      </c>
      <c r="D151" s="474">
        <f>'Recycling - Case 2'!$AK126*'Recycling - Case 2'!BN126*'4C2 Open-burning '!$B151</f>
        <v>262.21972328026067</v>
      </c>
      <c r="E151" s="474">
        <f>'Recycling - Case 2'!$AK126*'Recycling - Case 2'!BO126*'4C2 Open-burning '!$B151</f>
        <v>71.62016680866391</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280.0102458614511</v>
      </c>
      <c r="J151" s="663">
        <f t="shared" si="12"/>
        <v>864.92100040387368</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0.37834355799012032</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9.6469129904187128</v>
      </c>
      <c r="R151" s="1181">
        <f t="shared" si="8"/>
        <v>10.025256548408834</v>
      </c>
      <c r="S151" s="431">
        <f>C151*'4C2 Open-burning '!$C$9*'4C2 Open-burning '!$C$11*$C$5</f>
        <v>0.97917637136864166</v>
      </c>
      <c r="T151" s="431">
        <f>D151*'4C2 Open-burning '!$C$9*'4C2 Open-burning '!$C$11*$C$5</f>
        <v>1.0226569207930165</v>
      </c>
      <c r="U151" s="431">
        <f>E151*'4C2 Open-burning '!$C$9*'4C2 Open-burning '!$C$11*$C$5</f>
        <v>0.27931865055378924</v>
      </c>
      <c r="V151" s="431">
        <f>F151*'4C2 Open-burning '!$C$9*'4C2 Open-burning '!$C$11*$C$5</f>
        <v>0</v>
      </c>
      <c r="W151" s="431">
        <f>G151*'4C2 Open-burning '!$C$9*'4C2 Open-burning '!$C$11*$C$5</f>
        <v>0</v>
      </c>
      <c r="X151" s="431">
        <f>H151*'4C2 Open-burning '!$C$9*'4C2 Open-burning '!$C$11*$C$5</f>
        <v>0</v>
      </c>
      <c r="Y151" s="431">
        <f>I151*'4C2 Open-burning '!$C$9*'4C2 Open-burning '!$C$11*$C$5</f>
        <v>1.0920399588596592</v>
      </c>
      <c r="Z151" s="432">
        <f t="shared" si="9"/>
        <v>3.3731919015751064</v>
      </c>
      <c r="AA151" s="433">
        <f>C151*'4C2 Open-burning '!$C$10*'4C2 Open-burning '!$C$11*$C$5*C$15</f>
        <v>9.0385511203259234E-3</v>
      </c>
      <c r="AB151" s="433">
        <f>D151*'4C2 Open-burning '!$C$10*'4C2 Open-burning '!$C$11*$C$5*D$15</f>
        <v>9.4399100380893834E-3</v>
      </c>
      <c r="AC151" s="433">
        <f>E151*'4C2 Open-burning '!$C$10*'4C2 Open-burning '!$C$11*$C$5*E$15</f>
        <v>5.801233511501777E-3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2.2680829914777538E-2</v>
      </c>
      <c r="AH151" s="434">
        <f t="shared" si="10"/>
        <v>4.6960524584694623E-2</v>
      </c>
    </row>
    <row r="152" spans="1:34">
      <c r="A152" s="138">
        <f>'Input data'!A147</f>
        <v>2047</v>
      </c>
      <c r="B152" s="100">
        <f>'Recycling - Case 2'!AP127</f>
        <v>4.3452714802863224E-2</v>
      </c>
      <c r="C152" s="473">
        <f>'Recycling - Case 2'!$AK127*'Recycling - Case 2'!BM127*'4C2 Open-burning '!$B152</f>
        <v>250.69562990487435</v>
      </c>
      <c r="D152" s="474">
        <f>'Recycling - Case 2'!$AK127*'Recycling - Case 2'!BN127*'4C2 Open-burning '!$B152</f>
        <v>261.82782635618145</v>
      </c>
      <c r="E152" s="474">
        <f>'Recycling - Case 2'!$AK127*'Recycling - Case 2'!BO127*'4C2 Open-burning '!$B152</f>
        <v>71.513127861618869</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279.59176035360667</v>
      </c>
      <c r="J152" s="663">
        <f t="shared" si="12"/>
        <v>863.62834447628131</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0.37777810976690229</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9.6324953277024559</v>
      </c>
      <c r="R152" s="1181">
        <f t="shared" si="8"/>
        <v>10.010273437469358</v>
      </c>
      <c r="S152" s="431">
        <f>C152*'4C2 Open-burning '!$C$9*'4C2 Open-burning '!$C$11*$C$5</f>
        <v>0.97771295662900992</v>
      </c>
      <c r="T152" s="431">
        <f>D152*'4C2 Open-burning '!$C$9*'4C2 Open-burning '!$C$11*$C$5</f>
        <v>1.0211285227891076</v>
      </c>
      <c r="U152" s="431">
        <f>E152*'4C2 Open-burning '!$C$9*'4C2 Open-burning '!$C$11*$C$5</f>
        <v>0.27890119866031354</v>
      </c>
      <c r="V152" s="431">
        <f>F152*'4C2 Open-burning '!$C$9*'4C2 Open-burning '!$C$11*$C$5</f>
        <v>0</v>
      </c>
      <c r="W152" s="431">
        <f>G152*'4C2 Open-burning '!$C$9*'4C2 Open-burning '!$C$11*$C$5</f>
        <v>0</v>
      </c>
      <c r="X152" s="431">
        <f>H152*'4C2 Open-burning '!$C$9*'4C2 Open-burning '!$C$11*$C$5</f>
        <v>0</v>
      </c>
      <c r="Y152" s="431">
        <f>I152*'4C2 Open-burning '!$C$9*'4C2 Open-burning '!$C$11*$C$5</f>
        <v>1.0904078653790659</v>
      </c>
      <c r="Z152" s="432">
        <f t="shared" si="9"/>
        <v>3.3681505434574968</v>
      </c>
      <c r="AA152" s="433">
        <f>C152*'4C2 Open-burning '!$C$10*'4C2 Open-burning '!$C$11*$C$5*C$15</f>
        <v>9.0250426765754784E-3</v>
      </c>
      <c r="AB152" s="433">
        <f>D152*'4C2 Open-burning '!$C$10*'4C2 Open-burning '!$C$11*$C$5*D$15</f>
        <v>9.4258017488225345E-3</v>
      </c>
      <c r="AC152" s="433">
        <f>E152*'4C2 Open-burning '!$C$10*'4C2 Open-burning '!$C$11*$C$5*E$15</f>
        <v>5.7925633567911285E-3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2.264693258864214E-2</v>
      </c>
      <c r="AH152" s="434">
        <f t="shared" si="10"/>
        <v>4.6890340370831285E-2</v>
      </c>
    </row>
    <row r="153" spans="1:34">
      <c r="A153" s="138">
        <f>'Input data'!A148</f>
        <v>2048</v>
      </c>
      <c r="B153" s="100">
        <f>'Recycling - Case 2'!AP128</f>
        <v>4.328929435336859E-2</v>
      </c>
      <c r="C153" s="473">
        <f>'Recycling - Case 2'!$AK128*'Recycling - Case 2'!BM128*'4C2 Open-burning '!$B153</f>
        <v>250.3401585270218</v>
      </c>
      <c r="D153" s="474">
        <f>'Recycling - Case 2'!$AK128*'Recycling - Case 2'!BN128*'4C2 Open-burning '!$B153</f>
        <v>261.45657019096512</v>
      </c>
      <c r="E153" s="474">
        <f>'Recycling - Case 2'!$AK128*'Recycling - Case 2'!BO128*'4C2 Open-burning '!$B153</f>
        <v>71.411726532424737</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279.19531599465694</v>
      </c>
      <c r="J153" s="663">
        <f t="shared" si="12"/>
        <v>862.40377124506858</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0.3772424430492482</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9.6188370266479204</v>
      </c>
      <c r="R153" s="1181">
        <f t="shared" ref="R153:R155" si="13">SUM(K153:Q153)</f>
        <v>9.9960794696971682</v>
      </c>
      <c r="S153" s="431">
        <f>C153*'4C2 Open-burning '!$C$9*'4C2 Open-burning '!$C$11*$C$5</f>
        <v>0.97632661825538491</v>
      </c>
      <c r="T153" s="431">
        <f>D153*'4C2 Open-burning '!$C$9*'4C2 Open-burning '!$C$11*$C$5</f>
        <v>1.019680623744764</v>
      </c>
      <c r="U153" s="431">
        <f>E153*'4C2 Open-burning '!$C$9*'4C2 Open-burning '!$C$11*$C$5</f>
        <v>0.27850573347645646</v>
      </c>
      <c r="V153" s="431">
        <f>F153*'4C2 Open-burning '!$C$9*'4C2 Open-burning '!$C$11*$C$5</f>
        <v>0</v>
      </c>
      <c r="W153" s="431">
        <f>G153*'4C2 Open-burning '!$C$9*'4C2 Open-burning '!$C$11*$C$5</f>
        <v>0</v>
      </c>
      <c r="X153" s="431">
        <f>H153*'4C2 Open-burning '!$C$9*'4C2 Open-burning '!$C$11*$C$5</f>
        <v>0</v>
      </c>
      <c r="Y153" s="431">
        <f>I153*'4C2 Open-burning '!$C$9*'4C2 Open-burning '!$C$11*$C$5</f>
        <v>1.0888617323791618</v>
      </c>
      <c r="Z153" s="432">
        <f t="shared" ref="Z153:Z155" si="14">SUM(S153:Y153)</f>
        <v>3.3633747078557672</v>
      </c>
      <c r="AA153" s="433">
        <f>C153*'4C2 Open-burning '!$C$10*'4C2 Open-burning '!$C$11*$C$5*C$15</f>
        <v>9.0122457069727845E-3</v>
      </c>
      <c r="AB153" s="433">
        <f>D153*'4C2 Open-burning '!$C$10*'4C2 Open-burning '!$C$11*$C$5*D$15</f>
        <v>9.4124365268747449E-3</v>
      </c>
      <c r="AC153" s="433">
        <f>E153*'4C2 Open-burning '!$C$10*'4C2 Open-burning '!$C$11*$C$5*E$15</f>
        <v>5.784349849126404E-3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2.2614820595567211E-2</v>
      </c>
      <c r="AH153" s="434">
        <f t="shared" ref="AH153:AH155" si="15">SUM(AA153:AG153)</f>
        <v>4.6823852678541139E-2</v>
      </c>
    </row>
    <row r="154" spans="1:34">
      <c r="A154" s="138">
        <f>'Input data'!A149</f>
        <v>2049</v>
      </c>
      <c r="B154" s="100">
        <f>'Recycling - Case 2'!AP129</f>
        <v>4.3134316639534855E-2</v>
      </c>
      <c r="C154" s="473">
        <f>'Recycling - Case 2'!$AK129*'Recycling - Case 2'!BM129*'4C2 Open-burning '!$B154</f>
        <v>250.00404950105315</v>
      </c>
      <c r="D154" s="474">
        <f>'Recycling - Case 2'!$AK129*'Recycling - Case 2'!BN129*'4C2 Open-burning '!$B154</f>
        <v>261.10553616727088</v>
      </c>
      <c r="E154" s="474">
        <f>'Recycling - Case 2'!$AK129*'Recycling - Case 2'!BO129*'4C2 Open-burning '!$B154</f>
        <v>71.315848483977462</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278.82046576580785</v>
      </c>
      <c r="J154" s="663">
        <f t="shared" si="12"/>
        <v>861.24589991810933</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0.37673595383539871</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9.6059226865636109</v>
      </c>
      <c r="R154" s="1181">
        <f t="shared" si="13"/>
        <v>9.9826586403990092</v>
      </c>
      <c r="S154" s="431">
        <f>C154*'4C2 Open-burning '!$C$9*'4C2 Open-burning '!$C$11*$C$5</f>
        <v>0.97501579305410713</v>
      </c>
      <c r="T154" s="431">
        <f>D154*'4C2 Open-burning '!$C$9*'4C2 Open-burning '!$C$11*$C$5</f>
        <v>1.0183115910523564</v>
      </c>
      <c r="U154" s="431">
        <f>E154*'4C2 Open-burning '!$C$9*'4C2 Open-burning '!$C$11*$C$5</f>
        <v>0.27813180908751212</v>
      </c>
      <c r="V154" s="431">
        <f>F154*'4C2 Open-burning '!$C$9*'4C2 Open-burning '!$C$11*$C$5</f>
        <v>0</v>
      </c>
      <c r="W154" s="431">
        <f>G154*'4C2 Open-burning '!$C$9*'4C2 Open-burning '!$C$11*$C$5</f>
        <v>0</v>
      </c>
      <c r="X154" s="431">
        <f>H154*'4C2 Open-burning '!$C$9*'4C2 Open-burning '!$C$11*$C$5</f>
        <v>0</v>
      </c>
      <c r="Y154" s="431">
        <f>I154*'4C2 Open-burning '!$C$9*'4C2 Open-burning '!$C$11*$C$5</f>
        <v>1.0873998164866505</v>
      </c>
      <c r="Z154" s="432">
        <f t="shared" si="14"/>
        <v>3.3588590096806259</v>
      </c>
      <c r="AA154" s="433">
        <f>C154*'4C2 Open-burning '!$C$10*'4C2 Open-burning '!$C$11*$C$5*C$15</f>
        <v>9.0001457820379129E-3</v>
      </c>
      <c r="AB154" s="433">
        <f>D154*'4C2 Open-burning '!$C$10*'4C2 Open-burning '!$C$11*$C$5*D$15</f>
        <v>9.3997993020217517E-3</v>
      </c>
      <c r="AC154" s="433">
        <f>E154*'4C2 Open-burning '!$C$10*'4C2 Open-burning '!$C$11*$C$5*E$15</f>
        <v>5.7765837272021735E-3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2.2584457727030435E-2</v>
      </c>
      <c r="AH154" s="434">
        <f t="shared" si="15"/>
        <v>4.6760986538292276E-2</v>
      </c>
    </row>
    <row r="155" spans="1:34" ht="15.75" thickBot="1">
      <c r="A155" s="138">
        <f>'Input data'!A150</f>
        <v>2050</v>
      </c>
      <c r="B155" s="100">
        <f>'Recycling - Case 2'!AP130</f>
        <v>4.2987680726287038E-2</v>
      </c>
      <c r="C155" s="598">
        <f>'Recycling - Case 2'!$AK130*'Recycling - Case 2'!BM130*'4C2 Open-burning '!$B155</f>
        <v>249.68692712939654</v>
      </c>
      <c r="D155" s="595">
        <f>'Recycling - Case 2'!$AK130*'Recycling - Case 2'!BN130*'4C2 Open-burning '!$B155</f>
        <v>260.77433190459078</v>
      </c>
      <c r="E155" s="595">
        <f>'Recycling - Case 2'!$AK130*'Recycling - Case 2'!BO130*'4C2 Open-burning '!$B155</f>
        <v>71.225386545248554</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278.46679066515844</v>
      </c>
      <c r="J155" s="814">
        <f t="shared" si="12"/>
        <v>860.15343624439424</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0.37625807597939182</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9.5937378719960371</v>
      </c>
      <c r="R155" s="1182">
        <f t="shared" si="13"/>
        <v>9.9699959479754288</v>
      </c>
      <c r="S155" s="431">
        <f>C155*'4C2 Open-burning '!$C$9*'4C2 Open-burning '!$C$11*$C$5</f>
        <v>0.97377901580464632</v>
      </c>
      <c r="T155" s="431">
        <f>D155*'4C2 Open-burning '!$C$9*'4C2 Open-burning '!$C$11*$C$5</f>
        <v>1.0170198944279041</v>
      </c>
      <c r="U155" s="431">
        <f>E155*'4C2 Open-burning '!$C$9*'4C2 Open-burning '!$C$11*$C$5</f>
        <v>0.27777900752646933</v>
      </c>
      <c r="V155" s="431">
        <f>F155*'4C2 Open-burning '!$C$9*'4C2 Open-burning '!$C$11*$C$5</f>
        <v>0</v>
      </c>
      <c r="W155" s="431">
        <f>G155*'4C2 Open-burning '!$C$9*'4C2 Open-burning '!$C$11*$C$5</f>
        <v>0</v>
      </c>
      <c r="X155" s="431">
        <f>H155*'4C2 Open-burning '!$C$9*'4C2 Open-burning '!$C$11*$C$5</f>
        <v>0</v>
      </c>
      <c r="Y155" s="431">
        <f>I155*'4C2 Open-burning '!$C$9*'4C2 Open-burning '!$C$11*$C$5</f>
        <v>1.0860204835941178</v>
      </c>
      <c r="Z155" s="432">
        <f t="shared" si="14"/>
        <v>3.3545984013531376</v>
      </c>
      <c r="AA155" s="433">
        <f>C155*'4C2 Open-burning '!$C$10*'4C2 Open-burning '!$C$11*$C$5*C$15</f>
        <v>8.9887293766582749E-3</v>
      </c>
      <c r="AB155" s="433">
        <f>D155*'4C2 Open-burning '!$C$10*'4C2 Open-burning '!$C$11*$C$5*D$15</f>
        <v>9.3878759485652701E-3</v>
      </c>
      <c r="AC155" s="433">
        <f>E155*'4C2 Open-burning '!$C$10*'4C2 Open-burning '!$C$11*$C$5*E$15</f>
        <v>5.7692563101651327E-3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2.2555810043877834E-2</v>
      </c>
      <c r="AH155" s="434">
        <f t="shared" si="15"/>
        <v>4.6701671679266518E-2</v>
      </c>
    </row>
    <row r="156" spans="1:34" ht="21.75"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0.11516499941226198</v>
      </c>
      <c r="C159" s="473">
        <f>$B159*'Recycling - Case 3'!$AK100*'Recycling - Case 3'!BM100</f>
        <v>788.11293543078432</v>
      </c>
      <c r="D159" s="474">
        <f>$B159*'Recycling - Case 3'!$AK100*'Recycling - Case 3'!BN100</f>
        <v>823.10926953665137</v>
      </c>
      <c r="E159" s="474">
        <f>$B159*'Recycling - Case 3'!$AK100*'Recycling - Case 3'!BO100</f>
        <v>224.81612919317038</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878.95382563370708</v>
      </c>
      <c r="J159" s="663">
        <f t="shared" si="19"/>
        <v>2714.992159794313</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1.1876226767210096</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30.281717200732473</v>
      </c>
      <c r="R159" s="1181">
        <f t="shared" si="16"/>
        <v>31.469339877453482</v>
      </c>
      <c r="S159" s="430">
        <f>C159*'4C2 Open-burning '!$C$9*'4C2 Open-burning '!$C$11*$C$5</f>
        <v>3.073640448180059</v>
      </c>
      <c r="T159" s="431">
        <f>D159*'4C2 Open-burning '!$C$9*'4C2 Open-burning '!$C$11*$C$5</f>
        <v>3.2101261511929402</v>
      </c>
      <c r="U159" s="431">
        <f>E159*'4C2 Open-burning '!$C$9*'4C2 Open-burning '!$C$11*$C$5</f>
        <v>0.87678290385336444</v>
      </c>
      <c r="V159" s="431">
        <f>F159*'4C2 Open-burning '!$C$9*'4C2 Open-burning '!$C$11*$C$5</f>
        <v>0</v>
      </c>
      <c r="W159" s="431">
        <f>G159*'4C2 Open-burning '!$C$9*'4C2 Open-burning '!$C$11*$C$5</f>
        <v>0</v>
      </c>
      <c r="X159" s="431">
        <f>H159*'4C2 Open-burning '!$C$9*'4C2 Open-burning '!$C$11*$C$5</f>
        <v>0</v>
      </c>
      <c r="Y159" s="431">
        <f>I159*'4C2 Open-burning '!$C$9*'4C2 Open-burning '!$C$11*$C$5</f>
        <v>3.4279199199714574</v>
      </c>
      <c r="Z159" s="432">
        <f t="shared" si="17"/>
        <v>10.588469423197822</v>
      </c>
      <c r="AA159" s="1333">
        <f>C159*'4C2 Open-burning '!$C$10*'4C2 Open-burning '!$C$11*$C$5*C$15</f>
        <v>2.8372065675508235E-2</v>
      </c>
      <c r="AB159" s="433">
        <f>D159*'4C2 Open-burning '!$C$10*'4C2 Open-burning '!$C$11*$C$5*D$15</f>
        <v>2.9631933703319447E-2</v>
      </c>
      <c r="AC159" s="433">
        <f>E159*'4C2 Open-burning '!$C$10*'4C2 Open-burning '!$C$11*$C$5*E$15</f>
        <v>1.82101064646468E-2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7.1195259876330269E-2</v>
      </c>
      <c r="AH159" s="434">
        <f t="shared" si="18"/>
        <v>0.14740936571980473</v>
      </c>
    </row>
    <row r="160" spans="1:34">
      <c r="A160" s="138">
        <f>'Input data'!A121</f>
        <v>2021</v>
      </c>
      <c r="B160" s="100">
        <f>'Recycling - Case 3'!AP101</f>
        <v>0.10846320842744943</v>
      </c>
      <c r="C160" s="473">
        <f>$B160*'Recycling - Case 3'!$AK101*'Recycling - Case 3'!BM101</f>
        <v>724.00163122169226</v>
      </c>
      <c r="D160" s="474">
        <f>$B160*'Recycling - Case 3'!$AK101*'Recycling - Case 3'!BN101</f>
        <v>756.15108828596124</v>
      </c>
      <c r="E160" s="474">
        <f>$B160*'Recycling - Case 3'!$AK101*'Recycling - Case 3'!BO101</f>
        <v>206.52781719898189</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807.45280900574585</v>
      </c>
      <c r="J160" s="663">
        <f t="shared" si="19"/>
        <v>2494.133345712381</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1.0910121082480297</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27.818364175865952</v>
      </c>
      <c r="R160" s="1181">
        <f t="shared" si="16"/>
        <v>28.909376284113982</v>
      </c>
      <c r="S160" s="430">
        <f>C160*'4C2 Open-burning '!$C$9*'4C2 Open-burning '!$C$11*$C$5</f>
        <v>2.8236063617645994</v>
      </c>
      <c r="T160" s="431">
        <f>D160*'4C2 Open-burning '!$C$9*'4C2 Open-burning '!$C$11*$C$5</f>
        <v>2.9489892443152486</v>
      </c>
      <c r="U160" s="431">
        <f>E160*'4C2 Open-burning '!$C$9*'4C2 Open-burning '!$C$11*$C$5</f>
        <v>0.80545848707602941</v>
      </c>
      <c r="V160" s="431">
        <f>F160*'4C2 Open-burning '!$C$9*'4C2 Open-burning '!$C$11*$C$5</f>
        <v>0</v>
      </c>
      <c r="W160" s="431">
        <f>G160*'4C2 Open-burning '!$C$9*'4C2 Open-burning '!$C$11*$C$5</f>
        <v>0</v>
      </c>
      <c r="X160" s="431">
        <f>H160*'4C2 Open-burning '!$C$9*'4C2 Open-burning '!$C$11*$C$5</f>
        <v>0</v>
      </c>
      <c r="Y160" s="431">
        <f>I160*'4C2 Open-burning '!$C$9*'4C2 Open-burning '!$C$11*$C$5</f>
        <v>3.1490659551224085</v>
      </c>
      <c r="Z160" s="432">
        <f t="shared" si="17"/>
        <v>9.7271200482782856</v>
      </c>
      <c r="AA160" s="1333">
        <f>C160*'4C2 Open-burning '!$C$10*'4C2 Open-burning '!$C$11*$C$5*C$15</f>
        <v>2.6064058723980921E-2</v>
      </c>
      <c r="AB160" s="433">
        <f>D160*'4C2 Open-burning '!$C$10*'4C2 Open-burning '!$C$11*$C$5*D$15</f>
        <v>2.7221439178294601E-2</v>
      </c>
      <c r="AC160" s="433">
        <f>E160*'4C2 Open-burning '!$C$10*'4C2 Open-burning '!$C$11*$C$5*E$15</f>
        <v>1.6728753193117531E-2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6.5403677529465409E-2</v>
      </c>
      <c r="AH160" s="434">
        <f t="shared" si="18"/>
        <v>0.13541792862485846</v>
      </c>
    </row>
    <row r="161" spans="1:34">
      <c r="A161" s="138">
        <f>'Input data'!A122</f>
        <v>2022</v>
      </c>
      <c r="B161" s="100">
        <f>'Recycling - Case 3'!AP102</f>
        <v>9.548786241296324E-2</v>
      </c>
      <c r="C161" s="473">
        <f>$B161*'Recycling - Case 3'!$AK102*'Recycling - Case 3'!BM102</f>
        <v>602.00104538166909</v>
      </c>
      <c r="D161" s="474">
        <f>$B161*'Recycling - Case 3'!$AK102*'Recycling - Case 3'!BN102</f>
        <v>628.73303869014387</v>
      </c>
      <c r="E161" s="474">
        <f>$B161*'Recycling - Case 3'!$AK102*'Recycling - Case 3'!BO102</f>
        <v>171.7260797387776</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671.38997228168159</v>
      </c>
      <c r="J161" s="663">
        <f t="shared" si="19"/>
        <v>2073.8501360922719</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0.90716705787125607</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23.130727325048493</v>
      </c>
      <c r="R161" s="1181">
        <f t="shared" si="16"/>
        <v>24.037894382919749</v>
      </c>
      <c r="S161" s="430">
        <f>C161*'4C2 Open-burning '!$C$9*'4C2 Open-burning '!$C$11*$C$5</f>
        <v>2.3478040769885093</v>
      </c>
      <c r="T161" s="431">
        <f>D161*'4C2 Open-burning '!$C$9*'4C2 Open-burning '!$C$11*$C$5</f>
        <v>2.4520588508915604</v>
      </c>
      <c r="U161" s="431">
        <f>E161*'4C2 Open-burning '!$C$9*'4C2 Open-burning '!$C$11*$C$5</f>
        <v>0.66973171098123252</v>
      </c>
      <c r="V161" s="431">
        <f>F161*'4C2 Open-burning '!$C$9*'4C2 Open-burning '!$C$11*$C$5</f>
        <v>0</v>
      </c>
      <c r="W161" s="431">
        <f>G161*'4C2 Open-burning '!$C$9*'4C2 Open-burning '!$C$11*$C$5</f>
        <v>0</v>
      </c>
      <c r="X161" s="431">
        <f>H161*'4C2 Open-burning '!$C$9*'4C2 Open-burning '!$C$11*$C$5</f>
        <v>0</v>
      </c>
      <c r="Y161" s="431">
        <f>I161*'4C2 Open-burning '!$C$9*'4C2 Open-burning '!$C$11*$C$5</f>
        <v>2.6184208918985581</v>
      </c>
      <c r="Z161" s="432">
        <f t="shared" si="17"/>
        <v>8.0880155307598613</v>
      </c>
      <c r="AA161" s="1333">
        <f>C161*'4C2 Open-burning '!$C$10*'4C2 Open-burning '!$C$11*$C$5*C$15</f>
        <v>2.1672037633740086E-2</v>
      </c>
      <c r="AB161" s="433">
        <f>D161*'4C2 Open-burning '!$C$10*'4C2 Open-burning '!$C$11*$C$5*D$15</f>
        <v>2.2634389392845178E-2</v>
      </c>
      <c r="AC161" s="433">
        <f>E161*'4C2 Open-burning '!$C$10*'4C2 Open-burning '!$C$11*$C$5*E$15</f>
        <v>1.3909812458840985E-2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5.4382587754816199E-2</v>
      </c>
      <c r="AH161" s="434">
        <f t="shared" si="18"/>
        <v>0.11259882724024245</v>
      </c>
    </row>
    <row r="162" spans="1:34">
      <c r="A162" s="138">
        <f>'Input data'!A123</f>
        <v>2023</v>
      </c>
      <c r="B162" s="100">
        <f>'Recycling - Case 3'!AP103</f>
        <v>9.1524246570186638E-2</v>
      </c>
      <c r="C162" s="473">
        <f>$B162*'Recycling - Case 3'!$AK103*'Recycling - Case 3'!BM103</f>
        <v>570.72781834892214</v>
      </c>
      <c r="D162" s="474">
        <f>$B162*'Recycling - Case 3'!$AK103*'Recycling - Case 3'!BN103</f>
        <v>596.07111689982582</v>
      </c>
      <c r="E162" s="474">
        <f>$B162*'Recycling - Case 3'!$AK103*'Recycling - Case 3'!BO103</f>
        <v>162.80511735787417</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636.51207432493811</v>
      </c>
      <c r="J162" s="663">
        <f t="shared" si="19"/>
        <v>1966.1161269315603</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0.86004082515940039</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21.929113984642765</v>
      </c>
      <c r="R162" s="1181">
        <f t="shared" si="16"/>
        <v>22.789154809802167</v>
      </c>
      <c r="S162" s="430">
        <f>C162*'4C2 Open-burning '!$C$9*'4C2 Open-burning '!$C$11*$C$5</f>
        <v>2.2258384915607961</v>
      </c>
      <c r="T162" s="431">
        <f>D162*'4C2 Open-burning '!$C$9*'4C2 Open-burning '!$C$11*$C$5</f>
        <v>2.3246773559093206</v>
      </c>
      <c r="U162" s="431">
        <f>E162*'4C2 Open-burning '!$C$9*'4C2 Open-burning '!$C$11*$C$5</f>
        <v>0.63493995769570921</v>
      </c>
      <c r="V162" s="431">
        <f>F162*'4C2 Open-burning '!$C$9*'4C2 Open-burning '!$C$11*$C$5</f>
        <v>0</v>
      </c>
      <c r="W162" s="431">
        <f>G162*'4C2 Open-burning '!$C$9*'4C2 Open-burning '!$C$11*$C$5</f>
        <v>0</v>
      </c>
      <c r="X162" s="431">
        <f>H162*'4C2 Open-burning '!$C$9*'4C2 Open-burning '!$C$11*$C$5</f>
        <v>0</v>
      </c>
      <c r="Y162" s="431">
        <f>I162*'4C2 Open-burning '!$C$9*'4C2 Open-burning '!$C$11*$C$5</f>
        <v>2.4823970898672583</v>
      </c>
      <c r="Z162" s="432">
        <f t="shared" si="17"/>
        <v>7.667852895033084</v>
      </c>
      <c r="AA162" s="1333">
        <f>C162*'4C2 Open-burning '!$C$10*'4C2 Open-burning '!$C$11*$C$5*C$15</f>
        <v>2.0546201460561197E-2</v>
      </c>
      <c r="AB162" s="433">
        <f>D162*'4C2 Open-burning '!$C$10*'4C2 Open-burning '!$C$11*$C$5*D$15</f>
        <v>2.1458560208393731E-2</v>
      </c>
      <c r="AC162" s="433">
        <f>E162*'4C2 Open-burning '!$C$10*'4C2 Open-burning '!$C$11*$C$5*E$15</f>
        <v>1.3187214505987806E-2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5.1557478020319986E-2</v>
      </c>
      <c r="AH162" s="434">
        <f t="shared" si="18"/>
        <v>0.10674945419526272</v>
      </c>
    </row>
    <row r="163" spans="1:34">
      <c r="A163" s="138">
        <f>'Input data'!A124</f>
        <v>2024</v>
      </c>
      <c r="B163" s="100">
        <f>'Recycling - Case 3'!AP104</f>
        <v>8.7437257998839391E-2</v>
      </c>
      <c r="C163" s="473">
        <f>$B163*'Recycling - Case 3'!$AK104*'Recycling - Case 3'!BM104</f>
        <v>539.1209888506603</v>
      </c>
      <c r="D163" s="474">
        <f>$B163*'Recycling - Case 3'!$AK104*'Recycling - Case 3'!BN104</f>
        <v>563.06077895065425</v>
      </c>
      <c r="E163" s="474">
        <f>$B163*'Recycling - Case 3'!$AK104*'Recycling - Case 3'!BO104</f>
        <v>153.78899194688375</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601.26212161547721</v>
      </c>
      <c r="J163" s="663">
        <f t="shared" si="19"/>
        <v>1857.2328813636755</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0.81241188041828594</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20.714682613896418</v>
      </c>
      <c r="R163" s="1181">
        <f t="shared" si="16"/>
        <v>21.527094494314703</v>
      </c>
      <c r="S163" s="430">
        <f>C163*'4C2 Open-burning '!$C$9*'4C2 Open-burning '!$C$11*$C$5</f>
        <v>2.1025718565175748</v>
      </c>
      <c r="T163" s="431">
        <f>D163*'4C2 Open-burning '!$C$9*'4C2 Open-burning '!$C$11*$C$5</f>
        <v>2.1959370379075516</v>
      </c>
      <c r="U163" s="431">
        <f>E163*'4C2 Open-burning '!$C$9*'4C2 Open-burning '!$C$11*$C$5</f>
        <v>0.59977706859284663</v>
      </c>
      <c r="V163" s="431">
        <f>F163*'4C2 Open-burning '!$C$9*'4C2 Open-burning '!$C$11*$C$5</f>
        <v>0</v>
      </c>
      <c r="W163" s="431">
        <f>G163*'4C2 Open-burning '!$C$9*'4C2 Open-burning '!$C$11*$C$5</f>
        <v>0</v>
      </c>
      <c r="X163" s="431">
        <f>H163*'4C2 Open-burning '!$C$9*'4C2 Open-burning '!$C$11*$C$5</f>
        <v>0</v>
      </c>
      <c r="Y163" s="431">
        <f>I163*'4C2 Open-burning '!$C$9*'4C2 Open-burning '!$C$11*$C$5</f>
        <v>2.344922274300361</v>
      </c>
      <c r="Z163" s="432">
        <f t="shared" si="17"/>
        <v>7.2432082373183331</v>
      </c>
      <c r="AA163" s="1333">
        <f>C163*'4C2 Open-burning '!$C$10*'4C2 Open-burning '!$C$11*$C$5*C$15</f>
        <v>1.9408355598623771E-2</v>
      </c>
      <c r="AB163" s="433">
        <f>D163*'4C2 Open-burning '!$C$10*'4C2 Open-burning '!$C$11*$C$5*D$15</f>
        <v>2.0270188042223556E-2</v>
      </c>
      <c r="AC163" s="433">
        <f>E163*'4C2 Open-burning '!$C$10*'4C2 Open-burning '!$C$11*$C$5*E$15</f>
        <v>1.2456908347697583E-2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4.870223185085365E-2</v>
      </c>
      <c r="AH163" s="434">
        <f t="shared" si="18"/>
        <v>0.10083768383939856</v>
      </c>
    </row>
    <row r="164" spans="1:34">
      <c r="A164" s="138">
        <f>'Input data'!A125</f>
        <v>2025</v>
      </c>
      <c r="B164" s="100">
        <f>'Recycling - Case 3'!AP105</f>
        <v>8.3214176920004185E-2</v>
      </c>
      <c r="C164" s="473">
        <f>$B164*'Recycling - Case 3'!$AK105*'Recycling - Case 3'!BM105</f>
        <v>507.12877484516815</v>
      </c>
      <c r="D164" s="474">
        <f>$B164*'Recycling - Case 3'!$AK105*'Recycling - Case 3'!BN105</f>
        <v>529.6479434075768</v>
      </c>
      <c r="E164" s="474">
        <f>$B164*'Recycling - Case 3'!$AK105*'Recycling - Case 3'!BO105</f>
        <v>144.66293222410695</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565.58236351678636</v>
      </c>
      <c r="J164" s="663">
        <f t="shared" si="19"/>
        <v>1747.0220139936382</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0.76420219228435637</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19.485443587880322</v>
      </c>
      <c r="R164" s="1181">
        <f t="shared" si="16"/>
        <v>20.249645780164677</v>
      </c>
      <c r="S164" s="430">
        <f>C164*'4C2 Open-burning '!$C$9*'4C2 Open-burning '!$C$11*$C$5</f>
        <v>1.9778022218961557</v>
      </c>
      <c r="T164" s="431">
        <f>D164*'4C2 Open-burning '!$C$9*'4C2 Open-burning '!$C$11*$C$5</f>
        <v>2.0656269792895494</v>
      </c>
      <c r="U164" s="431">
        <f>E164*'4C2 Open-burning '!$C$9*'4C2 Open-burning '!$C$11*$C$5</f>
        <v>0.56418543567401713</v>
      </c>
      <c r="V164" s="431">
        <f>F164*'4C2 Open-burning '!$C$9*'4C2 Open-burning '!$C$11*$C$5</f>
        <v>0</v>
      </c>
      <c r="W164" s="431">
        <f>G164*'4C2 Open-burning '!$C$9*'4C2 Open-burning '!$C$11*$C$5</f>
        <v>0</v>
      </c>
      <c r="X164" s="431">
        <f>H164*'4C2 Open-burning '!$C$9*'4C2 Open-burning '!$C$11*$C$5</f>
        <v>0</v>
      </c>
      <c r="Y164" s="431">
        <f>I164*'4C2 Open-burning '!$C$9*'4C2 Open-burning '!$C$11*$C$5</f>
        <v>2.2057712177154665</v>
      </c>
      <c r="Z164" s="432">
        <f t="shared" si="17"/>
        <v>6.8133858545751886</v>
      </c>
      <c r="AA164" s="1333">
        <f>C164*'4C2 Open-burning '!$C$10*'4C2 Open-burning '!$C$11*$C$5*C$15</f>
        <v>1.8256635894426051E-2</v>
      </c>
      <c r="AB164" s="433">
        <f>D164*'4C2 Open-burning '!$C$10*'4C2 Open-burning '!$C$11*$C$5*D$15</f>
        <v>1.9067325962672767E-2</v>
      </c>
      <c r="AC164" s="433">
        <f>E164*'4C2 Open-burning '!$C$10*'4C2 Open-burning '!$C$11*$C$5*E$15</f>
        <v>1.1717697510152664E-2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4.581217144485969E-2</v>
      </c>
      <c r="AH164" s="434">
        <f t="shared" si="18"/>
        <v>9.485383081211117E-2</v>
      </c>
    </row>
    <row r="165" spans="1:34">
      <c r="A165" s="138">
        <f>'Input data'!A126</f>
        <v>2026</v>
      </c>
      <c r="B165" s="100">
        <f>'Recycling - Case 3'!AP106</f>
        <v>7.8806521799605789E-2</v>
      </c>
      <c r="C165" s="473">
        <f>$B165*'Recycling - Case 3'!$AK106*'Recycling - Case 3'!BM106</f>
        <v>474.59849287624178</v>
      </c>
      <c r="D165" s="474">
        <f>$B165*'Recycling - Case 3'!$AK106*'Recycling - Case 3'!BN106</f>
        <v>495.67314687079812</v>
      </c>
      <c r="E165" s="474">
        <f>$B165*'Recycling - Case 3'!$AK106*'Recycling - Case 3'!BO106</f>
        <v>135.38338389412183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529.30251769760537</v>
      </c>
      <c r="J165" s="663">
        <f t="shared" si="19"/>
        <v>1634.957541338767</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0.71518167909444375</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18.235530339717897</v>
      </c>
      <c r="R165" s="1181">
        <f t="shared" si="16"/>
        <v>18.950712018812339</v>
      </c>
      <c r="S165" s="430">
        <f>C165*'4C2 Open-burning '!$C$9*'4C2 Open-burning '!$C$11*$C$5</f>
        <v>1.8509341222173425</v>
      </c>
      <c r="T165" s="431">
        <f>D165*'4C2 Open-burning '!$C$9*'4C2 Open-burning '!$C$11*$C$5</f>
        <v>1.9331252727961128</v>
      </c>
      <c r="U165" s="431">
        <f>E165*'4C2 Open-burning '!$C$9*'4C2 Open-burning '!$C$11*$C$5</f>
        <v>0.5279951971870751</v>
      </c>
      <c r="V165" s="431">
        <f>F165*'4C2 Open-burning '!$C$9*'4C2 Open-burning '!$C$11*$C$5</f>
        <v>0</v>
      </c>
      <c r="W165" s="431">
        <f>G165*'4C2 Open-burning '!$C$9*'4C2 Open-burning '!$C$11*$C$5</f>
        <v>0</v>
      </c>
      <c r="X165" s="431">
        <f>H165*'4C2 Open-burning '!$C$9*'4C2 Open-burning '!$C$11*$C$5</f>
        <v>0</v>
      </c>
      <c r="Y165" s="431">
        <f>I165*'4C2 Open-burning '!$C$9*'4C2 Open-burning '!$C$11*$C$5</f>
        <v>2.064279819020661</v>
      </c>
      <c r="Z165" s="432">
        <f t="shared" si="17"/>
        <v>6.3763344112211913</v>
      </c>
      <c r="AA165" s="1333">
        <f>C165*'4C2 Open-burning '!$C$10*'4C2 Open-burning '!$C$11*$C$5*C$15</f>
        <v>1.7085545743544706E-2</v>
      </c>
      <c r="AB165" s="433">
        <f>D165*'4C2 Open-burning '!$C$10*'4C2 Open-burning '!$C$11*$C$5*D$15</f>
        <v>1.7844233287348729E-2</v>
      </c>
      <c r="AC165" s="433">
        <f>E165*'4C2 Open-burning '!$C$10*'4C2 Open-burning '!$C$11*$C$5*E$15</f>
        <v>1.096605409542387E-2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4.287350393350603E-2</v>
      </c>
      <c r="AH165" s="434">
        <f t="shared" si="18"/>
        <v>8.8769337059823331E-2</v>
      </c>
    </row>
    <row r="166" spans="1:34">
      <c r="A166" s="138">
        <f>'Input data'!A127</f>
        <v>2027</v>
      </c>
      <c r="B166" s="100">
        <f>'Recycling - Case 3'!AP107</f>
        <v>7.4202124145229045E-2</v>
      </c>
      <c r="C166" s="473">
        <f>$B166*'Recycling - Case 3'!$AK107*'Recycling - Case 3'!BM107</f>
        <v>441.49696665740697</v>
      </c>
      <c r="D166" s="474">
        <f>$B166*'Recycling - Case 3'!$AK107*'Recycling - Case 3'!BN107</f>
        <v>461.10173985329925</v>
      </c>
      <c r="E166" s="474">
        <f>$B166*'Recycling - Case 3'!$AK107*'Recycling - Case 3'!BO107</f>
        <v>125.94088313014565</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492.38558384667687</v>
      </c>
      <c r="J166" s="663">
        <f t="shared" si="19"/>
        <v>1520.9251734875288</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0.6653003468586326</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16.963668134685708</v>
      </c>
      <c r="R166" s="1181">
        <f t="shared" si="16"/>
        <v>17.628968481544341</v>
      </c>
      <c r="S166" s="430">
        <f>C166*'4C2 Open-burning '!$C$9*'4C2 Open-burning '!$C$11*$C$5</f>
        <v>1.7218381699638869</v>
      </c>
      <c r="T166" s="431">
        <f>D166*'4C2 Open-burning '!$C$9*'4C2 Open-burning '!$C$11*$C$5</f>
        <v>1.7982967854278666</v>
      </c>
      <c r="U166" s="431">
        <f>E166*'4C2 Open-burning '!$C$9*'4C2 Open-burning '!$C$11*$C$5</f>
        <v>0.49116944420756803</v>
      </c>
      <c r="V166" s="431">
        <f>F166*'4C2 Open-burning '!$C$9*'4C2 Open-burning '!$C$11*$C$5</f>
        <v>0</v>
      </c>
      <c r="W166" s="431">
        <f>G166*'4C2 Open-burning '!$C$9*'4C2 Open-burning '!$C$11*$C$5</f>
        <v>0</v>
      </c>
      <c r="X166" s="431">
        <f>H166*'4C2 Open-burning '!$C$9*'4C2 Open-burning '!$C$11*$C$5</f>
        <v>0</v>
      </c>
      <c r="Y166" s="431">
        <f>I166*'4C2 Open-burning '!$C$9*'4C2 Open-burning '!$C$11*$C$5</f>
        <v>1.9203037770020397</v>
      </c>
      <c r="Z166" s="432">
        <f t="shared" si="17"/>
        <v>5.9316081766013617</v>
      </c>
      <c r="AA166" s="1333">
        <f>C166*'4C2 Open-burning '!$C$10*'4C2 Open-burning '!$C$11*$C$5*C$15</f>
        <v>1.589389079966665E-2</v>
      </c>
      <c r="AB166" s="433">
        <f>D166*'4C2 Open-burning '!$C$10*'4C2 Open-burning '!$C$11*$C$5*D$15</f>
        <v>1.6599662634718775E-2</v>
      </c>
      <c r="AC166" s="433">
        <f>E166*'4C2 Open-burning '!$C$10*'4C2 Open-burning '!$C$11*$C$5*E$15</f>
        <v>1.0201211533541798E-2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3.9883232291580827E-2</v>
      </c>
      <c r="AH166" s="434">
        <f t="shared" si="18"/>
        <v>8.257799725950804E-2</v>
      </c>
    </row>
    <row r="167" spans="1:34">
      <c r="A167" s="138">
        <f>'Input data'!A128</f>
        <v>2028</v>
      </c>
      <c r="B167" s="100">
        <f>'Recycling - Case 3'!AP108</f>
        <v>6.9387697028032852E-2</v>
      </c>
      <c r="C167" s="473">
        <f>$B167*'Recycling - Case 3'!$AK108*'Recycling - Case 3'!BM108</f>
        <v>407.78976406050231</v>
      </c>
      <c r="D167" s="474">
        <f>$B167*'Recycling - Case 3'!$AK108*'Recycling - Case 3'!BN108</f>
        <v>425.89776126043836</v>
      </c>
      <c r="E167" s="474">
        <f>$B167*'Recycling - Case 3'!$AK108*'Recycling - Case 3'!BO108</f>
        <v>116.32560786553655</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454.79316105797392</v>
      </c>
      <c r="J167" s="663">
        <f t="shared" si="19"/>
        <v>1404.8062942444512</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0.61450630913479798</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15.668533984769315</v>
      </c>
      <c r="R167" s="1181">
        <f t="shared" si="16"/>
        <v>16.283040293904111</v>
      </c>
      <c r="S167" s="430">
        <f>C167*'4C2 Open-burning '!$C$9*'4C2 Open-burning '!$C$11*$C$5</f>
        <v>1.5903800798359589</v>
      </c>
      <c r="T167" s="431">
        <f>D167*'4C2 Open-burning '!$C$9*'4C2 Open-burning '!$C$11*$C$5</f>
        <v>1.6610012689157094</v>
      </c>
      <c r="U167" s="431">
        <f>E167*'4C2 Open-burning '!$C$9*'4C2 Open-burning '!$C$11*$C$5</f>
        <v>0.4536698706755925</v>
      </c>
      <c r="V167" s="431">
        <f>F167*'4C2 Open-burning '!$C$9*'4C2 Open-burning '!$C$11*$C$5</f>
        <v>0</v>
      </c>
      <c r="W167" s="431">
        <f>G167*'4C2 Open-burning '!$C$9*'4C2 Open-burning '!$C$11*$C$5</f>
        <v>0</v>
      </c>
      <c r="X167" s="431">
        <f>H167*'4C2 Open-burning '!$C$9*'4C2 Open-burning '!$C$11*$C$5</f>
        <v>0</v>
      </c>
      <c r="Y167" s="431">
        <f>I167*'4C2 Open-burning '!$C$9*'4C2 Open-burning '!$C$11*$C$5</f>
        <v>1.7736933281260983</v>
      </c>
      <c r="Z167" s="432">
        <f t="shared" si="17"/>
        <v>5.4787445475533589</v>
      </c>
      <c r="AA167" s="1333">
        <f>C167*'4C2 Open-burning '!$C$10*'4C2 Open-burning '!$C$11*$C$5*C$15</f>
        <v>1.4680431506178083E-2</v>
      </c>
      <c r="AB167" s="433">
        <f>D167*'4C2 Open-burning '!$C$10*'4C2 Open-burning '!$C$11*$C$5*D$15</f>
        <v>1.533231940537578E-2</v>
      </c>
      <c r="AC167" s="433">
        <f>E167*'4C2 Open-burning '!$C$10*'4C2 Open-burning '!$C$11*$C$5*E$15</f>
        <v>9.4223742371084603E-3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3.683824604569589E-2</v>
      </c>
      <c r="AH167" s="434">
        <f t="shared" si="18"/>
        <v>7.6273371194358217E-2</v>
      </c>
    </row>
    <row r="168" spans="1:34">
      <c r="A168" s="138">
        <f>'Input data'!A129</f>
        <v>2029</v>
      </c>
      <c r="B168" s="100">
        <f>'Recycling - Case 3'!AP109</f>
        <v>6.4348695646161552E-2</v>
      </c>
      <c r="C168" s="473">
        <f>$B168*'Recycling - Case 3'!$AK109*'Recycling - Case 3'!BM109</f>
        <v>373.44106712240153</v>
      </c>
      <c r="D168" s="474">
        <f>$B168*'Recycling - Case 3'!$AK109*'Recycling - Case 3'!BN109</f>
        <v>390.02380262429187</v>
      </c>
      <c r="E168" s="474">
        <f>$B168*'Recycling - Case 3'!$AK109*'Recycling - Case 3'!BO109</f>
        <v>106.52734071207057</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416.48530285390319</v>
      </c>
      <c r="J168" s="663">
        <f t="shared" si="19"/>
        <v>1286.4775133126673</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0.56274559113921241</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14.348751653922671</v>
      </c>
      <c r="R168" s="1181">
        <f t="shared" si="16"/>
        <v>14.911497245061883</v>
      </c>
      <c r="S168" s="430">
        <f>C168*'4C2 Open-burning '!$C$9*'4C2 Open-burning '!$C$11*$C$5</f>
        <v>1.4564201617773658</v>
      </c>
      <c r="T168" s="431">
        <f>D168*'4C2 Open-burning '!$C$9*'4C2 Open-burning '!$C$11*$C$5</f>
        <v>1.5210928302347382</v>
      </c>
      <c r="U168" s="431">
        <f>E168*'4C2 Open-burning '!$C$9*'4C2 Open-burning '!$C$11*$C$5</f>
        <v>0.41545662877707518</v>
      </c>
      <c r="V168" s="431">
        <f>F168*'4C2 Open-burning '!$C$9*'4C2 Open-burning '!$C$11*$C$5</f>
        <v>0</v>
      </c>
      <c r="W168" s="431">
        <f>G168*'4C2 Open-burning '!$C$9*'4C2 Open-burning '!$C$11*$C$5</f>
        <v>0</v>
      </c>
      <c r="X168" s="431">
        <f>H168*'4C2 Open-burning '!$C$9*'4C2 Open-burning '!$C$11*$C$5</f>
        <v>0</v>
      </c>
      <c r="Y168" s="431">
        <f>I168*'4C2 Open-burning '!$C$9*'4C2 Open-burning '!$C$11*$C$5</f>
        <v>1.6242926811302223</v>
      </c>
      <c r="Z168" s="432">
        <f t="shared" si="17"/>
        <v>5.0172623019194011</v>
      </c>
      <c r="AA168" s="1333">
        <f>C168*'4C2 Open-burning '!$C$10*'4C2 Open-burning '!$C$11*$C$5*C$15</f>
        <v>1.3443878416406456E-2</v>
      </c>
      <c r="AB168" s="433">
        <f>D168*'4C2 Open-burning '!$C$10*'4C2 Open-burning '!$C$11*$C$5*D$15</f>
        <v>1.4040856894474506E-2</v>
      </c>
      <c r="AC168" s="433">
        <f>E168*'4C2 Open-burning '!$C$10*'4C2 Open-burning '!$C$11*$C$5*E$15</f>
        <v>8.6287145976777137E-3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3.3735309531166158E-2</v>
      </c>
      <c r="AH168" s="434">
        <f t="shared" si="18"/>
        <v>6.9848759439724836E-2</v>
      </c>
    </row>
    <row r="169" spans="1:34">
      <c r="A169" s="138">
        <f>'Input data'!A130</f>
        <v>2030</v>
      </c>
      <c r="B169" s="100">
        <f>'Recycling - Case 3'!AP110</f>
        <v>5.9069158469499353E-2</v>
      </c>
      <c r="C169" s="473">
        <f>$B169*'Recycling - Case 3'!$AK110*'Recycling - Case 3'!BM110</f>
        <v>338.41353320305961</v>
      </c>
      <c r="D169" s="474">
        <f>$B169*'Recycling - Case 3'!$AK110*'Recycling - Case 3'!BN110</f>
        <v>353.44086309639226</v>
      </c>
      <c r="E169" s="474">
        <f>$B169*'Recycling - Case 3'!$AK110*'Recycling - Case 3'!BO110</f>
        <v>96.535429354056149</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377.42036233989995</v>
      </c>
      <c r="J169" s="663">
        <f t="shared" si="19"/>
        <v>1165.8101879934079</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0.50996192052291112</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13.002886323334232</v>
      </c>
      <c r="R169" s="1181">
        <f t="shared" si="16"/>
        <v>13.512848243857144</v>
      </c>
      <c r="S169" s="430">
        <f>C169*'4C2 Open-burning '!$C$9*'4C2 Open-burning '!$C$11*$C$5</f>
        <v>1.3198127794919323</v>
      </c>
      <c r="T169" s="431">
        <f>D169*'4C2 Open-burning '!$C$9*'4C2 Open-burning '!$C$11*$C$5</f>
        <v>1.3784193660759299</v>
      </c>
      <c r="U169" s="431">
        <f>E169*'4C2 Open-burning '!$C$9*'4C2 Open-burning '!$C$11*$C$5</f>
        <v>0.37648817448081895</v>
      </c>
      <c r="V169" s="431">
        <f>F169*'4C2 Open-burning '!$C$9*'4C2 Open-burning '!$C$11*$C$5</f>
        <v>0</v>
      </c>
      <c r="W169" s="431">
        <f>G169*'4C2 Open-burning '!$C$9*'4C2 Open-burning '!$C$11*$C$5</f>
        <v>0</v>
      </c>
      <c r="X169" s="431">
        <f>H169*'4C2 Open-burning '!$C$9*'4C2 Open-burning '!$C$11*$C$5</f>
        <v>0</v>
      </c>
      <c r="Y169" s="431">
        <f>I169*'4C2 Open-burning '!$C$9*'4C2 Open-burning '!$C$11*$C$5</f>
        <v>1.4719394131256096</v>
      </c>
      <c r="Z169" s="432">
        <f t="shared" si="17"/>
        <v>4.5466597331742911</v>
      </c>
      <c r="AA169" s="1333">
        <f>C169*'4C2 Open-burning '!$C$10*'4C2 Open-burning '!$C$11*$C$5*C$15</f>
        <v>1.2182887195310146E-2</v>
      </c>
      <c r="AB169" s="433">
        <f>D169*'4C2 Open-burning '!$C$10*'4C2 Open-burning '!$C$11*$C$5*D$15</f>
        <v>1.2723871071470123E-2</v>
      </c>
      <c r="AC169" s="433">
        <f>E169*'4C2 Open-burning '!$C$10*'4C2 Open-burning '!$C$11*$C$5*E$15</f>
        <v>7.8193697776785479E-3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3.0571049349531899E-2</v>
      </c>
      <c r="AH169" s="434">
        <f t="shared" si="18"/>
        <v>6.3297177393990711E-2</v>
      </c>
    </row>
    <row r="170" spans="1:34">
      <c r="A170" s="138">
        <f>'Input data'!A131</f>
        <v>2031</v>
      </c>
      <c r="B170" s="100">
        <f>'Recycling - Case 3'!AP111</f>
        <v>5.314869846054425E-2</v>
      </c>
      <c r="C170" s="473">
        <f>$B170*'Recycling - Case 3'!$AK111*'Recycling - Case 3'!BM111</f>
        <v>298.44783500785928</v>
      </c>
      <c r="D170" s="474">
        <f>$B170*'Recycling - Case 3'!$AK111*'Recycling - Case 3'!BN111</f>
        <v>311.70047898508147</v>
      </c>
      <c r="E170" s="474">
        <f>$B170*'Recycling - Case 3'!$AK111*'Recycling - Case 3'!BO111</f>
        <v>85.134863312291813</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332.84806598037829</v>
      </c>
      <c r="J170" s="663">
        <f t="shared" si="19"/>
        <v>1028.1312432856109</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0.44973683432804523</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11.467281569155992</v>
      </c>
      <c r="R170" s="1181">
        <f t="shared" si="16"/>
        <v>11.917018403484036</v>
      </c>
      <c r="S170" s="430">
        <f>C170*'4C2 Open-burning '!$C$9*'4C2 Open-burning '!$C$11*$C$5</f>
        <v>1.163946556530651</v>
      </c>
      <c r="T170" s="431">
        <f>D170*'4C2 Open-burning '!$C$9*'4C2 Open-burning '!$C$11*$C$5</f>
        <v>1.2156318680418174</v>
      </c>
      <c r="U170" s="431">
        <f>E170*'4C2 Open-burning '!$C$9*'4C2 Open-burning '!$C$11*$C$5</f>
        <v>0.33202596691793801</v>
      </c>
      <c r="V170" s="431">
        <f>F170*'4C2 Open-burning '!$C$9*'4C2 Open-burning '!$C$11*$C$5</f>
        <v>0</v>
      </c>
      <c r="W170" s="431">
        <f>G170*'4C2 Open-burning '!$C$9*'4C2 Open-burning '!$C$11*$C$5</f>
        <v>0</v>
      </c>
      <c r="X170" s="431">
        <f>H170*'4C2 Open-burning '!$C$9*'4C2 Open-burning '!$C$11*$C$5</f>
        <v>0</v>
      </c>
      <c r="Y170" s="431">
        <f>I170*'4C2 Open-burning '!$C$9*'4C2 Open-burning '!$C$11*$C$5</f>
        <v>1.2981074573234754</v>
      </c>
      <c r="Z170" s="432">
        <f t="shared" si="17"/>
        <v>4.0097118488138817</v>
      </c>
      <c r="AA170" s="1333">
        <f>C170*'4C2 Open-burning '!$C$10*'4C2 Open-burning '!$C$11*$C$5*C$15</f>
        <v>1.0744122060282933E-2</v>
      </c>
      <c r="AB170" s="433">
        <f>D170*'4C2 Open-burning '!$C$10*'4C2 Open-burning '!$C$11*$C$5*D$15</f>
        <v>1.1221217243462932E-2</v>
      </c>
      <c r="AC170" s="433">
        <f>E170*'4C2 Open-burning '!$C$10*'4C2 Open-burning '!$C$11*$C$5*E$15</f>
        <v>6.8959239282956374E-3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2.696069334441064E-2</v>
      </c>
      <c r="AH170" s="434">
        <f t="shared" si="18"/>
        <v>5.5821956576452142E-2</v>
      </c>
    </row>
    <row r="171" spans="1:34">
      <c r="A171" s="138">
        <f>'Input data'!A132</f>
        <v>2032</v>
      </c>
      <c r="B171" s="100">
        <f>'Recycling - Case 3'!AP112</f>
        <v>4.703528944615664E-2</v>
      </c>
      <c r="C171" s="473">
        <f>$B171*'Recycling - Case 3'!$AK112*'Recycling - Case 3'!BM112</f>
        <v>258.75680992464771</v>
      </c>
      <c r="D171" s="474">
        <f>$B171*'Recycling - Case 3'!$AK112*'Recycling - Case 3'!BN112</f>
        <v>270.24696490775494</v>
      </c>
      <c r="E171" s="474">
        <f>$B171*'Recycling - Case 3'!$AK112*'Recycling - Case 3'!BO112</f>
        <v>73.81265018551548</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288.58210259894599</v>
      </c>
      <c r="J171" s="663">
        <f t="shared" si="19"/>
        <v>891.39852761686416</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0.38992565837601151</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9.9422305987388864</v>
      </c>
      <c r="R171" s="1181">
        <f t="shared" si="16"/>
        <v>10.332156257114898</v>
      </c>
      <c r="S171" s="430">
        <f>C171*'4C2 Open-burning '!$C$9*'4C2 Open-burning '!$C$11*$C$5</f>
        <v>1.0091515587061259</v>
      </c>
      <c r="T171" s="431">
        <f>D171*'4C2 Open-burning '!$C$9*'4C2 Open-burning '!$C$11*$C$5</f>
        <v>1.0539631631402442</v>
      </c>
      <c r="U171" s="431">
        <f>E171*'4C2 Open-burning '!$C$9*'4C2 Open-burning '!$C$11*$C$5</f>
        <v>0.28786933572351037</v>
      </c>
      <c r="V171" s="431">
        <f>F171*'4C2 Open-burning '!$C$9*'4C2 Open-burning '!$C$11*$C$5</f>
        <v>0</v>
      </c>
      <c r="W171" s="431">
        <f>G171*'4C2 Open-burning '!$C$9*'4C2 Open-burning '!$C$11*$C$5</f>
        <v>0</v>
      </c>
      <c r="X171" s="431">
        <f>H171*'4C2 Open-burning '!$C$9*'4C2 Open-burning '!$C$11*$C$5</f>
        <v>0</v>
      </c>
      <c r="Y171" s="431">
        <f>I171*'4C2 Open-burning '!$C$9*'4C2 Open-burning '!$C$11*$C$5</f>
        <v>1.1254702001358894</v>
      </c>
      <c r="Z171" s="432">
        <f t="shared" si="17"/>
        <v>3.47645425770577</v>
      </c>
      <c r="AA171" s="1333">
        <f>C171*'4C2 Open-burning '!$C$10*'4C2 Open-burning '!$C$11*$C$5*C$15</f>
        <v>9.3152451572873184E-3</v>
      </c>
      <c r="AB171" s="433">
        <f>D171*'4C2 Open-burning '!$C$10*'4C2 Open-burning '!$C$11*$C$5*D$15</f>
        <v>9.7288907366791764E-3</v>
      </c>
      <c r="AC171" s="433">
        <f>E171*'4C2 Open-burning '!$C$10*'4C2 Open-burning '!$C$11*$C$5*E$15</f>
        <v>5.9788246650267539E-3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2.3375150310514625E-2</v>
      </c>
      <c r="AH171" s="434">
        <f t="shared" si="18"/>
        <v>4.8398110869507877E-2</v>
      </c>
    </row>
    <row r="172" spans="1:34">
      <c r="A172" s="138">
        <f>'Input data'!A133</f>
        <v>2033</v>
      </c>
      <c r="B172" s="100">
        <f>'Recycling - Case 3'!AP113</f>
        <v>4.6720326396297945E-2</v>
      </c>
      <c r="C172" s="473">
        <f>$B172*'Recycling - Case 3'!$AK113*'Recycling - Case 3'!BM113</f>
        <v>258.02774842242587</v>
      </c>
      <c r="D172" s="474">
        <f>$B172*'Recycling - Case 3'!$AK113*'Recycling - Case 3'!BN113</f>
        <v>269.48552926374651</v>
      </c>
      <c r="E172" s="474">
        <f>$B172*'Recycling - Case 3'!$AK113*'Recycling - Case 3'!BO113</f>
        <v>73.604678995721869</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287.76900669899118</v>
      </c>
      <c r="J172" s="663">
        <f t="shared" si="19"/>
        <v>888.88696338088539</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0.38882702144996018</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9.9142178187936434</v>
      </c>
      <c r="R172" s="1181">
        <f t="shared" si="16"/>
        <v>10.303044840243604</v>
      </c>
      <c r="S172" s="430">
        <f>C172*'4C2 Open-burning '!$C$9*'4C2 Open-burning '!$C$11*$C$5</f>
        <v>1.0063082188474608</v>
      </c>
      <c r="T172" s="431">
        <f>D172*'4C2 Open-burning '!$C$9*'4C2 Open-burning '!$C$11*$C$5</f>
        <v>1.0509935641286114</v>
      </c>
      <c r="U172" s="431">
        <f>E172*'4C2 Open-burning '!$C$9*'4C2 Open-burning '!$C$11*$C$5</f>
        <v>0.28705824808331526</v>
      </c>
      <c r="V172" s="431">
        <f>F172*'4C2 Open-burning '!$C$9*'4C2 Open-burning '!$C$11*$C$5</f>
        <v>0</v>
      </c>
      <c r="W172" s="431">
        <f>G172*'4C2 Open-burning '!$C$9*'4C2 Open-burning '!$C$11*$C$5</f>
        <v>0</v>
      </c>
      <c r="X172" s="431">
        <f>H172*'4C2 Open-burning '!$C$9*'4C2 Open-burning '!$C$11*$C$5</f>
        <v>0</v>
      </c>
      <c r="Y172" s="431">
        <f>I172*'4C2 Open-burning '!$C$9*'4C2 Open-burning '!$C$11*$C$5</f>
        <v>1.1222991261260655</v>
      </c>
      <c r="Z172" s="432">
        <f t="shared" si="17"/>
        <v>3.466659157185453</v>
      </c>
      <c r="AA172" s="1333">
        <f>C172*'4C2 Open-burning '!$C$10*'4C2 Open-burning '!$C$11*$C$5*C$15</f>
        <v>9.2889989432073314E-3</v>
      </c>
      <c r="AB172" s="433">
        <f>D172*'4C2 Open-burning '!$C$10*'4C2 Open-burning '!$C$11*$C$5*D$15</f>
        <v>9.7014790534948759E-3</v>
      </c>
      <c r="AC172" s="433">
        <f>E172*'4C2 Open-burning '!$C$10*'4C2 Open-burning '!$C$11*$C$5*E$15</f>
        <v>5.9619789986534704E-3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2.3309289542618284E-2</v>
      </c>
      <c r="AH172" s="434">
        <f t="shared" si="18"/>
        <v>4.8261746537973965E-2</v>
      </c>
    </row>
    <row r="173" spans="1:34">
      <c r="A173" s="138">
        <f>'Input data'!A134</f>
        <v>2034</v>
      </c>
      <c r="B173" s="100">
        <f>'Recycling - Case 3'!AP114</f>
        <v>4.641797290134949E-2</v>
      </c>
      <c r="C173" s="473">
        <f>$B173*'Recycling - Case 3'!$AK114*'Recycling - Case 3'!BM114</f>
        <v>257.33153019977209</v>
      </c>
      <c r="D173" s="474">
        <f>$B173*'Recycling - Case 3'!$AK114*'Recycling - Case 3'!BN114</f>
        <v>268.75839531260351</v>
      </c>
      <c r="E173" s="474">
        <f>$B173*'Recycling - Case 3'!$AK114*'Recycling - Case 3'!BO114</f>
        <v>73.40607663956942</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286.99253971974662</v>
      </c>
      <c r="J173" s="663">
        <f t="shared" si="19"/>
        <v>886.48854187169172</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0.38777787669925501</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9.88746697842471</v>
      </c>
      <c r="R173" s="1181">
        <f t="shared" si="16"/>
        <v>10.275244855123965</v>
      </c>
      <c r="S173" s="430">
        <f>C173*'4C2 Open-burning '!$C$9*'4C2 Open-burning '!$C$11*$C$5</f>
        <v>1.0035929677791111</v>
      </c>
      <c r="T173" s="431">
        <f>D173*'4C2 Open-burning '!$C$9*'4C2 Open-burning '!$C$11*$C$5</f>
        <v>1.0481577417191537</v>
      </c>
      <c r="U173" s="431">
        <f>E173*'4C2 Open-burning '!$C$9*'4C2 Open-burning '!$C$11*$C$5</f>
        <v>0.2862836988943207</v>
      </c>
      <c r="V173" s="431">
        <f>F173*'4C2 Open-burning '!$C$9*'4C2 Open-burning '!$C$11*$C$5</f>
        <v>0</v>
      </c>
      <c r="W173" s="431">
        <f>G173*'4C2 Open-burning '!$C$9*'4C2 Open-burning '!$C$11*$C$5</f>
        <v>0</v>
      </c>
      <c r="X173" s="431">
        <f>H173*'4C2 Open-burning '!$C$9*'4C2 Open-burning '!$C$11*$C$5</f>
        <v>0</v>
      </c>
      <c r="Y173" s="431">
        <f>I173*'4C2 Open-burning '!$C$9*'4C2 Open-burning '!$C$11*$C$5</f>
        <v>1.1192709049070118</v>
      </c>
      <c r="Z173" s="432">
        <f t="shared" si="17"/>
        <v>3.4573053132995972</v>
      </c>
      <c r="AA173" s="1333">
        <f>C173*'4C2 Open-burning '!$C$10*'4C2 Open-burning '!$C$11*$C$5*C$15</f>
        <v>9.2639350871917946E-3</v>
      </c>
      <c r="AB173" s="433">
        <f>D173*'4C2 Open-burning '!$C$10*'4C2 Open-burning '!$C$11*$C$5*D$15</f>
        <v>9.6753022312537282E-3</v>
      </c>
      <c r="AC173" s="433">
        <f>E173*'4C2 Open-burning '!$C$10*'4C2 Open-burning '!$C$11*$C$5*E$15</f>
        <v>5.9458922078051224E-3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2.3246395717299473E-2</v>
      </c>
      <c r="AH173" s="434">
        <f t="shared" si="18"/>
        <v>4.8131525243550119E-2</v>
      </c>
    </row>
    <row r="174" spans="1:34">
      <c r="A174" s="138">
        <f>'Input data'!A135</f>
        <v>2035</v>
      </c>
      <c r="B174" s="100">
        <f>'Recycling - Case 3'!AP115</f>
        <v>4.6127950305162022E-2</v>
      </c>
      <c r="C174" s="473">
        <f>$B174*'Recycling - Case 3'!$AK115*'Recycling - Case 3'!BM115</f>
        <v>256.66708152481419</v>
      </c>
      <c r="D174" s="474">
        <f>$B174*'Recycling - Case 3'!$AK115*'Recycling - Case 3'!BN115</f>
        <v>268.06444164314593</v>
      </c>
      <c r="E174" s="474">
        <f>$B174*'Recycling - Case 3'!$AK115*'Recycling - Case 3'!BO115</f>
        <v>73.216536825621418</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286.25150416692674</v>
      </c>
      <c r="J174" s="663">
        <f t="shared" si="19"/>
        <v>884.19956416050832</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0.38677660609650072</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9.8619368215589596</v>
      </c>
      <c r="R174" s="1181">
        <f t="shared" si="16"/>
        <v>10.24871342765546</v>
      </c>
      <c r="S174" s="430">
        <f>C174*'4C2 Open-burning '!$C$9*'4C2 Open-burning '!$C$11*$C$5</f>
        <v>1.0010016179467753</v>
      </c>
      <c r="T174" s="431">
        <f>D174*'4C2 Open-burning '!$C$9*'4C2 Open-burning '!$C$11*$C$5</f>
        <v>1.0454513224082691</v>
      </c>
      <c r="U174" s="431">
        <f>E174*'4C2 Open-burning '!$C$9*'4C2 Open-burning '!$C$11*$C$5</f>
        <v>0.28554449361992351</v>
      </c>
      <c r="V174" s="431">
        <f>F174*'4C2 Open-burning '!$C$9*'4C2 Open-burning '!$C$11*$C$5</f>
        <v>0</v>
      </c>
      <c r="W174" s="431">
        <f>G174*'4C2 Open-burning '!$C$9*'4C2 Open-burning '!$C$11*$C$5</f>
        <v>0</v>
      </c>
      <c r="X174" s="431">
        <f>H174*'4C2 Open-burning '!$C$9*'4C2 Open-burning '!$C$11*$C$5</f>
        <v>0</v>
      </c>
      <c r="Y174" s="431">
        <f>I174*'4C2 Open-burning '!$C$9*'4C2 Open-burning '!$C$11*$C$5</f>
        <v>1.1163808662510142</v>
      </c>
      <c r="Z174" s="432">
        <f t="shared" si="17"/>
        <v>3.4483783002259818</v>
      </c>
      <c r="AA174" s="1333">
        <f>C174*'4C2 Open-burning '!$C$10*'4C2 Open-burning '!$C$11*$C$5*C$15</f>
        <v>9.2400149348933116E-3</v>
      </c>
      <c r="AB174" s="433">
        <f>D174*'4C2 Open-burning '!$C$10*'4C2 Open-burning '!$C$11*$C$5*D$15</f>
        <v>9.6503198991532545E-3</v>
      </c>
      <c r="AC174" s="433">
        <f>E174*'4C2 Open-burning '!$C$10*'4C2 Open-burning '!$C$11*$C$5*E$15</f>
        <v>5.9305394828753355E-3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2.3186371837521064E-2</v>
      </c>
      <c r="AH174" s="434">
        <f t="shared" si="18"/>
        <v>4.8007246154442962E-2</v>
      </c>
    </row>
    <row r="175" spans="1:34">
      <c r="A175" s="138">
        <f>'Input data'!A136</f>
        <v>2036</v>
      </c>
      <c r="B175" s="100">
        <f>'Recycling - Case 3'!AP116</f>
        <v>4.5849253729624659E-2</v>
      </c>
      <c r="C175" s="473">
        <f>$B175*'Recycling - Case 3'!$AK116*'Recycling - Case 3'!BM116</f>
        <v>256.03170490217059</v>
      </c>
      <c r="D175" s="474">
        <f>$B175*'Recycling - Case 3'!$AK116*'Recycling - Case 3'!BN116</f>
        <v>267.40085097709635</v>
      </c>
      <c r="E175" s="474">
        <f>$B175*'Recycling - Case 3'!$AK116*'Recycling - Case 3'!BO116</f>
        <v>73.035290069654295</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285.54289162158693</v>
      </c>
      <c r="J175" s="663">
        <f t="shared" si="19"/>
        <v>882.01073757050813</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0.38581914473355855</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9.8375237021469122</v>
      </c>
      <c r="R175" s="1181">
        <f t="shared" si="16"/>
        <v>10.22334284688047</v>
      </c>
      <c r="S175" s="430">
        <f>C175*'4C2 Open-burning '!$C$9*'4C2 Open-burning '!$C$11*$C$5</f>
        <v>0.99852364911846514</v>
      </c>
      <c r="T175" s="431">
        <f>D175*'4C2 Open-burning '!$C$9*'4C2 Open-burning '!$C$11*$C$5</f>
        <v>1.0428633188106757</v>
      </c>
      <c r="U175" s="431">
        <f>E175*'4C2 Open-burning '!$C$9*'4C2 Open-burning '!$C$11*$C$5</f>
        <v>0.28483763127165174</v>
      </c>
      <c r="V175" s="431">
        <f>F175*'4C2 Open-burning '!$C$9*'4C2 Open-burning '!$C$11*$C$5</f>
        <v>0</v>
      </c>
      <c r="W175" s="431">
        <f>G175*'4C2 Open-burning '!$C$9*'4C2 Open-burning '!$C$11*$C$5</f>
        <v>0</v>
      </c>
      <c r="X175" s="431">
        <f>H175*'4C2 Open-burning '!$C$9*'4C2 Open-burning '!$C$11*$C$5</f>
        <v>0</v>
      </c>
      <c r="Y175" s="431">
        <f>I175*'4C2 Open-burning '!$C$9*'4C2 Open-burning '!$C$11*$C$5</f>
        <v>1.113617277324189</v>
      </c>
      <c r="Z175" s="432">
        <f t="shared" si="17"/>
        <v>3.4398418765249819</v>
      </c>
      <c r="AA175" s="1333">
        <f>C175*'4C2 Open-burning '!$C$10*'4C2 Open-burning '!$C$11*$C$5*C$15</f>
        <v>9.2171413764781419E-3</v>
      </c>
      <c r="AB175" s="433">
        <f>D175*'4C2 Open-burning '!$C$10*'4C2 Open-burning '!$C$11*$C$5*D$15</f>
        <v>9.6264306351754678E-3</v>
      </c>
      <c r="AC175" s="433">
        <f>E175*'4C2 Open-burning '!$C$10*'4C2 Open-burning '!$C$11*$C$5*E$15</f>
        <v>5.9158584956419975E-3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2.3128974221348544E-2</v>
      </c>
      <c r="AH175" s="434">
        <f t="shared" si="18"/>
        <v>4.7888404728644154E-2</v>
      </c>
    </row>
    <row r="176" spans="1:34">
      <c r="A176" s="138">
        <f>'Input data'!A137</f>
        <v>2037</v>
      </c>
      <c r="B176" s="100">
        <f>'Recycling - Case 3'!AP117</f>
        <v>4.5581651042010618E-2</v>
      </c>
      <c r="C176" s="473">
        <f>$B176*'Recycling - Case 3'!$AK117*'Recycling - Case 3'!BM117</f>
        <v>255.4245098653499</v>
      </c>
      <c r="D176" s="474">
        <f>$B176*'Recycling - Case 3'!$AK117*'Recycling - Case 3'!BN117</f>
        <v>266.76669330659627</v>
      </c>
      <c r="E176" s="474">
        <f>$B176*'Recycling - Case 3'!$AK117*'Recycling - Case 3'!BO117</f>
        <v>72.862082358289015</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284.86570897868614</v>
      </c>
      <c r="J176" s="663">
        <f t="shared" si="19"/>
        <v>879.9189945089214</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0.38490415074919188</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9.8141934057336933</v>
      </c>
      <c r="R176" s="1181">
        <f t="shared" si="16"/>
        <v>10.199097556482885</v>
      </c>
      <c r="S176" s="430">
        <f>C176*'4C2 Open-burning '!$C$9*'4C2 Open-burning '!$C$11*$C$5</f>
        <v>0.99615558847486452</v>
      </c>
      <c r="T176" s="431">
        <f>D176*'4C2 Open-burning '!$C$9*'4C2 Open-burning '!$C$11*$C$5</f>
        <v>1.0403901038957253</v>
      </c>
      <c r="U176" s="431">
        <f>E176*'4C2 Open-burning '!$C$9*'4C2 Open-burning '!$C$11*$C$5</f>
        <v>0.28416212119732714</v>
      </c>
      <c r="V176" s="431">
        <f>F176*'4C2 Open-burning '!$C$9*'4C2 Open-burning '!$C$11*$C$5</f>
        <v>0</v>
      </c>
      <c r="W176" s="431">
        <f>G176*'4C2 Open-burning '!$C$9*'4C2 Open-burning '!$C$11*$C$5</f>
        <v>0</v>
      </c>
      <c r="X176" s="431">
        <f>H176*'4C2 Open-burning '!$C$9*'4C2 Open-burning '!$C$11*$C$5</f>
        <v>0</v>
      </c>
      <c r="Y176" s="431">
        <f>I176*'4C2 Open-burning '!$C$9*'4C2 Open-burning '!$C$11*$C$5</f>
        <v>1.110976265016876</v>
      </c>
      <c r="Z176" s="432">
        <f t="shared" si="17"/>
        <v>3.4316840785847926</v>
      </c>
      <c r="AA176" s="1333">
        <f>C176*'4C2 Open-burning '!$C$10*'4C2 Open-burning '!$C$11*$C$5*C$15</f>
        <v>9.1952823551525974E-3</v>
      </c>
      <c r="AB176" s="433">
        <f>D176*'4C2 Open-burning '!$C$10*'4C2 Open-burning '!$C$11*$C$5*D$15</f>
        <v>9.6036009590374644E-3</v>
      </c>
      <c r="AC176" s="433">
        <f>E176*'4C2 Open-burning '!$C$10*'4C2 Open-burning '!$C$11*$C$5*E$15</f>
        <v>5.9018286710214099E-3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2.3074122427273577E-2</v>
      </c>
      <c r="AH176" s="434">
        <f t="shared" si="18"/>
        <v>4.7774834412485048E-2</v>
      </c>
    </row>
    <row r="177" spans="1:34">
      <c r="A177" s="138">
        <f>'Input data'!A138</f>
        <v>2038</v>
      </c>
      <c r="B177" s="100">
        <f>'Recycling - Case 3'!AP118</f>
        <v>4.5324922860500445E-2</v>
      </c>
      <c r="C177" s="473">
        <f>$B177*'Recycling - Case 3'!$AK118*'Recycling - Case 3'!BM118</f>
        <v>254.84465710935734</v>
      </c>
      <c r="D177" s="474">
        <f>$B177*'Recycling - Case 3'!$AK118*'Recycling - Case 3'!BN118</f>
        <v>266.16109205712183</v>
      </c>
      <c r="E177" s="474">
        <f>$B177*'Recycling - Case 3'!$AK118*'Recycling - Case 3'!BO118</f>
        <v>72.696674272412366</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284.21902019174809</v>
      </c>
      <c r="J177" s="663">
        <f t="shared" si="19"/>
        <v>877.9214436306396</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0.38403035937841645</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9.7919136836461043</v>
      </c>
      <c r="R177" s="1181">
        <f t="shared" si="16"/>
        <v>10.17594404302452</v>
      </c>
      <c r="S177" s="430">
        <f>C177*'4C2 Open-burning '!$C$9*'4C2 Open-burning '!$C$11*$C$5</f>
        <v>0.99389416272649356</v>
      </c>
      <c r="T177" s="431">
        <f>D177*'4C2 Open-burning '!$C$9*'4C2 Open-burning '!$C$11*$C$5</f>
        <v>1.0380282590227752</v>
      </c>
      <c r="U177" s="431">
        <f>E177*'4C2 Open-burning '!$C$9*'4C2 Open-burning '!$C$11*$C$5</f>
        <v>0.28351702966240816</v>
      </c>
      <c r="V177" s="431">
        <f>F177*'4C2 Open-burning '!$C$9*'4C2 Open-burning '!$C$11*$C$5</f>
        <v>0</v>
      </c>
      <c r="W177" s="431">
        <f>G177*'4C2 Open-burning '!$C$9*'4C2 Open-burning '!$C$11*$C$5</f>
        <v>0</v>
      </c>
      <c r="X177" s="431">
        <f>H177*'4C2 Open-burning '!$C$9*'4C2 Open-burning '!$C$11*$C$5</f>
        <v>0</v>
      </c>
      <c r="Y177" s="431">
        <f>I177*'4C2 Open-burning '!$C$9*'4C2 Open-burning '!$C$11*$C$5</f>
        <v>1.1084541787478175</v>
      </c>
      <c r="Z177" s="432">
        <f t="shared" si="17"/>
        <v>3.4238936301594944</v>
      </c>
      <c r="AA177" s="1333">
        <f>C177*'4C2 Open-burning '!$C$10*'4C2 Open-burning '!$C$11*$C$5*C$15</f>
        <v>9.1744076559368646E-3</v>
      </c>
      <c r="AB177" s="433">
        <f>D177*'4C2 Open-burning '!$C$10*'4C2 Open-burning '!$C$11*$C$5*D$15</f>
        <v>9.5817993140563853E-3</v>
      </c>
      <c r="AC177" s="433">
        <f>E177*'4C2 Open-burning '!$C$10*'4C2 Open-burning '!$C$11*$C$5*E$15</f>
        <v>5.8884306160654019E-3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2.3021740635531595E-2</v>
      </c>
      <c r="AH177" s="434">
        <f t="shared" si="18"/>
        <v>4.7666378221590242E-2</v>
      </c>
    </row>
    <row r="178" spans="1:34">
      <c r="A178" s="138">
        <f>'Input data'!A139</f>
        <v>2039</v>
      </c>
      <c r="B178" s="100">
        <f>'Recycling - Case 3'!AP119</f>
        <v>4.5078861908062012E-2</v>
      </c>
      <c r="C178" s="473">
        <f>$B178*'Recycling - Case 3'!$AK119*'Recycling - Case 3'!BM119</f>
        <v>254.2913557373372</v>
      </c>
      <c r="D178" s="474">
        <f>$B178*'Recycling - Case 3'!$AK119*'Recycling - Case 3'!BN119</f>
        <v>265.58322121186262</v>
      </c>
      <c r="E178" s="474">
        <f>$B178*'Recycling - Case 3'!$AK119*'Recycling - Case 3'!BO119</f>
        <v>72.538840201757438</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283.60194320214168</v>
      </c>
      <c r="J178" s="663">
        <f t="shared" si="19"/>
        <v>876.01536035309891</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0.3831965788034119</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9.7706541472001849</v>
      </c>
      <c r="R178" s="1181">
        <f t="shared" si="16"/>
        <v>10.153850726003597</v>
      </c>
      <c r="S178" s="430">
        <f>C178*'4C2 Open-burning '!$C$9*'4C2 Open-burning '!$C$11*$C$5</f>
        <v>0.99173628737561503</v>
      </c>
      <c r="T178" s="431">
        <f>D178*'4C2 Open-burning '!$C$9*'4C2 Open-burning '!$C$11*$C$5</f>
        <v>1.0357745627262642</v>
      </c>
      <c r="U178" s="431">
        <f>E178*'4C2 Open-burning '!$C$9*'4C2 Open-burning '!$C$11*$C$5</f>
        <v>0.28290147678685396</v>
      </c>
      <c r="V178" s="431">
        <f>F178*'4C2 Open-burning '!$C$9*'4C2 Open-burning '!$C$11*$C$5</f>
        <v>0</v>
      </c>
      <c r="W178" s="431">
        <f>G178*'4C2 Open-burning '!$C$9*'4C2 Open-burning '!$C$11*$C$5</f>
        <v>0</v>
      </c>
      <c r="X178" s="431">
        <f>H178*'4C2 Open-burning '!$C$9*'4C2 Open-burning '!$C$11*$C$5</f>
        <v>0</v>
      </c>
      <c r="Y178" s="431">
        <f>I178*'4C2 Open-burning '!$C$9*'4C2 Open-burning '!$C$11*$C$5</f>
        <v>1.1060475784883523</v>
      </c>
      <c r="Z178" s="432">
        <f t="shared" si="17"/>
        <v>3.416459905377085</v>
      </c>
      <c r="AA178" s="1333">
        <f>C178*'4C2 Open-burning '!$C$10*'4C2 Open-burning '!$C$11*$C$5*C$15</f>
        <v>9.1544888065441376E-3</v>
      </c>
      <c r="AB178" s="433">
        <f>D178*'4C2 Open-burning '!$C$10*'4C2 Open-burning '!$C$11*$C$5*D$15</f>
        <v>9.5609959636270558E-3</v>
      </c>
      <c r="AC178" s="433">
        <f>E178*'4C2 Open-burning '!$C$10*'4C2 Open-burning '!$C$11*$C$5*E$15</f>
        <v>5.8756460563423518E-3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2.2971757399373478E-2</v>
      </c>
      <c r="AH178" s="434">
        <f t="shared" si="18"/>
        <v>4.7562888225887029E-2</v>
      </c>
    </row>
    <row r="179" spans="1:34">
      <c r="A179" s="138">
        <f>'Input data'!A140</f>
        <v>2040</v>
      </c>
      <c r="B179" s="100">
        <f>'Recycling - Case 3'!AP120</f>
        <v>4.4843272415556461E-2</v>
      </c>
      <c r="C179" s="473">
        <f>$B179*'Recycling - Case 3'!$AK120*'Recycling - Case 3'!BM120</f>
        <v>253.76386071338865</v>
      </c>
      <c r="D179" s="474">
        <f>$B179*'Recycling - Case 3'!$AK120*'Recycling - Case 3'!BN120</f>
        <v>265.03230265142912</v>
      </c>
      <c r="E179" s="474">
        <f>$B179*'Recycling - Case 3'!$AK120*'Recycling - Case 3'!BO120</f>
        <v>72.38836761829711</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283.01364709829852</v>
      </c>
      <c r="J179" s="663">
        <f t="shared" si="19"/>
        <v>874.1981780814134</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0.38240168631512106</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9.7503861698305805</v>
      </c>
      <c r="R179" s="1181">
        <f t="shared" si="16"/>
        <v>10.132787856145702</v>
      </c>
      <c r="S179" s="430">
        <f>C179*'4C2 Open-burning '!$C$9*'4C2 Open-burning '!$C$11*$C$5</f>
        <v>0.98967905678221568</v>
      </c>
      <c r="T179" s="431">
        <f>D179*'4C2 Open-burning '!$C$9*'4C2 Open-burning '!$C$11*$C$5</f>
        <v>1.0336259803405734</v>
      </c>
      <c r="U179" s="431">
        <f>E179*'4C2 Open-burning '!$C$9*'4C2 Open-burning '!$C$11*$C$5</f>
        <v>0.28231463371135873</v>
      </c>
      <c r="V179" s="431">
        <f>F179*'4C2 Open-burning '!$C$9*'4C2 Open-burning '!$C$11*$C$5</f>
        <v>0</v>
      </c>
      <c r="W179" s="431">
        <f>G179*'4C2 Open-burning '!$C$9*'4C2 Open-burning '!$C$11*$C$5</f>
        <v>0</v>
      </c>
      <c r="X179" s="431">
        <f>H179*'4C2 Open-burning '!$C$9*'4C2 Open-burning '!$C$11*$C$5</f>
        <v>0</v>
      </c>
      <c r="Y179" s="431">
        <f>I179*'4C2 Open-burning '!$C$9*'4C2 Open-burning '!$C$11*$C$5</f>
        <v>1.103753223683364</v>
      </c>
      <c r="Z179" s="432">
        <f t="shared" si="17"/>
        <v>3.4093728945175119</v>
      </c>
      <c r="AA179" s="1333">
        <f>C179*'4C2 Open-burning '!$C$10*'4C2 Open-burning '!$C$11*$C$5*C$15</f>
        <v>9.1354989856819915E-3</v>
      </c>
      <c r="AB179" s="433">
        <f>D179*'4C2 Open-burning '!$C$10*'4C2 Open-burning '!$C$11*$C$5*D$15</f>
        <v>9.541162895451448E-3</v>
      </c>
      <c r="AC179" s="433">
        <f>E179*'4C2 Open-burning '!$C$10*'4C2 Open-burning '!$C$11*$C$5*E$15</f>
        <v>5.8634577770820661E-3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2.2924105414962183E-2</v>
      </c>
      <c r="AH179" s="434">
        <f t="shared" si="18"/>
        <v>4.7464225073177692E-2</v>
      </c>
    </row>
    <row r="180" spans="1:34">
      <c r="A180" s="138">
        <f>'Input data'!A141</f>
        <v>2041</v>
      </c>
      <c r="B180" s="100">
        <f>'Recycling - Case 3'!AP121</f>
        <v>4.4617223008642994E-2</v>
      </c>
      <c r="C180" s="473">
        <f>$B180*'Recycling - Case 3'!$AK121*'Recycling - Case 3'!BM121</f>
        <v>253.25980916268185</v>
      </c>
      <c r="D180" s="474">
        <f>$B180*'Recycling - Case 3'!$AK121*'Recycling - Case 3'!BN121</f>
        <v>264.5058685769975</v>
      </c>
      <c r="E180" s="474">
        <f>$B180*'Recycling - Case 3'!$AK121*'Recycling - Case 3'!BO121</f>
        <v>72.244582491255926</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282.45149665146164</v>
      </c>
      <c r="J180" s="663">
        <f t="shared" si="19"/>
        <v>872.46175688239691</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0.38164212125160818</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9.7310189626361563</v>
      </c>
      <c r="R180" s="1181">
        <f t="shared" si="16"/>
        <v>10.112661083887765</v>
      </c>
      <c r="S180" s="430">
        <f>C180*'4C2 Open-burning '!$C$9*'4C2 Open-burning '!$C$11*$C$5</f>
        <v>0.98771325573445923</v>
      </c>
      <c r="T180" s="431">
        <f>D180*'4C2 Open-burning '!$C$9*'4C2 Open-burning '!$C$11*$C$5</f>
        <v>1.0315728874502901</v>
      </c>
      <c r="U180" s="431">
        <f>E180*'4C2 Open-burning '!$C$9*'4C2 Open-burning '!$C$11*$C$5</f>
        <v>0.28175387171589811</v>
      </c>
      <c r="V180" s="431">
        <f>F180*'4C2 Open-burning '!$C$9*'4C2 Open-burning '!$C$11*$C$5</f>
        <v>0</v>
      </c>
      <c r="W180" s="431">
        <f>G180*'4C2 Open-burning '!$C$9*'4C2 Open-burning '!$C$11*$C$5</f>
        <v>0</v>
      </c>
      <c r="X180" s="431">
        <f>H180*'4C2 Open-burning '!$C$9*'4C2 Open-burning '!$C$11*$C$5</f>
        <v>0</v>
      </c>
      <c r="Y180" s="431">
        <f>I180*'4C2 Open-burning '!$C$9*'4C2 Open-burning '!$C$11*$C$5</f>
        <v>1.1015608369407002</v>
      </c>
      <c r="Z180" s="432">
        <f t="shared" si="17"/>
        <v>3.4026008518413482</v>
      </c>
      <c r="AA180" s="1333">
        <f>C180*'4C2 Open-burning '!$C$10*'4C2 Open-burning '!$C$11*$C$5*C$15</f>
        <v>9.1173531298565438E-3</v>
      </c>
      <c r="AB180" s="433">
        <f>D180*'4C2 Open-burning '!$C$10*'4C2 Open-burning '!$C$11*$C$5*D$15</f>
        <v>9.5222112687719102E-3</v>
      </c>
      <c r="AC180" s="433">
        <f>E180*'4C2 Open-burning '!$C$10*'4C2 Open-burning '!$C$11*$C$5*E$15</f>
        <v>5.8518111817917285E-3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2.2878571228768393E-2</v>
      </c>
      <c r="AH180" s="434">
        <f t="shared" si="18"/>
        <v>4.7369946809188573E-2</v>
      </c>
    </row>
    <row r="181" spans="1:34">
      <c r="A181" s="138">
        <f>'Input data'!A142</f>
        <v>2042</v>
      </c>
      <c r="B181" s="100">
        <f>'Recycling - Case 3'!AP122</f>
        <v>4.4400551987481149E-2</v>
      </c>
      <c r="C181" s="473">
        <f>$B181*'Recycling - Case 3'!$AK122*'Recycling - Case 3'!BM122</f>
        <v>252.77858831651895</v>
      </c>
      <c r="D181" s="474">
        <f>$B181*'Recycling - Case 3'!$AK122*'Recycling - Case 3'!BN122</f>
        <v>264.0032790097365</v>
      </c>
      <c r="E181" s="474">
        <f>$B181*'Recycling - Case 3'!$AK122*'Recycling - Case 3'!BO122</f>
        <v>72.107310022986809</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281.91480846288573</v>
      </c>
      <c r="J181" s="663">
        <f t="shared" si="19"/>
        <v>870.80398581212796</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0.38091696021983101</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9.712528981163338</v>
      </c>
      <c r="R181" s="1181">
        <f t="shared" si="16"/>
        <v>10.09344594138317</v>
      </c>
      <c r="S181" s="430">
        <f>C181*'4C2 Open-burning '!$C$9*'4C2 Open-burning '!$C$11*$C$5</f>
        <v>0.98583649443442389</v>
      </c>
      <c r="T181" s="431">
        <f>D181*'4C2 Open-burning '!$C$9*'4C2 Open-burning '!$C$11*$C$5</f>
        <v>1.0296127881379722</v>
      </c>
      <c r="U181" s="431">
        <f>E181*'4C2 Open-burning '!$C$9*'4C2 Open-burning '!$C$11*$C$5</f>
        <v>0.28121850908964852</v>
      </c>
      <c r="V181" s="431">
        <f>F181*'4C2 Open-burning '!$C$9*'4C2 Open-burning '!$C$11*$C$5</f>
        <v>0</v>
      </c>
      <c r="W181" s="431">
        <f>G181*'4C2 Open-burning '!$C$9*'4C2 Open-burning '!$C$11*$C$5</f>
        <v>0</v>
      </c>
      <c r="X181" s="431">
        <f>H181*'4C2 Open-burning '!$C$9*'4C2 Open-burning '!$C$11*$C$5</f>
        <v>0</v>
      </c>
      <c r="Y181" s="431">
        <f>I181*'4C2 Open-burning '!$C$9*'4C2 Open-burning '!$C$11*$C$5</f>
        <v>1.0994677530052543</v>
      </c>
      <c r="Z181" s="432">
        <f t="shared" si="17"/>
        <v>3.3961355446672989</v>
      </c>
      <c r="AA181" s="1333">
        <f>C181*'4C2 Open-burning '!$C$10*'4C2 Open-burning '!$C$11*$C$5*C$15</f>
        <v>9.1000291793946822E-3</v>
      </c>
      <c r="AB181" s="433">
        <f>D181*'4C2 Open-burning '!$C$10*'4C2 Open-burning '!$C$11*$C$5*D$15</f>
        <v>9.5041180443505152E-3</v>
      </c>
      <c r="AC181" s="433">
        <f>E181*'4C2 Open-burning '!$C$10*'4C2 Open-burning '!$C$11*$C$5*E$15</f>
        <v>5.8406921118619309E-3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2.2835099485493743E-2</v>
      </c>
      <c r="AH181" s="434">
        <f t="shared" si="18"/>
        <v>4.7279938821100875E-2</v>
      </c>
    </row>
    <row r="182" spans="1:34">
      <c r="A182" s="138">
        <f>'Input data'!A143</f>
        <v>2043</v>
      </c>
      <c r="B182" s="100">
        <f>'Recycling - Case 3'!AP123</f>
        <v>4.4193106357514833E-2</v>
      </c>
      <c r="C182" s="473">
        <f>$B182*'Recycling - Case 3'!$AK123*'Recycling - Case 3'!BM123</f>
        <v>252.31961983335157</v>
      </c>
      <c r="D182" s="474">
        <f>$B182*'Recycling - Case 3'!$AK123*'Recycling - Case 3'!BN123</f>
        <v>263.5239299267098</v>
      </c>
      <c r="E182" s="474">
        <f>$B182*'Recycling - Case 3'!$AK123*'Recycling - Case 3'!BO123</f>
        <v>71.976385236489108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281.4029375291791</v>
      </c>
      <c r="J182" s="663">
        <f t="shared" si="19"/>
        <v>869.2228725257296</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0.38022533170568679</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9.6948940037552767</v>
      </c>
      <c r="R182" s="1181">
        <f t="shared" si="16"/>
        <v>10.075119335460963</v>
      </c>
      <c r="S182" s="430">
        <f>C182*'4C2 Open-burning '!$C$9*'4C2 Open-burning '!$C$11*$C$5</f>
        <v>0.98404651735007109</v>
      </c>
      <c r="T182" s="431">
        <f>D182*'4C2 Open-burning '!$C$9*'4C2 Open-burning '!$C$11*$C$5</f>
        <v>1.0277433267141682</v>
      </c>
      <c r="U182" s="431">
        <f>E182*'4C2 Open-burning '!$C$9*'4C2 Open-burning '!$C$11*$C$5</f>
        <v>0.28070790242230753</v>
      </c>
      <c r="V182" s="431">
        <f>F182*'4C2 Open-burning '!$C$9*'4C2 Open-burning '!$C$11*$C$5</f>
        <v>0</v>
      </c>
      <c r="W182" s="431">
        <f>G182*'4C2 Open-burning '!$C$9*'4C2 Open-burning '!$C$11*$C$5</f>
        <v>0</v>
      </c>
      <c r="X182" s="431">
        <f>H182*'4C2 Open-burning '!$C$9*'4C2 Open-burning '!$C$11*$C$5</f>
        <v>0</v>
      </c>
      <c r="Y182" s="431">
        <f>I182*'4C2 Open-burning '!$C$9*'4C2 Open-burning '!$C$11*$C$5</f>
        <v>1.0974714563637984</v>
      </c>
      <c r="Z182" s="432">
        <f t="shared" si="17"/>
        <v>3.3899692028503452</v>
      </c>
      <c r="AA182" s="1333">
        <f>C182*'4C2 Open-burning '!$C$10*'4C2 Open-burning '!$C$11*$C$5*C$15</f>
        <v>9.0835063140006552E-3</v>
      </c>
      <c r="AB182" s="433">
        <f>D182*'4C2 Open-burning '!$C$10*'4C2 Open-burning '!$C$11*$C$5*D$15</f>
        <v>9.4868614773615523E-3</v>
      </c>
      <c r="AC182" s="433">
        <f>E182*'4C2 Open-burning '!$C$10*'4C2 Open-burning '!$C$11*$C$5*E$15</f>
        <v>5.830087204155618E-3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2.2793637939863505E-2</v>
      </c>
      <c r="AH182" s="434">
        <f t="shared" si="18"/>
        <v>4.7194092935381335E-2</v>
      </c>
    </row>
    <row r="183" spans="1:34">
      <c r="A183" s="138">
        <f>'Input data'!A144</f>
        <v>2044</v>
      </c>
      <c r="B183" s="100">
        <f>'Recycling - Case 3'!AP124</f>
        <v>4.3994741452459497E-2</v>
      </c>
      <c r="C183" s="473">
        <f>$B183*'Recycling - Case 3'!$AK124*'Recycling - Case 3'!BM124</f>
        <v>251.88235818182599</v>
      </c>
      <c r="D183" s="474">
        <f>$B183*'Recycling - Case 3'!$AK124*'Recycling - Case 3'!BN124</f>
        <v>263.0672515721198</v>
      </c>
      <c r="E183" s="474">
        <f>$B183*'Recycling - Case 3'!$AK124*'Recycling - Case 3'!BO124</f>
        <v>71.851652514158062</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280.91527543897212</v>
      </c>
      <c r="J183" s="663">
        <f t="shared" si="19"/>
        <v>867.71653770707599</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0.37956641363739191</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9.6780930694234666</v>
      </c>
      <c r="R183" s="1181">
        <f t="shared" si="16"/>
        <v>10.057659483060858</v>
      </c>
      <c r="S183" s="430">
        <f>C183*'4C2 Open-burning '!$C$9*'4C2 Open-burning '!$C$11*$C$5</f>
        <v>0.98234119690912125</v>
      </c>
      <c r="T183" s="431">
        <f>D183*'4C2 Open-burning '!$C$9*'4C2 Open-burning '!$C$11*$C$5</f>
        <v>1.025962281131267</v>
      </c>
      <c r="U183" s="431">
        <f>E183*'4C2 Open-burning '!$C$9*'4C2 Open-burning '!$C$11*$C$5</f>
        <v>0.28022144480521638</v>
      </c>
      <c r="V183" s="431">
        <f>F183*'4C2 Open-burning '!$C$9*'4C2 Open-burning '!$C$11*$C$5</f>
        <v>0</v>
      </c>
      <c r="W183" s="431">
        <f>G183*'4C2 Open-burning '!$C$9*'4C2 Open-burning '!$C$11*$C$5</f>
        <v>0</v>
      </c>
      <c r="X183" s="431">
        <f>H183*'4C2 Open-burning '!$C$9*'4C2 Open-burning '!$C$11*$C$5</f>
        <v>0</v>
      </c>
      <c r="Y183" s="431">
        <f>I183*'4C2 Open-burning '!$C$9*'4C2 Open-burning '!$C$11*$C$5</f>
        <v>1.0955695742119911</v>
      </c>
      <c r="Z183" s="432">
        <f t="shared" si="17"/>
        <v>3.3840944970575957</v>
      </c>
      <c r="AA183" s="1333">
        <f>C183*'4C2 Open-burning '!$C$10*'4C2 Open-burning '!$C$11*$C$5*C$15</f>
        <v>9.0677648945457351E-3</v>
      </c>
      <c r="AB183" s="433">
        <f>D183*'4C2 Open-burning '!$C$10*'4C2 Open-burning '!$C$11*$C$5*D$15</f>
        <v>9.4704210565963124E-3</v>
      </c>
      <c r="AC183" s="433">
        <f>E183*'4C2 Open-burning '!$C$10*'4C2 Open-burning '!$C$11*$C$5*E$15</f>
        <v>5.8199838536468033E-3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2.2754137310556737E-2</v>
      </c>
      <c r="AH183" s="434">
        <f t="shared" si="18"/>
        <v>4.7112307115345586E-2</v>
      </c>
    </row>
    <row r="184" spans="1:34">
      <c r="A184" s="138">
        <f>'Input data'!A145</f>
        <v>2045</v>
      </c>
      <c r="B184" s="100">
        <f>'Recycling - Case 3'!AP125</f>
        <v>4.3805320584710726E-2</v>
      </c>
      <c r="C184" s="473">
        <f>$B184*'Recycling - Case 3'!$AK125*'Recycling - Case 3'!BM125</f>
        <v>251.46628913902831</v>
      </c>
      <c r="D184" s="474">
        <f>$B184*'Recycling - Case 3'!$AK125*'Recycling - Case 3'!BN125</f>
        <v>262.63270688886723</v>
      </c>
      <c r="E184" s="474">
        <f>$B184*'Recycling - Case 3'!$AK125*'Recycling - Case 3'!BO125</f>
        <v>71.732965169396039</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280.45124869806489</v>
      </c>
      <c r="J184" s="663">
        <f t="shared" si="19"/>
        <v>866.28320989535644</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0.37893943112245826</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9.6621064201457312</v>
      </c>
      <c r="R184" s="1181">
        <f t="shared" si="16"/>
        <v>10.041045851268189</v>
      </c>
      <c r="S184" s="430">
        <f>C184*'4C2 Open-burning '!$C$9*'4C2 Open-burning '!$C$11*$C$5</f>
        <v>0.98071852764221035</v>
      </c>
      <c r="T184" s="431">
        <f>D184*'4C2 Open-burning '!$C$9*'4C2 Open-burning '!$C$11*$C$5</f>
        <v>1.024267556866582</v>
      </c>
      <c r="U184" s="431">
        <f>E184*'4C2 Open-burning '!$C$9*'4C2 Open-burning '!$C$11*$C$5</f>
        <v>0.27975856416064449</v>
      </c>
      <c r="V184" s="431">
        <f>F184*'4C2 Open-burning '!$C$9*'4C2 Open-burning '!$C$11*$C$5</f>
        <v>0</v>
      </c>
      <c r="W184" s="431">
        <f>G184*'4C2 Open-burning '!$C$9*'4C2 Open-burning '!$C$11*$C$5</f>
        <v>0</v>
      </c>
      <c r="X184" s="431">
        <f>H184*'4C2 Open-burning '!$C$9*'4C2 Open-burning '!$C$11*$C$5</f>
        <v>0</v>
      </c>
      <c r="Y184" s="431">
        <f>I184*'4C2 Open-burning '!$C$9*'4C2 Open-burning '!$C$11*$C$5</f>
        <v>1.0937598699224529</v>
      </c>
      <c r="Z184" s="432">
        <f t="shared" si="17"/>
        <v>3.3785045185918898</v>
      </c>
      <c r="AA184" s="1333">
        <f>C184*'4C2 Open-burning '!$C$10*'4C2 Open-burning '!$C$11*$C$5*C$15</f>
        <v>9.0527864090050193E-3</v>
      </c>
      <c r="AB184" s="433">
        <f>D184*'4C2 Open-burning '!$C$10*'4C2 Open-burning '!$C$11*$C$5*D$15</f>
        <v>9.4547774479992221E-3</v>
      </c>
      <c r="AC184" s="433">
        <f>E184*'4C2 Open-burning '!$C$10*'4C2 Open-burning '!$C$11*$C$5*E$15</f>
        <v>5.8103701787210792E-3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2.2716551144543254E-2</v>
      </c>
      <c r="AH184" s="434">
        <f t="shared" si="18"/>
        <v>4.7034485180268579E-2</v>
      </c>
    </row>
    <row r="185" spans="1:34">
      <c r="A185" s="138">
        <f>'Input data'!A146</f>
        <v>2046</v>
      </c>
      <c r="B185" s="100">
        <f>'Recycling - Case 3'!AP126</f>
        <v>4.3624685462840505E-2</v>
      </c>
      <c r="C185" s="473">
        <f>$B185*'Recycling - Case 3'!$AK126*'Recycling - Case 3'!BM126</f>
        <v>251.07086445349788</v>
      </c>
      <c r="D185" s="474">
        <f>$B185*'Recycling - Case 3'!$AK126*'Recycling - Case 3'!BN126</f>
        <v>262.21972328026067</v>
      </c>
      <c r="E185" s="474">
        <f>$B185*'Recycling - Case 3'!$AK126*'Recycling - Case 3'!BO126</f>
        <v>71.62016680866391</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280.01024586145115</v>
      </c>
      <c r="J185" s="663">
        <f t="shared" si="19"/>
        <v>864.92100040387368</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0.37834355799012032</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9.6469129904187145</v>
      </c>
      <c r="R185" s="1181">
        <f t="shared" si="16"/>
        <v>10.025256548408835</v>
      </c>
      <c r="S185" s="430">
        <f>C185*'4C2 Open-burning '!$C$9*'4C2 Open-burning '!$C$11*$C$5</f>
        <v>0.97917637136864166</v>
      </c>
      <c r="T185" s="431">
        <f>D185*'4C2 Open-burning '!$C$9*'4C2 Open-burning '!$C$11*$C$5</f>
        <v>1.0226569207930165</v>
      </c>
      <c r="U185" s="431">
        <f>E185*'4C2 Open-burning '!$C$9*'4C2 Open-burning '!$C$11*$C$5</f>
        <v>0.27931865055378924</v>
      </c>
      <c r="V185" s="431">
        <f>F185*'4C2 Open-burning '!$C$9*'4C2 Open-burning '!$C$11*$C$5</f>
        <v>0</v>
      </c>
      <c r="W185" s="431">
        <f>G185*'4C2 Open-burning '!$C$9*'4C2 Open-burning '!$C$11*$C$5</f>
        <v>0</v>
      </c>
      <c r="X185" s="431">
        <f>H185*'4C2 Open-burning '!$C$9*'4C2 Open-burning '!$C$11*$C$5</f>
        <v>0</v>
      </c>
      <c r="Y185" s="431">
        <f>I185*'4C2 Open-burning '!$C$9*'4C2 Open-burning '!$C$11*$C$5</f>
        <v>1.0920399588596594</v>
      </c>
      <c r="Z185" s="432">
        <f t="shared" si="17"/>
        <v>3.3731919015751068</v>
      </c>
      <c r="AA185" s="1333">
        <f>C185*'4C2 Open-burning '!$C$10*'4C2 Open-burning '!$C$11*$C$5*C$15</f>
        <v>9.0385511203259234E-3</v>
      </c>
      <c r="AB185" s="433">
        <f>D185*'4C2 Open-burning '!$C$10*'4C2 Open-burning '!$C$11*$C$5*D$15</f>
        <v>9.4399100380893834E-3</v>
      </c>
      <c r="AC185" s="433">
        <f>E185*'4C2 Open-burning '!$C$10*'4C2 Open-burning '!$C$11*$C$5*E$15</f>
        <v>5.801233511501777E-3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2.2680829914777541E-2</v>
      </c>
      <c r="AH185" s="434">
        <f t="shared" si="18"/>
        <v>4.696052458469463E-2</v>
      </c>
    </row>
    <row r="186" spans="1:34">
      <c r="A186" s="138">
        <f>'Input data'!A147</f>
        <v>2047</v>
      </c>
      <c r="B186" s="100">
        <f>'Recycling - Case 3'!AP127</f>
        <v>4.3452714802863224E-2</v>
      </c>
      <c r="C186" s="473">
        <f>$B186*'Recycling - Case 3'!$AK127*'Recycling - Case 3'!BM127</f>
        <v>250.69562990487438</v>
      </c>
      <c r="D186" s="474">
        <f>$B186*'Recycling - Case 3'!$AK127*'Recycling - Case 3'!BN127</f>
        <v>261.82782635618145</v>
      </c>
      <c r="E186" s="474">
        <f>$B186*'Recycling - Case 3'!$AK127*'Recycling - Case 3'!BO127</f>
        <v>71.513127861618884</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279.59176035360667</v>
      </c>
      <c r="J186" s="663">
        <f t="shared" si="19"/>
        <v>863.62834447628131</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0.37777810976690235</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9.6324953277024559</v>
      </c>
      <c r="R186" s="1181">
        <f t="shared" si="16"/>
        <v>10.010273437469358</v>
      </c>
      <c r="S186" s="430">
        <f>C186*'4C2 Open-burning '!$C$9*'4C2 Open-burning '!$C$11*$C$5</f>
        <v>0.97771295662901003</v>
      </c>
      <c r="T186" s="431">
        <f>D186*'4C2 Open-burning '!$C$9*'4C2 Open-burning '!$C$11*$C$5</f>
        <v>1.0211285227891076</v>
      </c>
      <c r="U186" s="431">
        <f>E186*'4C2 Open-burning '!$C$9*'4C2 Open-burning '!$C$11*$C$5</f>
        <v>0.2789011986603136</v>
      </c>
      <c r="V186" s="431">
        <f>F186*'4C2 Open-burning '!$C$9*'4C2 Open-burning '!$C$11*$C$5</f>
        <v>0</v>
      </c>
      <c r="W186" s="431">
        <f>G186*'4C2 Open-burning '!$C$9*'4C2 Open-burning '!$C$11*$C$5</f>
        <v>0</v>
      </c>
      <c r="X186" s="431">
        <f>H186*'4C2 Open-burning '!$C$9*'4C2 Open-burning '!$C$11*$C$5</f>
        <v>0</v>
      </c>
      <c r="Y186" s="431">
        <f>I186*'4C2 Open-burning '!$C$9*'4C2 Open-burning '!$C$11*$C$5</f>
        <v>1.0904078653790659</v>
      </c>
      <c r="Z186" s="432">
        <f t="shared" si="17"/>
        <v>3.3681505434574976</v>
      </c>
      <c r="AA186" s="1333">
        <f>C186*'4C2 Open-burning '!$C$10*'4C2 Open-burning '!$C$11*$C$5*C$15</f>
        <v>9.0250426765754784E-3</v>
      </c>
      <c r="AB186" s="433">
        <f>D186*'4C2 Open-burning '!$C$10*'4C2 Open-burning '!$C$11*$C$5*D$15</f>
        <v>9.4258017488225345E-3</v>
      </c>
      <c r="AC186" s="433">
        <f>E186*'4C2 Open-burning '!$C$10*'4C2 Open-burning '!$C$11*$C$5*E$15</f>
        <v>5.7925633567911293E-3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2.264693258864214E-2</v>
      </c>
      <c r="AH186" s="434">
        <f t="shared" si="18"/>
        <v>4.6890340370831285E-2</v>
      </c>
    </row>
    <row r="187" spans="1:34">
      <c r="A187" s="138">
        <f>'Input data'!A148</f>
        <v>2048</v>
      </c>
      <c r="B187" s="100">
        <f>'Recycling - Case 3'!AP128</f>
        <v>4.328929435336859E-2</v>
      </c>
      <c r="C187" s="473">
        <f>$B187*'Recycling - Case 3'!$AK128*'Recycling - Case 3'!BM128</f>
        <v>250.3401585270218</v>
      </c>
      <c r="D187" s="474">
        <f>$B187*'Recycling - Case 3'!$AK128*'Recycling - Case 3'!BN128</f>
        <v>261.45657019096512</v>
      </c>
      <c r="E187" s="474">
        <f>$B187*'Recycling - Case 3'!$AK128*'Recycling - Case 3'!BO128</f>
        <v>71.411726532424737</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279.19531599465699</v>
      </c>
      <c r="J187" s="663">
        <f t="shared" si="19"/>
        <v>862.4037712450687</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0.3772424430492482</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9.6188370266479222</v>
      </c>
      <c r="R187" s="1181">
        <f t="shared" si="16"/>
        <v>9.99607946969717</v>
      </c>
      <c r="S187" s="430">
        <f>C187*'4C2 Open-burning '!$C$9*'4C2 Open-burning '!$C$11*$C$5</f>
        <v>0.97632661825538491</v>
      </c>
      <c r="T187" s="431">
        <f>D187*'4C2 Open-burning '!$C$9*'4C2 Open-burning '!$C$11*$C$5</f>
        <v>1.019680623744764</v>
      </c>
      <c r="U187" s="431">
        <f>E187*'4C2 Open-burning '!$C$9*'4C2 Open-burning '!$C$11*$C$5</f>
        <v>0.27850573347645646</v>
      </c>
      <c r="V187" s="431">
        <f>F187*'4C2 Open-burning '!$C$9*'4C2 Open-burning '!$C$11*$C$5</f>
        <v>0</v>
      </c>
      <c r="W187" s="431">
        <f>G187*'4C2 Open-burning '!$C$9*'4C2 Open-burning '!$C$11*$C$5</f>
        <v>0</v>
      </c>
      <c r="X187" s="431">
        <f>H187*'4C2 Open-burning '!$C$9*'4C2 Open-burning '!$C$11*$C$5</f>
        <v>0</v>
      </c>
      <c r="Y187" s="431">
        <f>I187*'4C2 Open-burning '!$C$9*'4C2 Open-burning '!$C$11*$C$5</f>
        <v>1.0888617323791623</v>
      </c>
      <c r="Z187" s="432">
        <f t="shared" si="17"/>
        <v>3.3633747078557676</v>
      </c>
      <c r="AA187" s="1333">
        <f>C187*'4C2 Open-burning '!$C$10*'4C2 Open-burning '!$C$11*$C$5*C$15</f>
        <v>9.0122457069727845E-3</v>
      </c>
      <c r="AB187" s="433">
        <f>D187*'4C2 Open-burning '!$C$10*'4C2 Open-burning '!$C$11*$C$5*D$15</f>
        <v>9.4124365268747449E-3</v>
      </c>
      <c r="AC187" s="433">
        <f>E187*'4C2 Open-burning '!$C$10*'4C2 Open-burning '!$C$11*$C$5*E$15</f>
        <v>5.784349849126404E-3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2.2614820595567214E-2</v>
      </c>
      <c r="AH187" s="434">
        <f t="shared" si="18"/>
        <v>4.6823852678541146E-2</v>
      </c>
    </row>
    <row r="188" spans="1:34">
      <c r="A188" s="138">
        <f>'Input data'!A149</f>
        <v>2049</v>
      </c>
      <c r="B188" s="100">
        <f>'Recycling - Case 3'!AP129</f>
        <v>4.3134316639534868E-2</v>
      </c>
      <c r="C188" s="473">
        <f>$B188*'Recycling - Case 3'!$AK129*'Recycling - Case 3'!BM129</f>
        <v>250.0040495010532</v>
      </c>
      <c r="D188" s="474">
        <f>$B188*'Recycling - Case 3'!$AK129*'Recycling - Case 3'!BN129</f>
        <v>261.10553616727094</v>
      </c>
      <c r="E188" s="474">
        <f>$B188*'Recycling - Case 3'!$AK129*'Recycling - Case 3'!BO129</f>
        <v>71.315848483977462</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278.82046576580791</v>
      </c>
      <c r="J188" s="663">
        <f t="shared" si="19"/>
        <v>861.24589991810944</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0.37673595383539871</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9.6059226865636127</v>
      </c>
      <c r="R188" s="1181">
        <f t="shared" si="16"/>
        <v>9.982658640399011</v>
      </c>
      <c r="S188" s="430">
        <f>C188*'4C2 Open-burning '!$C$9*'4C2 Open-burning '!$C$11*$C$5</f>
        <v>0.97501579305410735</v>
      </c>
      <c r="T188" s="431">
        <f>D188*'4C2 Open-burning '!$C$9*'4C2 Open-burning '!$C$11*$C$5</f>
        <v>1.0183115910523566</v>
      </c>
      <c r="U188" s="431">
        <f>E188*'4C2 Open-burning '!$C$9*'4C2 Open-burning '!$C$11*$C$5</f>
        <v>0.27813180908751212</v>
      </c>
      <c r="V188" s="431">
        <f>F188*'4C2 Open-burning '!$C$9*'4C2 Open-burning '!$C$11*$C$5</f>
        <v>0</v>
      </c>
      <c r="W188" s="431">
        <f>G188*'4C2 Open-burning '!$C$9*'4C2 Open-burning '!$C$11*$C$5</f>
        <v>0</v>
      </c>
      <c r="X188" s="431">
        <f>H188*'4C2 Open-burning '!$C$9*'4C2 Open-burning '!$C$11*$C$5</f>
        <v>0</v>
      </c>
      <c r="Y188" s="431">
        <f>I188*'4C2 Open-burning '!$C$9*'4C2 Open-burning '!$C$11*$C$5</f>
        <v>1.0873998164866507</v>
      </c>
      <c r="Z188" s="432">
        <f t="shared" si="17"/>
        <v>3.3588590096806268</v>
      </c>
      <c r="AA188" s="1333">
        <f>C188*'4C2 Open-burning '!$C$10*'4C2 Open-burning '!$C$11*$C$5*C$15</f>
        <v>9.0001457820379147E-3</v>
      </c>
      <c r="AB188" s="433">
        <f>D188*'4C2 Open-burning '!$C$10*'4C2 Open-burning '!$C$11*$C$5*D$15</f>
        <v>9.3997993020217552E-3</v>
      </c>
      <c r="AC188" s="433">
        <f>E188*'4C2 Open-burning '!$C$10*'4C2 Open-burning '!$C$11*$C$5*E$15</f>
        <v>5.7765837272021735E-3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2.2584457727030438E-2</v>
      </c>
      <c r="AH188" s="434">
        <f t="shared" si="18"/>
        <v>4.6760986538292283E-2</v>
      </c>
    </row>
    <row r="189" spans="1:34" ht="15.75" thickBot="1">
      <c r="A189" s="824">
        <f>'Input data'!A150</f>
        <v>2050</v>
      </c>
      <c r="B189" s="581">
        <f>'Recycling - Case 3'!AP130</f>
        <v>4.2987680726287038E-2</v>
      </c>
      <c r="C189" s="598">
        <f>$B189*'Recycling - Case 3'!$AK130*'Recycling - Case 3'!BM130</f>
        <v>249.68692712939654</v>
      </c>
      <c r="D189" s="595">
        <f>$B189*'Recycling - Case 3'!$AK130*'Recycling - Case 3'!BN130</f>
        <v>260.77433190459078</v>
      </c>
      <c r="E189" s="595">
        <f>$B189*'Recycling - Case 3'!$AK130*'Recycling - Case 3'!BO130</f>
        <v>71.225386545248554</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278.46679066515844</v>
      </c>
      <c r="J189" s="814">
        <f t="shared" si="19"/>
        <v>860.15343624439424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0.37625807597939182</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9.5937378719960371</v>
      </c>
      <c r="R189" s="1182">
        <f t="shared" si="16"/>
        <v>9.9699959479754288</v>
      </c>
      <c r="S189" s="436">
        <f>C189*'4C2 Open-burning '!$C$9*'4C2 Open-burning '!$C$11*$C$5</f>
        <v>0.97377901580464632</v>
      </c>
      <c r="T189" s="437">
        <f>D189*'4C2 Open-burning '!$C$9*'4C2 Open-burning '!$C$11*$C$5</f>
        <v>1.0170198944279041</v>
      </c>
      <c r="U189" s="437">
        <f>E189*'4C2 Open-burning '!$C$9*'4C2 Open-burning '!$C$11*$C$5</f>
        <v>0.27777900752646933</v>
      </c>
      <c r="V189" s="437">
        <f>F189*'4C2 Open-burning '!$C$9*'4C2 Open-burning '!$C$11*$C$5</f>
        <v>0</v>
      </c>
      <c r="W189" s="437">
        <f>G189*'4C2 Open-burning '!$C$9*'4C2 Open-burning '!$C$11*$C$5</f>
        <v>0</v>
      </c>
      <c r="X189" s="437">
        <f>H189*'4C2 Open-burning '!$C$9*'4C2 Open-burning '!$C$11*$C$5</f>
        <v>0</v>
      </c>
      <c r="Y189" s="437">
        <f>I189*'4C2 Open-burning '!$C$9*'4C2 Open-burning '!$C$11*$C$5</f>
        <v>1.0860204835941178</v>
      </c>
      <c r="Z189" s="438">
        <f t="shared" si="17"/>
        <v>3.3545984013531376</v>
      </c>
      <c r="AA189" s="1334">
        <f>C189*'4C2 Open-burning '!$C$10*'4C2 Open-burning '!$C$11*$C$5*C$15</f>
        <v>8.9887293766582749E-3</v>
      </c>
      <c r="AB189" s="1335">
        <f>D189*'4C2 Open-burning '!$C$10*'4C2 Open-burning '!$C$11*$C$5*D$15</f>
        <v>9.3878759485652701E-3</v>
      </c>
      <c r="AC189" s="1335">
        <f>E189*'4C2 Open-burning '!$C$10*'4C2 Open-burning '!$C$11*$C$5*E$15</f>
        <v>5.7692563101651327E-3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2.2555810043877834E-2</v>
      </c>
      <c r="AH189" s="439">
        <f t="shared" si="18"/>
        <v>4.6701671679266518E-2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5"/>
  <cols>
    <col min="1" max="1" width="80.140625" customWidth="1"/>
    <col min="2" max="2" width="22.28515625" customWidth="1"/>
    <col min="3" max="5" width="28.42578125" customWidth="1"/>
    <col min="6" max="6" width="25.5703125" customWidth="1"/>
    <col min="7" max="7" width="26" customWidth="1"/>
    <col min="8" max="8" width="12.140625" customWidth="1"/>
    <col min="9" max="9" width="18.7109375" customWidth="1"/>
    <col min="13" max="13" width="15.42578125" customWidth="1"/>
    <col min="19" max="19" width="12.85546875" customWidth="1"/>
    <col min="23" max="23" width="7.42578125" bestFit="1" customWidth="1"/>
    <col min="24" max="24" width="14" bestFit="1" customWidth="1"/>
    <col min="25" max="25" width="13.42578125" customWidth="1"/>
    <col min="26" max="26" width="15" customWidth="1"/>
    <col min="27" max="27" width="12.28515625" customWidth="1"/>
    <col min="28" max="28" width="15.5703125" customWidth="1"/>
    <col min="29" max="29" width="12.28515625" customWidth="1"/>
    <col min="30" max="30" width="14.28515625" customWidth="1"/>
    <col min="31" max="31" width="11.28515625" bestFit="1" customWidth="1"/>
    <col min="32" max="32" width="15.140625" customWidth="1"/>
    <col min="33" max="33" width="11.28515625" bestFit="1" customWidth="1"/>
    <col min="34" max="34" width="10.28515625" bestFit="1" customWidth="1"/>
    <col min="35" max="35" width="13.7109375" customWidth="1"/>
    <col min="36" max="36" width="15.42578125" customWidth="1"/>
    <col min="37" max="38" width="11.28515625" bestFit="1" customWidth="1"/>
    <col min="39" max="39" width="16.7109375" customWidth="1"/>
    <col min="40" max="40" width="15.7109375" customWidth="1"/>
    <col min="41" max="41" width="15.140625" customWidth="1"/>
    <col min="42" max="42" width="13.42578125" customWidth="1"/>
    <col min="43" max="43" width="15.28515625" customWidth="1"/>
    <col min="44" max="44" width="12.7109375" customWidth="1"/>
    <col min="45" max="45" width="21.28515625" customWidth="1"/>
    <col min="46" max="46" width="12.28515625" bestFit="1" customWidth="1"/>
    <col min="47" max="47" width="17.140625" customWidth="1"/>
    <col min="48" max="48" width="14.7109375" customWidth="1"/>
    <col min="49" max="49" width="18.710937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ht="30">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75" thickBot="1">
      <c r="A53" s="141"/>
      <c r="B53" s="142"/>
      <c r="C53" s="122"/>
      <c r="D53" s="122"/>
      <c r="E53" s="122"/>
      <c r="F53" s="142"/>
      <c r="G53" s="142"/>
      <c r="H53" s="142"/>
      <c r="I53" s="123"/>
    </row>
    <row r="54" spans="1:49" ht="15.75" thickBot="1"/>
    <row r="55" spans="1:49" ht="74.45" customHeight="1">
      <c r="A55" s="1497" t="s">
        <v>217</v>
      </c>
      <c r="B55" s="491" t="s">
        <v>218</v>
      </c>
      <c r="C55" s="492" t="s">
        <v>501</v>
      </c>
      <c r="D55" s="493" t="s">
        <v>504</v>
      </c>
      <c r="E55" s="494" t="s">
        <v>296</v>
      </c>
      <c r="F55" s="495" t="s">
        <v>309</v>
      </c>
      <c r="G55" s="496" t="s">
        <v>310</v>
      </c>
      <c r="H55" s="1505" t="s">
        <v>6</v>
      </c>
      <c r="I55" s="1506"/>
      <c r="J55" s="1506"/>
      <c r="K55" s="1506"/>
      <c r="L55" s="1506"/>
      <c r="M55" s="1594"/>
      <c r="N55" s="1505" t="s">
        <v>298</v>
      </c>
      <c r="O55" s="1506"/>
      <c r="P55" s="1506"/>
      <c r="Q55" s="1506"/>
      <c r="R55" s="1506"/>
      <c r="S55" s="1594"/>
      <c r="T55" s="1505" t="s">
        <v>299</v>
      </c>
      <c r="U55" s="1506"/>
      <c r="V55" s="1506"/>
      <c r="W55" s="1506"/>
      <c r="X55" s="1506"/>
      <c r="Y55" s="1594"/>
      <c r="Z55" s="1703" t="s">
        <v>308</v>
      </c>
      <c r="AA55" s="1585"/>
      <c r="AB55" s="1585"/>
      <c r="AC55" s="1585"/>
      <c r="AD55" s="1585"/>
      <c r="AE55" s="1585"/>
      <c r="AF55" s="1586"/>
      <c r="AG55" s="1703" t="s">
        <v>307</v>
      </c>
      <c r="AH55" s="1585"/>
      <c r="AI55" s="1585"/>
      <c r="AJ55" s="1585"/>
      <c r="AK55" s="1585"/>
      <c r="AL55" s="1585"/>
      <c r="AM55" s="1586"/>
      <c r="AN55" s="1703" t="s">
        <v>306</v>
      </c>
      <c r="AO55" s="1585"/>
      <c r="AP55" s="1585"/>
      <c r="AQ55" s="1585"/>
      <c r="AR55" s="1585"/>
      <c r="AS55" s="1585"/>
      <c r="AT55" s="1586"/>
      <c r="AU55" s="218" t="s">
        <v>311</v>
      </c>
      <c r="AV55" s="213" t="s">
        <v>305</v>
      </c>
      <c r="AW55" s="215" t="s">
        <v>313</v>
      </c>
    </row>
    <row r="56" spans="1:49" ht="60.75"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5"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5"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5"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5"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5"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5"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5"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5"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5"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5"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5"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5"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5"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5"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5"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5"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5"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5"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5"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5"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5"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5"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5"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5"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5"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5"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5"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5"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5"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5"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5"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5"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5"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5"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5"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5"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5"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5"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5"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5"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5"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5"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5"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5"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5"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5"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5"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5"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5"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5"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7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75"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59.308690000000006</v>
      </c>
      <c r="C128" s="100">
        <f>'Recycling - Case 1'!E100</f>
        <v>0.74072727272727268</v>
      </c>
      <c r="D128" s="471">
        <f>'Recycling - Case 1'!F100</f>
        <v>0.29665909090909087</v>
      </c>
      <c r="E128" s="203">
        <f t="shared" si="76"/>
        <v>923110846.86362517</v>
      </c>
      <c r="F128" s="204">
        <v>0</v>
      </c>
      <c r="G128" s="205">
        <f t="shared" si="78"/>
        <v>923110846.86362517</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11706723.921588704</v>
      </c>
      <c r="AA128" s="204">
        <f t="shared" si="101"/>
        <v>0</v>
      </c>
      <c r="AB128" s="204">
        <f t="shared" si="102"/>
        <v>11706723.921588704</v>
      </c>
      <c r="AC128" s="204">
        <f t="shared" si="103"/>
        <v>6555765.396089674</v>
      </c>
      <c r="AD128" s="204">
        <f t="shared" si="104"/>
        <v>936537.91372709605</v>
      </c>
      <c r="AE128" s="204">
        <f t="shared" si="105"/>
        <v>0</v>
      </c>
      <c r="AF128" s="210">
        <f t="shared" si="80"/>
        <v>30905751.152994178</v>
      </c>
      <c r="AG128" s="203">
        <f t="shared" si="106"/>
        <v>0</v>
      </c>
      <c r="AH128" s="204">
        <f t="shared" si="107"/>
        <v>0</v>
      </c>
      <c r="AI128" s="204">
        <f t="shared" si="108"/>
        <v>4984798.5730635757</v>
      </c>
      <c r="AJ128" s="204">
        <f t="shared" si="109"/>
        <v>996959.71461271506</v>
      </c>
      <c r="AK128" s="204">
        <f t="shared" si="110"/>
        <v>0</v>
      </c>
      <c r="AL128" s="204">
        <f t="shared" si="111"/>
        <v>0</v>
      </c>
      <c r="AM128" s="210">
        <f t="shared" si="81"/>
        <v>5981758.2876762906</v>
      </c>
      <c r="AN128" s="203">
        <f t="shared" si="112"/>
        <v>47185650.12911316</v>
      </c>
      <c r="AO128" s="204">
        <f t="shared" si="113"/>
        <v>0</v>
      </c>
      <c r="AP128" s="204">
        <f t="shared" si="114"/>
        <v>23592825.06455658</v>
      </c>
      <c r="AQ128" s="204">
        <f t="shared" si="115"/>
        <v>33307517.738197528</v>
      </c>
      <c r="AR128" s="204">
        <f t="shared" si="116"/>
        <v>1387813.239091564</v>
      </c>
      <c r="AS128" s="204">
        <f t="shared" si="82"/>
        <v>0</v>
      </c>
      <c r="AT128" s="210">
        <f t="shared" si="83"/>
        <v>105473806.17095883</v>
      </c>
      <c r="AU128" s="222">
        <v>0</v>
      </c>
      <c r="AV128" s="214">
        <f t="shared" si="84"/>
        <v>142.36131561162929</v>
      </c>
      <c r="AW128" s="225">
        <f t="shared" si="77"/>
        <v>2.9904262793007734</v>
      </c>
    </row>
    <row r="129" spans="1:49">
      <c r="A129" s="166">
        <f>'Input data'!A121</f>
        <v>2021</v>
      </c>
      <c r="B129" s="177">
        <f>'Input data'!B121</f>
        <v>60.158036186957922</v>
      </c>
      <c r="C129" s="100">
        <f>'Recycling - Case 1'!E101</f>
        <v>0.74936969696969691</v>
      </c>
      <c r="D129" s="471">
        <f>'Recycling - Case 1'!F101</f>
        <v>0.29901212121212117</v>
      </c>
      <c r="E129" s="203">
        <f t="shared" si="76"/>
        <v>936330506.20735896</v>
      </c>
      <c r="F129" s="204">
        <v>0</v>
      </c>
      <c r="G129" s="205">
        <f t="shared" si="78"/>
        <v>936330506.20735896</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12180808.676206646</v>
      </c>
      <c r="AA129" s="204">
        <f t="shared" si="101"/>
        <v>0</v>
      </c>
      <c r="AB129" s="204">
        <f t="shared" si="102"/>
        <v>12180808.676206646</v>
      </c>
      <c r="AC129" s="204">
        <f t="shared" si="103"/>
        <v>6821252.8586757211</v>
      </c>
      <c r="AD129" s="204">
        <f t="shared" si="104"/>
        <v>974464.69409653125</v>
      </c>
      <c r="AE129" s="204">
        <f t="shared" si="105"/>
        <v>0</v>
      </c>
      <c r="AF129" s="210">
        <f t="shared" si="80"/>
        <v>32157334.905185547</v>
      </c>
      <c r="AG129" s="203">
        <f t="shared" si="106"/>
        <v>0</v>
      </c>
      <c r="AH129" s="204">
        <f t="shared" si="107"/>
        <v>0</v>
      </c>
      <c r="AI129" s="204">
        <f t="shared" si="108"/>
        <v>5056184.7335197385</v>
      </c>
      <c r="AJ129" s="204">
        <f t="shared" si="109"/>
        <v>1011236.9467039476</v>
      </c>
      <c r="AK129" s="204">
        <f t="shared" si="110"/>
        <v>0</v>
      </c>
      <c r="AL129" s="204">
        <f t="shared" si="111"/>
        <v>0</v>
      </c>
      <c r="AM129" s="210">
        <f t="shared" si="81"/>
        <v>6067421.6802236866</v>
      </c>
      <c r="AN129" s="203">
        <f t="shared" si="112"/>
        <v>48215913.812372394</v>
      </c>
      <c r="AO129" s="204">
        <f t="shared" si="113"/>
        <v>0</v>
      </c>
      <c r="AP129" s="204">
        <f t="shared" si="114"/>
        <v>24107956.906186197</v>
      </c>
      <c r="AQ129" s="204">
        <f t="shared" si="115"/>
        <v>34034762.691086411</v>
      </c>
      <c r="AR129" s="204">
        <f t="shared" si="116"/>
        <v>1418115.1121286002</v>
      </c>
      <c r="AS129" s="204">
        <f t="shared" si="82"/>
        <v>0</v>
      </c>
      <c r="AT129" s="210">
        <f t="shared" si="83"/>
        <v>107776748.52177361</v>
      </c>
      <c r="AU129" s="222">
        <v>0</v>
      </c>
      <c r="AV129" s="214">
        <f t="shared" si="84"/>
        <v>146.00150510718282</v>
      </c>
      <c r="AW129" s="225">
        <f t="shared" si="77"/>
        <v>3.0332514902049907</v>
      </c>
    </row>
    <row r="130" spans="1:49">
      <c r="A130" s="166">
        <f>'Input data'!A122</f>
        <v>2022</v>
      </c>
      <c r="B130" s="177">
        <f>'Input data'!B122</f>
        <v>60.963559588769527</v>
      </c>
      <c r="C130" s="100">
        <f>'Recycling - Case 1'!E102</f>
        <v>0.75801212121212114</v>
      </c>
      <c r="D130" s="471">
        <f>'Recycling - Case 1'!F102</f>
        <v>0.30136515151515147</v>
      </c>
      <c r="E130" s="203">
        <f t="shared" si="76"/>
        <v>948868085.26389825</v>
      </c>
      <c r="F130" s="204">
        <v>0</v>
      </c>
      <c r="G130" s="205">
        <f t="shared" si="78"/>
        <v>948868085.26389825</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12654449.828019446</v>
      </c>
      <c r="AA130" s="204">
        <f t="shared" si="101"/>
        <v>0</v>
      </c>
      <c r="AB130" s="204">
        <f t="shared" si="102"/>
        <v>12654449.828019446</v>
      </c>
      <c r="AC130" s="204">
        <f t="shared" si="103"/>
        <v>7086491.9036908895</v>
      </c>
      <c r="AD130" s="204">
        <f t="shared" si="104"/>
        <v>1012355.9862415552</v>
      </c>
      <c r="AE130" s="204">
        <f t="shared" si="105"/>
        <v>0</v>
      </c>
      <c r="AF130" s="210">
        <f t="shared" si="80"/>
        <v>33407747.545971338</v>
      </c>
      <c r="AG130" s="203">
        <f t="shared" si="106"/>
        <v>0</v>
      </c>
      <c r="AH130" s="204">
        <f t="shared" si="107"/>
        <v>0</v>
      </c>
      <c r="AI130" s="204">
        <f t="shared" si="108"/>
        <v>5123887.6604250502</v>
      </c>
      <c r="AJ130" s="204">
        <f t="shared" si="109"/>
        <v>1024777.53208501</v>
      </c>
      <c r="AK130" s="204">
        <f t="shared" si="110"/>
        <v>0</v>
      </c>
      <c r="AL130" s="204">
        <f t="shared" si="111"/>
        <v>0</v>
      </c>
      <c r="AM130" s="210">
        <f t="shared" si="81"/>
        <v>6148665.19251006</v>
      </c>
      <c r="AN130" s="203">
        <f t="shared" si="112"/>
        <v>49220806.708364233</v>
      </c>
      <c r="AO130" s="204">
        <f t="shared" si="113"/>
        <v>0</v>
      </c>
      <c r="AP130" s="204">
        <f t="shared" si="114"/>
        <v>24610403.354182117</v>
      </c>
      <c r="AQ130" s="204">
        <f t="shared" si="115"/>
        <v>34744098.852963001</v>
      </c>
      <c r="AR130" s="204">
        <f t="shared" si="116"/>
        <v>1447670.7855401251</v>
      </c>
      <c r="AS130" s="204">
        <f t="shared" si="82"/>
        <v>0</v>
      </c>
      <c r="AT130" s="210">
        <f t="shared" si="83"/>
        <v>110022979.70104946</v>
      </c>
      <c r="AU130" s="222">
        <v>0</v>
      </c>
      <c r="AV130" s="214">
        <f t="shared" si="84"/>
        <v>149.57939243953086</v>
      </c>
      <c r="AW130" s="225">
        <f t="shared" si="77"/>
        <v>3.0738670955972056</v>
      </c>
    </row>
    <row r="131" spans="1:49">
      <c r="A131" s="166">
        <f>'Input data'!A123</f>
        <v>2023</v>
      </c>
      <c r="B131" s="177">
        <f>'Input data'!B123</f>
        <v>61.723133308607778</v>
      </c>
      <c r="C131" s="100">
        <f>'Recycling - Case 1'!E103</f>
        <v>0.76665454545454537</v>
      </c>
      <c r="D131" s="471">
        <f>'Recycling - Case 1'!F103</f>
        <v>0.30371818181818178</v>
      </c>
      <c r="E131" s="203">
        <f t="shared" si="76"/>
        <v>960690479.92099226</v>
      </c>
      <c r="F131" s="204">
        <v>0</v>
      </c>
      <c r="G131" s="205">
        <f t="shared" si="78"/>
        <v>960690479.92099226</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13126525.375647744</v>
      </c>
      <c r="AA131" s="204">
        <f t="shared" si="101"/>
        <v>0</v>
      </c>
      <c r="AB131" s="204">
        <f t="shared" si="102"/>
        <v>13126525.375647744</v>
      </c>
      <c r="AC131" s="204">
        <f t="shared" si="103"/>
        <v>7350854.2103627352</v>
      </c>
      <c r="AD131" s="204">
        <f t="shared" si="104"/>
        <v>1050122.0300518188</v>
      </c>
      <c r="AE131" s="204">
        <f t="shared" si="105"/>
        <v>0</v>
      </c>
      <c r="AF131" s="210">
        <f t="shared" si="80"/>
        <v>34654026.991710044</v>
      </c>
      <c r="AG131" s="203">
        <f t="shared" si="106"/>
        <v>0</v>
      </c>
      <c r="AH131" s="204">
        <f t="shared" si="107"/>
        <v>0</v>
      </c>
      <c r="AI131" s="204">
        <f t="shared" si="108"/>
        <v>5187728.5915733576</v>
      </c>
      <c r="AJ131" s="204">
        <f t="shared" si="109"/>
        <v>1037545.7183146715</v>
      </c>
      <c r="AK131" s="204">
        <f t="shared" si="110"/>
        <v>0</v>
      </c>
      <c r="AL131" s="204">
        <f t="shared" si="111"/>
        <v>0</v>
      </c>
      <c r="AM131" s="210">
        <f t="shared" si="81"/>
        <v>6225274.3098880295</v>
      </c>
      <c r="AN131" s="203">
        <f t="shared" si="112"/>
        <v>50197824.285835333</v>
      </c>
      <c r="AO131" s="204">
        <f t="shared" si="113"/>
        <v>0</v>
      </c>
      <c r="AP131" s="204">
        <f t="shared" si="114"/>
        <v>25098912.142917667</v>
      </c>
      <c r="AQ131" s="204">
        <f t="shared" si="115"/>
        <v>35433758.319413185</v>
      </c>
      <c r="AR131" s="204">
        <f t="shared" si="116"/>
        <v>1476406.5966422162</v>
      </c>
      <c r="AS131" s="204">
        <f t="shared" si="82"/>
        <v>0</v>
      </c>
      <c r="AT131" s="210">
        <f t="shared" si="83"/>
        <v>112206901.3448084</v>
      </c>
      <c r="AU131" s="222">
        <v>0</v>
      </c>
      <c r="AV131" s="214">
        <f t="shared" si="84"/>
        <v>153.08620264640646</v>
      </c>
      <c r="AW131" s="225">
        <f t="shared" si="77"/>
        <v>3.1121658543941133</v>
      </c>
    </row>
    <row r="132" spans="1:49">
      <c r="A132" s="166">
        <f>'Input data'!A124</f>
        <v>2024</v>
      </c>
      <c r="B132" s="177">
        <f>'Input data'!B124</f>
        <v>62.434728280060035</v>
      </c>
      <c r="C132" s="100">
        <f>'Recycling - Case 1'!E104</f>
        <v>0.7752969696969696</v>
      </c>
      <c r="D132" s="471">
        <f>'Recycling - Case 1'!F104</f>
        <v>0.30607121212121208</v>
      </c>
      <c r="E132" s="203">
        <f t="shared" si="76"/>
        <v>971766108.74909794</v>
      </c>
      <c r="F132" s="204">
        <v>0</v>
      </c>
      <c r="G132" s="205">
        <f t="shared" si="78"/>
        <v>971766108.74909794</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13595891.285135109</v>
      </c>
      <c r="AA132" s="204">
        <f t="shared" si="101"/>
        <v>0</v>
      </c>
      <c r="AB132" s="204">
        <f t="shared" si="102"/>
        <v>13595891.285135109</v>
      </c>
      <c r="AC132" s="204">
        <f t="shared" si="103"/>
        <v>7613699.1196756614</v>
      </c>
      <c r="AD132" s="204">
        <f t="shared" si="104"/>
        <v>1087671.3028108082</v>
      </c>
      <c r="AE132" s="204">
        <f t="shared" si="105"/>
        <v>0</v>
      </c>
      <c r="AF132" s="210">
        <f t="shared" si="80"/>
        <v>35893152.992756687</v>
      </c>
      <c r="AG132" s="203">
        <f t="shared" si="106"/>
        <v>0</v>
      </c>
      <c r="AH132" s="204">
        <f t="shared" si="107"/>
        <v>0</v>
      </c>
      <c r="AI132" s="204">
        <f t="shared" si="108"/>
        <v>5247536.9872451285</v>
      </c>
      <c r="AJ132" s="204">
        <f t="shared" si="109"/>
        <v>1049507.3974490257</v>
      </c>
      <c r="AK132" s="204">
        <f t="shared" si="110"/>
        <v>0</v>
      </c>
      <c r="AL132" s="204">
        <f t="shared" si="111"/>
        <v>0</v>
      </c>
      <c r="AM132" s="210">
        <f t="shared" si="81"/>
        <v>6297044.3846941544</v>
      </c>
      <c r="AN132" s="203">
        <f t="shared" si="112"/>
        <v>51144492.015332632</v>
      </c>
      <c r="AO132" s="204">
        <f t="shared" si="113"/>
        <v>0</v>
      </c>
      <c r="AP132" s="204">
        <f t="shared" si="114"/>
        <v>25572246.007666316</v>
      </c>
      <c r="AQ132" s="204">
        <f t="shared" si="115"/>
        <v>36101994.363764226</v>
      </c>
      <c r="AR132" s="204">
        <f t="shared" si="116"/>
        <v>1504249.7651568428</v>
      </c>
      <c r="AS132" s="204">
        <f t="shared" si="82"/>
        <v>0</v>
      </c>
      <c r="AT132" s="210">
        <f t="shared" si="83"/>
        <v>114322982.15192002</v>
      </c>
      <c r="AU132" s="222">
        <v>0</v>
      </c>
      <c r="AV132" s="214">
        <f t="shared" si="84"/>
        <v>156.51317952937083</v>
      </c>
      <c r="AW132" s="225">
        <f t="shared" si="77"/>
        <v>3.1480454582573771</v>
      </c>
    </row>
    <row r="133" spans="1:49">
      <c r="A133" s="166">
        <f>'Input data'!A125</f>
        <v>2025</v>
      </c>
      <c r="B133" s="177">
        <f>'Input data'!B125</f>
        <v>63.096422221537942</v>
      </c>
      <c r="C133" s="100">
        <f>'Recycling - Case 1'!E105</f>
        <v>0.78393939393939382</v>
      </c>
      <c r="D133" s="471">
        <f>'Recycling - Case 1'!F105</f>
        <v>0.30842424242424238</v>
      </c>
      <c r="E133" s="203">
        <f t="shared" si="76"/>
        <v>982065052.37240517</v>
      </c>
      <c r="F133" s="204">
        <v>0</v>
      </c>
      <c r="G133" s="205">
        <f t="shared" si="78"/>
        <v>982065052.37240517</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14061385.977150353</v>
      </c>
      <c r="AA133" s="204">
        <f t="shared" si="101"/>
        <v>0</v>
      </c>
      <c r="AB133" s="204">
        <f t="shared" si="102"/>
        <v>14061385.977150353</v>
      </c>
      <c r="AC133" s="204">
        <f t="shared" si="103"/>
        <v>7874376.1472041961</v>
      </c>
      <c r="AD133" s="204">
        <f t="shared" si="104"/>
        <v>1124910.8781720272</v>
      </c>
      <c r="AE133" s="204">
        <f t="shared" si="105"/>
        <v>0</v>
      </c>
      <c r="AF133" s="210">
        <f t="shared" si="80"/>
        <v>37122058.979676925</v>
      </c>
      <c r="AG133" s="203">
        <f t="shared" si="106"/>
        <v>0</v>
      </c>
      <c r="AH133" s="204">
        <f t="shared" si="107"/>
        <v>0</v>
      </c>
      <c r="AI133" s="204">
        <f t="shared" si="108"/>
        <v>5303151.282810987</v>
      </c>
      <c r="AJ133" s="204">
        <f t="shared" si="109"/>
        <v>1060630.2565621976</v>
      </c>
      <c r="AK133" s="204">
        <f t="shared" si="110"/>
        <v>0</v>
      </c>
      <c r="AL133" s="204">
        <f t="shared" si="111"/>
        <v>0</v>
      </c>
      <c r="AM133" s="210">
        <f t="shared" si="81"/>
        <v>6363781.5393731846</v>
      </c>
      <c r="AN133" s="203">
        <f t="shared" si="112"/>
        <v>52058375.639849938</v>
      </c>
      <c r="AO133" s="204">
        <f t="shared" si="113"/>
        <v>0</v>
      </c>
      <c r="AP133" s="204">
        <f t="shared" si="114"/>
        <v>26029187.819924969</v>
      </c>
      <c r="AQ133" s="204">
        <f t="shared" si="115"/>
        <v>36747088.686952919</v>
      </c>
      <c r="AR133" s="204">
        <f t="shared" si="116"/>
        <v>1531128.6952897052</v>
      </c>
      <c r="AS133" s="204">
        <f t="shared" si="82"/>
        <v>0</v>
      </c>
      <c r="AT133" s="210">
        <f t="shared" si="83"/>
        <v>116365780.84201753</v>
      </c>
      <c r="AU133" s="222">
        <v>0</v>
      </c>
      <c r="AV133" s="214">
        <f t="shared" si="84"/>
        <v>159.85162136106766</v>
      </c>
      <c r="AW133" s="225">
        <f t="shared" si="77"/>
        <v>3.1814089830873744</v>
      </c>
    </row>
    <row r="134" spans="1:49">
      <c r="A134" s="166">
        <f>'Input data'!A126</f>
        <v>2026</v>
      </c>
      <c r="B134" s="177">
        <f>'Input data'!B126</f>
        <v>63.744102485123491</v>
      </c>
      <c r="C134" s="100">
        <f>'Recycling - Case 1'!E106</f>
        <v>0.79258181818181805</v>
      </c>
      <c r="D134" s="471">
        <f>'Recycling - Case 1'!F106</f>
        <v>0.31077727272727268</v>
      </c>
      <c r="E134" s="203">
        <f t="shared" si="76"/>
        <v>992145879.93098581</v>
      </c>
      <c r="F134" s="204">
        <v>0</v>
      </c>
      <c r="G134" s="205">
        <f t="shared" si="78"/>
        <v>992145879.93098581</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14530427.386989264</v>
      </c>
      <c r="AA134" s="204">
        <f t="shared" si="101"/>
        <v>0</v>
      </c>
      <c r="AB134" s="204">
        <f t="shared" si="102"/>
        <v>14530427.386989264</v>
      </c>
      <c r="AC134" s="204">
        <f t="shared" si="103"/>
        <v>8137039.3367139837</v>
      </c>
      <c r="AD134" s="204">
        <f t="shared" si="104"/>
        <v>1162434.19095914</v>
      </c>
      <c r="AE134" s="204">
        <f t="shared" si="105"/>
        <v>0</v>
      </c>
      <c r="AF134" s="210">
        <f t="shared" si="80"/>
        <v>38360328.301651649</v>
      </c>
      <c r="AG134" s="203">
        <f t="shared" si="106"/>
        <v>0</v>
      </c>
      <c r="AH134" s="204">
        <f t="shared" si="107"/>
        <v>0</v>
      </c>
      <c r="AI134" s="204">
        <f t="shared" si="108"/>
        <v>5357587.7516273232</v>
      </c>
      <c r="AJ134" s="204">
        <f t="shared" si="109"/>
        <v>1071517.5503254645</v>
      </c>
      <c r="AK134" s="204">
        <f t="shared" si="110"/>
        <v>0</v>
      </c>
      <c r="AL134" s="204">
        <f t="shared" si="111"/>
        <v>0</v>
      </c>
      <c r="AM134" s="210">
        <f t="shared" si="81"/>
        <v>6429105.3019527877</v>
      </c>
      <c r="AN134" s="203">
        <f t="shared" si="112"/>
        <v>52968413.652515478</v>
      </c>
      <c r="AO134" s="204">
        <f t="shared" si="113"/>
        <v>0</v>
      </c>
      <c r="AP134" s="204">
        <f t="shared" si="114"/>
        <v>26484206.826257739</v>
      </c>
      <c r="AQ134" s="204">
        <f t="shared" si="115"/>
        <v>37389468.460599184</v>
      </c>
      <c r="AR134" s="204">
        <f t="shared" si="116"/>
        <v>1557894.5191916327</v>
      </c>
      <c r="AS134" s="204">
        <f t="shared" si="82"/>
        <v>0</v>
      </c>
      <c r="AT134" s="210">
        <f t="shared" si="83"/>
        <v>118399983.45856404</v>
      </c>
      <c r="AU134" s="222">
        <v>0</v>
      </c>
      <c r="AV134" s="214">
        <f t="shared" si="84"/>
        <v>163.18941706216847</v>
      </c>
      <c r="AW134" s="225">
        <f t="shared" si="77"/>
        <v>3.2140659188721759</v>
      </c>
    </row>
    <row r="135" spans="1:49">
      <c r="A135" s="166">
        <f>'Input data'!A127</f>
        <v>2027</v>
      </c>
      <c r="B135" s="177">
        <f>'Input data'!B127</f>
        <v>64.377188881988602</v>
      </c>
      <c r="C135" s="100">
        <f>'Recycling - Case 1'!E107</f>
        <v>0.80122424242424228</v>
      </c>
      <c r="D135" s="471">
        <f>'Recycling - Case 1'!F107</f>
        <v>0.31313030303030298</v>
      </c>
      <c r="E135" s="203">
        <f t="shared" si="76"/>
        <v>1001999561.0685728</v>
      </c>
      <c r="F135" s="204">
        <v>0</v>
      </c>
      <c r="G135" s="205">
        <f t="shared" si="78"/>
        <v>1001999561.0685728</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15002666.155272182</v>
      </c>
      <c r="AA135" s="204">
        <f t="shared" si="101"/>
        <v>0</v>
      </c>
      <c r="AB135" s="204">
        <f t="shared" si="102"/>
        <v>15002666.155272182</v>
      </c>
      <c r="AC135" s="204">
        <f t="shared" si="103"/>
        <v>8401493.0469524208</v>
      </c>
      <c r="AD135" s="204">
        <f t="shared" si="104"/>
        <v>1200213.2924217735</v>
      </c>
      <c r="AE135" s="204">
        <f t="shared" si="105"/>
        <v>0</v>
      </c>
      <c r="AF135" s="210">
        <f t="shared" si="80"/>
        <v>39607038.649918556</v>
      </c>
      <c r="AG135" s="203">
        <f t="shared" si="106"/>
        <v>0</v>
      </c>
      <c r="AH135" s="204">
        <f t="shared" si="107"/>
        <v>0</v>
      </c>
      <c r="AI135" s="204">
        <f t="shared" si="108"/>
        <v>5410797.6297702929</v>
      </c>
      <c r="AJ135" s="204">
        <f t="shared" si="109"/>
        <v>1082159.5259540584</v>
      </c>
      <c r="AK135" s="204">
        <f t="shared" si="110"/>
        <v>0</v>
      </c>
      <c r="AL135" s="204">
        <f t="shared" si="111"/>
        <v>0</v>
      </c>
      <c r="AM135" s="210">
        <f t="shared" si="81"/>
        <v>6492957.1557243513</v>
      </c>
      <c r="AN135" s="203">
        <f t="shared" si="112"/>
        <v>53873872.763889626</v>
      </c>
      <c r="AO135" s="204">
        <f t="shared" si="113"/>
        <v>0</v>
      </c>
      <c r="AP135" s="204">
        <f t="shared" si="114"/>
        <v>26936936.381944813</v>
      </c>
      <c r="AQ135" s="204">
        <f t="shared" si="115"/>
        <v>38028616.068627991</v>
      </c>
      <c r="AR135" s="204">
        <f t="shared" si="116"/>
        <v>1584525.6695261665</v>
      </c>
      <c r="AS135" s="204">
        <f t="shared" si="82"/>
        <v>0</v>
      </c>
      <c r="AT135" s="210">
        <f t="shared" si="83"/>
        <v>120423950.88398859</v>
      </c>
      <c r="AU135" s="222">
        <v>0</v>
      </c>
      <c r="AV135" s="214">
        <f t="shared" si="84"/>
        <v>166.52394668963149</v>
      </c>
      <c r="AW135" s="225">
        <f t="shared" si="77"/>
        <v>3.2459870116876344</v>
      </c>
    </row>
    <row r="136" spans="1:49">
      <c r="A136" s="166">
        <f>'Input data'!A128</f>
        <v>2028</v>
      </c>
      <c r="B136" s="177">
        <f>'Input data'!B128</f>
        <v>64.995109664264291</v>
      </c>
      <c r="C136" s="100">
        <f>'Recycling - Case 1'!E108</f>
        <v>0.80986666666666651</v>
      </c>
      <c r="D136" s="471">
        <f>'Recycling - Case 1'!F108</f>
        <v>0.31548333333333328</v>
      </c>
      <c r="E136" s="203">
        <f t="shared" si="76"/>
        <v>1011617196.8083125</v>
      </c>
      <c r="F136" s="204">
        <v>0</v>
      </c>
      <c r="G136" s="205">
        <f t="shared" si="78"/>
        <v>1011617196.8083125</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15477743.111167189</v>
      </c>
      <c r="AA136" s="204">
        <f t="shared" si="101"/>
        <v>0</v>
      </c>
      <c r="AB136" s="204">
        <f t="shared" si="102"/>
        <v>15477743.111167189</v>
      </c>
      <c r="AC136" s="204">
        <f t="shared" si="103"/>
        <v>8667536.1422536224</v>
      </c>
      <c r="AD136" s="204">
        <f t="shared" si="104"/>
        <v>1238219.4488933738</v>
      </c>
      <c r="AE136" s="204">
        <f t="shared" si="105"/>
        <v>0</v>
      </c>
      <c r="AF136" s="210">
        <f t="shared" si="80"/>
        <v>40861241.813481376</v>
      </c>
      <c r="AG136" s="203">
        <f t="shared" si="106"/>
        <v>0</v>
      </c>
      <c r="AH136" s="204">
        <f t="shared" si="107"/>
        <v>0</v>
      </c>
      <c r="AI136" s="204">
        <f t="shared" si="108"/>
        <v>5462732.8627648875</v>
      </c>
      <c r="AJ136" s="204">
        <f t="shared" si="109"/>
        <v>1092546.5725529774</v>
      </c>
      <c r="AK136" s="204">
        <f t="shared" si="110"/>
        <v>0</v>
      </c>
      <c r="AL136" s="204">
        <f t="shared" si="111"/>
        <v>0</v>
      </c>
      <c r="AM136" s="210">
        <f t="shared" si="81"/>
        <v>6555279.4353178646</v>
      </c>
      <c r="AN136" s="203">
        <f t="shared" si="112"/>
        <v>54774013.12118607</v>
      </c>
      <c r="AO136" s="204">
        <f t="shared" si="113"/>
        <v>0</v>
      </c>
      <c r="AP136" s="204">
        <f t="shared" si="114"/>
        <v>27387006.560593035</v>
      </c>
      <c r="AQ136" s="204">
        <f t="shared" si="115"/>
        <v>38664009.262013718</v>
      </c>
      <c r="AR136" s="204">
        <f t="shared" si="116"/>
        <v>1611000.3859172387</v>
      </c>
      <c r="AS136" s="204">
        <f t="shared" si="82"/>
        <v>0</v>
      </c>
      <c r="AT136" s="210">
        <f t="shared" si="83"/>
        <v>122436029.32971005</v>
      </c>
      <c r="AU136" s="222">
        <v>0</v>
      </c>
      <c r="AV136" s="214">
        <f t="shared" si="84"/>
        <v>169.85255057850929</v>
      </c>
      <c r="AW136" s="225">
        <f t="shared" si="77"/>
        <v>3.277143433214452</v>
      </c>
    </row>
    <row r="137" spans="1:49">
      <c r="A137" s="166">
        <f>'Input data'!A129</f>
        <v>2029</v>
      </c>
      <c r="B137" s="177">
        <f>'Input data'!B129</f>
        <v>65.59730237662275</v>
      </c>
      <c r="C137" s="100">
        <f>'Recycling - Case 1'!E109</f>
        <v>0.81850909090909074</v>
      </c>
      <c r="D137" s="471">
        <f>'Recycling - Case 1'!F109</f>
        <v>0.31783636363636358</v>
      </c>
      <c r="E137" s="203">
        <f t="shared" si="76"/>
        <v>1020990032.8072246</v>
      </c>
      <c r="F137" s="204">
        <v>0</v>
      </c>
      <c r="G137" s="205">
        <f t="shared" si="78"/>
        <v>1020990032.8072246</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15955289.694505636</v>
      </c>
      <c r="AA137" s="204">
        <f t="shared" si="101"/>
        <v>0</v>
      </c>
      <c r="AB137" s="204">
        <f t="shared" si="102"/>
        <v>15955289.694505636</v>
      </c>
      <c r="AC137" s="204">
        <f t="shared" si="103"/>
        <v>8934962.2289231531</v>
      </c>
      <c r="AD137" s="204">
        <f t="shared" si="104"/>
        <v>1276423.1755604495</v>
      </c>
      <c r="AE137" s="204">
        <f t="shared" si="105"/>
        <v>0</v>
      </c>
      <c r="AF137" s="210">
        <f t="shared" si="80"/>
        <v>42121964.793494873</v>
      </c>
      <c r="AG137" s="203">
        <f t="shared" si="106"/>
        <v>0</v>
      </c>
      <c r="AH137" s="204">
        <f t="shared" si="107"/>
        <v>0</v>
      </c>
      <c r="AI137" s="204">
        <f t="shared" si="108"/>
        <v>5513346.1771590132</v>
      </c>
      <c r="AJ137" s="204">
        <f t="shared" si="109"/>
        <v>1102669.2354318025</v>
      </c>
      <c r="AK137" s="204">
        <f t="shared" si="110"/>
        <v>0</v>
      </c>
      <c r="AL137" s="204">
        <f t="shared" si="111"/>
        <v>0</v>
      </c>
      <c r="AM137" s="210">
        <f t="shared" si="81"/>
        <v>6616015.4125908157</v>
      </c>
      <c r="AN137" s="203">
        <f t="shared" si="112"/>
        <v>55668089.279678255</v>
      </c>
      <c r="AO137" s="204">
        <f t="shared" si="113"/>
        <v>0</v>
      </c>
      <c r="AP137" s="204">
        <f t="shared" si="114"/>
        <v>27834044.639839128</v>
      </c>
      <c r="AQ137" s="204">
        <f t="shared" si="115"/>
        <v>39295121.844478801</v>
      </c>
      <c r="AR137" s="204">
        <f t="shared" si="116"/>
        <v>1637296.74351995</v>
      </c>
      <c r="AS137" s="204">
        <f t="shared" si="82"/>
        <v>0</v>
      </c>
      <c r="AT137" s="210">
        <f t="shared" si="83"/>
        <v>124434552.50751613</v>
      </c>
      <c r="AU137" s="222">
        <v>0</v>
      </c>
      <c r="AV137" s="214">
        <f t="shared" si="84"/>
        <v>173.17253271360184</v>
      </c>
      <c r="AW137" s="225">
        <f t="shared" si="77"/>
        <v>3.307506823676122</v>
      </c>
    </row>
    <row r="138" spans="1:49">
      <c r="A138" s="108">
        <f>'Input data'!A130</f>
        <v>2030</v>
      </c>
      <c r="B138" s="177">
        <f>'Input data'!B130</f>
        <v>66.183214701401099</v>
      </c>
      <c r="C138" s="100">
        <f>'Recycling - Case 1'!E110</f>
        <v>0.82715151515151497</v>
      </c>
      <c r="D138" s="471">
        <f>'Recycling - Case 1'!F110</f>
        <v>0.32018939393939388</v>
      </c>
      <c r="E138" s="203">
        <f t="shared" si="76"/>
        <v>1030109472.5101414</v>
      </c>
      <c r="F138" s="204">
        <v>0</v>
      </c>
      <c r="G138" s="205">
        <f t="shared" si="78"/>
        <v>1030109472.5101414</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16434928.402320903</v>
      </c>
      <c r="AA138" s="204">
        <f t="shared" si="101"/>
        <v>0</v>
      </c>
      <c r="AB138" s="204">
        <f t="shared" si="102"/>
        <v>16434928.402320903</v>
      </c>
      <c r="AC138" s="204">
        <f t="shared" si="103"/>
        <v>9203559.9052997008</v>
      </c>
      <c r="AD138" s="204">
        <f t="shared" si="104"/>
        <v>1314794.2721856704</v>
      </c>
      <c r="AE138" s="204">
        <f t="shared" si="105"/>
        <v>0</v>
      </c>
      <c r="AF138" s="210">
        <f t="shared" si="80"/>
        <v>43388210.982127175</v>
      </c>
      <c r="AG138" s="203">
        <f t="shared" si="106"/>
        <v>0</v>
      </c>
      <c r="AH138" s="204">
        <f t="shared" si="107"/>
        <v>0</v>
      </c>
      <c r="AI138" s="204">
        <f t="shared" si="108"/>
        <v>5562591.1515547624</v>
      </c>
      <c r="AJ138" s="204">
        <f t="shared" si="109"/>
        <v>1112518.2303109525</v>
      </c>
      <c r="AK138" s="204">
        <f t="shared" si="110"/>
        <v>0</v>
      </c>
      <c r="AL138" s="204">
        <f t="shared" si="111"/>
        <v>0</v>
      </c>
      <c r="AM138" s="210">
        <f t="shared" si="81"/>
        <v>6675109.3818657147</v>
      </c>
      <c r="AN138" s="203">
        <f t="shared" si="112"/>
        <v>56555351.198698811</v>
      </c>
      <c r="AO138" s="204">
        <f t="shared" si="113"/>
        <v>0</v>
      </c>
      <c r="AP138" s="204">
        <f t="shared" si="114"/>
        <v>28277675.599349406</v>
      </c>
      <c r="AQ138" s="204">
        <f t="shared" si="115"/>
        <v>39921424.375552133</v>
      </c>
      <c r="AR138" s="204">
        <f t="shared" si="116"/>
        <v>1663392.6823146725</v>
      </c>
      <c r="AS138" s="204">
        <f t="shared" si="82"/>
        <v>0</v>
      </c>
      <c r="AT138" s="210">
        <f t="shared" si="83"/>
        <v>126417843.85591502</v>
      </c>
      <c r="AU138" s="222">
        <v>0</v>
      </c>
      <c r="AV138" s="214">
        <f t="shared" si="84"/>
        <v>176.4811642199079</v>
      </c>
      <c r="AW138" s="225">
        <f t="shared" si="77"/>
        <v>3.337049334451244</v>
      </c>
    </row>
    <row r="139" spans="1:49">
      <c r="A139" s="166">
        <f>'Input data'!A131</f>
        <v>2031</v>
      </c>
      <c r="B139" s="177">
        <f>'Input data'!B131</f>
        <v>66.757007289602299</v>
      </c>
      <c r="C139" s="100">
        <f>'Recycling - Case 1'!E111</f>
        <v>0.8357939393939392</v>
      </c>
      <c r="D139" s="471">
        <f>'Recycling - Case 1'!F111</f>
        <v>0.32254242424242419</v>
      </c>
      <c r="E139" s="203">
        <f t="shared" si="76"/>
        <v>1039040274.4216062</v>
      </c>
      <c r="F139" s="204">
        <v>0</v>
      </c>
      <c r="G139" s="205">
        <f t="shared" si="78"/>
        <v>1039040274.4216062</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16917464.831719071</v>
      </c>
      <c r="AA139" s="204">
        <f t="shared" si="101"/>
        <v>0</v>
      </c>
      <c r="AB139" s="204">
        <f t="shared" si="102"/>
        <v>16917464.831719071</v>
      </c>
      <c r="AC139" s="204">
        <f t="shared" si="103"/>
        <v>9473780.3057626747</v>
      </c>
      <c r="AD139" s="204">
        <f t="shared" si="104"/>
        <v>1353397.1865375238</v>
      </c>
      <c r="AE139" s="204">
        <f t="shared" si="105"/>
        <v>0</v>
      </c>
      <c r="AF139" s="210">
        <f t="shared" si="80"/>
        <v>44662107.155738346</v>
      </c>
      <c r="AG139" s="203">
        <f t="shared" si="106"/>
        <v>0</v>
      </c>
      <c r="AH139" s="204">
        <f t="shared" si="107"/>
        <v>0</v>
      </c>
      <c r="AI139" s="204">
        <f t="shared" si="108"/>
        <v>5610817.4818766732</v>
      </c>
      <c r="AJ139" s="204">
        <f t="shared" si="109"/>
        <v>1122163.4963753344</v>
      </c>
      <c r="AK139" s="204">
        <f t="shared" si="110"/>
        <v>0</v>
      </c>
      <c r="AL139" s="204">
        <f t="shared" si="111"/>
        <v>0</v>
      </c>
      <c r="AM139" s="210">
        <f t="shared" si="81"/>
        <v>6732980.9782520076</v>
      </c>
      <c r="AN139" s="203">
        <f t="shared" si="112"/>
        <v>57439090.952094026</v>
      </c>
      <c r="AO139" s="204">
        <f t="shared" si="113"/>
        <v>0</v>
      </c>
      <c r="AP139" s="204">
        <f t="shared" si="114"/>
        <v>28719545.476047013</v>
      </c>
      <c r="AQ139" s="204">
        <f t="shared" si="115"/>
        <v>40545240.672066413</v>
      </c>
      <c r="AR139" s="204">
        <f t="shared" si="116"/>
        <v>1689385.0280027671</v>
      </c>
      <c r="AS139" s="204">
        <f t="shared" si="82"/>
        <v>0</v>
      </c>
      <c r="AT139" s="210">
        <f t="shared" si="83"/>
        <v>128393262.12821022</v>
      </c>
      <c r="AU139" s="222">
        <v>0</v>
      </c>
      <c r="AV139" s="214">
        <f t="shared" si="84"/>
        <v>179.78835026220057</v>
      </c>
      <c r="AW139" s="225">
        <f t="shared" si="77"/>
        <v>3.3659807513249738</v>
      </c>
    </row>
    <row r="140" spans="1:49">
      <c r="A140" s="166">
        <f>'Input data'!A132</f>
        <v>2032</v>
      </c>
      <c r="B140" s="177">
        <f>'Input data'!B132</f>
        <v>67.318270994163854</v>
      </c>
      <c r="C140" s="100">
        <f>'Recycling - Case 1'!E112</f>
        <v>0.84443636363636343</v>
      </c>
      <c r="D140" s="471">
        <f>'Recycling - Case 1'!F112</f>
        <v>0.32489545454545449</v>
      </c>
      <c r="E140" s="203">
        <f t="shared" ref="E140:E157" si="130">B140*$C$4*($C$7*$C$11+$C$8*$C$10+$C$7*$C$12)*10^6</f>
        <v>1047776070.3670508</v>
      </c>
      <c r="F140" s="204">
        <v>0</v>
      </c>
      <c r="G140" s="205">
        <f t="shared" si="78"/>
        <v>1047776070.3670508</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17402608.005096387</v>
      </c>
      <c r="AA140" s="204">
        <f t="shared" si="101"/>
        <v>0</v>
      </c>
      <c r="AB140" s="204">
        <f t="shared" si="102"/>
        <v>17402608.005096387</v>
      </c>
      <c r="AC140" s="204">
        <f t="shared" si="103"/>
        <v>9745460.4828539733</v>
      </c>
      <c r="AD140" s="204">
        <f t="shared" si="104"/>
        <v>1392208.6404077094</v>
      </c>
      <c r="AE140" s="204">
        <f t="shared" si="105"/>
        <v>0</v>
      </c>
      <c r="AF140" s="210">
        <f t="shared" si="80"/>
        <v>45942885.133454457</v>
      </c>
      <c r="AG140" s="203">
        <f t="shared" si="106"/>
        <v>0</v>
      </c>
      <c r="AH140" s="204">
        <f t="shared" si="107"/>
        <v>0</v>
      </c>
      <c r="AI140" s="204">
        <f t="shared" si="108"/>
        <v>5657990.7799820732</v>
      </c>
      <c r="AJ140" s="204">
        <f t="shared" si="109"/>
        <v>1131598.1559964146</v>
      </c>
      <c r="AK140" s="204">
        <f t="shared" si="110"/>
        <v>0</v>
      </c>
      <c r="AL140" s="204">
        <f t="shared" si="111"/>
        <v>0</v>
      </c>
      <c r="AM140" s="210">
        <f t="shared" si="81"/>
        <v>6789588.9359784881</v>
      </c>
      <c r="AN140" s="203">
        <f t="shared" si="112"/>
        <v>58318739.814779855</v>
      </c>
      <c r="AO140" s="204">
        <f t="shared" si="113"/>
        <v>0</v>
      </c>
      <c r="AP140" s="204">
        <f t="shared" si="114"/>
        <v>29159369.907389928</v>
      </c>
      <c r="AQ140" s="204">
        <f t="shared" si="115"/>
        <v>41166169.281021111</v>
      </c>
      <c r="AR140" s="204">
        <f t="shared" si="116"/>
        <v>1715257.05337588</v>
      </c>
      <c r="AS140" s="204">
        <f t="shared" si="82"/>
        <v>0</v>
      </c>
      <c r="AT140" s="210">
        <f t="shared" si="83"/>
        <v>130359536.05656679</v>
      </c>
      <c r="AU140" s="222">
        <v>0</v>
      </c>
      <c r="AV140" s="214">
        <f t="shared" si="84"/>
        <v>183.09201012599974</v>
      </c>
      <c r="AW140" s="225">
        <f t="shared" ref="AW140:AW158" si="131">((B140*$C$46*$C$47*$C$48*$C$49)-$C$50)*$C$51*$C$52</f>
        <v>3.3942804445358443</v>
      </c>
    </row>
    <row r="141" spans="1:49">
      <c r="A141" s="166">
        <f>'Input data'!A133</f>
        <v>2033</v>
      </c>
      <c r="B141" s="177">
        <f>'Input data'!B133</f>
        <v>67.86660286866902</v>
      </c>
      <c r="C141" s="100">
        <f>'Recycling - Case 1'!E113</f>
        <v>0.85307878787878766</v>
      </c>
      <c r="D141" s="471">
        <f>'Recycling - Case 1'!F113</f>
        <v>0.32724848484848479</v>
      </c>
      <c r="E141" s="203">
        <f t="shared" si="130"/>
        <v>1056310588.6819348</v>
      </c>
      <c r="F141" s="204">
        <v>0</v>
      </c>
      <c r="G141" s="205">
        <f t="shared" si="78"/>
        <v>1056310588.6819348</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17890060.2428586</v>
      </c>
      <c r="AA141" s="204">
        <f t="shared" si="101"/>
        <v>0</v>
      </c>
      <c r="AB141" s="204">
        <f t="shared" si="102"/>
        <v>17890060.2428586</v>
      </c>
      <c r="AC141" s="204">
        <f t="shared" si="103"/>
        <v>10018433.736000812</v>
      </c>
      <c r="AD141" s="204">
        <f t="shared" si="104"/>
        <v>1431204.8194286858</v>
      </c>
      <c r="AE141" s="204">
        <f t="shared" si="105"/>
        <v>0</v>
      </c>
      <c r="AF141" s="210">
        <f t="shared" si="80"/>
        <v>47229759.041146696</v>
      </c>
      <c r="AG141" s="203">
        <f t="shared" si="106"/>
        <v>0</v>
      </c>
      <c r="AH141" s="204">
        <f t="shared" si="107"/>
        <v>0</v>
      </c>
      <c r="AI141" s="204">
        <f t="shared" si="108"/>
        <v>5704077.178882448</v>
      </c>
      <c r="AJ141" s="204">
        <f t="shared" si="109"/>
        <v>1140815.4357764896</v>
      </c>
      <c r="AK141" s="204">
        <f t="shared" si="110"/>
        <v>0</v>
      </c>
      <c r="AL141" s="204">
        <f t="shared" si="111"/>
        <v>0</v>
      </c>
      <c r="AM141" s="210">
        <f t="shared" si="81"/>
        <v>6844892.6146589378</v>
      </c>
      <c r="AN141" s="203">
        <f t="shared" si="112"/>
        <v>59193724.825028904</v>
      </c>
      <c r="AO141" s="204">
        <f t="shared" si="113"/>
        <v>0</v>
      </c>
      <c r="AP141" s="204">
        <f t="shared" si="114"/>
        <v>29596862.412514452</v>
      </c>
      <c r="AQ141" s="204">
        <f t="shared" si="115"/>
        <v>41783805.758843973</v>
      </c>
      <c r="AR141" s="204">
        <f t="shared" si="116"/>
        <v>1740991.9066184992</v>
      </c>
      <c r="AS141" s="204">
        <f t="shared" si="82"/>
        <v>0</v>
      </c>
      <c r="AT141" s="210">
        <f t="shared" si="83"/>
        <v>132315384.90300584</v>
      </c>
      <c r="AU141" s="222">
        <v>0</v>
      </c>
      <c r="AV141" s="214">
        <f t="shared" si="84"/>
        <v>186.39003655881149</v>
      </c>
      <c r="AW141" s="225">
        <f t="shared" si="131"/>
        <v>3.4219280969675285</v>
      </c>
    </row>
    <row r="142" spans="1:49">
      <c r="A142" s="166">
        <f>'Input data'!A134</f>
        <v>2034</v>
      </c>
      <c r="B142" s="177">
        <f>'Input data'!B134</f>
        <v>68.401606645337111</v>
      </c>
      <c r="C142" s="100">
        <f>'Recycling - Case 1'!E114</f>
        <v>0.86172121212121189</v>
      </c>
      <c r="D142" s="471">
        <f>'Recycling - Case 1'!F114</f>
        <v>0.32960151515151509</v>
      </c>
      <c r="E142" s="203">
        <f t="shared" si="130"/>
        <v>1064637661.6514326</v>
      </c>
      <c r="F142" s="204">
        <v>0</v>
      </c>
      <c r="G142" s="205">
        <f t="shared" si="78"/>
        <v>1064637661.6514326</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18379517.449782472</v>
      </c>
      <c r="AA142" s="204">
        <f t="shared" si="101"/>
        <v>0</v>
      </c>
      <c r="AB142" s="204">
        <f t="shared" si="102"/>
        <v>18379517.449782472</v>
      </c>
      <c r="AC142" s="204">
        <f t="shared" si="103"/>
        <v>10292529.771878179</v>
      </c>
      <c r="AD142" s="204">
        <f t="shared" si="104"/>
        <v>1470361.3959825956</v>
      </c>
      <c r="AE142" s="204">
        <f t="shared" si="105"/>
        <v>0</v>
      </c>
      <c r="AF142" s="210">
        <f t="shared" si="80"/>
        <v>48521926.067425713</v>
      </c>
      <c r="AG142" s="203">
        <f t="shared" si="106"/>
        <v>0</v>
      </c>
      <c r="AH142" s="204">
        <f t="shared" si="107"/>
        <v>0</v>
      </c>
      <c r="AI142" s="204">
        <f t="shared" si="108"/>
        <v>5749043.372917735</v>
      </c>
      <c r="AJ142" s="204">
        <f t="shared" si="109"/>
        <v>1149808.6745835471</v>
      </c>
      <c r="AK142" s="204">
        <f t="shared" si="110"/>
        <v>0</v>
      </c>
      <c r="AL142" s="204">
        <f t="shared" si="111"/>
        <v>0</v>
      </c>
      <c r="AM142" s="210">
        <f t="shared" si="81"/>
        <v>6898852.0475012818</v>
      </c>
      <c r="AN142" s="203">
        <f t="shared" si="112"/>
        <v>60063469.38690491</v>
      </c>
      <c r="AO142" s="204">
        <f t="shared" si="113"/>
        <v>0</v>
      </c>
      <c r="AP142" s="204">
        <f t="shared" si="114"/>
        <v>30031734.693452455</v>
      </c>
      <c r="AQ142" s="204">
        <f t="shared" si="115"/>
        <v>42397743.096638806</v>
      </c>
      <c r="AR142" s="204">
        <f t="shared" si="116"/>
        <v>1766572.6290266169</v>
      </c>
      <c r="AS142" s="204">
        <f t="shared" si="82"/>
        <v>0</v>
      </c>
      <c r="AT142" s="210">
        <f t="shared" si="83"/>
        <v>134259519.80602279</v>
      </c>
      <c r="AU142" s="222">
        <v>0</v>
      </c>
      <c r="AV142" s="214">
        <f t="shared" si="84"/>
        <v>189.68029792094978</v>
      </c>
      <c r="AW142" s="225">
        <f t="shared" si="131"/>
        <v>3.4489037282497814</v>
      </c>
    </row>
    <row r="143" spans="1:49">
      <c r="A143" s="166">
        <f>'Input data'!A135</f>
        <v>2035</v>
      </c>
      <c r="B143" s="177">
        <f>'Input data'!B135</f>
        <v>68.922893208527455</v>
      </c>
      <c r="C143" s="100">
        <f>'Recycling - Case 1'!E115</f>
        <v>0.87036363636363612</v>
      </c>
      <c r="D143" s="471">
        <f>'Recycling - Case 1'!F115</f>
        <v>0.33195454545454539</v>
      </c>
      <c r="E143" s="203">
        <f t="shared" si="130"/>
        <v>1072751232.8802906</v>
      </c>
      <c r="F143" s="204">
        <v>0</v>
      </c>
      <c r="G143" s="205">
        <f t="shared" si="78"/>
        <v>1072751232.8802906</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18870669.414757852</v>
      </c>
      <c r="AA143" s="204">
        <f t="shared" si="101"/>
        <v>0</v>
      </c>
      <c r="AB143" s="204">
        <f t="shared" si="102"/>
        <v>18870669.414757852</v>
      </c>
      <c r="AC143" s="204">
        <f t="shared" si="103"/>
        <v>10567574.872264393</v>
      </c>
      <c r="AD143" s="204">
        <f t="shared" si="104"/>
        <v>1509653.5531806259</v>
      </c>
      <c r="AE143" s="204">
        <f t="shared" si="105"/>
        <v>0</v>
      </c>
      <c r="AF143" s="210">
        <f t="shared" si="80"/>
        <v>49818567.254960723</v>
      </c>
      <c r="AG143" s="203">
        <f t="shared" si="106"/>
        <v>0</v>
      </c>
      <c r="AH143" s="204">
        <f t="shared" si="107"/>
        <v>0</v>
      </c>
      <c r="AI143" s="204">
        <f t="shared" si="108"/>
        <v>5792856.6575535685</v>
      </c>
      <c r="AJ143" s="204">
        <f t="shared" si="109"/>
        <v>1158571.3315107138</v>
      </c>
      <c r="AK143" s="204">
        <f t="shared" si="110"/>
        <v>0</v>
      </c>
      <c r="AL143" s="204">
        <f t="shared" si="111"/>
        <v>0</v>
      </c>
      <c r="AM143" s="210">
        <f t="shared" si="81"/>
        <v>6951427.9890642818</v>
      </c>
      <c r="AN143" s="203">
        <f t="shared" si="112"/>
        <v>60927393.885632835</v>
      </c>
      <c r="AO143" s="204">
        <f t="shared" si="113"/>
        <v>0</v>
      </c>
      <c r="AP143" s="204">
        <f t="shared" si="114"/>
        <v>30463696.942816418</v>
      </c>
      <c r="AQ143" s="204">
        <f t="shared" si="115"/>
        <v>43007572.154564403</v>
      </c>
      <c r="AR143" s="204">
        <f t="shared" si="116"/>
        <v>1791982.1731068506</v>
      </c>
      <c r="AS143" s="204">
        <f t="shared" si="82"/>
        <v>0</v>
      </c>
      <c r="AT143" s="210">
        <f t="shared" si="83"/>
        <v>136190645.15612051</v>
      </c>
      <c r="AU143" s="222">
        <v>0</v>
      </c>
      <c r="AV143" s="214">
        <f t="shared" si="84"/>
        <v>192.96064040014554</v>
      </c>
      <c r="AW143" s="225">
        <f t="shared" si="131"/>
        <v>3.4751877186331606</v>
      </c>
    </row>
    <row r="144" spans="1:49">
      <c r="A144" s="166">
        <f>'Input data'!A136</f>
        <v>2036</v>
      </c>
      <c r="B144" s="177">
        <f>'Input data'!B136</f>
        <v>69.431445341664755</v>
      </c>
      <c r="C144" s="100">
        <f>'Recycling - Case 1'!E116</f>
        <v>0.87900606060606035</v>
      </c>
      <c r="D144" s="471">
        <f>'Recycling - Case 1'!F116</f>
        <v>0.33430757575757569</v>
      </c>
      <c r="E144" s="203">
        <f t="shared" si="130"/>
        <v>1080666598.913408</v>
      </c>
      <c r="F144" s="204">
        <v>0</v>
      </c>
      <c r="G144" s="205">
        <f t="shared" si="78"/>
        <v>1080666598.913408</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19363580.604166627</v>
      </c>
      <c r="AA144" s="204">
        <f t="shared" si="101"/>
        <v>0</v>
      </c>
      <c r="AB144" s="204">
        <f t="shared" si="102"/>
        <v>19363580.604166627</v>
      </c>
      <c r="AC144" s="204">
        <f t="shared" si="103"/>
        <v>10843605.138333306</v>
      </c>
      <c r="AD144" s="204">
        <f t="shared" si="104"/>
        <v>1549086.4483333274</v>
      </c>
      <c r="AE144" s="204">
        <f t="shared" si="105"/>
        <v>0</v>
      </c>
      <c r="AF144" s="210">
        <f t="shared" si="80"/>
        <v>51119852.79499989</v>
      </c>
      <c r="AG144" s="203">
        <f t="shared" si="106"/>
        <v>0</v>
      </c>
      <c r="AH144" s="204">
        <f t="shared" si="107"/>
        <v>0</v>
      </c>
      <c r="AI144" s="204">
        <f t="shared" si="108"/>
        <v>5835599.6341324029</v>
      </c>
      <c r="AJ144" s="204">
        <f t="shared" si="109"/>
        <v>1167119.9268264805</v>
      </c>
      <c r="AK144" s="204">
        <f t="shared" si="110"/>
        <v>0</v>
      </c>
      <c r="AL144" s="204">
        <f t="shared" si="111"/>
        <v>0</v>
      </c>
      <c r="AM144" s="210">
        <f t="shared" si="81"/>
        <v>7002719.5609588837</v>
      </c>
      <c r="AN144" s="203">
        <f t="shared" si="112"/>
        <v>61786130.36869324</v>
      </c>
      <c r="AO144" s="204">
        <f t="shared" si="113"/>
        <v>0</v>
      </c>
      <c r="AP144" s="204">
        <f t="shared" si="114"/>
        <v>30893065.18434662</v>
      </c>
      <c r="AQ144" s="204">
        <f t="shared" si="115"/>
        <v>43613739.083783522</v>
      </c>
      <c r="AR144" s="204">
        <f t="shared" si="116"/>
        <v>1817239.1284909802</v>
      </c>
      <c r="AS144" s="204">
        <f t="shared" si="82"/>
        <v>0</v>
      </c>
      <c r="AT144" s="210">
        <f t="shared" si="83"/>
        <v>138110173.76531437</v>
      </c>
      <c r="AU144" s="222">
        <v>0</v>
      </c>
      <c r="AV144" s="214">
        <f t="shared" si="84"/>
        <v>196.23274612127315</v>
      </c>
      <c r="AW144" s="225">
        <f t="shared" si="131"/>
        <v>3.5008296214188772</v>
      </c>
    </row>
    <row r="145" spans="1:49">
      <c r="A145" s="166">
        <f>'Input data'!A137</f>
        <v>2037</v>
      </c>
      <c r="B145" s="177">
        <f>'Input data'!B137</f>
        <v>69.92691944658003</v>
      </c>
      <c r="C145" s="100">
        <f>'Recycling - Case 1'!E117</f>
        <v>0.88764848484848458</v>
      </c>
      <c r="D145" s="471">
        <f>'Recycling - Case 1'!F117</f>
        <v>0.33666060606060599</v>
      </c>
      <c r="E145" s="203">
        <f t="shared" si="130"/>
        <v>1088378411.812788</v>
      </c>
      <c r="F145" s="204">
        <v>0</v>
      </c>
      <c r="G145" s="205">
        <f t="shared" si="78"/>
        <v>1088378411.812788</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19857958.840984244</v>
      </c>
      <c r="AA145" s="204">
        <f t="shared" si="101"/>
        <v>0</v>
      </c>
      <c r="AB145" s="204">
        <f t="shared" si="102"/>
        <v>19857958.840984244</v>
      </c>
      <c r="AC145" s="204">
        <f t="shared" si="103"/>
        <v>11120456.950951172</v>
      </c>
      <c r="AD145" s="204">
        <f t="shared" si="104"/>
        <v>1588636.7072787369</v>
      </c>
      <c r="AE145" s="204">
        <f t="shared" si="105"/>
        <v>0</v>
      </c>
      <c r="AF145" s="210">
        <f t="shared" si="80"/>
        <v>52425011.340198398</v>
      </c>
      <c r="AG145" s="203">
        <f t="shared" si="106"/>
        <v>0</v>
      </c>
      <c r="AH145" s="204">
        <f t="shared" si="107"/>
        <v>0</v>
      </c>
      <c r="AI145" s="204">
        <f t="shared" si="108"/>
        <v>5877243.4237890542</v>
      </c>
      <c r="AJ145" s="204">
        <f t="shared" si="109"/>
        <v>1175448.6847578108</v>
      </c>
      <c r="AK145" s="204">
        <f t="shared" si="110"/>
        <v>0</v>
      </c>
      <c r="AL145" s="204">
        <f t="shared" si="111"/>
        <v>0</v>
      </c>
      <c r="AM145" s="210">
        <f t="shared" si="81"/>
        <v>7052692.1085468652</v>
      </c>
      <c r="AN145" s="203">
        <f t="shared" si="112"/>
        <v>62639145.904585406</v>
      </c>
      <c r="AO145" s="204">
        <f t="shared" si="113"/>
        <v>0</v>
      </c>
      <c r="AP145" s="204">
        <f t="shared" si="114"/>
        <v>31319572.952292703</v>
      </c>
      <c r="AQ145" s="204">
        <f t="shared" si="115"/>
        <v>44215867.697354466</v>
      </c>
      <c r="AR145" s="204">
        <f t="shared" si="116"/>
        <v>1842327.8207231027</v>
      </c>
      <c r="AS145" s="204">
        <f t="shared" si="82"/>
        <v>0</v>
      </c>
      <c r="AT145" s="210">
        <f t="shared" si="83"/>
        <v>140016914.37495568</v>
      </c>
      <c r="AU145" s="222">
        <v>0</v>
      </c>
      <c r="AV145" s="214">
        <f t="shared" si="84"/>
        <v>199.49461782370096</v>
      </c>
      <c r="AW145" s="225">
        <f t="shared" si="131"/>
        <v>3.5258121119114461</v>
      </c>
    </row>
    <row r="146" spans="1:49">
      <c r="A146" s="166">
        <f>'Input data'!A138</f>
        <v>2038</v>
      </c>
      <c r="B146" s="177">
        <f>'Input data'!B138</f>
        <v>70.408978817025954</v>
      </c>
      <c r="C146" s="100">
        <f>'Recycling - Case 1'!E118</f>
        <v>0.89629090909090881</v>
      </c>
      <c r="D146" s="471">
        <f>'Recycling - Case 1'!F118</f>
        <v>0.33901363636363629</v>
      </c>
      <c r="E146" s="203">
        <f t="shared" si="130"/>
        <v>1095881430.9098356</v>
      </c>
      <c r="F146" s="204">
        <v>0</v>
      </c>
      <c r="G146" s="205">
        <f t="shared" si="78"/>
        <v>1095881430.9098356</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20353506.939534508</v>
      </c>
      <c r="AA146" s="204">
        <f t="shared" si="101"/>
        <v>0</v>
      </c>
      <c r="AB146" s="204">
        <f t="shared" si="102"/>
        <v>20353506.939534508</v>
      </c>
      <c r="AC146" s="204">
        <f t="shared" si="103"/>
        <v>11397963.886139316</v>
      </c>
      <c r="AD146" s="204">
        <f t="shared" si="104"/>
        <v>1628280.5551627576</v>
      </c>
      <c r="AE146" s="204">
        <f t="shared" si="105"/>
        <v>0</v>
      </c>
      <c r="AF146" s="210">
        <f t="shared" si="80"/>
        <v>53733258.320371091</v>
      </c>
      <c r="AG146" s="203">
        <f t="shared" si="106"/>
        <v>0</v>
      </c>
      <c r="AH146" s="204">
        <f t="shared" si="107"/>
        <v>0</v>
      </c>
      <c r="AI146" s="204">
        <f t="shared" si="108"/>
        <v>5917759.7269131113</v>
      </c>
      <c r="AJ146" s="204">
        <f t="shared" si="109"/>
        <v>1183551.9453826223</v>
      </c>
      <c r="AK146" s="204">
        <f t="shared" si="110"/>
        <v>0</v>
      </c>
      <c r="AL146" s="204">
        <f t="shared" si="111"/>
        <v>0</v>
      </c>
      <c r="AM146" s="210">
        <f t="shared" si="81"/>
        <v>7101311.6722957334</v>
      </c>
      <c r="AN146" s="203">
        <f t="shared" si="112"/>
        <v>63485905.676376157</v>
      </c>
      <c r="AO146" s="204">
        <f t="shared" si="113"/>
        <v>0</v>
      </c>
      <c r="AP146" s="204">
        <f t="shared" si="114"/>
        <v>31742952.838188078</v>
      </c>
      <c r="AQ146" s="204">
        <f t="shared" si="115"/>
        <v>44813580.477442056</v>
      </c>
      <c r="AR146" s="204">
        <f t="shared" si="116"/>
        <v>1867232.5198934192</v>
      </c>
      <c r="AS146" s="204">
        <f t="shared" si="82"/>
        <v>0</v>
      </c>
      <c r="AT146" s="210">
        <f t="shared" si="83"/>
        <v>141909671.51189971</v>
      </c>
      <c r="AU146" s="222">
        <v>0</v>
      </c>
      <c r="AV146" s="214">
        <f t="shared" si="84"/>
        <v>202.74424150456656</v>
      </c>
      <c r="AW146" s="225">
        <f t="shared" si="131"/>
        <v>3.5501182129156104</v>
      </c>
    </row>
    <row r="147" spans="1:49">
      <c r="A147" s="166">
        <f>'Input data'!A139</f>
        <v>2039</v>
      </c>
      <c r="B147" s="177">
        <f>'Input data'!B139</f>
        <v>70.877294017675013</v>
      </c>
      <c r="C147" s="100">
        <f>'Recycling - Case 1'!E119</f>
        <v>0.90493333333333303</v>
      </c>
      <c r="D147" s="471">
        <f>'Recycling - Case 1'!F119</f>
        <v>0.3413666666666666</v>
      </c>
      <c r="E147" s="203">
        <f t="shared" si="130"/>
        <v>1103170528.704278</v>
      </c>
      <c r="F147" s="204">
        <v>0</v>
      </c>
      <c r="G147" s="205">
        <f t="shared" si="78"/>
        <v>1103170528.704278</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20849922.992510866</v>
      </c>
      <c r="AA147" s="204">
        <f t="shared" si="101"/>
        <v>0</v>
      </c>
      <c r="AB147" s="204">
        <f t="shared" si="102"/>
        <v>20849922.992510866</v>
      </c>
      <c r="AC147" s="204">
        <f t="shared" si="103"/>
        <v>11675956.875806082</v>
      </c>
      <c r="AD147" s="204">
        <f t="shared" si="104"/>
        <v>1667993.8394008665</v>
      </c>
      <c r="AE147" s="204">
        <f t="shared" si="105"/>
        <v>0</v>
      </c>
      <c r="AF147" s="210">
        <f t="shared" si="80"/>
        <v>55043796.700228684</v>
      </c>
      <c r="AG147" s="203">
        <f t="shared" si="106"/>
        <v>0</v>
      </c>
      <c r="AH147" s="204">
        <f t="shared" si="107"/>
        <v>0</v>
      </c>
      <c r="AI147" s="204">
        <f t="shared" si="108"/>
        <v>5957120.8550031008</v>
      </c>
      <c r="AJ147" s="204">
        <f t="shared" si="109"/>
        <v>1191424.1710006201</v>
      </c>
      <c r="AK147" s="204">
        <f t="shared" si="110"/>
        <v>0</v>
      </c>
      <c r="AL147" s="204">
        <f t="shared" si="111"/>
        <v>0</v>
      </c>
      <c r="AM147" s="210">
        <f t="shared" si="81"/>
        <v>7148545.0260037212</v>
      </c>
      <c r="AN147" s="203">
        <f t="shared" si="112"/>
        <v>64325873.528746411</v>
      </c>
      <c r="AO147" s="204">
        <f t="shared" si="113"/>
        <v>0</v>
      </c>
      <c r="AP147" s="204">
        <f t="shared" si="114"/>
        <v>32162936.764373206</v>
      </c>
      <c r="AQ147" s="204">
        <f t="shared" si="115"/>
        <v>45406498.961468123</v>
      </c>
      <c r="AR147" s="204">
        <f t="shared" si="116"/>
        <v>1891937.4567278384</v>
      </c>
      <c r="AS147" s="204">
        <f t="shared" si="82"/>
        <v>0</v>
      </c>
      <c r="AT147" s="210">
        <f t="shared" si="83"/>
        <v>143787246.71131557</v>
      </c>
      <c r="AU147" s="222">
        <v>0</v>
      </c>
      <c r="AV147" s="214">
        <f t="shared" si="84"/>
        <v>205.97958843754799</v>
      </c>
      <c r="AW147" s="225">
        <f t="shared" si="131"/>
        <v>3.5737313138459617</v>
      </c>
    </row>
    <row r="148" spans="1:49">
      <c r="A148" s="166">
        <f>'Input data'!A140</f>
        <v>2040</v>
      </c>
      <c r="B148" s="177">
        <f>'Input data'!B140</f>
        <v>71.331543257193218</v>
      </c>
      <c r="C148" s="100">
        <f>'Recycling - Case 1'!E120</f>
        <v>0.91357575757575726</v>
      </c>
      <c r="D148" s="471">
        <f>'Recycling - Case 1'!F120</f>
        <v>0.3437196969696969</v>
      </c>
      <c r="E148" s="203">
        <f t="shared" si="130"/>
        <v>1110240696.6708748</v>
      </c>
      <c r="F148" s="204">
        <v>0</v>
      </c>
      <c r="G148" s="205">
        <f t="shared" si="78"/>
        <v>1110240696.6708748</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21346900.667808201</v>
      </c>
      <c r="AA148" s="204">
        <f t="shared" si="101"/>
        <v>0</v>
      </c>
      <c r="AB148" s="204">
        <f t="shared" si="102"/>
        <v>21346900.667808201</v>
      </c>
      <c r="AC148" s="204">
        <f t="shared" si="103"/>
        <v>11954264.373972587</v>
      </c>
      <c r="AD148" s="204">
        <f t="shared" si="104"/>
        <v>1707752.0534246529</v>
      </c>
      <c r="AE148" s="204">
        <f t="shared" si="105"/>
        <v>0</v>
      </c>
      <c r="AF148" s="210">
        <f t="shared" si="80"/>
        <v>56355817.763013646</v>
      </c>
      <c r="AG148" s="203">
        <f t="shared" si="106"/>
        <v>0</v>
      </c>
      <c r="AH148" s="204">
        <f t="shared" si="107"/>
        <v>0</v>
      </c>
      <c r="AI148" s="204">
        <f t="shared" si="108"/>
        <v>5995299.7620227234</v>
      </c>
      <c r="AJ148" s="204">
        <f t="shared" si="109"/>
        <v>1199059.9524045447</v>
      </c>
      <c r="AK148" s="204">
        <f t="shared" si="110"/>
        <v>0</v>
      </c>
      <c r="AL148" s="204">
        <f t="shared" si="111"/>
        <v>0</v>
      </c>
      <c r="AM148" s="210">
        <f t="shared" si="81"/>
        <v>7194359.7144272681</v>
      </c>
      <c r="AN148" s="203">
        <f t="shared" si="112"/>
        <v>65158512.523027234</v>
      </c>
      <c r="AO148" s="204">
        <f t="shared" si="113"/>
        <v>0</v>
      </c>
      <c r="AP148" s="204">
        <f t="shared" si="114"/>
        <v>32579256.261513617</v>
      </c>
      <c r="AQ148" s="204">
        <f t="shared" si="115"/>
        <v>45994244.133901641</v>
      </c>
      <c r="AR148" s="204">
        <f t="shared" si="116"/>
        <v>1916426.8389125688</v>
      </c>
      <c r="AS148" s="204">
        <f t="shared" si="82"/>
        <v>0</v>
      </c>
      <c r="AT148" s="210">
        <f t="shared" si="83"/>
        <v>145648439.75735506</v>
      </c>
      <c r="AU148" s="222">
        <v>0</v>
      </c>
      <c r="AV148" s="214">
        <f t="shared" si="84"/>
        <v>209.19861723479599</v>
      </c>
      <c r="AW148" s="225">
        <f t="shared" si="131"/>
        <v>3.5966351895378317</v>
      </c>
    </row>
    <row r="149" spans="1:49">
      <c r="A149" s="166">
        <f>'Input data'!A141</f>
        <v>2041</v>
      </c>
      <c r="B149" s="177">
        <f>'Input data'!B141</f>
        <v>71.772879261991122</v>
      </c>
      <c r="C149" s="100">
        <f>'Recycling - Case 1'!E121</f>
        <v>0.92221818181818149</v>
      </c>
      <c r="D149" s="471">
        <f>'Recycling - Case 1'!F121</f>
        <v>0.3460727272727272</v>
      </c>
      <c r="E149" s="203">
        <f t="shared" si="130"/>
        <v>1117109876.4342515</v>
      </c>
      <c r="F149" s="204">
        <v>0</v>
      </c>
      <c r="G149" s="205">
        <f t="shared" si="78"/>
        <v>1117109876.4342515</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21844575.856455248</v>
      </c>
      <c r="AA149" s="204">
        <f t="shared" si="101"/>
        <v>0</v>
      </c>
      <c r="AB149" s="204">
        <f t="shared" si="102"/>
        <v>21844575.856455248</v>
      </c>
      <c r="AC149" s="204">
        <f t="shared" si="103"/>
        <v>12232962.47961493</v>
      </c>
      <c r="AD149" s="204">
        <f t="shared" si="104"/>
        <v>1747566.0685164165</v>
      </c>
      <c r="AE149" s="204">
        <f t="shared" si="105"/>
        <v>0</v>
      </c>
      <c r="AF149" s="210">
        <f t="shared" si="80"/>
        <v>57669680.261041842</v>
      </c>
      <c r="AG149" s="203">
        <f t="shared" si="106"/>
        <v>0</v>
      </c>
      <c r="AH149" s="204">
        <f t="shared" si="107"/>
        <v>0</v>
      </c>
      <c r="AI149" s="204">
        <f t="shared" si="108"/>
        <v>6032393.3327449579</v>
      </c>
      <c r="AJ149" s="204">
        <f t="shared" si="109"/>
        <v>1206478.6665489916</v>
      </c>
      <c r="AK149" s="204">
        <f t="shared" si="110"/>
        <v>0</v>
      </c>
      <c r="AL149" s="204">
        <f t="shared" si="111"/>
        <v>0</v>
      </c>
      <c r="AM149" s="210">
        <f t="shared" si="81"/>
        <v>7238871.9992939495</v>
      </c>
      <c r="AN149" s="203">
        <f t="shared" si="112"/>
        <v>65984633.73767183</v>
      </c>
      <c r="AO149" s="204">
        <f t="shared" si="113"/>
        <v>0</v>
      </c>
      <c r="AP149" s="204">
        <f t="shared" si="114"/>
        <v>32992316.868835915</v>
      </c>
      <c r="AQ149" s="204">
        <f t="shared" si="115"/>
        <v>46577388.520709604</v>
      </c>
      <c r="AR149" s="204">
        <f t="shared" si="116"/>
        <v>1940724.5216962334</v>
      </c>
      <c r="AS149" s="204">
        <f t="shared" si="82"/>
        <v>0</v>
      </c>
      <c r="AT149" s="210">
        <f t="shared" si="83"/>
        <v>147495063.64891359</v>
      </c>
      <c r="AU149" s="222">
        <v>0</v>
      </c>
      <c r="AV149" s="214">
        <f t="shared" si="84"/>
        <v>212.40361590924937</v>
      </c>
      <c r="AW149" s="225">
        <f t="shared" si="131"/>
        <v>3.6188879620531109</v>
      </c>
    </row>
    <row r="150" spans="1:49">
      <c r="A150" s="166">
        <f>'Input data'!A142</f>
        <v>2042</v>
      </c>
      <c r="B150" s="177">
        <f>'Input data'!B142</f>
        <v>72.201023455996193</v>
      </c>
      <c r="C150" s="100">
        <f>'Recycling - Case 1'!E122</f>
        <v>0.93086060606060572</v>
      </c>
      <c r="D150" s="471">
        <f>'Recycling - Case 1'!F122</f>
        <v>0.3484257575757575</v>
      </c>
      <c r="E150" s="203">
        <f t="shared" si="130"/>
        <v>1123773732.0936463</v>
      </c>
      <c r="F150" s="204">
        <v>0</v>
      </c>
      <c r="G150" s="205">
        <f t="shared" si="78"/>
        <v>1123773732.0936463</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22342665.018989149</v>
      </c>
      <c r="AA150" s="204">
        <f t="shared" si="101"/>
        <v>0</v>
      </c>
      <c r="AB150" s="204">
        <f t="shared" si="102"/>
        <v>22342665.018989149</v>
      </c>
      <c r="AC150" s="204">
        <f t="shared" si="103"/>
        <v>12511892.410633916</v>
      </c>
      <c r="AD150" s="204">
        <f t="shared" si="104"/>
        <v>1787413.2015191284</v>
      </c>
      <c r="AE150" s="204">
        <f t="shared" si="105"/>
        <v>0</v>
      </c>
      <c r="AF150" s="210">
        <f t="shared" si="80"/>
        <v>58984635.650131345</v>
      </c>
      <c r="AG150" s="203">
        <f t="shared" si="106"/>
        <v>0</v>
      </c>
      <c r="AH150" s="204">
        <f t="shared" si="107"/>
        <v>0</v>
      </c>
      <c r="AI150" s="204">
        <f t="shared" si="108"/>
        <v>6068378.1533056898</v>
      </c>
      <c r="AJ150" s="204">
        <f t="shared" si="109"/>
        <v>1213675.6306611379</v>
      </c>
      <c r="AK150" s="204">
        <f t="shared" si="110"/>
        <v>0</v>
      </c>
      <c r="AL150" s="204">
        <f t="shared" si="111"/>
        <v>0</v>
      </c>
      <c r="AM150" s="210">
        <f t="shared" si="81"/>
        <v>7282053.7839668281</v>
      </c>
      <c r="AN150" s="203">
        <f t="shared" si="112"/>
        <v>66803751.116790488</v>
      </c>
      <c r="AO150" s="204">
        <f t="shared" si="113"/>
        <v>0</v>
      </c>
      <c r="AP150" s="204">
        <f t="shared" si="114"/>
        <v>33401875.558395244</v>
      </c>
      <c r="AQ150" s="204">
        <f t="shared" si="115"/>
        <v>47155589.023616888</v>
      </c>
      <c r="AR150" s="204">
        <f t="shared" si="116"/>
        <v>1964816.2093173703</v>
      </c>
      <c r="AS150" s="204">
        <f t="shared" si="82"/>
        <v>0</v>
      </c>
      <c r="AT150" s="210">
        <f t="shared" si="83"/>
        <v>149326031.90811998</v>
      </c>
      <c r="AU150" s="222">
        <v>0</v>
      </c>
      <c r="AV150" s="214">
        <f t="shared" si="84"/>
        <v>215.59272134221817</v>
      </c>
      <c r="AW150" s="225">
        <f t="shared" si="131"/>
        <v>3.6404755852004582</v>
      </c>
    </row>
    <row r="151" spans="1:49">
      <c r="A151" s="166">
        <f>'Input data'!A143</f>
        <v>2043</v>
      </c>
      <c r="B151" s="177">
        <f>'Input data'!B143</f>
        <v>72.615704257339331</v>
      </c>
      <c r="C151" s="100">
        <f>'Recycling - Case 1'!E123</f>
        <v>0.93950303030302995</v>
      </c>
      <c r="D151" s="471">
        <f>'Recycling - Case 1'!F123</f>
        <v>0.3507787878787878</v>
      </c>
      <c r="E151" s="203">
        <f t="shared" si="130"/>
        <v>1130228036.6096613</v>
      </c>
      <c r="F151" s="204">
        <v>0</v>
      </c>
      <c r="G151" s="205">
        <f t="shared" si="78"/>
        <v>1130228036.6096613</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22840881.139847994</v>
      </c>
      <c r="AA151" s="204">
        <f t="shared" si="101"/>
        <v>0</v>
      </c>
      <c r="AB151" s="204">
        <f t="shared" si="102"/>
        <v>22840881.139847994</v>
      </c>
      <c r="AC151" s="204">
        <f t="shared" si="103"/>
        <v>12790893.438314868</v>
      </c>
      <c r="AD151" s="204">
        <f t="shared" si="104"/>
        <v>1827270.491187836</v>
      </c>
      <c r="AE151" s="204">
        <f t="shared" si="105"/>
        <v>0</v>
      </c>
      <c r="AF151" s="210">
        <f t="shared" si="80"/>
        <v>60299926.209198691</v>
      </c>
      <c r="AG151" s="203">
        <f t="shared" si="106"/>
        <v>0</v>
      </c>
      <c r="AH151" s="204">
        <f t="shared" si="107"/>
        <v>0</v>
      </c>
      <c r="AI151" s="204">
        <f t="shared" si="108"/>
        <v>6103231.3976921709</v>
      </c>
      <c r="AJ151" s="204">
        <f t="shared" si="109"/>
        <v>1220646.279538434</v>
      </c>
      <c r="AK151" s="204">
        <f t="shared" si="110"/>
        <v>0</v>
      </c>
      <c r="AL151" s="204">
        <f t="shared" si="111"/>
        <v>0</v>
      </c>
      <c r="AM151" s="210">
        <f t="shared" si="81"/>
        <v>7323877.6772306049</v>
      </c>
      <c r="AN151" s="203">
        <f t="shared" si="112"/>
        <v>67615378.55015631</v>
      </c>
      <c r="AO151" s="204">
        <f t="shared" si="113"/>
        <v>0</v>
      </c>
      <c r="AP151" s="204">
        <f t="shared" si="114"/>
        <v>33807689.275078155</v>
      </c>
      <c r="AQ151" s="204">
        <f t="shared" si="115"/>
        <v>47728502.505992755</v>
      </c>
      <c r="AR151" s="204">
        <f t="shared" si="116"/>
        <v>1988687.6044163653</v>
      </c>
      <c r="AS151" s="204">
        <f t="shared" si="82"/>
        <v>0</v>
      </c>
      <c r="AT151" s="210">
        <f t="shared" si="83"/>
        <v>151140257.93564361</v>
      </c>
      <c r="AU151" s="222">
        <v>0</v>
      </c>
      <c r="AV151" s="214">
        <f t="shared" si="84"/>
        <v>218.76406182207293</v>
      </c>
      <c r="AW151" s="225">
        <f t="shared" si="131"/>
        <v>3.6613843654459499</v>
      </c>
    </row>
    <row r="152" spans="1:49">
      <c r="A152" s="166">
        <f>'Input data'!A144</f>
        <v>2044</v>
      </c>
      <c r="B152" s="177">
        <f>'Input data'!B144</f>
        <v>73.016657364175842</v>
      </c>
      <c r="C152" s="100">
        <f>'Recycling - Case 1'!E124</f>
        <v>0.94814545454545418</v>
      </c>
      <c r="D152" s="471">
        <f>'Recycling - Case 1'!F124</f>
        <v>0.3531318181818181</v>
      </c>
      <c r="E152" s="203">
        <f t="shared" si="130"/>
        <v>1136468676.2529321</v>
      </c>
      <c r="F152" s="204">
        <v>0</v>
      </c>
      <c r="G152" s="205">
        <f t="shared" si="78"/>
        <v>1136468676.2529321</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23338933.996867053</v>
      </c>
      <c r="AA152" s="204">
        <f t="shared" si="101"/>
        <v>0</v>
      </c>
      <c r="AB152" s="204">
        <f t="shared" si="102"/>
        <v>23338933.996867053</v>
      </c>
      <c r="AC152" s="204">
        <f t="shared" si="103"/>
        <v>13069803.03824554</v>
      </c>
      <c r="AD152" s="204">
        <f t="shared" si="104"/>
        <v>1867114.7197493603</v>
      </c>
      <c r="AE152" s="204">
        <f t="shared" si="105"/>
        <v>0</v>
      </c>
      <c r="AF152" s="210">
        <f t="shared" si="80"/>
        <v>61614785.751729012</v>
      </c>
      <c r="AG152" s="203">
        <f t="shared" si="106"/>
        <v>0</v>
      </c>
      <c r="AH152" s="204">
        <f t="shared" si="107"/>
        <v>0</v>
      </c>
      <c r="AI152" s="204">
        <f t="shared" si="108"/>
        <v>6136930.8517658329</v>
      </c>
      <c r="AJ152" s="204">
        <f t="shared" si="109"/>
        <v>1227386.1703531665</v>
      </c>
      <c r="AK152" s="204">
        <f t="shared" si="110"/>
        <v>0</v>
      </c>
      <c r="AL152" s="204">
        <f t="shared" si="111"/>
        <v>0</v>
      </c>
      <c r="AM152" s="210">
        <f t="shared" si="81"/>
        <v>7364317.0221189996</v>
      </c>
      <c r="AN152" s="203">
        <f t="shared" si="112"/>
        <v>68419030.347123638</v>
      </c>
      <c r="AO152" s="204">
        <f t="shared" si="113"/>
        <v>0</v>
      </c>
      <c r="AP152" s="204">
        <f t="shared" si="114"/>
        <v>34209515.173561819</v>
      </c>
      <c r="AQ152" s="204">
        <f t="shared" si="115"/>
        <v>48295786.127381466</v>
      </c>
      <c r="AR152" s="204">
        <f t="shared" si="116"/>
        <v>2012324.421974228</v>
      </c>
      <c r="AS152" s="204">
        <f t="shared" si="82"/>
        <v>0</v>
      </c>
      <c r="AT152" s="210">
        <f t="shared" si="83"/>
        <v>152936656.07004118</v>
      </c>
      <c r="AU152" s="222">
        <v>0</v>
      </c>
      <c r="AV152" s="214">
        <f t="shared" si="84"/>
        <v>221.91575884388917</v>
      </c>
      <c r="AW152" s="225">
        <f t="shared" si="131"/>
        <v>3.6816009763245785</v>
      </c>
    </row>
    <row r="153" spans="1:49">
      <c r="A153" s="166">
        <f>'Input data'!A145</f>
        <v>2045</v>
      </c>
      <c r="B153" s="177">
        <f>'Input data'!B145</f>
        <v>73.40362603426334</v>
      </c>
      <c r="C153" s="100">
        <f>'Recycling - Case 1'!E125</f>
        <v>0.95678787878787841</v>
      </c>
      <c r="D153" s="471">
        <f>'Recycling - Case 1'!F125</f>
        <v>0.3554848484848484</v>
      </c>
      <c r="E153" s="203">
        <f t="shared" si="130"/>
        <v>1142491654.9556174</v>
      </c>
      <c r="F153" s="204">
        <v>0</v>
      </c>
      <c r="G153" s="205">
        <f t="shared" si="78"/>
        <v>1142491654.9556174</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23836530.437483128</v>
      </c>
      <c r="AA153" s="204">
        <f t="shared" si="101"/>
        <v>0</v>
      </c>
      <c r="AB153" s="204">
        <f t="shared" si="102"/>
        <v>23836530.437483128</v>
      </c>
      <c r="AC153" s="204">
        <f t="shared" si="103"/>
        <v>13348457.044990543</v>
      </c>
      <c r="AD153" s="204">
        <f t="shared" si="104"/>
        <v>1906922.4349986466</v>
      </c>
      <c r="AE153" s="204">
        <f t="shared" si="105"/>
        <v>0</v>
      </c>
      <c r="AF153" s="210">
        <f t="shared" si="80"/>
        <v>62928440.35495545</v>
      </c>
      <c r="AG153" s="203">
        <f t="shared" si="106"/>
        <v>0</v>
      </c>
      <c r="AH153" s="204">
        <f t="shared" si="107"/>
        <v>0</v>
      </c>
      <c r="AI153" s="204">
        <f t="shared" si="108"/>
        <v>6169454.9367603343</v>
      </c>
      <c r="AJ153" s="204">
        <f t="shared" si="109"/>
        <v>1233890.9873520667</v>
      </c>
      <c r="AK153" s="204">
        <f t="shared" si="110"/>
        <v>0</v>
      </c>
      <c r="AL153" s="204">
        <f t="shared" si="111"/>
        <v>0</v>
      </c>
      <c r="AM153" s="210">
        <f t="shared" si="81"/>
        <v>7403345.924112401</v>
      </c>
      <c r="AN153" s="203">
        <f t="shared" si="112"/>
        <v>69214221.714765713</v>
      </c>
      <c r="AO153" s="204">
        <f t="shared" si="113"/>
        <v>0</v>
      </c>
      <c r="AP153" s="204">
        <f t="shared" si="114"/>
        <v>34607110.857382856</v>
      </c>
      <c r="AQ153" s="204">
        <f t="shared" si="115"/>
        <v>48857097.681011185</v>
      </c>
      <c r="AR153" s="204">
        <f t="shared" si="116"/>
        <v>2035712.4033754661</v>
      </c>
      <c r="AS153" s="204">
        <f t="shared" si="82"/>
        <v>0</v>
      </c>
      <c r="AT153" s="210">
        <f t="shared" si="83"/>
        <v>154714142.65653524</v>
      </c>
      <c r="AU153" s="222">
        <v>0</v>
      </c>
      <c r="AV153" s="214">
        <f t="shared" si="84"/>
        <v>225.04592893560309</v>
      </c>
      <c r="AW153" s="225">
        <f t="shared" si="131"/>
        <v>3.7011124725369502</v>
      </c>
    </row>
    <row r="154" spans="1:49">
      <c r="A154" s="166">
        <f>'Input data'!A146</f>
        <v>2046</v>
      </c>
      <c r="B154" s="177">
        <f>'Input data'!B146</f>
        <v>73.776422042674071</v>
      </c>
      <c r="C154" s="100">
        <f>'Recycling - Case 1'!E126</f>
        <v>0.96543030303030264</v>
      </c>
      <c r="D154" s="471">
        <f>'Recycling - Case 1'!F126</f>
        <v>0.3578378787878787</v>
      </c>
      <c r="E154" s="203">
        <f t="shared" si="130"/>
        <v>1148294043.0884762</v>
      </c>
      <c r="F154" s="204">
        <v>0</v>
      </c>
      <c r="G154" s="205">
        <f t="shared" si="78"/>
        <v>1148294043.0884762</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24333394.676720366</v>
      </c>
      <c r="AA154" s="204">
        <f t="shared" si="101"/>
        <v>0</v>
      </c>
      <c r="AB154" s="204">
        <f t="shared" si="102"/>
        <v>24333394.676720366</v>
      </c>
      <c r="AC154" s="204">
        <f t="shared" si="103"/>
        <v>13626701.018963397</v>
      </c>
      <c r="AD154" s="204">
        <f t="shared" si="104"/>
        <v>1946671.5741376251</v>
      </c>
      <c r="AE154" s="204">
        <f t="shared" si="105"/>
        <v>0</v>
      </c>
      <c r="AF154" s="210">
        <f t="shared" si="80"/>
        <v>64240161.946541756</v>
      </c>
      <c r="AG154" s="203">
        <f t="shared" si="106"/>
        <v>0</v>
      </c>
      <c r="AH154" s="204">
        <f t="shared" si="107"/>
        <v>0</v>
      </c>
      <c r="AI154" s="204">
        <f t="shared" si="108"/>
        <v>6200787.8326777713</v>
      </c>
      <c r="AJ154" s="204">
        <f t="shared" si="109"/>
        <v>1240157.5665355541</v>
      </c>
      <c r="AK154" s="204">
        <f t="shared" si="110"/>
        <v>0</v>
      </c>
      <c r="AL154" s="204">
        <f t="shared" si="111"/>
        <v>0</v>
      </c>
      <c r="AM154" s="210">
        <f t="shared" si="81"/>
        <v>7440945.3992133252</v>
      </c>
      <c r="AN154" s="203">
        <f t="shared" si="112"/>
        <v>70000526.818511218</v>
      </c>
      <c r="AO154" s="204">
        <f t="shared" si="113"/>
        <v>0</v>
      </c>
      <c r="AP154" s="204">
        <f t="shared" si="114"/>
        <v>35000263.409255609</v>
      </c>
      <c r="AQ154" s="204">
        <f t="shared" si="115"/>
        <v>49412136.577772722</v>
      </c>
      <c r="AR154" s="204">
        <f t="shared" si="116"/>
        <v>2058839.0240738636</v>
      </c>
      <c r="AS154" s="204">
        <f t="shared" si="82"/>
        <v>0</v>
      </c>
      <c r="AT154" s="210">
        <f t="shared" si="83"/>
        <v>156471765.82961342</v>
      </c>
      <c r="AU154" s="222">
        <v>0</v>
      </c>
      <c r="AV154" s="214">
        <f t="shared" si="84"/>
        <v>228.15287317536848</v>
      </c>
      <c r="AW154" s="225">
        <f t="shared" si="131"/>
        <v>3.7199093635215581</v>
      </c>
    </row>
    <row r="155" spans="1:49">
      <c r="A155" s="166">
        <f>'Input data'!A147</f>
        <v>2047</v>
      </c>
      <c r="B155" s="177">
        <f>'Input data'!B147</f>
        <v>74.134805489166112</v>
      </c>
      <c r="C155" s="100">
        <f>'Recycling - Case 1'!E127</f>
        <v>0.97407272727272687</v>
      </c>
      <c r="D155" s="471">
        <f>'Recycling - Case 1'!F127</f>
        <v>0.36019090909090901</v>
      </c>
      <c r="E155" s="203">
        <f t="shared" si="130"/>
        <v>1153872106.7211947</v>
      </c>
      <c r="F155" s="204">
        <v>0</v>
      </c>
      <c r="G155" s="205">
        <f t="shared" si="78"/>
        <v>1153872106.7211947</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24829229.787355185</v>
      </c>
      <c r="AA155" s="204">
        <f t="shared" si="101"/>
        <v>0</v>
      </c>
      <c r="AB155" s="204">
        <f t="shared" si="102"/>
        <v>24829229.787355185</v>
      </c>
      <c r="AC155" s="204">
        <f t="shared" si="103"/>
        <v>13904368.680918893</v>
      </c>
      <c r="AD155" s="204">
        <f t="shared" si="104"/>
        <v>1986338.3829884103</v>
      </c>
      <c r="AE155" s="204">
        <f t="shared" si="105"/>
        <v>0</v>
      </c>
      <c r="AF155" s="210">
        <f t="shared" si="80"/>
        <v>65549166.638617672</v>
      </c>
      <c r="AG155" s="203">
        <f t="shared" si="106"/>
        <v>0</v>
      </c>
      <c r="AH155" s="204">
        <f t="shared" si="107"/>
        <v>0</v>
      </c>
      <c r="AI155" s="204">
        <f t="shared" si="108"/>
        <v>6230909.3762944518</v>
      </c>
      <c r="AJ155" s="204">
        <f t="shared" si="109"/>
        <v>1246181.8752588902</v>
      </c>
      <c r="AK155" s="204">
        <f t="shared" si="110"/>
        <v>0</v>
      </c>
      <c r="AL155" s="204">
        <f t="shared" si="111"/>
        <v>0</v>
      </c>
      <c r="AM155" s="210">
        <f t="shared" si="81"/>
        <v>7477091.2515533417</v>
      </c>
      <c r="AN155" s="203">
        <f t="shared" si="112"/>
        <v>70777466.051635563</v>
      </c>
      <c r="AO155" s="204">
        <f t="shared" si="113"/>
        <v>0</v>
      </c>
      <c r="AP155" s="204">
        <f t="shared" si="114"/>
        <v>35388733.025817782</v>
      </c>
      <c r="AQ155" s="204">
        <f t="shared" si="115"/>
        <v>49960564.271742843</v>
      </c>
      <c r="AR155" s="204">
        <f t="shared" si="116"/>
        <v>2081690.1779892854</v>
      </c>
      <c r="AS155" s="204">
        <f t="shared" si="82"/>
        <v>0</v>
      </c>
      <c r="AT155" s="210">
        <f t="shared" si="83"/>
        <v>158208453.52718547</v>
      </c>
      <c r="AU155" s="222">
        <v>0</v>
      </c>
      <c r="AV155" s="214">
        <f t="shared" si="84"/>
        <v>231.23471141735649</v>
      </c>
      <c r="AW155" s="225">
        <f t="shared" si="131"/>
        <v>3.7379795531759945</v>
      </c>
    </row>
    <row r="156" spans="1:49">
      <c r="A156" s="166">
        <f>'Input data'!A148</f>
        <v>2048</v>
      </c>
      <c r="B156" s="177">
        <f>'Input data'!B148</f>
        <v>74.478544758379343</v>
      </c>
      <c r="C156" s="100">
        <f>'Recycling - Case 1'!E128</f>
        <v>0.9827151515151511</v>
      </c>
      <c r="D156" s="471">
        <f>'Recycling - Case 1'!F128</f>
        <v>0.36254393939393931</v>
      </c>
      <c r="E156" s="203">
        <f t="shared" si="130"/>
        <v>1159222240.873605</v>
      </c>
      <c r="F156" s="204">
        <v>0</v>
      </c>
      <c r="G156" s="205">
        <f t="shared" si="78"/>
        <v>1159222240.873605</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25323736.771084324</v>
      </c>
      <c r="AA156" s="204">
        <f t="shared" si="101"/>
        <v>0</v>
      </c>
      <c r="AB156" s="204">
        <f t="shared" si="102"/>
        <v>25323736.771084324</v>
      </c>
      <c r="AC156" s="204">
        <f t="shared" si="103"/>
        <v>14181292.591807207</v>
      </c>
      <c r="AD156" s="204">
        <f t="shared" si="104"/>
        <v>2025898.9416867413</v>
      </c>
      <c r="AE156" s="204">
        <f t="shared" si="105"/>
        <v>0</v>
      </c>
      <c r="AF156" s="210">
        <f t="shared" si="80"/>
        <v>66854665.075662598</v>
      </c>
      <c r="AG156" s="203">
        <f t="shared" si="106"/>
        <v>0</v>
      </c>
      <c r="AH156" s="204">
        <f t="shared" si="107"/>
        <v>0</v>
      </c>
      <c r="AI156" s="204">
        <f t="shared" si="108"/>
        <v>6259800.1007174673</v>
      </c>
      <c r="AJ156" s="204">
        <f t="shared" si="109"/>
        <v>1251960.0201434933</v>
      </c>
      <c r="AK156" s="204">
        <f t="shared" si="110"/>
        <v>0</v>
      </c>
      <c r="AL156" s="204">
        <f t="shared" si="111"/>
        <v>0</v>
      </c>
      <c r="AM156" s="210">
        <f t="shared" si="81"/>
        <v>7511760.1208609603</v>
      </c>
      <c r="AN156" s="203">
        <f t="shared" si="112"/>
        <v>71544562.11071685</v>
      </c>
      <c r="AO156" s="204">
        <f t="shared" si="113"/>
        <v>0</v>
      </c>
      <c r="AP156" s="204">
        <f t="shared" si="114"/>
        <v>35772281.055358425</v>
      </c>
      <c r="AQ156" s="204">
        <f t="shared" si="115"/>
        <v>50502043.842859052</v>
      </c>
      <c r="AR156" s="204">
        <f t="shared" si="116"/>
        <v>2104251.826785794</v>
      </c>
      <c r="AS156" s="204">
        <f t="shared" si="82"/>
        <v>0</v>
      </c>
      <c r="AT156" s="210">
        <f t="shared" si="83"/>
        <v>159923138.83572012</v>
      </c>
      <c r="AU156" s="222">
        <v>0</v>
      </c>
      <c r="AV156" s="214">
        <f t="shared" si="84"/>
        <v>234.28956403224367</v>
      </c>
      <c r="AW156" s="225">
        <f t="shared" si="131"/>
        <v>3.7553113631330666</v>
      </c>
    </row>
    <row r="157" spans="1:49">
      <c r="A157" s="166">
        <f>'Input data'!A149</f>
        <v>2049</v>
      </c>
      <c r="B157" s="177">
        <f>'Input data'!B149</f>
        <v>74.807416768507309</v>
      </c>
      <c r="C157" s="100">
        <f>'Recycling - Case 1'!E129</f>
        <v>0.99135757575757533</v>
      </c>
      <c r="D157" s="471">
        <f>'Recycling - Case 1'!F129</f>
        <v>0.36489696969696961</v>
      </c>
      <c r="E157" s="203">
        <f t="shared" si="130"/>
        <v>1164340973.3861418</v>
      </c>
      <c r="F157" s="204">
        <v>0</v>
      </c>
      <c r="G157" s="205">
        <f t="shared" si="78"/>
        <v>1164340973.3861418</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25816614.855352748</v>
      </c>
      <c r="AA157" s="204">
        <f t="shared" si="101"/>
        <v>0</v>
      </c>
      <c r="AB157" s="204">
        <f t="shared" si="102"/>
        <v>25816614.855352748</v>
      </c>
      <c r="AC157" s="204">
        <f t="shared" si="103"/>
        <v>14457304.318997523</v>
      </c>
      <c r="AD157" s="204">
        <f t="shared" si="104"/>
        <v>2065329.188428215</v>
      </c>
      <c r="AE157" s="204">
        <f t="shared" si="105"/>
        <v>0</v>
      </c>
      <c r="AF157" s="210">
        <f t="shared" si="80"/>
        <v>68155863.218131229</v>
      </c>
      <c r="AG157" s="203">
        <f t="shared" si="106"/>
        <v>0</v>
      </c>
      <c r="AH157" s="204">
        <f t="shared" si="107"/>
        <v>0</v>
      </c>
      <c r="AI157" s="204">
        <f t="shared" si="108"/>
        <v>6287441.2562851645</v>
      </c>
      <c r="AJ157" s="204">
        <f t="shared" si="109"/>
        <v>1257488.2512570331</v>
      </c>
      <c r="AK157" s="204">
        <f t="shared" si="110"/>
        <v>0</v>
      </c>
      <c r="AL157" s="204">
        <f t="shared" si="111"/>
        <v>0</v>
      </c>
      <c r="AM157" s="210">
        <f t="shared" si="81"/>
        <v>7544929.5075421976</v>
      </c>
      <c r="AN157" s="203">
        <f t="shared" si="112"/>
        <v>72301340.480103403</v>
      </c>
      <c r="AO157" s="204">
        <f t="shared" si="113"/>
        <v>0</v>
      </c>
      <c r="AP157" s="204">
        <f t="shared" si="114"/>
        <v>36150670.240051702</v>
      </c>
      <c r="AQ157" s="204">
        <f t="shared" si="115"/>
        <v>51036240.338896617</v>
      </c>
      <c r="AR157" s="204">
        <f t="shared" si="116"/>
        <v>2126510.0141206924</v>
      </c>
      <c r="AS157" s="204">
        <f t="shared" si="82"/>
        <v>0</v>
      </c>
      <c r="AT157" s="210">
        <f t="shared" si="83"/>
        <v>161614761.07317242</v>
      </c>
      <c r="AU157" s="222">
        <v>0</v>
      </c>
      <c r="AV157" s="214">
        <f t="shared" si="84"/>
        <v>237.31555379884583</v>
      </c>
      <c r="AW157" s="225">
        <f t="shared" si="131"/>
        <v>3.7718935452991729</v>
      </c>
    </row>
    <row r="158" spans="1:49" ht="15.75" thickBot="1">
      <c r="A158" s="168">
        <f>'Input data'!A150</f>
        <v>2050</v>
      </c>
      <c r="B158" s="178">
        <f>'Input data'!B150</f>
        <v>75.121207211856714</v>
      </c>
      <c r="C158" s="581">
        <f>'Recycling - Case 1'!E130</f>
        <v>1</v>
      </c>
      <c r="D158" s="582">
        <f>'Recycling - Case 1'!F130</f>
        <v>0.36725000000000002</v>
      </c>
      <c r="E158" s="206">
        <f>B158*$C$4*($C$7*$C$11+$C$8*$C$10+$C$7*$C$12)*10^6</f>
        <v>1169224968.6640341</v>
      </c>
      <c r="F158" s="207">
        <v>0</v>
      </c>
      <c r="G158" s="208">
        <f t="shared" si="78"/>
        <v>1169224968.6640341</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26307561.794940773</v>
      </c>
      <c r="AA158" s="207">
        <f t="shared" si="101"/>
        <v>0</v>
      </c>
      <c r="AB158" s="207">
        <f t="shared" si="102"/>
        <v>26307561.794940773</v>
      </c>
      <c r="AC158" s="207">
        <f t="shared" si="103"/>
        <v>14732234.605166836</v>
      </c>
      <c r="AD158" s="207">
        <f t="shared" si="104"/>
        <v>2104604.9435952613</v>
      </c>
      <c r="AE158" s="207">
        <f t="shared" si="105"/>
        <v>0</v>
      </c>
      <c r="AF158" s="211">
        <f t="shared" si="80"/>
        <v>69451963.138643637</v>
      </c>
      <c r="AG158" s="206">
        <f t="shared" si="106"/>
        <v>0</v>
      </c>
      <c r="AH158" s="207">
        <f t="shared" si="107"/>
        <v>0</v>
      </c>
      <c r="AI158" s="207">
        <f t="shared" si="108"/>
        <v>6313814.8307857839</v>
      </c>
      <c r="AJ158" s="207">
        <f t="shared" si="109"/>
        <v>1262762.9661571567</v>
      </c>
      <c r="AK158" s="207">
        <f t="shared" si="110"/>
        <v>0</v>
      </c>
      <c r="AL158" s="207">
        <f t="shared" si="111"/>
        <v>0</v>
      </c>
      <c r="AM158" s="211">
        <f t="shared" si="81"/>
        <v>7576577.7969429409</v>
      </c>
      <c r="AN158" s="206">
        <f t="shared" si="112"/>
        <v>73047329.917285532</v>
      </c>
      <c r="AO158" s="207">
        <f t="shared" si="113"/>
        <v>0</v>
      </c>
      <c r="AP158" s="207">
        <f t="shared" si="114"/>
        <v>36523664.958642766</v>
      </c>
      <c r="AQ158" s="207">
        <f t="shared" si="115"/>
        <v>51562821.118083902</v>
      </c>
      <c r="AR158" s="207">
        <f t="shared" si="116"/>
        <v>2148450.8799201627</v>
      </c>
      <c r="AS158" s="207">
        <f t="shared" si="82"/>
        <v>0</v>
      </c>
      <c r="AT158" s="211">
        <f t="shared" si="83"/>
        <v>163282266.87393236</v>
      </c>
      <c r="AU158" s="223">
        <v>0</v>
      </c>
      <c r="AV158" s="217">
        <f t="shared" si="84"/>
        <v>240.31080780951893</v>
      </c>
      <c r="AW158" s="226">
        <f t="shared" si="131"/>
        <v>3.7877152939836489</v>
      </c>
    </row>
    <row r="159" spans="1:49" ht="21.75"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59.308690000000006</v>
      </c>
      <c r="C162" s="100">
        <f>'Recycling - Case 2'!E100</f>
        <v>0.78061538461538471</v>
      </c>
      <c r="D162" s="471">
        <f>'Recycling - Case 2'!F100</f>
        <v>0.30751923076923071</v>
      </c>
      <c r="E162" s="203">
        <f t="shared" si="155"/>
        <v>923110846.86362517</v>
      </c>
      <c r="F162" s="204">
        <v>0</v>
      </c>
      <c r="G162" s="205">
        <f t="shared" si="132"/>
        <v>923110846.86362517</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13101073.172795299</v>
      </c>
      <c r="AA162" s="204">
        <f t="shared" si="134"/>
        <v>0</v>
      </c>
      <c r="AB162" s="204">
        <f t="shared" si="135"/>
        <v>13101073.172795299</v>
      </c>
      <c r="AC162" s="204">
        <f t="shared" si="136"/>
        <v>7336600.9767653672</v>
      </c>
      <c r="AD162" s="204">
        <f t="shared" si="137"/>
        <v>1048085.8538236235</v>
      </c>
      <c r="AE162" s="204">
        <f t="shared" si="138"/>
        <v>0</v>
      </c>
      <c r="AF162" s="839">
        <f t="shared" si="139"/>
        <v>34586833.176179588</v>
      </c>
      <c r="AG162" s="203">
        <f t="shared" si="140"/>
        <v>0</v>
      </c>
      <c r="AH162" s="204">
        <f t="shared" si="141"/>
        <v>0</v>
      </c>
      <c r="AI162" s="204">
        <f t="shared" si="142"/>
        <v>4984798.5730635757</v>
      </c>
      <c r="AJ162" s="204">
        <f t="shared" si="143"/>
        <v>996959.71461271506</v>
      </c>
      <c r="AK162" s="204">
        <f t="shared" si="144"/>
        <v>0</v>
      </c>
      <c r="AL162" s="204">
        <f t="shared" si="145"/>
        <v>0</v>
      </c>
      <c r="AM162" s="210">
        <f t="shared" si="146"/>
        <v>5981758.2876762906</v>
      </c>
      <c r="AN162" s="203">
        <f t="shared" si="147"/>
        <v>48798834.748911917</v>
      </c>
      <c r="AO162" s="204">
        <f t="shared" si="148"/>
        <v>0</v>
      </c>
      <c r="AP162" s="204">
        <f t="shared" si="149"/>
        <v>24399417.374455959</v>
      </c>
      <c r="AQ162" s="204">
        <f t="shared" si="150"/>
        <v>34446236.293349579</v>
      </c>
      <c r="AR162" s="204">
        <f t="shared" si="151"/>
        <v>1435259.8455562324</v>
      </c>
      <c r="AS162" s="204">
        <f t="shared" si="152"/>
        <v>0</v>
      </c>
      <c r="AT162" s="210">
        <f t="shared" si="153"/>
        <v>109079748.26227368</v>
      </c>
      <c r="AU162" s="222">
        <v>0</v>
      </c>
      <c r="AV162" s="214">
        <f t="shared" si="167"/>
        <v>149.64833972612956</v>
      </c>
      <c r="AW162" s="225">
        <f t="shared" si="154"/>
        <v>2.9904262793007734</v>
      </c>
    </row>
    <row r="163" spans="1:49">
      <c r="A163" s="166">
        <f>'Input data'!A121</f>
        <v>2021</v>
      </c>
      <c r="B163" s="177">
        <f>'Input data'!B121</f>
        <v>60.158036186957922</v>
      </c>
      <c r="C163" s="100">
        <f>'Recycling - Case 2'!E101</f>
        <v>0.80255384615384628</v>
      </c>
      <c r="D163" s="471">
        <f>'Recycling - Case 2'!F101</f>
        <v>0.31349230769230763</v>
      </c>
      <c r="E163" s="203">
        <f t="shared" si="155"/>
        <v>936330506.20735896</v>
      </c>
      <c r="F163" s="204">
        <v>0</v>
      </c>
      <c r="G163" s="205">
        <f t="shared" si="132"/>
        <v>936330506.20735896</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14066565.22017671</v>
      </c>
      <c r="AA163" s="204">
        <f t="shared" si="134"/>
        <v>0</v>
      </c>
      <c r="AB163" s="204">
        <f t="shared" si="135"/>
        <v>14066565.22017671</v>
      </c>
      <c r="AC163" s="204">
        <f t="shared" si="136"/>
        <v>7877276.5232989592</v>
      </c>
      <c r="AD163" s="204">
        <f t="shared" si="137"/>
        <v>1125325.2176141366</v>
      </c>
      <c r="AE163" s="204">
        <f t="shared" si="138"/>
        <v>0</v>
      </c>
      <c r="AF163" s="839">
        <f t="shared" si="139"/>
        <v>37135732.181266516</v>
      </c>
      <c r="AG163" s="203">
        <f t="shared" si="140"/>
        <v>0</v>
      </c>
      <c r="AH163" s="204">
        <f t="shared" si="141"/>
        <v>0</v>
      </c>
      <c r="AI163" s="204">
        <f t="shared" si="142"/>
        <v>5056184.7335197385</v>
      </c>
      <c r="AJ163" s="204">
        <f t="shared" si="143"/>
        <v>1011236.9467039476</v>
      </c>
      <c r="AK163" s="204">
        <f t="shared" si="144"/>
        <v>0</v>
      </c>
      <c r="AL163" s="204">
        <f t="shared" si="145"/>
        <v>0</v>
      </c>
      <c r="AM163" s="210">
        <f t="shared" si="146"/>
        <v>6067421.6802236866</v>
      </c>
      <c r="AN163" s="203">
        <f t="shared" si="147"/>
        <v>50397629.369493328</v>
      </c>
      <c r="AO163" s="204">
        <f t="shared" si="148"/>
        <v>0</v>
      </c>
      <c r="AP163" s="204">
        <f t="shared" si="149"/>
        <v>25198814.684746664</v>
      </c>
      <c r="AQ163" s="204">
        <f t="shared" si="150"/>
        <v>35574797.201995291</v>
      </c>
      <c r="AR163" s="204">
        <f t="shared" si="151"/>
        <v>1482283.2167498034</v>
      </c>
      <c r="AS163" s="204">
        <f t="shared" si="152"/>
        <v>0</v>
      </c>
      <c r="AT163" s="210">
        <f t="shared" si="153"/>
        <v>112653524.47298507</v>
      </c>
      <c r="AU163" s="222">
        <v>0</v>
      </c>
      <c r="AV163" s="214">
        <f t="shared" si="167"/>
        <v>155.85667833447528</v>
      </c>
      <c r="AW163" s="225">
        <f t="shared" si="154"/>
        <v>3.0332514902049907</v>
      </c>
    </row>
    <row r="164" spans="1:49">
      <c r="A164" s="166">
        <f>'Input data'!A122</f>
        <v>2022</v>
      </c>
      <c r="B164" s="177">
        <f>'Input data'!B122</f>
        <v>60.963559588769527</v>
      </c>
      <c r="C164" s="100">
        <f>'Recycling - Case 2'!E102</f>
        <v>0.82449230769230786</v>
      </c>
      <c r="D164" s="471">
        <f>'Recycling - Case 2'!F102</f>
        <v>0.31946538461538454</v>
      </c>
      <c r="E164" s="203">
        <f t="shared" si="155"/>
        <v>948868085.26389825</v>
      </c>
      <c r="F164" s="204">
        <v>0</v>
      </c>
      <c r="G164" s="205">
        <f t="shared" si="132"/>
        <v>948868085.26389825</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15043208.644068422</v>
      </c>
      <c r="AA164" s="204">
        <f t="shared" si="134"/>
        <v>0</v>
      </c>
      <c r="AB164" s="204">
        <f t="shared" si="135"/>
        <v>15043208.644068422</v>
      </c>
      <c r="AC164" s="204">
        <f t="shared" si="136"/>
        <v>8424196.8406783175</v>
      </c>
      <c r="AD164" s="204">
        <f t="shared" si="137"/>
        <v>1203456.6915254733</v>
      </c>
      <c r="AE164" s="204">
        <f t="shared" si="138"/>
        <v>0</v>
      </c>
      <c r="AF164" s="839">
        <f t="shared" si="139"/>
        <v>39714070.820340633</v>
      </c>
      <c r="AG164" s="203">
        <f t="shared" si="140"/>
        <v>0</v>
      </c>
      <c r="AH164" s="204">
        <f t="shared" si="141"/>
        <v>0</v>
      </c>
      <c r="AI164" s="204">
        <f t="shared" si="142"/>
        <v>5123887.6604250502</v>
      </c>
      <c r="AJ164" s="204">
        <f t="shared" si="143"/>
        <v>1024777.53208501</v>
      </c>
      <c r="AK164" s="204">
        <f t="shared" si="144"/>
        <v>0</v>
      </c>
      <c r="AL164" s="204">
        <f t="shared" si="145"/>
        <v>0</v>
      </c>
      <c r="AM164" s="210">
        <f t="shared" si="146"/>
        <v>6148665.19251006</v>
      </c>
      <c r="AN164" s="203">
        <f t="shared" si="147"/>
        <v>51984467.949709803</v>
      </c>
      <c r="AO164" s="204">
        <f t="shared" si="148"/>
        <v>0</v>
      </c>
      <c r="AP164" s="204">
        <f t="shared" si="149"/>
        <v>25992233.974854901</v>
      </c>
      <c r="AQ164" s="204">
        <f t="shared" si="150"/>
        <v>36694918.552736327</v>
      </c>
      <c r="AR164" s="204">
        <f t="shared" si="151"/>
        <v>1528954.9396973462</v>
      </c>
      <c r="AS164" s="204">
        <f t="shared" si="152"/>
        <v>0</v>
      </c>
      <c r="AT164" s="210">
        <f t="shared" si="153"/>
        <v>116200575.41699837</v>
      </c>
      <c r="AU164" s="222">
        <v>0</v>
      </c>
      <c r="AV164" s="214">
        <f t="shared" si="167"/>
        <v>162.06331142984905</v>
      </c>
      <c r="AW164" s="225">
        <f t="shared" si="154"/>
        <v>3.0738670955972056</v>
      </c>
    </row>
    <row r="165" spans="1:49">
      <c r="A165" s="166">
        <f>'Input data'!A123</f>
        <v>2023</v>
      </c>
      <c r="B165" s="177">
        <f>'Input data'!B123</f>
        <v>61.723133308607778</v>
      </c>
      <c r="C165" s="100">
        <f>'Recycling - Case 2'!E103</f>
        <v>0.84643076923076943</v>
      </c>
      <c r="D165" s="471">
        <f>'Recycling - Case 2'!F103</f>
        <v>0.32543846153846145</v>
      </c>
      <c r="E165" s="203">
        <f t="shared" si="155"/>
        <v>960690479.92099226</v>
      </c>
      <c r="F165" s="204">
        <v>0</v>
      </c>
      <c r="G165" s="205">
        <f t="shared" si="132"/>
        <v>960690479.92099226</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16028751.161143327</v>
      </c>
      <c r="AA165" s="204">
        <f t="shared" si="134"/>
        <v>0</v>
      </c>
      <c r="AB165" s="204">
        <f t="shared" si="135"/>
        <v>16028751.161143327</v>
      </c>
      <c r="AC165" s="204">
        <f t="shared" si="136"/>
        <v>8976100.6502402667</v>
      </c>
      <c r="AD165" s="204">
        <f t="shared" si="137"/>
        <v>1282300.0928914656</v>
      </c>
      <c r="AE165" s="204">
        <f t="shared" si="138"/>
        <v>0</v>
      </c>
      <c r="AF165" s="839">
        <f t="shared" si="139"/>
        <v>42315903.065418385</v>
      </c>
      <c r="AG165" s="203">
        <f t="shared" si="140"/>
        <v>0</v>
      </c>
      <c r="AH165" s="204">
        <f t="shared" si="141"/>
        <v>0</v>
      </c>
      <c r="AI165" s="204">
        <f t="shared" si="142"/>
        <v>5187728.5915733576</v>
      </c>
      <c r="AJ165" s="204">
        <f t="shared" si="143"/>
        <v>1037545.7183146715</v>
      </c>
      <c r="AK165" s="204">
        <f t="shared" si="144"/>
        <v>0</v>
      </c>
      <c r="AL165" s="204">
        <f t="shared" si="145"/>
        <v>0</v>
      </c>
      <c r="AM165" s="210">
        <f t="shared" si="146"/>
        <v>6225274.3098880295</v>
      </c>
      <c r="AN165" s="203">
        <f t="shared" si="147"/>
        <v>53555538.284887873</v>
      </c>
      <c r="AO165" s="204">
        <f t="shared" si="148"/>
        <v>0</v>
      </c>
      <c r="AP165" s="204">
        <f t="shared" si="149"/>
        <v>26777769.142443936</v>
      </c>
      <c r="AQ165" s="204">
        <f t="shared" si="150"/>
        <v>37803909.37756791</v>
      </c>
      <c r="AR165" s="204">
        <f t="shared" si="151"/>
        <v>1575162.8907319957</v>
      </c>
      <c r="AS165" s="204">
        <f t="shared" si="152"/>
        <v>0</v>
      </c>
      <c r="AT165" s="210">
        <f t="shared" si="153"/>
        <v>119712379.69563171</v>
      </c>
      <c r="AU165" s="222">
        <v>0</v>
      </c>
      <c r="AV165" s="214">
        <f t="shared" si="167"/>
        <v>168.25355707093811</v>
      </c>
      <c r="AW165" s="225">
        <f t="shared" si="154"/>
        <v>3.1121658543941133</v>
      </c>
    </row>
    <row r="166" spans="1:49">
      <c r="A166" s="166">
        <f>'Input data'!A124</f>
        <v>2024</v>
      </c>
      <c r="B166" s="177">
        <f>'Input data'!B124</f>
        <v>62.434728280060035</v>
      </c>
      <c r="C166" s="100">
        <f>'Recycling - Case 2'!E104</f>
        <v>0.868369230769231</v>
      </c>
      <c r="D166" s="471">
        <f>'Recycling - Case 2'!F104</f>
        <v>0.33141153846153837</v>
      </c>
      <c r="E166" s="203">
        <f t="shared" si="155"/>
        <v>971766108.74909794</v>
      </c>
      <c r="F166" s="204">
        <v>0</v>
      </c>
      <c r="G166" s="205">
        <f t="shared" si="132"/>
        <v>971766108.74909794</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17020857.150936123</v>
      </c>
      <c r="AA166" s="204">
        <f t="shared" si="134"/>
        <v>0</v>
      </c>
      <c r="AB166" s="204">
        <f t="shared" si="135"/>
        <v>17020857.150936123</v>
      </c>
      <c r="AC166" s="204">
        <f t="shared" si="136"/>
        <v>9531680.0045242328</v>
      </c>
      <c r="AD166" s="204">
        <f t="shared" si="137"/>
        <v>1361668.5720748897</v>
      </c>
      <c r="AE166" s="204">
        <f t="shared" si="138"/>
        <v>0</v>
      </c>
      <c r="AF166" s="839">
        <f t="shared" si="139"/>
        <v>44935062.878471367</v>
      </c>
      <c r="AG166" s="203">
        <f t="shared" si="140"/>
        <v>0</v>
      </c>
      <c r="AH166" s="204">
        <f t="shared" si="141"/>
        <v>0</v>
      </c>
      <c r="AI166" s="204">
        <f t="shared" si="142"/>
        <v>5247536.9872451285</v>
      </c>
      <c r="AJ166" s="204">
        <f t="shared" si="143"/>
        <v>1049507.3974490257</v>
      </c>
      <c r="AK166" s="204">
        <f t="shared" si="144"/>
        <v>0</v>
      </c>
      <c r="AL166" s="204">
        <f t="shared" si="145"/>
        <v>0</v>
      </c>
      <c r="AM166" s="210">
        <f t="shared" si="146"/>
        <v>6297044.3846941544</v>
      </c>
      <c r="AN166" s="203">
        <f t="shared" si="147"/>
        <v>55106987.246182986</v>
      </c>
      <c r="AO166" s="204">
        <f t="shared" si="148"/>
        <v>0</v>
      </c>
      <c r="AP166" s="204">
        <f t="shared" si="149"/>
        <v>27553493.623091493</v>
      </c>
      <c r="AQ166" s="204">
        <f t="shared" si="150"/>
        <v>38899049.820835054</v>
      </c>
      <c r="AR166" s="204">
        <f t="shared" si="151"/>
        <v>1620793.7425347927</v>
      </c>
      <c r="AS166" s="204">
        <f t="shared" si="152"/>
        <v>0</v>
      </c>
      <c r="AT166" s="210">
        <f t="shared" si="153"/>
        <v>123180324.43264432</v>
      </c>
      <c r="AU166" s="222">
        <v>0</v>
      </c>
      <c r="AV166" s="214">
        <f t="shared" si="167"/>
        <v>174.41243169580983</v>
      </c>
      <c r="AW166" s="225">
        <f t="shared" si="154"/>
        <v>3.1480454582573771</v>
      </c>
    </row>
    <row r="167" spans="1:49">
      <c r="A167" s="166">
        <f>'Input data'!A125</f>
        <v>2025</v>
      </c>
      <c r="B167" s="177">
        <f>'Input data'!B125</f>
        <v>63.096422221537942</v>
      </c>
      <c r="C167" s="100">
        <f>'Recycling - Case 2'!E105</f>
        <v>0.89030769230769258</v>
      </c>
      <c r="D167" s="471">
        <f>'Recycling - Case 2'!F105</f>
        <v>0.33738461538461528</v>
      </c>
      <c r="E167" s="203">
        <f t="shared" si="155"/>
        <v>982065052.37240517</v>
      </c>
      <c r="F167" s="204">
        <v>0</v>
      </c>
      <c r="G167" s="205">
        <f t="shared" si="132"/>
        <v>982065052.37240517</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18017116.537755277</v>
      </c>
      <c r="AA167" s="204">
        <f t="shared" si="134"/>
        <v>0</v>
      </c>
      <c r="AB167" s="204">
        <f t="shared" si="135"/>
        <v>18017116.537755277</v>
      </c>
      <c r="AC167" s="204">
        <f t="shared" si="136"/>
        <v>10089585.261142962</v>
      </c>
      <c r="AD167" s="204">
        <f t="shared" si="137"/>
        <v>1441369.3230204221</v>
      </c>
      <c r="AE167" s="204">
        <f t="shared" si="138"/>
        <v>0</v>
      </c>
      <c r="AF167" s="839">
        <f t="shared" si="139"/>
        <v>47565187.659673937</v>
      </c>
      <c r="AG167" s="203">
        <f t="shared" si="140"/>
        <v>0</v>
      </c>
      <c r="AH167" s="204">
        <f t="shared" si="141"/>
        <v>0</v>
      </c>
      <c r="AI167" s="204">
        <f t="shared" si="142"/>
        <v>5303151.282810987</v>
      </c>
      <c r="AJ167" s="204">
        <f t="shared" si="143"/>
        <v>1060630.2565621976</v>
      </c>
      <c r="AK167" s="204">
        <f t="shared" si="144"/>
        <v>0</v>
      </c>
      <c r="AL167" s="204">
        <f t="shared" si="145"/>
        <v>0</v>
      </c>
      <c r="AM167" s="210">
        <f t="shared" si="146"/>
        <v>6363781.5393731846</v>
      </c>
      <c r="AN167" s="203">
        <f t="shared" si="147"/>
        <v>56634936.135660954</v>
      </c>
      <c r="AO167" s="204">
        <f t="shared" si="148"/>
        <v>0</v>
      </c>
      <c r="AP167" s="204">
        <f t="shared" si="149"/>
        <v>28317468.067830477</v>
      </c>
      <c r="AQ167" s="204">
        <f t="shared" si="150"/>
        <v>39977601.978113607</v>
      </c>
      <c r="AR167" s="204">
        <f t="shared" si="151"/>
        <v>1665733.4157547327</v>
      </c>
      <c r="AS167" s="204">
        <f t="shared" si="152"/>
        <v>0</v>
      </c>
      <c r="AT167" s="210">
        <f t="shared" si="153"/>
        <v>126595739.59735978</v>
      </c>
      <c r="AU167" s="222">
        <v>0</v>
      </c>
      <c r="AV167" s="214">
        <f t="shared" si="167"/>
        <v>180.52470879640688</v>
      </c>
      <c r="AW167" s="225">
        <f t="shared" si="154"/>
        <v>3.1814089830873744</v>
      </c>
    </row>
    <row r="168" spans="1:49">
      <c r="A168" s="166">
        <f>'Input data'!A126</f>
        <v>2026</v>
      </c>
      <c r="B168" s="177">
        <f>'Input data'!B126</f>
        <v>63.744102485123491</v>
      </c>
      <c r="C168" s="100">
        <f>'Recycling - Case 2'!E106</f>
        <v>0.91224615384615415</v>
      </c>
      <c r="D168" s="471">
        <f>'Recycling - Case 2'!F106</f>
        <v>0.3433576923076922</v>
      </c>
      <c r="E168" s="203">
        <f t="shared" si="155"/>
        <v>992145879.93098581</v>
      </c>
      <c r="F168" s="204">
        <v>0</v>
      </c>
      <c r="G168" s="205">
        <f t="shared" si="132"/>
        <v>992145879.93098581</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19026305.220522676</v>
      </c>
      <c r="AA168" s="204">
        <f t="shared" si="134"/>
        <v>0</v>
      </c>
      <c r="AB168" s="204">
        <f t="shared" si="135"/>
        <v>19026305.220522676</v>
      </c>
      <c r="AC168" s="204">
        <f t="shared" si="136"/>
        <v>10654730.923492702</v>
      </c>
      <c r="AD168" s="204">
        <f t="shared" si="137"/>
        <v>1522104.4176418139</v>
      </c>
      <c r="AE168" s="204">
        <f t="shared" si="138"/>
        <v>0</v>
      </c>
      <c r="AF168" s="839">
        <f t="shared" si="139"/>
        <v>50229445.782179862</v>
      </c>
      <c r="AG168" s="203">
        <f t="shared" si="140"/>
        <v>0</v>
      </c>
      <c r="AH168" s="204">
        <f t="shared" si="141"/>
        <v>0</v>
      </c>
      <c r="AI168" s="204">
        <f t="shared" si="142"/>
        <v>5357587.7516273232</v>
      </c>
      <c r="AJ168" s="204">
        <f t="shared" si="143"/>
        <v>1071517.5503254645</v>
      </c>
      <c r="AK168" s="204">
        <f t="shared" si="144"/>
        <v>0</v>
      </c>
      <c r="AL168" s="204">
        <f t="shared" si="145"/>
        <v>0</v>
      </c>
      <c r="AM168" s="210">
        <f t="shared" si="146"/>
        <v>6429105.3019527877</v>
      </c>
      <c r="AN168" s="203">
        <f t="shared" si="147"/>
        <v>58169894.534922913</v>
      </c>
      <c r="AO168" s="204">
        <f t="shared" si="148"/>
        <v>0</v>
      </c>
      <c r="AP168" s="204">
        <f t="shared" si="149"/>
        <v>29084947.267461456</v>
      </c>
      <c r="AQ168" s="204">
        <f t="shared" si="150"/>
        <v>41061102.024651475</v>
      </c>
      <c r="AR168" s="204">
        <f t="shared" si="151"/>
        <v>1710879.2510271433</v>
      </c>
      <c r="AS168" s="204">
        <f t="shared" si="152"/>
        <v>0</v>
      </c>
      <c r="AT168" s="210">
        <f t="shared" si="153"/>
        <v>130026823.07806298</v>
      </c>
      <c r="AU168" s="222">
        <v>0</v>
      </c>
      <c r="AV168" s="214">
        <f t="shared" si="167"/>
        <v>186.68537416219561</v>
      </c>
      <c r="AW168" s="225">
        <f t="shared" si="154"/>
        <v>3.2140659188721759</v>
      </c>
    </row>
    <row r="169" spans="1:49">
      <c r="A169" s="166">
        <f>'Input data'!A127</f>
        <v>2027</v>
      </c>
      <c r="B169" s="177">
        <f>'Input data'!B127</f>
        <v>64.377188881988602</v>
      </c>
      <c r="C169" s="100">
        <f>'Recycling - Case 2'!E107</f>
        <v>0.93418461538461572</v>
      </c>
      <c r="D169" s="471">
        <f>'Recycling - Case 2'!F107</f>
        <v>0.34933076923076911</v>
      </c>
      <c r="E169" s="203">
        <f t="shared" si="155"/>
        <v>1001999561.0685728</v>
      </c>
      <c r="F169" s="204">
        <v>0</v>
      </c>
      <c r="G169" s="205">
        <f t="shared" si="132"/>
        <v>1001999561.0685728</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20047698.910302751</v>
      </c>
      <c r="AA169" s="204">
        <f t="shared" si="134"/>
        <v>0</v>
      </c>
      <c r="AB169" s="204">
        <f t="shared" si="135"/>
        <v>20047698.910302751</v>
      </c>
      <c r="AC169" s="204">
        <f t="shared" si="136"/>
        <v>11226711.389769547</v>
      </c>
      <c r="AD169" s="204">
        <f t="shared" si="137"/>
        <v>1603815.9128242203</v>
      </c>
      <c r="AE169" s="204">
        <f t="shared" si="138"/>
        <v>0</v>
      </c>
      <c r="AF169" s="839">
        <f t="shared" si="139"/>
        <v>52925925.123199269</v>
      </c>
      <c r="AG169" s="203">
        <f t="shared" si="140"/>
        <v>0</v>
      </c>
      <c r="AH169" s="204">
        <f t="shared" si="141"/>
        <v>0</v>
      </c>
      <c r="AI169" s="204">
        <f t="shared" si="142"/>
        <v>5410797.6297702929</v>
      </c>
      <c r="AJ169" s="204">
        <f t="shared" si="143"/>
        <v>1082159.5259540584</v>
      </c>
      <c r="AK169" s="204">
        <f t="shared" si="144"/>
        <v>0</v>
      </c>
      <c r="AL169" s="204">
        <f t="shared" si="145"/>
        <v>0</v>
      </c>
      <c r="AM169" s="210">
        <f t="shared" si="146"/>
        <v>6492957.1557243513</v>
      </c>
      <c r="AN169" s="203">
        <f t="shared" si="147"/>
        <v>59710695.381862529</v>
      </c>
      <c r="AO169" s="204">
        <f t="shared" si="148"/>
        <v>0</v>
      </c>
      <c r="AP169" s="204">
        <f t="shared" si="149"/>
        <v>29855347.690931264</v>
      </c>
      <c r="AQ169" s="204">
        <f t="shared" si="150"/>
        <v>42148726.151902966</v>
      </c>
      <c r="AR169" s="204">
        <f t="shared" si="151"/>
        <v>1756196.922995955</v>
      </c>
      <c r="AS169" s="204">
        <f t="shared" si="152"/>
        <v>0</v>
      </c>
      <c r="AT169" s="210">
        <f t="shared" si="153"/>
        <v>133470966.14769271</v>
      </c>
      <c r="AU169" s="222">
        <v>0</v>
      </c>
      <c r="AV169" s="214">
        <f t="shared" si="167"/>
        <v>192.88984842661634</v>
      </c>
      <c r="AW169" s="225">
        <f t="shared" si="154"/>
        <v>3.2459870116876344</v>
      </c>
    </row>
    <row r="170" spans="1:49">
      <c r="A170" s="166">
        <f>'Input data'!A128</f>
        <v>2028</v>
      </c>
      <c r="B170" s="177">
        <f>'Input data'!B128</f>
        <v>64.995109664264291</v>
      </c>
      <c r="C170" s="100">
        <f>'Recycling - Case 2'!E108</f>
        <v>0.9561230769230773</v>
      </c>
      <c r="D170" s="471">
        <f>'Recycling - Case 2'!F108</f>
        <v>0.35530384615384603</v>
      </c>
      <c r="E170" s="203">
        <f t="shared" si="155"/>
        <v>1011617196.8083125</v>
      </c>
      <c r="F170" s="204">
        <v>0</v>
      </c>
      <c r="G170" s="205">
        <f t="shared" si="132"/>
        <v>1011617196.8083125</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21080546.047336295</v>
      </c>
      <c r="AA170" s="204">
        <f t="shared" si="134"/>
        <v>0</v>
      </c>
      <c r="AB170" s="204">
        <f t="shared" si="135"/>
        <v>21080546.047336295</v>
      </c>
      <c r="AC170" s="204">
        <f t="shared" si="136"/>
        <v>11805105.786508333</v>
      </c>
      <c r="AD170" s="204">
        <f t="shared" si="137"/>
        <v>1686443.683786904</v>
      </c>
      <c r="AE170" s="204">
        <f t="shared" si="138"/>
        <v>0</v>
      </c>
      <c r="AF170" s="839">
        <f t="shared" si="139"/>
        <v>55652641.564967833</v>
      </c>
      <c r="AG170" s="203">
        <f t="shared" si="140"/>
        <v>0</v>
      </c>
      <c r="AH170" s="204">
        <f t="shared" si="141"/>
        <v>0</v>
      </c>
      <c r="AI170" s="204">
        <f t="shared" si="142"/>
        <v>5462732.8627648875</v>
      </c>
      <c r="AJ170" s="204">
        <f t="shared" si="143"/>
        <v>1092546.5725529774</v>
      </c>
      <c r="AK170" s="204">
        <f t="shared" si="144"/>
        <v>0</v>
      </c>
      <c r="AL170" s="204">
        <f t="shared" si="145"/>
        <v>0</v>
      </c>
      <c r="AM170" s="210">
        <f t="shared" si="146"/>
        <v>6555279.4353178646</v>
      </c>
      <c r="AN170" s="203">
        <f t="shared" si="147"/>
        <v>61256144.851503983</v>
      </c>
      <c r="AO170" s="204">
        <f t="shared" si="148"/>
        <v>0</v>
      </c>
      <c r="AP170" s="204">
        <f t="shared" si="149"/>
        <v>30628072.425751992</v>
      </c>
      <c r="AQ170" s="204">
        <f t="shared" si="150"/>
        <v>43239631.659885168</v>
      </c>
      <c r="AR170" s="204">
        <f t="shared" si="151"/>
        <v>1801651.3191618801</v>
      </c>
      <c r="AS170" s="204">
        <f t="shared" si="152"/>
        <v>0</v>
      </c>
      <c r="AT170" s="210">
        <f t="shared" si="153"/>
        <v>136925500.25630304</v>
      </c>
      <c r="AU170" s="222">
        <v>0</v>
      </c>
      <c r="AV170" s="214">
        <f t="shared" si="167"/>
        <v>199.13342125658875</v>
      </c>
      <c r="AW170" s="225">
        <f t="shared" si="154"/>
        <v>3.277143433214452</v>
      </c>
    </row>
    <row r="171" spans="1:49">
      <c r="A171" s="166">
        <f>'Input data'!A129</f>
        <v>2029</v>
      </c>
      <c r="B171" s="177">
        <f>'Input data'!B129</f>
        <v>65.59730237662275</v>
      </c>
      <c r="C171" s="100">
        <f>'Recycling - Case 2'!E109</f>
        <v>0.97806153846153887</v>
      </c>
      <c r="D171" s="471">
        <f>'Recycling - Case 2'!F109</f>
        <v>0.36127692307692294</v>
      </c>
      <c r="E171" s="203">
        <f t="shared" si="155"/>
        <v>1020990032.8072246</v>
      </c>
      <c r="F171" s="204">
        <v>0</v>
      </c>
      <c r="G171" s="205">
        <f t="shared" si="132"/>
        <v>1020990032.8072246</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22124068.633984242</v>
      </c>
      <c r="AA171" s="204">
        <f t="shared" si="134"/>
        <v>0</v>
      </c>
      <c r="AB171" s="204">
        <f t="shared" si="135"/>
        <v>22124068.633984242</v>
      </c>
      <c r="AC171" s="204">
        <f t="shared" si="136"/>
        <v>12389478.435031183</v>
      </c>
      <c r="AD171" s="204">
        <f t="shared" si="137"/>
        <v>1769925.4907187398</v>
      </c>
      <c r="AE171" s="204">
        <f t="shared" si="138"/>
        <v>0</v>
      </c>
      <c r="AF171" s="839">
        <f t="shared" si="139"/>
        <v>58407541.193718404</v>
      </c>
      <c r="AG171" s="203">
        <f t="shared" si="140"/>
        <v>0</v>
      </c>
      <c r="AH171" s="204">
        <f t="shared" si="141"/>
        <v>0</v>
      </c>
      <c r="AI171" s="204">
        <f t="shared" si="142"/>
        <v>5513346.1771590132</v>
      </c>
      <c r="AJ171" s="204">
        <f t="shared" si="143"/>
        <v>1102669.2354318025</v>
      </c>
      <c r="AK171" s="204">
        <f t="shared" si="144"/>
        <v>0</v>
      </c>
      <c r="AL171" s="204">
        <f t="shared" si="145"/>
        <v>0</v>
      </c>
      <c r="AM171" s="210">
        <f t="shared" si="146"/>
        <v>6616015.4125908157</v>
      </c>
      <c r="AN171" s="203">
        <f t="shared" si="147"/>
        <v>62805023.802713968</v>
      </c>
      <c r="AO171" s="204">
        <f t="shared" si="148"/>
        <v>0</v>
      </c>
      <c r="AP171" s="204">
        <f t="shared" si="149"/>
        <v>31402511.901356984</v>
      </c>
      <c r="AQ171" s="204">
        <f t="shared" si="150"/>
        <v>44332957.978386335</v>
      </c>
      <c r="AR171" s="204">
        <f t="shared" si="151"/>
        <v>1847206.5824327623</v>
      </c>
      <c r="AS171" s="204">
        <f t="shared" si="152"/>
        <v>0</v>
      </c>
      <c r="AT171" s="210">
        <f t="shared" si="153"/>
        <v>140387700.26489007</v>
      </c>
      <c r="AU171" s="222">
        <v>0</v>
      </c>
      <c r="AV171" s="214">
        <f t="shared" si="167"/>
        <v>205.4112568711993</v>
      </c>
      <c r="AW171" s="225">
        <f t="shared" si="154"/>
        <v>3.307506823676122</v>
      </c>
    </row>
    <row r="172" spans="1:49" s="1" customFormat="1">
      <c r="A172" s="108">
        <f>'Input data'!A130</f>
        <v>2030</v>
      </c>
      <c r="B172" s="177">
        <f>'Input data'!B130</f>
        <v>66.183214701401099</v>
      </c>
      <c r="C172" s="100">
        <f>'Recycling - Case 2'!E110</f>
        <v>1</v>
      </c>
      <c r="D172" s="471">
        <f>'Recycling - Case 2'!F110</f>
        <v>0.36725000000000002</v>
      </c>
      <c r="E172" s="685">
        <f t="shared" si="155"/>
        <v>1030109472.5101414</v>
      </c>
      <c r="F172" s="472">
        <v>0</v>
      </c>
      <c r="G172" s="592">
        <f t="shared" si="132"/>
        <v>1030109472.5101414</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23177463.131478183</v>
      </c>
      <c r="AA172" s="472">
        <f t="shared" si="134"/>
        <v>0</v>
      </c>
      <c r="AB172" s="472">
        <f t="shared" si="135"/>
        <v>23177463.131478183</v>
      </c>
      <c r="AC172" s="472">
        <f t="shared" si="136"/>
        <v>12979379.353627784</v>
      </c>
      <c r="AD172" s="472">
        <f t="shared" si="137"/>
        <v>1854197.0505182547</v>
      </c>
      <c r="AE172" s="472">
        <f t="shared" si="138"/>
        <v>0</v>
      </c>
      <c r="AF172" s="849">
        <f t="shared" si="139"/>
        <v>61188502.667102404</v>
      </c>
      <c r="AG172" s="685">
        <f t="shared" si="140"/>
        <v>0</v>
      </c>
      <c r="AH172" s="472">
        <f t="shared" si="141"/>
        <v>0</v>
      </c>
      <c r="AI172" s="472">
        <f t="shared" si="142"/>
        <v>5562591.1515547624</v>
      </c>
      <c r="AJ172" s="472">
        <f t="shared" si="143"/>
        <v>1112518.2303109525</v>
      </c>
      <c r="AK172" s="472">
        <f t="shared" si="144"/>
        <v>0</v>
      </c>
      <c r="AL172" s="472">
        <f t="shared" si="145"/>
        <v>0</v>
      </c>
      <c r="AM172" s="687">
        <f t="shared" si="146"/>
        <v>6675109.3818657147</v>
      </c>
      <c r="AN172" s="685">
        <f t="shared" si="147"/>
        <v>64356089.29507108</v>
      </c>
      <c r="AO172" s="472">
        <f t="shared" si="148"/>
        <v>0</v>
      </c>
      <c r="AP172" s="472">
        <f t="shared" si="149"/>
        <v>32178044.64753554</v>
      </c>
      <c r="AQ172" s="472">
        <f t="shared" si="150"/>
        <v>45427827.737697229</v>
      </c>
      <c r="AR172" s="472">
        <f t="shared" si="151"/>
        <v>1892826.1557373847</v>
      </c>
      <c r="AS172" s="472">
        <f t="shared" si="152"/>
        <v>0</v>
      </c>
      <c r="AT172" s="687">
        <f t="shared" si="153"/>
        <v>143854787.83604124</v>
      </c>
      <c r="AU172" s="222">
        <v>0</v>
      </c>
      <c r="AV172" s="214">
        <f t="shared" si="167"/>
        <v>211.71839988500935</v>
      </c>
      <c r="AW172" s="225">
        <f t="shared" si="154"/>
        <v>3.337049334451244</v>
      </c>
    </row>
    <row r="173" spans="1:49">
      <c r="A173" s="166">
        <f>'Input data'!A131</f>
        <v>2031</v>
      </c>
      <c r="B173" s="177">
        <f>'Input data'!B131</f>
        <v>66.757007289602299</v>
      </c>
      <c r="C173" s="100">
        <f>'Recycling - Case 2'!E111</f>
        <v>1</v>
      </c>
      <c r="D173" s="471">
        <f>'Recycling - Case 2'!F111</f>
        <v>0.36725000000000002</v>
      </c>
      <c r="E173" s="203">
        <f t="shared" si="155"/>
        <v>1039040274.4216062</v>
      </c>
      <c r="F173" s="204">
        <v>0</v>
      </c>
      <c r="G173" s="205">
        <f t="shared" si="132"/>
        <v>1039040274.4216062</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23378406.174486142</v>
      </c>
      <c r="AA173" s="204">
        <f t="shared" si="134"/>
        <v>0</v>
      </c>
      <c r="AB173" s="204">
        <f t="shared" si="135"/>
        <v>23378406.174486142</v>
      </c>
      <c r="AC173" s="204">
        <f t="shared" si="136"/>
        <v>13091907.457712241</v>
      </c>
      <c r="AD173" s="204">
        <f t="shared" si="137"/>
        <v>1870272.4939588914</v>
      </c>
      <c r="AE173" s="204">
        <f t="shared" si="138"/>
        <v>0</v>
      </c>
      <c r="AF173" s="839">
        <f t="shared" si="139"/>
        <v>61718992.300643414</v>
      </c>
      <c r="AG173" s="203">
        <f t="shared" si="140"/>
        <v>0</v>
      </c>
      <c r="AH173" s="204">
        <f t="shared" si="141"/>
        <v>0</v>
      </c>
      <c r="AI173" s="204">
        <f t="shared" si="142"/>
        <v>5610817.4818766732</v>
      </c>
      <c r="AJ173" s="204">
        <f t="shared" si="143"/>
        <v>1122163.4963753344</v>
      </c>
      <c r="AK173" s="204">
        <f t="shared" si="144"/>
        <v>0</v>
      </c>
      <c r="AL173" s="204">
        <f t="shared" si="145"/>
        <v>0</v>
      </c>
      <c r="AM173" s="210">
        <f t="shared" si="146"/>
        <v>6732980.9782520076</v>
      </c>
      <c r="AN173" s="203">
        <f t="shared" si="147"/>
        <v>64914041.144489847</v>
      </c>
      <c r="AO173" s="204">
        <f t="shared" si="148"/>
        <v>0</v>
      </c>
      <c r="AP173" s="204">
        <f t="shared" si="149"/>
        <v>32457020.572244924</v>
      </c>
      <c r="AQ173" s="204">
        <f t="shared" si="150"/>
        <v>45821676.101992831</v>
      </c>
      <c r="AR173" s="204">
        <f t="shared" si="151"/>
        <v>1909236.504249701</v>
      </c>
      <c r="AS173" s="204">
        <f t="shared" si="152"/>
        <v>0</v>
      </c>
      <c r="AT173" s="210">
        <f t="shared" si="153"/>
        <v>145101974.3229773</v>
      </c>
      <c r="AU173" s="222">
        <v>0</v>
      </c>
      <c r="AV173" s="214">
        <f t="shared" si="167"/>
        <v>213.55394760187275</v>
      </c>
      <c r="AW173" s="225">
        <f t="shared" si="154"/>
        <v>3.3659807513249738</v>
      </c>
    </row>
    <row r="174" spans="1:49">
      <c r="A174" s="166">
        <f>'Input data'!A132</f>
        <v>2032</v>
      </c>
      <c r="B174" s="177">
        <f>'Input data'!B132</f>
        <v>67.318270994163854</v>
      </c>
      <c r="C174" s="100">
        <f>'Recycling - Case 2'!E112</f>
        <v>1</v>
      </c>
      <c r="D174" s="471">
        <f>'Recycling - Case 2'!F112</f>
        <v>0.36725000000000002</v>
      </c>
      <c r="E174" s="203">
        <f t="shared" si="155"/>
        <v>1047776070.3670508</v>
      </c>
      <c r="F174" s="204">
        <v>0</v>
      </c>
      <c r="G174" s="205">
        <f t="shared" si="132"/>
        <v>1047776070.3670508</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23574961.583258644</v>
      </c>
      <c r="AA174" s="204">
        <f t="shared" si="134"/>
        <v>0</v>
      </c>
      <c r="AB174" s="204">
        <f t="shared" si="135"/>
        <v>23574961.583258644</v>
      </c>
      <c r="AC174" s="204">
        <f t="shared" si="136"/>
        <v>13201978.486624843</v>
      </c>
      <c r="AD174" s="204">
        <f t="shared" si="137"/>
        <v>1885996.9266606916</v>
      </c>
      <c r="AE174" s="204">
        <f t="shared" si="138"/>
        <v>0</v>
      </c>
      <c r="AF174" s="839">
        <f t="shared" si="139"/>
        <v>62237898.579802826</v>
      </c>
      <c r="AG174" s="203">
        <f t="shared" si="140"/>
        <v>0</v>
      </c>
      <c r="AH174" s="204">
        <f t="shared" si="141"/>
        <v>0</v>
      </c>
      <c r="AI174" s="204">
        <f t="shared" si="142"/>
        <v>5657990.7799820732</v>
      </c>
      <c r="AJ174" s="204">
        <f t="shared" si="143"/>
        <v>1131598.1559964146</v>
      </c>
      <c r="AK174" s="204">
        <f t="shared" si="144"/>
        <v>0</v>
      </c>
      <c r="AL174" s="204">
        <f t="shared" si="145"/>
        <v>0</v>
      </c>
      <c r="AM174" s="210">
        <f t="shared" si="146"/>
        <v>6789588.9359784881</v>
      </c>
      <c r="AN174" s="203">
        <f t="shared" si="147"/>
        <v>65459809.996181495</v>
      </c>
      <c r="AO174" s="204">
        <f t="shared" si="148"/>
        <v>0</v>
      </c>
      <c r="AP174" s="204">
        <f t="shared" si="149"/>
        <v>32729904.998090748</v>
      </c>
      <c r="AQ174" s="204">
        <f t="shared" si="150"/>
        <v>46206924.703186937</v>
      </c>
      <c r="AR174" s="204">
        <f t="shared" si="151"/>
        <v>1925288.5292994555</v>
      </c>
      <c r="AS174" s="204">
        <f t="shared" si="152"/>
        <v>0</v>
      </c>
      <c r="AT174" s="210">
        <f t="shared" si="153"/>
        <v>146321928.22675866</v>
      </c>
      <c r="AU174" s="222">
        <v>0</v>
      </c>
      <c r="AV174" s="214">
        <f t="shared" si="167"/>
        <v>215.34941574253997</v>
      </c>
      <c r="AW174" s="225">
        <f t="shared" si="154"/>
        <v>3.3942804445358443</v>
      </c>
    </row>
    <row r="175" spans="1:49">
      <c r="A175" s="166">
        <f>'Input data'!A133</f>
        <v>2033</v>
      </c>
      <c r="B175" s="177">
        <f>'Input data'!B133</f>
        <v>67.86660286866902</v>
      </c>
      <c r="C175" s="100">
        <f>'Recycling - Case 2'!E113</f>
        <v>1</v>
      </c>
      <c r="D175" s="471">
        <f>'Recycling - Case 2'!F113</f>
        <v>0.36725000000000002</v>
      </c>
      <c r="E175" s="203">
        <f t="shared" si="155"/>
        <v>1056310588.6819348</v>
      </c>
      <c r="F175" s="204">
        <v>0</v>
      </c>
      <c r="G175" s="205">
        <f t="shared" si="132"/>
        <v>1056310588.6819348</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23766988.245343536</v>
      </c>
      <c r="AA175" s="204">
        <f t="shared" si="134"/>
        <v>0</v>
      </c>
      <c r="AB175" s="204">
        <f t="shared" si="135"/>
        <v>23766988.245343536</v>
      </c>
      <c r="AC175" s="204">
        <f t="shared" si="136"/>
        <v>13309513.417392382</v>
      </c>
      <c r="AD175" s="204">
        <f t="shared" si="137"/>
        <v>1901359.0596274831</v>
      </c>
      <c r="AE175" s="204">
        <f t="shared" si="138"/>
        <v>0</v>
      </c>
      <c r="AF175" s="839">
        <f t="shared" si="139"/>
        <v>62744848.967706934</v>
      </c>
      <c r="AG175" s="203">
        <f t="shared" si="140"/>
        <v>0</v>
      </c>
      <c r="AH175" s="204">
        <f t="shared" si="141"/>
        <v>0</v>
      </c>
      <c r="AI175" s="204">
        <f t="shared" si="142"/>
        <v>5704077.178882448</v>
      </c>
      <c r="AJ175" s="204">
        <f t="shared" si="143"/>
        <v>1140815.4357764896</v>
      </c>
      <c r="AK175" s="204">
        <f t="shared" si="144"/>
        <v>0</v>
      </c>
      <c r="AL175" s="204">
        <f t="shared" si="145"/>
        <v>0</v>
      </c>
      <c r="AM175" s="210">
        <f t="shared" si="146"/>
        <v>6844892.6146589378</v>
      </c>
      <c r="AN175" s="203">
        <f t="shared" si="147"/>
        <v>65993004.027903877</v>
      </c>
      <c r="AO175" s="204">
        <f t="shared" si="148"/>
        <v>0</v>
      </c>
      <c r="AP175" s="204">
        <f t="shared" si="149"/>
        <v>32996502.013951939</v>
      </c>
      <c r="AQ175" s="204">
        <f t="shared" si="150"/>
        <v>46583296.960873321</v>
      </c>
      <c r="AR175" s="204">
        <f t="shared" si="151"/>
        <v>1940970.7067030552</v>
      </c>
      <c r="AS175" s="204">
        <f t="shared" si="152"/>
        <v>0</v>
      </c>
      <c r="AT175" s="210">
        <f t="shared" si="153"/>
        <v>147513773.70943218</v>
      </c>
      <c r="AU175" s="222">
        <v>0</v>
      </c>
      <c r="AV175" s="214">
        <f t="shared" si="167"/>
        <v>217.10351529179806</v>
      </c>
      <c r="AW175" s="225">
        <f t="shared" si="154"/>
        <v>3.4219280969675285</v>
      </c>
    </row>
    <row r="176" spans="1:49">
      <c r="A176" s="166">
        <f>'Input data'!A134</f>
        <v>2034</v>
      </c>
      <c r="B176" s="177">
        <f>'Input data'!B134</f>
        <v>68.401606645337111</v>
      </c>
      <c r="C176" s="100">
        <f>'Recycling - Case 2'!E114</f>
        <v>1</v>
      </c>
      <c r="D176" s="471">
        <f>'Recycling - Case 2'!F114</f>
        <v>0.36725000000000002</v>
      </c>
      <c r="E176" s="203">
        <f t="shared" si="155"/>
        <v>1064637661.6514326</v>
      </c>
      <c r="F176" s="204">
        <v>0</v>
      </c>
      <c r="G176" s="205">
        <f t="shared" si="132"/>
        <v>1064637661.6514326</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23954347.387157235</v>
      </c>
      <c r="AA176" s="204">
        <f t="shared" si="134"/>
        <v>0</v>
      </c>
      <c r="AB176" s="204">
        <f t="shared" si="135"/>
        <v>23954347.387157235</v>
      </c>
      <c r="AC176" s="204">
        <f t="shared" si="136"/>
        <v>13414434.536808055</v>
      </c>
      <c r="AD176" s="204">
        <f t="shared" si="137"/>
        <v>1916347.790972579</v>
      </c>
      <c r="AE176" s="204">
        <f t="shared" si="138"/>
        <v>0</v>
      </c>
      <c r="AF176" s="839">
        <f t="shared" si="139"/>
        <v>63239477.102095097</v>
      </c>
      <c r="AG176" s="203">
        <f t="shared" si="140"/>
        <v>0</v>
      </c>
      <c r="AH176" s="204">
        <f t="shared" si="141"/>
        <v>0</v>
      </c>
      <c r="AI176" s="204">
        <f t="shared" si="142"/>
        <v>5749043.372917735</v>
      </c>
      <c r="AJ176" s="204">
        <f t="shared" si="143"/>
        <v>1149808.6745835471</v>
      </c>
      <c r="AK176" s="204">
        <f t="shared" si="144"/>
        <v>0</v>
      </c>
      <c r="AL176" s="204">
        <f t="shared" si="145"/>
        <v>0</v>
      </c>
      <c r="AM176" s="210">
        <f t="shared" si="146"/>
        <v>6898852.0475012818</v>
      </c>
      <c r="AN176" s="203">
        <f t="shared" si="147"/>
        <v>66513237.911673263</v>
      </c>
      <c r="AO176" s="204">
        <f t="shared" si="148"/>
        <v>0</v>
      </c>
      <c r="AP176" s="204">
        <f t="shared" si="149"/>
        <v>33256618.955836631</v>
      </c>
      <c r="AQ176" s="204">
        <f t="shared" si="150"/>
        <v>46950520.878828175</v>
      </c>
      <c r="AR176" s="204">
        <f t="shared" si="151"/>
        <v>1956271.7032845074</v>
      </c>
      <c r="AS176" s="204">
        <f t="shared" si="152"/>
        <v>0</v>
      </c>
      <c r="AT176" s="210">
        <f t="shared" si="153"/>
        <v>148676649.44962257</v>
      </c>
      <c r="AU176" s="222">
        <v>0</v>
      </c>
      <c r="AV176" s="214">
        <f t="shared" si="167"/>
        <v>218.81497859921896</v>
      </c>
      <c r="AW176" s="225">
        <f t="shared" si="154"/>
        <v>3.4489037282497814</v>
      </c>
    </row>
    <row r="177" spans="1:49">
      <c r="A177" s="166">
        <f>'Input data'!A135</f>
        <v>2035</v>
      </c>
      <c r="B177" s="177">
        <f>'Input data'!B135</f>
        <v>68.922893208527455</v>
      </c>
      <c r="C177" s="100">
        <f>'Recycling - Case 2'!E115</f>
        <v>1</v>
      </c>
      <c r="D177" s="471">
        <f>'Recycling - Case 2'!F115</f>
        <v>0.36725000000000002</v>
      </c>
      <c r="E177" s="203">
        <f t="shared" si="155"/>
        <v>1072751232.8802906</v>
      </c>
      <c r="F177" s="204">
        <v>0</v>
      </c>
      <c r="G177" s="205">
        <f t="shared" si="132"/>
        <v>1072751232.8802906</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24136902.73980654</v>
      </c>
      <c r="AA177" s="204">
        <f t="shared" si="134"/>
        <v>0</v>
      </c>
      <c r="AB177" s="204">
        <f t="shared" si="135"/>
        <v>24136902.73980654</v>
      </c>
      <c r="AC177" s="204">
        <f t="shared" si="136"/>
        <v>13516665.534291666</v>
      </c>
      <c r="AD177" s="204">
        <f t="shared" si="137"/>
        <v>1930952.2191845234</v>
      </c>
      <c r="AE177" s="204">
        <f t="shared" si="138"/>
        <v>0</v>
      </c>
      <c r="AF177" s="839">
        <f t="shared" si="139"/>
        <v>63721423.233089276</v>
      </c>
      <c r="AG177" s="203">
        <f t="shared" si="140"/>
        <v>0</v>
      </c>
      <c r="AH177" s="204">
        <f t="shared" si="141"/>
        <v>0</v>
      </c>
      <c r="AI177" s="204">
        <f t="shared" si="142"/>
        <v>5792856.6575535685</v>
      </c>
      <c r="AJ177" s="204">
        <f t="shared" si="143"/>
        <v>1158571.3315107138</v>
      </c>
      <c r="AK177" s="204">
        <f t="shared" si="144"/>
        <v>0</v>
      </c>
      <c r="AL177" s="204">
        <f t="shared" si="145"/>
        <v>0</v>
      </c>
      <c r="AM177" s="210">
        <f t="shared" si="146"/>
        <v>6951427.9890642818</v>
      </c>
      <c r="AN177" s="203">
        <f t="shared" si="147"/>
        <v>67020133.274196155</v>
      </c>
      <c r="AO177" s="204">
        <f t="shared" si="148"/>
        <v>0</v>
      </c>
      <c r="AP177" s="204">
        <f t="shared" si="149"/>
        <v>33510066.637098078</v>
      </c>
      <c r="AQ177" s="204">
        <f t="shared" si="150"/>
        <v>47308329.370020814</v>
      </c>
      <c r="AR177" s="204">
        <f t="shared" si="151"/>
        <v>1971180.3904175339</v>
      </c>
      <c r="AS177" s="204">
        <f t="shared" si="152"/>
        <v>0</v>
      </c>
      <c r="AT177" s="210">
        <f t="shared" si="153"/>
        <v>149809709.6717326</v>
      </c>
      <c r="AU177" s="222">
        <v>0</v>
      </c>
      <c r="AV177" s="214">
        <f t="shared" si="167"/>
        <v>220.48256089388616</v>
      </c>
      <c r="AW177" s="225">
        <f t="shared" si="154"/>
        <v>3.4751877186331606</v>
      </c>
    </row>
    <row r="178" spans="1:49">
      <c r="A178" s="166">
        <f>'Input data'!A136</f>
        <v>2036</v>
      </c>
      <c r="B178" s="177">
        <f>'Input data'!B136</f>
        <v>69.431445341664755</v>
      </c>
      <c r="C178" s="100">
        <f>'Recycling - Case 2'!E116</f>
        <v>1</v>
      </c>
      <c r="D178" s="471">
        <f>'Recycling - Case 2'!F116</f>
        <v>0.36725000000000002</v>
      </c>
      <c r="E178" s="203">
        <f t="shared" si="155"/>
        <v>1080666598.913408</v>
      </c>
      <c r="F178" s="204">
        <v>0</v>
      </c>
      <c r="G178" s="205">
        <f t="shared" si="132"/>
        <v>1080666598.913408</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24314998.475551683</v>
      </c>
      <c r="AA178" s="204">
        <f t="shared" si="134"/>
        <v>0</v>
      </c>
      <c r="AB178" s="204">
        <f t="shared" si="135"/>
        <v>24314998.475551683</v>
      </c>
      <c r="AC178" s="204">
        <f t="shared" si="136"/>
        <v>13616399.146308944</v>
      </c>
      <c r="AD178" s="204">
        <f t="shared" si="137"/>
        <v>1945199.8780441349</v>
      </c>
      <c r="AE178" s="204">
        <f t="shared" si="138"/>
        <v>0</v>
      </c>
      <c r="AF178" s="839">
        <f t="shared" si="139"/>
        <v>64191595.975456446</v>
      </c>
      <c r="AG178" s="203">
        <f t="shared" si="140"/>
        <v>0</v>
      </c>
      <c r="AH178" s="204">
        <f t="shared" si="141"/>
        <v>0</v>
      </c>
      <c r="AI178" s="204">
        <f t="shared" si="142"/>
        <v>5835599.6341324029</v>
      </c>
      <c r="AJ178" s="204">
        <f t="shared" si="143"/>
        <v>1167119.9268264805</v>
      </c>
      <c r="AK178" s="204">
        <f t="shared" si="144"/>
        <v>0</v>
      </c>
      <c r="AL178" s="204">
        <f t="shared" si="145"/>
        <v>0</v>
      </c>
      <c r="AM178" s="210">
        <f t="shared" si="146"/>
        <v>7002719.5609588837</v>
      </c>
      <c r="AN178" s="203">
        <f t="shared" si="147"/>
        <v>67514645.767115161</v>
      </c>
      <c r="AO178" s="204">
        <f t="shared" si="148"/>
        <v>0</v>
      </c>
      <c r="AP178" s="204">
        <f t="shared" si="149"/>
        <v>33757322.88355758</v>
      </c>
      <c r="AQ178" s="204">
        <f t="shared" si="150"/>
        <v>47657397.012081288</v>
      </c>
      <c r="AR178" s="204">
        <f t="shared" si="151"/>
        <v>1985724.8755033871</v>
      </c>
      <c r="AS178" s="204">
        <f t="shared" si="152"/>
        <v>0</v>
      </c>
      <c r="AT178" s="210">
        <f t="shared" si="153"/>
        <v>150915090.53825742</v>
      </c>
      <c r="AU178" s="222">
        <v>0</v>
      </c>
      <c r="AV178" s="214">
        <f t="shared" si="167"/>
        <v>222.10940607467276</v>
      </c>
      <c r="AW178" s="225">
        <f t="shared" si="154"/>
        <v>3.5008296214188772</v>
      </c>
    </row>
    <row r="179" spans="1:49">
      <c r="A179" s="166">
        <f>'Input data'!A137</f>
        <v>2037</v>
      </c>
      <c r="B179" s="177">
        <f>'Input data'!B137</f>
        <v>69.92691944658003</v>
      </c>
      <c r="C179" s="100">
        <f>'Recycling - Case 2'!E117</f>
        <v>1</v>
      </c>
      <c r="D179" s="471">
        <f>'Recycling - Case 2'!F117</f>
        <v>0.36725000000000002</v>
      </c>
      <c r="E179" s="203">
        <f t="shared" si="155"/>
        <v>1088378411.812788</v>
      </c>
      <c r="F179" s="204">
        <v>0</v>
      </c>
      <c r="G179" s="205">
        <f t="shared" si="132"/>
        <v>1088378411.812788</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24488514.265787732</v>
      </c>
      <c r="AA179" s="204">
        <f t="shared" si="134"/>
        <v>0</v>
      </c>
      <c r="AB179" s="204">
        <f t="shared" si="135"/>
        <v>24488514.265787732</v>
      </c>
      <c r="AC179" s="204">
        <f t="shared" si="136"/>
        <v>13713567.988841133</v>
      </c>
      <c r="AD179" s="204">
        <f t="shared" si="137"/>
        <v>1959081.1412630186</v>
      </c>
      <c r="AE179" s="204">
        <f t="shared" si="138"/>
        <v>0</v>
      </c>
      <c r="AF179" s="839">
        <f t="shared" si="139"/>
        <v>64649677.661679611</v>
      </c>
      <c r="AG179" s="203">
        <f t="shared" si="140"/>
        <v>0</v>
      </c>
      <c r="AH179" s="204">
        <f t="shared" si="141"/>
        <v>0</v>
      </c>
      <c r="AI179" s="204">
        <f t="shared" si="142"/>
        <v>5877243.4237890542</v>
      </c>
      <c r="AJ179" s="204">
        <f t="shared" si="143"/>
        <v>1175448.6847578108</v>
      </c>
      <c r="AK179" s="204">
        <f t="shared" si="144"/>
        <v>0</v>
      </c>
      <c r="AL179" s="204">
        <f t="shared" si="145"/>
        <v>0</v>
      </c>
      <c r="AM179" s="210">
        <f t="shared" si="146"/>
        <v>7052692.1085468652</v>
      </c>
      <c r="AN179" s="203">
        <f t="shared" si="147"/>
        <v>67996441.278003931</v>
      </c>
      <c r="AO179" s="204">
        <f t="shared" si="148"/>
        <v>0</v>
      </c>
      <c r="AP179" s="204">
        <f t="shared" si="149"/>
        <v>33998220.639001966</v>
      </c>
      <c r="AQ179" s="204">
        <f t="shared" si="150"/>
        <v>47997487.960943945</v>
      </c>
      <c r="AR179" s="204">
        <f t="shared" si="151"/>
        <v>1999895.3317059979</v>
      </c>
      <c r="AS179" s="204">
        <f t="shared" si="152"/>
        <v>0</v>
      </c>
      <c r="AT179" s="210">
        <f t="shared" si="153"/>
        <v>151992045.20965582</v>
      </c>
      <c r="AU179" s="222">
        <v>0</v>
      </c>
      <c r="AV179" s="214">
        <f t="shared" si="167"/>
        <v>223.69441497988231</v>
      </c>
      <c r="AW179" s="225">
        <f t="shared" si="154"/>
        <v>3.5258121119114461</v>
      </c>
    </row>
    <row r="180" spans="1:49">
      <c r="A180" s="166">
        <f>'Input data'!A138</f>
        <v>2038</v>
      </c>
      <c r="B180" s="177">
        <f>'Input data'!B138</f>
        <v>70.408978817025954</v>
      </c>
      <c r="C180" s="100">
        <f>'Recycling - Case 2'!E118</f>
        <v>1</v>
      </c>
      <c r="D180" s="471">
        <f>'Recycling - Case 2'!F118</f>
        <v>0.36725000000000002</v>
      </c>
      <c r="E180" s="203">
        <f t="shared" si="155"/>
        <v>1095881430.9098356</v>
      </c>
      <c r="F180" s="204">
        <v>0</v>
      </c>
      <c r="G180" s="205">
        <f t="shared" si="132"/>
        <v>1095881430.9098356</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24657332.195471302</v>
      </c>
      <c r="AA180" s="204">
        <f t="shared" si="134"/>
        <v>0</v>
      </c>
      <c r="AB180" s="204">
        <f t="shared" si="135"/>
        <v>24657332.195471302</v>
      </c>
      <c r="AC180" s="204">
        <f t="shared" si="136"/>
        <v>13808106.029463932</v>
      </c>
      <c r="AD180" s="204">
        <f t="shared" si="137"/>
        <v>1972586.5756377042</v>
      </c>
      <c r="AE180" s="204">
        <f t="shared" si="138"/>
        <v>0</v>
      </c>
      <c r="AF180" s="839">
        <f t="shared" si="139"/>
        <v>65095356.996044241</v>
      </c>
      <c r="AG180" s="203">
        <f t="shared" si="140"/>
        <v>0</v>
      </c>
      <c r="AH180" s="204">
        <f t="shared" si="141"/>
        <v>0</v>
      </c>
      <c r="AI180" s="204">
        <f t="shared" si="142"/>
        <v>5917759.7269131113</v>
      </c>
      <c r="AJ180" s="204">
        <f t="shared" si="143"/>
        <v>1183551.9453826223</v>
      </c>
      <c r="AK180" s="204">
        <f t="shared" si="144"/>
        <v>0</v>
      </c>
      <c r="AL180" s="204">
        <f t="shared" si="145"/>
        <v>0</v>
      </c>
      <c r="AM180" s="210">
        <f t="shared" si="146"/>
        <v>7101311.6722957334</v>
      </c>
      <c r="AN180" s="203">
        <f t="shared" si="147"/>
        <v>68465192.396091983</v>
      </c>
      <c r="AO180" s="204">
        <f t="shared" si="148"/>
        <v>0</v>
      </c>
      <c r="AP180" s="204">
        <f t="shared" si="149"/>
        <v>34232596.198045991</v>
      </c>
      <c r="AQ180" s="204">
        <f t="shared" si="150"/>
        <v>48328371.103123747</v>
      </c>
      <c r="AR180" s="204">
        <f t="shared" si="151"/>
        <v>2013682.1292968227</v>
      </c>
      <c r="AS180" s="204">
        <f t="shared" si="152"/>
        <v>0</v>
      </c>
      <c r="AT180" s="210">
        <f t="shared" si="153"/>
        <v>153039841.82655853</v>
      </c>
      <c r="AU180" s="222">
        <v>0</v>
      </c>
      <c r="AV180" s="214">
        <f t="shared" si="167"/>
        <v>225.23651049489851</v>
      </c>
      <c r="AW180" s="225">
        <f t="shared" si="154"/>
        <v>3.5501182129156104</v>
      </c>
    </row>
    <row r="181" spans="1:49">
      <c r="A181" s="166">
        <f>'Input data'!A139</f>
        <v>2039</v>
      </c>
      <c r="B181" s="177">
        <f>'Input data'!B139</f>
        <v>70.877294017675013</v>
      </c>
      <c r="C181" s="100">
        <f>'Recycling - Case 2'!E119</f>
        <v>1</v>
      </c>
      <c r="D181" s="471">
        <f>'Recycling - Case 2'!F119</f>
        <v>0.36725000000000002</v>
      </c>
      <c r="E181" s="203">
        <f t="shared" si="155"/>
        <v>1103170528.704278</v>
      </c>
      <c r="F181" s="204">
        <v>0</v>
      </c>
      <c r="G181" s="205">
        <f t="shared" si="132"/>
        <v>1103170528.704278</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24821336.895846259</v>
      </c>
      <c r="AA181" s="204">
        <f t="shared" si="134"/>
        <v>0</v>
      </c>
      <c r="AB181" s="204">
        <f t="shared" si="135"/>
        <v>24821336.895846259</v>
      </c>
      <c r="AC181" s="204">
        <f t="shared" si="136"/>
        <v>13899948.661673905</v>
      </c>
      <c r="AD181" s="204">
        <f t="shared" si="137"/>
        <v>1985706.9516677007</v>
      </c>
      <c r="AE181" s="204">
        <f t="shared" si="138"/>
        <v>0</v>
      </c>
      <c r="AF181" s="839">
        <f t="shared" si="139"/>
        <v>65528329.405034125</v>
      </c>
      <c r="AG181" s="203">
        <f t="shared" si="140"/>
        <v>0</v>
      </c>
      <c r="AH181" s="204">
        <f t="shared" si="141"/>
        <v>0</v>
      </c>
      <c r="AI181" s="204">
        <f t="shared" si="142"/>
        <v>5957120.8550031008</v>
      </c>
      <c r="AJ181" s="204">
        <f t="shared" si="143"/>
        <v>1191424.1710006201</v>
      </c>
      <c r="AK181" s="204">
        <f t="shared" si="144"/>
        <v>0</v>
      </c>
      <c r="AL181" s="204">
        <f t="shared" si="145"/>
        <v>0</v>
      </c>
      <c r="AM181" s="210">
        <f t="shared" si="146"/>
        <v>7148545.0260037212</v>
      </c>
      <c r="AN181" s="203">
        <f t="shared" si="147"/>
        <v>68920578.780799761</v>
      </c>
      <c r="AO181" s="204">
        <f t="shared" si="148"/>
        <v>0</v>
      </c>
      <c r="AP181" s="204">
        <f t="shared" si="149"/>
        <v>34460289.390399881</v>
      </c>
      <c r="AQ181" s="204">
        <f t="shared" si="150"/>
        <v>48649820.315858662</v>
      </c>
      <c r="AR181" s="204">
        <f t="shared" si="151"/>
        <v>2027075.8464941105</v>
      </c>
      <c r="AS181" s="204">
        <f t="shared" si="152"/>
        <v>0</v>
      </c>
      <c r="AT181" s="210">
        <f t="shared" si="153"/>
        <v>154057764.33355242</v>
      </c>
      <c r="AU181" s="222">
        <v>0</v>
      </c>
      <c r="AV181" s="214">
        <f t="shared" si="167"/>
        <v>226.73463876459027</v>
      </c>
      <c r="AW181" s="225">
        <f t="shared" si="154"/>
        <v>3.5737313138459617</v>
      </c>
    </row>
    <row r="182" spans="1:49">
      <c r="A182" s="166">
        <f>'Input data'!A140</f>
        <v>2040</v>
      </c>
      <c r="B182" s="177">
        <f>'Input data'!B140</f>
        <v>71.331543257193218</v>
      </c>
      <c r="C182" s="100">
        <f>'Recycling - Case 2'!E120</f>
        <v>1</v>
      </c>
      <c r="D182" s="471">
        <f>'Recycling - Case 2'!F120</f>
        <v>0.36725000000000002</v>
      </c>
      <c r="E182" s="203">
        <f t="shared" si="155"/>
        <v>1110240696.6708748</v>
      </c>
      <c r="F182" s="204">
        <v>0</v>
      </c>
      <c r="G182" s="205">
        <f t="shared" si="132"/>
        <v>1110240696.6708748</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24980415.675094686</v>
      </c>
      <c r="AA182" s="204">
        <f t="shared" si="134"/>
        <v>0</v>
      </c>
      <c r="AB182" s="204">
        <f t="shared" si="135"/>
        <v>24980415.675094686</v>
      </c>
      <c r="AC182" s="204">
        <f t="shared" si="136"/>
        <v>13989032.778053025</v>
      </c>
      <c r="AD182" s="204">
        <f t="shared" si="137"/>
        <v>1998433.2540075749</v>
      </c>
      <c r="AE182" s="204">
        <f t="shared" si="138"/>
        <v>0</v>
      </c>
      <c r="AF182" s="839">
        <f t="shared" si="139"/>
        <v>65948297.382249974</v>
      </c>
      <c r="AG182" s="203">
        <f t="shared" si="140"/>
        <v>0</v>
      </c>
      <c r="AH182" s="204">
        <f t="shared" si="141"/>
        <v>0</v>
      </c>
      <c r="AI182" s="204">
        <f t="shared" si="142"/>
        <v>5995299.7620227234</v>
      </c>
      <c r="AJ182" s="204">
        <f t="shared" si="143"/>
        <v>1199059.9524045447</v>
      </c>
      <c r="AK182" s="204">
        <f t="shared" si="144"/>
        <v>0</v>
      </c>
      <c r="AL182" s="204">
        <f t="shared" si="145"/>
        <v>0</v>
      </c>
      <c r="AM182" s="210">
        <f t="shared" si="146"/>
        <v>7194359.7144272681</v>
      </c>
      <c r="AN182" s="203">
        <f t="shared" si="147"/>
        <v>69362287.524512902</v>
      </c>
      <c r="AO182" s="204">
        <f t="shared" si="148"/>
        <v>0</v>
      </c>
      <c r="AP182" s="204">
        <f t="shared" si="149"/>
        <v>34681143.762256451</v>
      </c>
      <c r="AQ182" s="204">
        <f t="shared" si="150"/>
        <v>48961614.723185576</v>
      </c>
      <c r="AR182" s="204">
        <f t="shared" si="151"/>
        <v>2040067.2801327324</v>
      </c>
      <c r="AS182" s="204">
        <f t="shared" si="152"/>
        <v>0</v>
      </c>
      <c r="AT182" s="210">
        <f t="shared" si="153"/>
        <v>155045113.29008767</v>
      </c>
      <c r="AU182" s="222">
        <v>0</v>
      </c>
      <c r="AV182" s="214">
        <f t="shared" si="167"/>
        <v>228.18777038676492</v>
      </c>
      <c r="AW182" s="225">
        <f t="shared" si="154"/>
        <v>3.5966351895378317</v>
      </c>
    </row>
    <row r="183" spans="1:49">
      <c r="A183" s="166">
        <f>'Input data'!A141</f>
        <v>2041</v>
      </c>
      <c r="B183" s="177">
        <f>'Input data'!B141</f>
        <v>71.772879261991122</v>
      </c>
      <c r="C183" s="100">
        <f>'Recycling - Case 2'!E121</f>
        <v>1</v>
      </c>
      <c r="D183" s="471">
        <f>'Recycling - Case 2'!F121</f>
        <v>0.36725000000000002</v>
      </c>
      <c r="E183" s="203">
        <f t="shared" si="155"/>
        <v>1117109876.4342515</v>
      </c>
      <c r="F183" s="204">
        <v>0</v>
      </c>
      <c r="G183" s="205">
        <f t="shared" si="132"/>
        <v>1117109876.4342515</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25134972.219770662</v>
      </c>
      <c r="AA183" s="204">
        <f t="shared" si="134"/>
        <v>0</v>
      </c>
      <c r="AB183" s="204">
        <f t="shared" si="135"/>
        <v>25134972.219770662</v>
      </c>
      <c r="AC183" s="204">
        <f t="shared" si="136"/>
        <v>14075584.443071574</v>
      </c>
      <c r="AD183" s="204">
        <f t="shared" si="137"/>
        <v>2010797.7775816531</v>
      </c>
      <c r="AE183" s="204">
        <f t="shared" si="138"/>
        <v>0</v>
      </c>
      <c r="AF183" s="839">
        <f t="shared" si="139"/>
        <v>66356326.660194553</v>
      </c>
      <c r="AG183" s="203">
        <f t="shared" si="140"/>
        <v>0</v>
      </c>
      <c r="AH183" s="204">
        <f t="shared" si="141"/>
        <v>0</v>
      </c>
      <c r="AI183" s="204">
        <f t="shared" si="142"/>
        <v>6032393.3327449579</v>
      </c>
      <c r="AJ183" s="204">
        <f t="shared" si="143"/>
        <v>1206478.6665489916</v>
      </c>
      <c r="AK183" s="204">
        <f t="shared" si="144"/>
        <v>0</v>
      </c>
      <c r="AL183" s="204">
        <f t="shared" si="145"/>
        <v>0</v>
      </c>
      <c r="AM183" s="210">
        <f t="shared" si="146"/>
        <v>7238871.9992939495</v>
      </c>
      <c r="AN183" s="203">
        <f t="shared" si="147"/>
        <v>69791439.530229867</v>
      </c>
      <c r="AO183" s="204">
        <f t="shared" si="148"/>
        <v>0</v>
      </c>
      <c r="AP183" s="204">
        <f t="shared" si="149"/>
        <v>34895719.765114933</v>
      </c>
      <c r="AQ183" s="204">
        <f t="shared" si="150"/>
        <v>49264545.550750494</v>
      </c>
      <c r="AR183" s="204">
        <f t="shared" si="151"/>
        <v>2052689.3979479373</v>
      </c>
      <c r="AS183" s="204">
        <f t="shared" si="152"/>
        <v>0</v>
      </c>
      <c r="AT183" s="210">
        <f t="shared" si="153"/>
        <v>156004394.24404323</v>
      </c>
      <c r="AU183" s="222">
        <v>0</v>
      </c>
      <c r="AV183" s="214">
        <f t="shared" si="167"/>
        <v>229.59959290353174</v>
      </c>
      <c r="AW183" s="225">
        <f t="shared" si="154"/>
        <v>3.6188879620531109</v>
      </c>
    </row>
    <row r="184" spans="1:49">
      <c r="A184" s="166">
        <f>'Input data'!A142</f>
        <v>2042</v>
      </c>
      <c r="B184" s="177">
        <f>'Input data'!B142</f>
        <v>72.201023455996193</v>
      </c>
      <c r="C184" s="100">
        <f>'Recycling - Case 2'!E122</f>
        <v>1</v>
      </c>
      <c r="D184" s="471">
        <f>'Recycling - Case 2'!F122</f>
        <v>0.36725000000000002</v>
      </c>
      <c r="E184" s="203">
        <f t="shared" si="155"/>
        <v>1123773732.0936463</v>
      </c>
      <c r="F184" s="204">
        <v>0</v>
      </c>
      <c r="G184" s="205">
        <f t="shared" si="132"/>
        <v>1123773732.0936463</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25284908.972107045</v>
      </c>
      <c r="AA184" s="204">
        <f t="shared" si="134"/>
        <v>0</v>
      </c>
      <c r="AB184" s="204">
        <f t="shared" si="135"/>
        <v>25284908.972107045</v>
      </c>
      <c r="AC184" s="204">
        <f t="shared" si="136"/>
        <v>14159549.024379946</v>
      </c>
      <c r="AD184" s="204">
        <f t="shared" si="137"/>
        <v>2022792.7177685634</v>
      </c>
      <c r="AE184" s="204">
        <f t="shared" si="138"/>
        <v>0</v>
      </c>
      <c r="AF184" s="839">
        <f t="shared" si="139"/>
        <v>66752159.686362602</v>
      </c>
      <c r="AG184" s="203">
        <f t="shared" si="140"/>
        <v>0</v>
      </c>
      <c r="AH184" s="204">
        <f t="shared" si="141"/>
        <v>0</v>
      </c>
      <c r="AI184" s="204">
        <f t="shared" si="142"/>
        <v>6068378.1533056898</v>
      </c>
      <c r="AJ184" s="204">
        <f t="shared" si="143"/>
        <v>1213675.6306611379</v>
      </c>
      <c r="AK184" s="204">
        <f t="shared" si="144"/>
        <v>0</v>
      </c>
      <c r="AL184" s="204">
        <f t="shared" si="145"/>
        <v>0</v>
      </c>
      <c r="AM184" s="210">
        <f t="shared" si="146"/>
        <v>7282053.7839668281</v>
      </c>
      <c r="AN184" s="203">
        <f t="shared" si="147"/>
        <v>70207763.912550554</v>
      </c>
      <c r="AO184" s="204">
        <f t="shared" si="148"/>
        <v>0</v>
      </c>
      <c r="AP184" s="204">
        <f t="shared" si="149"/>
        <v>35103881.956275277</v>
      </c>
      <c r="AQ184" s="204">
        <f t="shared" si="150"/>
        <v>49558421.585329801</v>
      </c>
      <c r="AR184" s="204">
        <f t="shared" si="151"/>
        <v>2064934.2327220747</v>
      </c>
      <c r="AS184" s="204">
        <f t="shared" si="152"/>
        <v>0</v>
      </c>
      <c r="AT184" s="210">
        <f t="shared" si="153"/>
        <v>156935001.6868777</v>
      </c>
      <c r="AU184" s="222">
        <v>0</v>
      </c>
      <c r="AV184" s="214">
        <f t="shared" si="167"/>
        <v>230.96921515720715</v>
      </c>
      <c r="AW184" s="225">
        <f t="shared" si="154"/>
        <v>3.6404755852004582</v>
      </c>
    </row>
    <row r="185" spans="1:49">
      <c r="A185" s="166">
        <f>'Input data'!A143</f>
        <v>2043</v>
      </c>
      <c r="B185" s="177">
        <f>'Input data'!B143</f>
        <v>72.615704257339331</v>
      </c>
      <c r="C185" s="100">
        <f>'Recycling - Case 2'!E123</f>
        <v>1</v>
      </c>
      <c r="D185" s="471">
        <f>'Recycling - Case 2'!F123</f>
        <v>0.36725000000000002</v>
      </c>
      <c r="E185" s="203">
        <f t="shared" si="155"/>
        <v>1130228036.6096613</v>
      </c>
      <c r="F185" s="204">
        <v>0</v>
      </c>
      <c r="G185" s="205">
        <f t="shared" si="132"/>
        <v>1130228036.6096613</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25430130.823717382</v>
      </c>
      <c r="AA185" s="204">
        <f t="shared" si="134"/>
        <v>0</v>
      </c>
      <c r="AB185" s="204">
        <f t="shared" si="135"/>
        <v>25430130.823717382</v>
      </c>
      <c r="AC185" s="204">
        <f t="shared" si="136"/>
        <v>14240873.261281736</v>
      </c>
      <c r="AD185" s="204">
        <f t="shared" si="137"/>
        <v>2034410.4658973906</v>
      </c>
      <c r="AE185" s="204">
        <f t="shared" si="138"/>
        <v>0</v>
      </c>
      <c r="AF185" s="839">
        <f t="shared" si="139"/>
        <v>67135545.374613896</v>
      </c>
      <c r="AG185" s="203">
        <f t="shared" si="140"/>
        <v>0</v>
      </c>
      <c r="AH185" s="204">
        <f t="shared" si="141"/>
        <v>0</v>
      </c>
      <c r="AI185" s="204">
        <f t="shared" si="142"/>
        <v>6103231.3976921709</v>
      </c>
      <c r="AJ185" s="204">
        <f t="shared" si="143"/>
        <v>1220646.279538434</v>
      </c>
      <c r="AK185" s="204">
        <f t="shared" si="144"/>
        <v>0</v>
      </c>
      <c r="AL185" s="204">
        <f t="shared" si="145"/>
        <v>0</v>
      </c>
      <c r="AM185" s="210">
        <f t="shared" si="146"/>
        <v>7323877.6772306049</v>
      </c>
      <c r="AN185" s="203">
        <f t="shared" si="147"/>
        <v>70610996.587188587</v>
      </c>
      <c r="AO185" s="204">
        <f t="shared" si="148"/>
        <v>0</v>
      </c>
      <c r="AP185" s="204">
        <f t="shared" si="149"/>
        <v>35305498.293594293</v>
      </c>
      <c r="AQ185" s="204">
        <f t="shared" si="150"/>
        <v>49843056.414486058</v>
      </c>
      <c r="AR185" s="204">
        <f t="shared" si="151"/>
        <v>2076794.0172702526</v>
      </c>
      <c r="AS185" s="204">
        <f t="shared" si="152"/>
        <v>0</v>
      </c>
      <c r="AT185" s="210">
        <f t="shared" si="153"/>
        <v>157836345.31253919</v>
      </c>
      <c r="AU185" s="222">
        <v>0</v>
      </c>
      <c r="AV185" s="214">
        <f t="shared" si="167"/>
        <v>232.29576836438369</v>
      </c>
      <c r="AW185" s="225">
        <f t="shared" si="154"/>
        <v>3.6613843654459499</v>
      </c>
    </row>
    <row r="186" spans="1:49">
      <c r="A186" s="166">
        <f>'Input data'!A144</f>
        <v>2044</v>
      </c>
      <c r="B186" s="177">
        <f>'Input data'!B144</f>
        <v>73.016657364175842</v>
      </c>
      <c r="C186" s="100">
        <f>'Recycling - Case 2'!E124</f>
        <v>1</v>
      </c>
      <c r="D186" s="471">
        <f>'Recycling - Case 2'!F124</f>
        <v>0.36725000000000002</v>
      </c>
      <c r="E186" s="203">
        <f t="shared" si="155"/>
        <v>1136468676.2529321</v>
      </c>
      <c r="F186" s="204">
        <v>0</v>
      </c>
      <c r="G186" s="205">
        <f t="shared" si="132"/>
        <v>1136468676.2529321</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25570545.215690974</v>
      </c>
      <c r="AA186" s="204">
        <f t="shared" si="134"/>
        <v>0</v>
      </c>
      <c r="AB186" s="204">
        <f t="shared" si="135"/>
        <v>25570545.215690974</v>
      </c>
      <c r="AC186" s="204">
        <f t="shared" si="136"/>
        <v>14319505.320786949</v>
      </c>
      <c r="AD186" s="204">
        <f t="shared" si="137"/>
        <v>2045643.6172552779</v>
      </c>
      <c r="AE186" s="204">
        <f t="shared" si="138"/>
        <v>0</v>
      </c>
      <c r="AF186" s="839">
        <f t="shared" si="139"/>
        <v>67506239.369424164</v>
      </c>
      <c r="AG186" s="203">
        <f t="shared" si="140"/>
        <v>0</v>
      </c>
      <c r="AH186" s="204">
        <f t="shared" si="141"/>
        <v>0</v>
      </c>
      <c r="AI186" s="204">
        <f t="shared" si="142"/>
        <v>6136930.8517658329</v>
      </c>
      <c r="AJ186" s="204">
        <f t="shared" si="143"/>
        <v>1227386.1703531665</v>
      </c>
      <c r="AK186" s="204">
        <f t="shared" si="144"/>
        <v>0</v>
      </c>
      <c r="AL186" s="204">
        <f t="shared" si="145"/>
        <v>0</v>
      </c>
      <c r="AM186" s="210">
        <f t="shared" si="146"/>
        <v>7364317.0221189996</v>
      </c>
      <c r="AN186" s="203">
        <f t="shared" si="147"/>
        <v>71000880.54890193</v>
      </c>
      <c r="AO186" s="204">
        <f t="shared" si="148"/>
        <v>0</v>
      </c>
      <c r="AP186" s="204">
        <f t="shared" si="149"/>
        <v>35500440.274450965</v>
      </c>
      <c r="AQ186" s="204">
        <f t="shared" si="150"/>
        <v>50118268.622754298</v>
      </c>
      <c r="AR186" s="204">
        <f t="shared" si="151"/>
        <v>2088261.1926147628</v>
      </c>
      <c r="AS186" s="204">
        <f t="shared" si="152"/>
        <v>0</v>
      </c>
      <c r="AT186" s="210">
        <f t="shared" si="153"/>
        <v>158707850.63872197</v>
      </c>
      <c r="AU186" s="222">
        <v>0</v>
      </c>
      <c r="AV186" s="214">
        <f t="shared" si="167"/>
        <v>233.57840703026514</v>
      </c>
      <c r="AW186" s="225">
        <f t="shared" si="154"/>
        <v>3.6816009763245785</v>
      </c>
    </row>
    <row r="187" spans="1:49">
      <c r="A187" s="166">
        <f>'Input data'!A145</f>
        <v>2045</v>
      </c>
      <c r="B187" s="177">
        <f>'Input data'!B145</f>
        <v>73.40362603426334</v>
      </c>
      <c r="C187" s="100">
        <f>'Recycling - Case 2'!E125</f>
        <v>1</v>
      </c>
      <c r="D187" s="471">
        <f>'Recycling - Case 2'!F125</f>
        <v>0.36725000000000002</v>
      </c>
      <c r="E187" s="203">
        <f t="shared" si="155"/>
        <v>1142491654.9556174</v>
      </c>
      <c r="F187" s="204">
        <v>0</v>
      </c>
      <c r="G187" s="205">
        <f t="shared" si="132"/>
        <v>1142491654.9556174</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25706062.236501392</v>
      </c>
      <c r="AA187" s="204">
        <f t="shared" si="134"/>
        <v>0</v>
      </c>
      <c r="AB187" s="204">
        <f t="shared" si="135"/>
        <v>25706062.236501392</v>
      </c>
      <c r="AC187" s="204">
        <f t="shared" si="136"/>
        <v>14395394.852440782</v>
      </c>
      <c r="AD187" s="204">
        <f t="shared" si="137"/>
        <v>2056484.9789201119</v>
      </c>
      <c r="AE187" s="204">
        <f t="shared" si="138"/>
        <v>0</v>
      </c>
      <c r="AF187" s="839">
        <f t="shared" si="139"/>
        <v>67864004.304363683</v>
      </c>
      <c r="AG187" s="203">
        <f t="shared" si="140"/>
        <v>0</v>
      </c>
      <c r="AH187" s="204">
        <f t="shared" si="141"/>
        <v>0</v>
      </c>
      <c r="AI187" s="204">
        <f t="shared" si="142"/>
        <v>6169454.9367603343</v>
      </c>
      <c r="AJ187" s="204">
        <f t="shared" si="143"/>
        <v>1233890.9873520667</v>
      </c>
      <c r="AK187" s="204">
        <f t="shared" si="144"/>
        <v>0</v>
      </c>
      <c r="AL187" s="204">
        <f t="shared" si="145"/>
        <v>0</v>
      </c>
      <c r="AM187" s="210">
        <f t="shared" si="146"/>
        <v>7403345.924112401</v>
      </c>
      <c r="AN187" s="203">
        <f t="shared" si="147"/>
        <v>71377166.143352196</v>
      </c>
      <c r="AO187" s="204">
        <f t="shared" si="148"/>
        <v>0</v>
      </c>
      <c r="AP187" s="204">
        <f t="shared" si="149"/>
        <v>35688583.071676098</v>
      </c>
      <c r="AQ187" s="204">
        <f t="shared" si="150"/>
        <v>50383881.983542725</v>
      </c>
      <c r="AR187" s="204">
        <f t="shared" si="151"/>
        <v>2099328.4159809467</v>
      </c>
      <c r="AS187" s="204">
        <f t="shared" si="152"/>
        <v>0</v>
      </c>
      <c r="AT187" s="210">
        <f t="shared" si="153"/>
        <v>159548959.61455196</v>
      </c>
      <c r="AU187" s="222">
        <v>0</v>
      </c>
      <c r="AV187" s="214">
        <f t="shared" si="167"/>
        <v>234.81630984302805</v>
      </c>
      <c r="AW187" s="225">
        <f t="shared" si="154"/>
        <v>3.7011124725369502</v>
      </c>
    </row>
    <row r="188" spans="1:49">
      <c r="A188" s="166">
        <f>'Input data'!A146</f>
        <v>2046</v>
      </c>
      <c r="B188" s="177">
        <f>'Input data'!B146</f>
        <v>73.776422042674071</v>
      </c>
      <c r="C188" s="100">
        <f>'Recycling - Case 2'!E126</f>
        <v>1</v>
      </c>
      <c r="D188" s="471">
        <f>'Recycling - Case 2'!F126</f>
        <v>0.36725000000000002</v>
      </c>
      <c r="E188" s="203">
        <f t="shared" si="155"/>
        <v>1148294043.0884762</v>
      </c>
      <c r="F188" s="204">
        <v>0</v>
      </c>
      <c r="G188" s="205">
        <f t="shared" si="132"/>
        <v>1148294043.0884762</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25836615.969490718</v>
      </c>
      <c r="AA188" s="204">
        <f t="shared" si="134"/>
        <v>0</v>
      </c>
      <c r="AB188" s="204">
        <f t="shared" si="135"/>
        <v>25836615.969490718</v>
      </c>
      <c r="AC188" s="204">
        <f t="shared" si="136"/>
        <v>14468504.942914804</v>
      </c>
      <c r="AD188" s="204">
        <f t="shared" si="137"/>
        <v>2066929.2775592576</v>
      </c>
      <c r="AE188" s="204">
        <f t="shared" si="138"/>
        <v>0</v>
      </c>
      <c r="AF188" s="839">
        <f t="shared" si="139"/>
        <v>68208666.159455493</v>
      </c>
      <c r="AG188" s="203">
        <f t="shared" si="140"/>
        <v>0</v>
      </c>
      <c r="AH188" s="204">
        <f t="shared" si="141"/>
        <v>0</v>
      </c>
      <c r="AI188" s="204">
        <f t="shared" si="142"/>
        <v>6200787.8326777713</v>
      </c>
      <c r="AJ188" s="204">
        <f t="shared" si="143"/>
        <v>1240157.5665355541</v>
      </c>
      <c r="AK188" s="204">
        <f t="shared" si="144"/>
        <v>0</v>
      </c>
      <c r="AL188" s="204">
        <f t="shared" si="145"/>
        <v>0</v>
      </c>
      <c r="AM188" s="210">
        <f t="shared" si="146"/>
        <v>7440945.3992133252</v>
      </c>
      <c r="AN188" s="203">
        <f t="shared" si="147"/>
        <v>71739670.341952547</v>
      </c>
      <c r="AO188" s="204">
        <f t="shared" si="148"/>
        <v>0</v>
      </c>
      <c r="AP188" s="204">
        <f t="shared" si="149"/>
        <v>35869835.170976274</v>
      </c>
      <c r="AQ188" s="204">
        <f t="shared" si="150"/>
        <v>50639767.300201796</v>
      </c>
      <c r="AR188" s="204">
        <f t="shared" si="151"/>
        <v>2109990.3041750747</v>
      </c>
      <c r="AS188" s="204">
        <f t="shared" si="152"/>
        <v>0</v>
      </c>
      <c r="AT188" s="210">
        <f t="shared" si="153"/>
        <v>160359263.1173057</v>
      </c>
      <c r="AU188" s="222">
        <v>0</v>
      </c>
      <c r="AV188" s="214">
        <f t="shared" si="167"/>
        <v>236.00887467597451</v>
      </c>
      <c r="AW188" s="225">
        <f t="shared" si="154"/>
        <v>3.7199093635215581</v>
      </c>
    </row>
    <row r="189" spans="1:49">
      <c r="A189" s="166">
        <f>'Input data'!A147</f>
        <v>2047</v>
      </c>
      <c r="B189" s="177">
        <f>'Input data'!B147</f>
        <v>74.134805489166112</v>
      </c>
      <c r="C189" s="100">
        <f>'Recycling - Case 2'!E127</f>
        <v>1</v>
      </c>
      <c r="D189" s="471">
        <f>'Recycling - Case 2'!F127</f>
        <v>0.36725000000000002</v>
      </c>
      <c r="E189" s="203">
        <f t="shared" si="155"/>
        <v>1153872106.7211947</v>
      </c>
      <c r="F189" s="204">
        <v>0</v>
      </c>
      <c r="G189" s="205">
        <f t="shared" si="132"/>
        <v>1153872106.7211947</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25962122.401226882</v>
      </c>
      <c r="AA189" s="204">
        <f t="shared" si="134"/>
        <v>0</v>
      </c>
      <c r="AB189" s="204">
        <f t="shared" si="135"/>
        <v>25962122.401226882</v>
      </c>
      <c r="AC189" s="204">
        <f t="shared" si="136"/>
        <v>14538788.544687057</v>
      </c>
      <c r="AD189" s="204">
        <f t="shared" si="137"/>
        <v>2076969.7920981506</v>
      </c>
      <c r="AE189" s="204">
        <f t="shared" si="138"/>
        <v>0</v>
      </c>
      <c r="AF189" s="839">
        <f t="shared" si="139"/>
        <v>68540003.139238968</v>
      </c>
      <c r="AG189" s="203">
        <f t="shared" si="140"/>
        <v>0</v>
      </c>
      <c r="AH189" s="204">
        <f t="shared" si="141"/>
        <v>0</v>
      </c>
      <c r="AI189" s="204">
        <f t="shared" si="142"/>
        <v>6230909.3762944518</v>
      </c>
      <c r="AJ189" s="204">
        <f t="shared" si="143"/>
        <v>1246181.8752588902</v>
      </c>
      <c r="AK189" s="204">
        <f t="shared" si="144"/>
        <v>0</v>
      </c>
      <c r="AL189" s="204">
        <f t="shared" si="145"/>
        <v>0</v>
      </c>
      <c r="AM189" s="210">
        <f t="shared" si="146"/>
        <v>7477091.2515533417</v>
      </c>
      <c r="AN189" s="203">
        <f t="shared" si="147"/>
        <v>72088159.867406651</v>
      </c>
      <c r="AO189" s="204">
        <f t="shared" si="148"/>
        <v>0</v>
      </c>
      <c r="AP189" s="204">
        <f t="shared" si="149"/>
        <v>36044079.933703326</v>
      </c>
      <c r="AQ189" s="204">
        <f t="shared" si="150"/>
        <v>50885759.906404689</v>
      </c>
      <c r="AR189" s="204">
        <f t="shared" si="151"/>
        <v>2120239.9961001952</v>
      </c>
      <c r="AS189" s="204">
        <f t="shared" si="152"/>
        <v>0</v>
      </c>
      <c r="AT189" s="210">
        <f t="shared" si="153"/>
        <v>161138239.70361483</v>
      </c>
      <c r="AU189" s="222">
        <v>0</v>
      </c>
      <c r="AV189" s="214">
        <f t="shared" si="167"/>
        <v>237.15533409440715</v>
      </c>
      <c r="AW189" s="225">
        <f t="shared" si="154"/>
        <v>3.7379795531759945</v>
      </c>
    </row>
    <row r="190" spans="1:49">
      <c r="A190" s="166">
        <f>'Input data'!A148</f>
        <v>2048</v>
      </c>
      <c r="B190" s="177">
        <f>'Input data'!B148</f>
        <v>74.478544758379343</v>
      </c>
      <c r="C190" s="100">
        <f>'Recycling - Case 2'!E128</f>
        <v>1</v>
      </c>
      <c r="D190" s="471">
        <f>'Recycling - Case 2'!F128</f>
        <v>0.36725000000000002</v>
      </c>
      <c r="E190" s="203">
        <f t="shared" si="155"/>
        <v>1159222240.873605</v>
      </c>
      <c r="F190" s="204">
        <v>0</v>
      </c>
      <c r="G190" s="205">
        <f t="shared" si="132"/>
        <v>1159222240.873605</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26082500.419656117</v>
      </c>
      <c r="AA190" s="204">
        <f t="shared" si="134"/>
        <v>0</v>
      </c>
      <c r="AB190" s="204">
        <f t="shared" si="135"/>
        <v>26082500.419656117</v>
      </c>
      <c r="AC190" s="204">
        <f t="shared" si="136"/>
        <v>14606200.235007428</v>
      </c>
      <c r="AD190" s="204">
        <f t="shared" si="137"/>
        <v>2086600.0335724894</v>
      </c>
      <c r="AE190" s="204">
        <f t="shared" si="138"/>
        <v>0</v>
      </c>
      <c r="AF190" s="839">
        <f t="shared" si="139"/>
        <v>68857801.107892156</v>
      </c>
      <c r="AG190" s="203">
        <f t="shared" si="140"/>
        <v>0</v>
      </c>
      <c r="AH190" s="204">
        <f t="shared" si="141"/>
        <v>0</v>
      </c>
      <c r="AI190" s="204">
        <f t="shared" si="142"/>
        <v>6259800.1007174673</v>
      </c>
      <c r="AJ190" s="204">
        <f t="shared" si="143"/>
        <v>1251960.0201434933</v>
      </c>
      <c r="AK190" s="204">
        <f t="shared" si="144"/>
        <v>0</v>
      </c>
      <c r="AL190" s="204">
        <f t="shared" si="145"/>
        <v>0</v>
      </c>
      <c r="AM190" s="210">
        <f t="shared" si="146"/>
        <v>7511760.1208609603</v>
      </c>
      <c r="AN190" s="203">
        <f t="shared" si="147"/>
        <v>72422409.498578474</v>
      </c>
      <c r="AO190" s="204">
        <f t="shared" si="148"/>
        <v>0</v>
      </c>
      <c r="AP190" s="204">
        <f t="shared" si="149"/>
        <v>36211204.749289237</v>
      </c>
      <c r="AQ190" s="204">
        <f t="shared" si="150"/>
        <v>51121700.822525978</v>
      </c>
      <c r="AR190" s="204">
        <f t="shared" si="151"/>
        <v>2130070.8676052494</v>
      </c>
      <c r="AS190" s="204">
        <f t="shared" si="152"/>
        <v>0</v>
      </c>
      <c r="AT190" s="210">
        <f t="shared" si="153"/>
        <v>161885385.93799892</v>
      </c>
      <c r="AU190" s="222">
        <v>0</v>
      </c>
      <c r="AV190" s="214">
        <f t="shared" si="167"/>
        <v>238.25494716675203</v>
      </c>
      <c r="AW190" s="225">
        <f t="shared" si="154"/>
        <v>3.7553113631330666</v>
      </c>
    </row>
    <row r="191" spans="1:49">
      <c r="A191" s="166">
        <f>'Input data'!A149</f>
        <v>2049</v>
      </c>
      <c r="B191" s="177">
        <f>'Input data'!B149</f>
        <v>74.807416768507309</v>
      </c>
      <c r="C191" s="100">
        <f>'Recycling - Case 2'!E129</f>
        <v>1</v>
      </c>
      <c r="D191" s="471">
        <f>'Recycling - Case 2'!F129</f>
        <v>0.36725000000000002</v>
      </c>
      <c r="E191" s="203">
        <f t="shared" si="155"/>
        <v>1164340973.3861418</v>
      </c>
      <c r="F191" s="204">
        <v>0</v>
      </c>
      <c r="G191" s="205">
        <f t="shared" si="132"/>
        <v>1164340973.3861418</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26197671.901188195</v>
      </c>
      <c r="AA191" s="204">
        <f t="shared" si="134"/>
        <v>0</v>
      </c>
      <c r="AB191" s="204">
        <f t="shared" si="135"/>
        <v>26197671.901188195</v>
      </c>
      <c r="AC191" s="204">
        <f t="shared" si="136"/>
        <v>14670696.264665391</v>
      </c>
      <c r="AD191" s="204">
        <f t="shared" si="137"/>
        <v>2095813.7520950555</v>
      </c>
      <c r="AE191" s="204">
        <f t="shared" si="138"/>
        <v>0</v>
      </c>
      <c r="AF191" s="839">
        <f t="shared" si="139"/>
        <v>69161853.819136843</v>
      </c>
      <c r="AG191" s="203">
        <f t="shared" si="140"/>
        <v>0</v>
      </c>
      <c r="AH191" s="204">
        <f t="shared" si="141"/>
        <v>0</v>
      </c>
      <c r="AI191" s="204">
        <f t="shared" si="142"/>
        <v>6287441.2562851645</v>
      </c>
      <c r="AJ191" s="204">
        <f t="shared" si="143"/>
        <v>1257488.2512570331</v>
      </c>
      <c r="AK191" s="204">
        <f t="shared" si="144"/>
        <v>0</v>
      </c>
      <c r="AL191" s="204">
        <f t="shared" si="145"/>
        <v>0</v>
      </c>
      <c r="AM191" s="210">
        <f t="shared" si="146"/>
        <v>7544929.5075421976</v>
      </c>
      <c r="AN191" s="203">
        <f t="shared" si="147"/>
        <v>72742202.312299207</v>
      </c>
      <c r="AO191" s="204">
        <f t="shared" si="148"/>
        <v>0</v>
      </c>
      <c r="AP191" s="204">
        <f t="shared" si="149"/>
        <v>36371101.156149603</v>
      </c>
      <c r="AQ191" s="204">
        <f t="shared" si="150"/>
        <v>51347436.926328845</v>
      </c>
      <c r="AR191" s="204">
        <f t="shared" si="151"/>
        <v>2139476.5385970352</v>
      </c>
      <c r="AS191" s="204">
        <f t="shared" si="152"/>
        <v>0</v>
      </c>
      <c r="AT191" s="210">
        <f t="shared" si="153"/>
        <v>162600216.9333747</v>
      </c>
      <c r="AU191" s="222">
        <v>0</v>
      </c>
      <c r="AV191" s="214">
        <f t="shared" si="167"/>
        <v>239.30700026005374</v>
      </c>
      <c r="AW191" s="225">
        <f t="shared" si="154"/>
        <v>3.7718935452991729</v>
      </c>
    </row>
    <row r="192" spans="1:49" ht="15.75" thickBot="1">
      <c r="A192" s="168">
        <f>'Input data'!A150</f>
        <v>2050</v>
      </c>
      <c r="B192" s="178">
        <f>'Input data'!B150</f>
        <v>75.121207211856714</v>
      </c>
      <c r="C192" s="581">
        <f>'Recycling - Case 2'!E130</f>
        <v>1</v>
      </c>
      <c r="D192" s="582">
        <f>'Recycling - Case 2'!F130</f>
        <v>0.36725000000000002</v>
      </c>
      <c r="E192" s="206">
        <f>B192*$C$4*($C$7*$C$11+$C$8*$C$10+$C$7*$C$12)*10^6</f>
        <v>1169224968.6640341</v>
      </c>
      <c r="F192" s="207">
        <v>0</v>
      </c>
      <c r="G192" s="208">
        <f t="shared" si="132"/>
        <v>1169224968.6640341</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26307561.794940773</v>
      </c>
      <c r="AA192" s="207">
        <f t="shared" si="134"/>
        <v>0</v>
      </c>
      <c r="AB192" s="207">
        <f t="shared" si="135"/>
        <v>26307561.794940773</v>
      </c>
      <c r="AC192" s="207">
        <f t="shared" si="136"/>
        <v>14732234.605166836</v>
      </c>
      <c r="AD192" s="207">
        <f t="shared" si="137"/>
        <v>2104604.9435952613</v>
      </c>
      <c r="AE192" s="207">
        <f t="shared" si="138"/>
        <v>0</v>
      </c>
      <c r="AF192" s="840">
        <f t="shared" si="139"/>
        <v>69451963.138643637</v>
      </c>
      <c r="AG192" s="206">
        <f t="shared" si="140"/>
        <v>0</v>
      </c>
      <c r="AH192" s="207">
        <f t="shared" si="141"/>
        <v>0</v>
      </c>
      <c r="AI192" s="207">
        <f t="shared" si="142"/>
        <v>6313814.8307857839</v>
      </c>
      <c r="AJ192" s="207">
        <f t="shared" si="143"/>
        <v>1262762.9661571567</v>
      </c>
      <c r="AK192" s="207">
        <f t="shared" si="144"/>
        <v>0</v>
      </c>
      <c r="AL192" s="207">
        <f t="shared" si="145"/>
        <v>0</v>
      </c>
      <c r="AM192" s="211">
        <f t="shared" si="146"/>
        <v>7576577.7969429409</v>
      </c>
      <c r="AN192" s="206">
        <f t="shared" si="147"/>
        <v>73047329.917285532</v>
      </c>
      <c r="AO192" s="207">
        <f t="shared" si="148"/>
        <v>0</v>
      </c>
      <c r="AP192" s="207">
        <f t="shared" si="149"/>
        <v>36523664.958642766</v>
      </c>
      <c r="AQ192" s="207">
        <f t="shared" si="150"/>
        <v>51562821.118083902</v>
      </c>
      <c r="AR192" s="207">
        <f t="shared" si="151"/>
        <v>2148450.8799201627</v>
      </c>
      <c r="AS192" s="207">
        <f t="shared" si="152"/>
        <v>0</v>
      </c>
      <c r="AT192" s="211">
        <f t="shared" si="153"/>
        <v>163282266.87393236</v>
      </c>
      <c r="AU192" s="223">
        <v>0</v>
      </c>
      <c r="AV192" s="217">
        <f t="shared" si="167"/>
        <v>240.31080780951893</v>
      </c>
      <c r="AW192" s="226">
        <f t="shared" si="154"/>
        <v>3.7877152939836489</v>
      </c>
    </row>
    <row r="193" spans="1:49" ht="21.75"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59.308690000000006</v>
      </c>
      <c r="C196" s="100">
        <f>'Recycling - Case 3'!E100</f>
        <v>0.78061538461538471</v>
      </c>
      <c r="D196" s="471">
        <f>'Recycling - Case 3'!F100</f>
        <v>0.30815384615384617</v>
      </c>
      <c r="E196" s="203">
        <f t="shared" si="188"/>
        <v>923110846.86362517</v>
      </c>
      <c r="F196" s="204">
        <v>0</v>
      </c>
      <c r="G196" s="205">
        <f t="shared" si="189"/>
        <v>923110846.86362517</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13101073.172795299</v>
      </c>
      <c r="AA196" s="204">
        <f t="shared" si="192"/>
        <v>0</v>
      </c>
      <c r="AB196" s="204">
        <f t="shared" si="193"/>
        <v>13101073.172795299</v>
      </c>
      <c r="AC196" s="204">
        <f t="shared" si="194"/>
        <v>7336600.9767653672</v>
      </c>
      <c r="AD196" s="204">
        <f t="shared" si="195"/>
        <v>1048085.8538236235</v>
      </c>
      <c r="AE196" s="204">
        <f t="shared" si="196"/>
        <v>0</v>
      </c>
      <c r="AF196" s="210">
        <f t="shared" si="197"/>
        <v>34586833.176179588</v>
      </c>
      <c r="AG196" s="203">
        <f t="shared" si="198"/>
        <v>0</v>
      </c>
      <c r="AH196" s="204">
        <f t="shared" si="199"/>
        <v>0</v>
      </c>
      <c r="AI196" s="204">
        <f t="shared" si="200"/>
        <v>4984798.5730635757</v>
      </c>
      <c r="AJ196" s="204">
        <f t="shared" si="201"/>
        <v>996959.71461271506</v>
      </c>
      <c r="AK196" s="204">
        <f t="shared" si="202"/>
        <v>0</v>
      </c>
      <c r="AL196" s="204">
        <f t="shared" si="203"/>
        <v>0</v>
      </c>
      <c r="AM196" s="839">
        <f t="shared" si="204"/>
        <v>5981758.2876762906</v>
      </c>
      <c r="AN196" s="203">
        <f t="shared" si="205"/>
        <v>48798834.748911917</v>
      </c>
      <c r="AO196" s="204">
        <f t="shared" si="206"/>
        <v>0</v>
      </c>
      <c r="AP196" s="204">
        <f t="shared" si="207"/>
        <v>24399417.374455959</v>
      </c>
      <c r="AQ196" s="204">
        <f t="shared" si="208"/>
        <v>34446236.293349579</v>
      </c>
      <c r="AR196" s="204">
        <f t="shared" si="209"/>
        <v>1435259.8455562324</v>
      </c>
      <c r="AS196" s="204">
        <f t="shared" si="210"/>
        <v>0</v>
      </c>
      <c r="AT196" s="210">
        <f t="shared" si="211"/>
        <v>109079748.26227368</v>
      </c>
      <c r="AU196" s="222">
        <v>0</v>
      </c>
      <c r="AV196" s="214">
        <f t="shared" si="212"/>
        <v>149.64833972612956</v>
      </c>
      <c r="AW196" s="841">
        <f t="shared" si="213"/>
        <v>2.9904262793007734</v>
      </c>
    </row>
    <row r="197" spans="1:49">
      <c r="A197" s="89">
        <f>'Input data'!A121</f>
        <v>2021</v>
      </c>
      <c r="B197" s="93">
        <f>'Input data'!B121</f>
        <v>60.158036186957922</v>
      </c>
      <c r="C197" s="100">
        <f>'Recycling - Case 3'!E101</f>
        <v>0.80255384615384628</v>
      </c>
      <c r="D197" s="471">
        <f>'Recycling - Case 3'!F101</f>
        <v>0.31433846153846157</v>
      </c>
      <c r="E197" s="203">
        <f t="shared" si="188"/>
        <v>936330506.20735896</v>
      </c>
      <c r="F197" s="204">
        <v>0</v>
      </c>
      <c r="G197" s="205">
        <f t="shared" si="189"/>
        <v>936330506.20735896</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14066565.22017671</v>
      </c>
      <c r="AA197" s="204">
        <f t="shared" si="192"/>
        <v>0</v>
      </c>
      <c r="AB197" s="204">
        <f t="shared" si="193"/>
        <v>14066565.22017671</v>
      </c>
      <c r="AC197" s="204">
        <f t="shared" si="194"/>
        <v>7877276.5232989592</v>
      </c>
      <c r="AD197" s="204">
        <f t="shared" si="195"/>
        <v>1125325.2176141366</v>
      </c>
      <c r="AE197" s="204">
        <f t="shared" si="196"/>
        <v>0</v>
      </c>
      <c r="AF197" s="210">
        <f t="shared" si="197"/>
        <v>37135732.181266516</v>
      </c>
      <c r="AG197" s="203">
        <f t="shared" si="198"/>
        <v>0</v>
      </c>
      <c r="AH197" s="204">
        <f t="shared" si="199"/>
        <v>0</v>
      </c>
      <c r="AI197" s="204">
        <f t="shared" si="200"/>
        <v>5056184.7335197385</v>
      </c>
      <c r="AJ197" s="204">
        <f t="shared" si="201"/>
        <v>1011236.9467039476</v>
      </c>
      <c r="AK197" s="204">
        <f t="shared" si="202"/>
        <v>0</v>
      </c>
      <c r="AL197" s="204">
        <f t="shared" si="203"/>
        <v>0</v>
      </c>
      <c r="AM197" s="839">
        <f t="shared" si="204"/>
        <v>6067421.6802236866</v>
      </c>
      <c r="AN197" s="203">
        <f t="shared" si="205"/>
        <v>50397629.369493328</v>
      </c>
      <c r="AO197" s="204">
        <f t="shared" si="206"/>
        <v>0</v>
      </c>
      <c r="AP197" s="204">
        <f t="shared" si="207"/>
        <v>25198814.684746664</v>
      </c>
      <c r="AQ197" s="204">
        <f t="shared" si="208"/>
        <v>35574797.201995291</v>
      </c>
      <c r="AR197" s="204">
        <f t="shared" si="209"/>
        <v>1482283.2167498034</v>
      </c>
      <c r="AS197" s="204">
        <f t="shared" si="210"/>
        <v>0</v>
      </c>
      <c r="AT197" s="210">
        <f t="shared" si="211"/>
        <v>112653524.47298507</v>
      </c>
      <c r="AU197" s="222">
        <v>0</v>
      </c>
      <c r="AV197" s="214">
        <f t="shared" si="212"/>
        <v>155.85667833447528</v>
      </c>
      <c r="AW197" s="841">
        <f t="shared" si="213"/>
        <v>3.0332514902049907</v>
      </c>
    </row>
    <row r="198" spans="1:49">
      <c r="A198" s="89">
        <f>'Input data'!A122</f>
        <v>2022</v>
      </c>
      <c r="B198" s="93">
        <f>'Input data'!B122</f>
        <v>60.963559588769527</v>
      </c>
      <c r="C198" s="100">
        <f>'Recycling - Case 3'!E102</f>
        <v>0.82449230769230786</v>
      </c>
      <c r="D198" s="471">
        <f>'Recycling - Case 3'!F102</f>
        <v>0.32052307692307697</v>
      </c>
      <c r="E198" s="203">
        <f t="shared" si="188"/>
        <v>948868085.26389825</v>
      </c>
      <c r="F198" s="204">
        <v>0</v>
      </c>
      <c r="G198" s="205">
        <f t="shared" si="189"/>
        <v>948868085.26389825</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15043208.644068422</v>
      </c>
      <c r="AA198" s="204">
        <f t="shared" si="192"/>
        <v>0</v>
      </c>
      <c r="AB198" s="204">
        <f t="shared" si="193"/>
        <v>15043208.644068422</v>
      </c>
      <c r="AC198" s="204">
        <f t="shared" si="194"/>
        <v>8424196.8406783175</v>
      </c>
      <c r="AD198" s="204">
        <f t="shared" si="195"/>
        <v>1203456.6915254733</v>
      </c>
      <c r="AE198" s="204">
        <f t="shared" si="196"/>
        <v>0</v>
      </c>
      <c r="AF198" s="210">
        <f t="shared" si="197"/>
        <v>39714070.820340633</v>
      </c>
      <c r="AG198" s="203">
        <f t="shared" si="198"/>
        <v>0</v>
      </c>
      <c r="AH198" s="204">
        <f t="shared" si="199"/>
        <v>0</v>
      </c>
      <c r="AI198" s="204">
        <f t="shared" si="200"/>
        <v>5123887.6604250502</v>
      </c>
      <c r="AJ198" s="204">
        <f t="shared" si="201"/>
        <v>1024777.53208501</v>
      </c>
      <c r="AK198" s="204">
        <f t="shared" si="202"/>
        <v>0</v>
      </c>
      <c r="AL198" s="204">
        <f t="shared" si="203"/>
        <v>0</v>
      </c>
      <c r="AM198" s="839">
        <f t="shared" si="204"/>
        <v>6148665.19251006</v>
      </c>
      <c r="AN198" s="203">
        <f t="shared" si="205"/>
        <v>51984467.949709803</v>
      </c>
      <c r="AO198" s="204">
        <f t="shared" si="206"/>
        <v>0</v>
      </c>
      <c r="AP198" s="204">
        <f t="shared" si="207"/>
        <v>25992233.974854901</v>
      </c>
      <c r="AQ198" s="204">
        <f t="shared" si="208"/>
        <v>36694918.552736327</v>
      </c>
      <c r="AR198" s="204">
        <f t="shared" si="209"/>
        <v>1528954.9396973462</v>
      </c>
      <c r="AS198" s="204">
        <f t="shared" si="210"/>
        <v>0</v>
      </c>
      <c r="AT198" s="210">
        <f t="shared" si="211"/>
        <v>116200575.41699837</v>
      </c>
      <c r="AU198" s="222">
        <v>0</v>
      </c>
      <c r="AV198" s="214">
        <f t="shared" si="212"/>
        <v>162.06331142984905</v>
      </c>
      <c r="AW198" s="841">
        <f t="shared" si="213"/>
        <v>3.0738670955972056</v>
      </c>
    </row>
    <row r="199" spans="1:49">
      <c r="A199" s="89">
        <f>'Input data'!A123</f>
        <v>2023</v>
      </c>
      <c r="B199" s="93">
        <f>'Input data'!B123</f>
        <v>61.723133308607778</v>
      </c>
      <c r="C199" s="100">
        <f>'Recycling - Case 3'!E103</f>
        <v>0.84643076923076943</v>
      </c>
      <c r="D199" s="471">
        <f>'Recycling - Case 3'!F103</f>
        <v>0.32670769230769237</v>
      </c>
      <c r="E199" s="203">
        <f t="shared" si="188"/>
        <v>960690479.92099226</v>
      </c>
      <c r="F199" s="204">
        <v>0</v>
      </c>
      <c r="G199" s="205">
        <f t="shared" si="189"/>
        <v>960690479.92099226</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16028751.161143327</v>
      </c>
      <c r="AA199" s="204">
        <f t="shared" si="192"/>
        <v>0</v>
      </c>
      <c r="AB199" s="204">
        <f t="shared" si="193"/>
        <v>16028751.161143327</v>
      </c>
      <c r="AC199" s="204">
        <f t="shared" si="194"/>
        <v>8976100.6502402667</v>
      </c>
      <c r="AD199" s="204">
        <f t="shared" si="195"/>
        <v>1282300.0928914656</v>
      </c>
      <c r="AE199" s="204">
        <f t="shared" si="196"/>
        <v>0</v>
      </c>
      <c r="AF199" s="210">
        <f t="shared" si="197"/>
        <v>42315903.065418385</v>
      </c>
      <c r="AG199" s="203">
        <f t="shared" si="198"/>
        <v>0</v>
      </c>
      <c r="AH199" s="204">
        <f t="shared" si="199"/>
        <v>0</v>
      </c>
      <c r="AI199" s="204">
        <f t="shared" si="200"/>
        <v>5187728.5915733576</v>
      </c>
      <c r="AJ199" s="204">
        <f t="shared" si="201"/>
        <v>1037545.7183146715</v>
      </c>
      <c r="AK199" s="204">
        <f t="shared" si="202"/>
        <v>0</v>
      </c>
      <c r="AL199" s="204">
        <f t="shared" si="203"/>
        <v>0</v>
      </c>
      <c r="AM199" s="839">
        <f t="shared" si="204"/>
        <v>6225274.3098880295</v>
      </c>
      <c r="AN199" s="203">
        <f t="shared" si="205"/>
        <v>53555538.284887873</v>
      </c>
      <c r="AO199" s="204">
        <f t="shared" si="206"/>
        <v>0</v>
      </c>
      <c r="AP199" s="204">
        <f t="shared" si="207"/>
        <v>26777769.142443936</v>
      </c>
      <c r="AQ199" s="204">
        <f t="shared" si="208"/>
        <v>37803909.37756791</v>
      </c>
      <c r="AR199" s="204">
        <f t="shared" si="209"/>
        <v>1575162.8907319957</v>
      </c>
      <c r="AS199" s="204">
        <f t="shared" si="210"/>
        <v>0</v>
      </c>
      <c r="AT199" s="210">
        <f t="shared" si="211"/>
        <v>119712379.69563171</v>
      </c>
      <c r="AU199" s="222">
        <v>0</v>
      </c>
      <c r="AV199" s="214">
        <f t="shared" si="212"/>
        <v>168.25355707093811</v>
      </c>
      <c r="AW199" s="841">
        <f t="shared" si="213"/>
        <v>3.1121658543941133</v>
      </c>
    </row>
    <row r="200" spans="1:49">
      <c r="A200" s="89">
        <f>'Input data'!A124</f>
        <v>2024</v>
      </c>
      <c r="B200" s="93">
        <f>'Input data'!B124</f>
        <v>62.434728280060035</v>
      </c>
      <c r="C200" s="100">
        <f>'Recycling - Case 3'!E104</f>
        <v>0.868369230769231</v>
      </c>
      <c r="D200" s="471">
        <f>'Recycling - Case 3'!F104</f>
        <v>0.33289230769230777</v>
      </c>
      <c r="E200" s="203">
        <f t="shared" si="188"/>
        <v>971766108.74909794</v>
      </c>
      <c r="F200" s="204">
        <v>0</v>
      </c>
      <c r="G200" s="205">
        <f t="shared" si="189"/>
        <v>971766108.74909794</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17020857.150936123</v>
      </c>
      <c r="AA200" s="204">
        <f t="shared" si="192"/>
        <v>0</v>
      </c>
      <c r="AB200" s="204">
        <f t="shared" si="193"/>
        <v>17020857.150936123</v>
      </c>
      <c r="AC200" s="204">
        <f t="shared" si="194"/>
        <v>9531680.0045242328</v>
      </c>
      <c r="AD200" s="204">
        <f t="shared" si="195"/>
        <v>1361668.5720748897</v>
      </c>
      <c r="AE200" s="204">
        <f t="shared" si="196"/>
        <v>0</v>
      </c>
      <c r="AF200" s="210">
        <f t="shared" si="197"/>
        <v>44935062.878471367</v>
      </c>
      <c r="AG200" s="203">
        <f t="shared" si="198"/>
        <v>0</v>
      </c>
      <c r="AH200" s="204">
        <f t="shared" si="199"/>
        <v>0</v>
      </c>
      <c r="AI200" s="204">
        <f t="shared" si="200"/>
        <v>5247536.9872451285</v>
      </c>
      <c r="AJ200" s="204">
        <f t="shared" si="201"/>
        <v>1049507.3974490257</v>
      </c>
      <c r="AK200" s="204">
        <f t="shared" si="202"/>
        <v>0</v>
      </c>
      <c r="AL200" s="204">
        <f t="shared" si="203"/>
        <v>0</v>
      </c>
      <c r="AM200" s="839">
        <f t="shared" si="204"/>
        <v>6297044.3846941544</v>
      </c>
      <c r="AN200" s="203">
        <f t="shared" si="205"/>
        <v>55106987.246182986</v>
      </c>
      <c r="AO200" s="204">
        <f t="shared" si="206"/>
        <v>0</v>
      </c>
      <c r="AP200" s="204">
        <f t="shared" si="207"/>
        <v>27553493.623091493</v>
      </c>
      <c r="AQ200" s="204">
        <f t="shared" si="208"/>
        <v>38899049.820835054</v>
      </c>
      <c r="AR200" s="204">
        <f t="shared" si="209"/>
        <v>1620793.7425347927</v>
      </c>
      <c r="AS200" s="204">
        <f t="shared" si="210"/>
        <v>0</v>
      </c>
      <c r="AT200" s="210">
        <f t="shared" si="211"/>
        <v>123180324.43264432</v>
      </c>
      <c r="AU200" s="222">
        <v>0</v>
      </c>
      <c r="AV200" s="214">
        <f t="shared" si="212"/>
        <v>174.41243169580983</v>
      </c>
      <c r="AW200" s="841">
        <f t="shared" si="213"/>
        <v>3.1480454582573771</v>
      </c>
    </row>
    <row r="201" spans="1:49">
      <c r="A201" s="89">
        <f>'Input data'!A125</f>
        <v>2025</v>
      </c>
      <c r="B201" s="93">
        <f>'Input data'!B125</f>
        <v>63.096422221537942</v>
      </c>
      <c r="C201" s="100">
        <f>'Recycling - Case 3'!E105</f>
        <v>0.89030769230769258</v>
      </c>
      <c r="D201" s="471">
        <f>'Recycling - Case 3'!F105</f>
        <v>0.33907692307692316</v>
      </c>
      <c r="E201" s="203">
        <f t="shared" si="188"/>
        <v>982065052.37240517</v>
      </c>
      <c r="F201" s="204">
        <v>0</v>
      </c>
      <c r="G201" s="205">
        <f t="shared" si="189"/>
        <v>982065052.37240517</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18017116.537755277</v>
      </c>
      <c r="AA201" s="204">
        <f t="shared" si="192"/>
        <v>0</v>
      </c>
      <c r="AB201" s="204">
        <f t="shared" si="193"/>
        <v>18017116.537755277</v>
      </c>
      <c r="AC201" s="204">
        <f t="shared" si="194"/>
        <v>10089585.261142962</v>
      </c>
      <c r="AD201" s="204">
        <f t="shared" si="195"/>
        <v>1441369.3230204221</v>
      </c>
      <c r="AE201" s="204">
        <f t="shared" si="196"/>
        <v>0</v>
      </c>
      <c r="AF201" s="210">
        <f t="shared" si="197"/>
        <v>47565187.659673937</v>
      </c>
      <c r="AG201" s="203">
        <f t="shared" si="198"/>
        <v>0</v>
      </c>
      <c r="AH201" s="204">
        <f t="shared" si="199"/>
        <v>0</v>
      </c>
      <c r="AI201" s="204">
        <f t="shared" si="200"/>
        <v>5303151.282810987</v>
      </c>
      <c r="AJ201" s="204">
        <f t="shared" si="201"/>
        <v>1060630.2565621976</v>
      </c>
      <c r="AK201" s="204">
        <f t="shared" si="202"/>
        <v>0</v>
      </c>
      <c r="AL201" s="204">
        <f t="shared" si="203"/>
        <v>0</v>
      </c>
      <c r="AM201" s="839">
        <f t="shared" si="204"/>
        <v>6363781.5393731846</v>
      </c>
      <c r="AN201" s="203">
        <f t="shared" si="205"/>
        <v>56634936.135660954</v>
      </c>
      <c r="AO201" s="204">
        <f t="shared" si="206"/>
        <v>0</v>
      </c>
      <c r="AP201" s="204">
        <f t="shared" si="207"/>
        <v>28317468.067830477</v>
      </c>
      <c r="AQ201" s="204">
        <f t="shared" si="208"/>
        <v>39977601.978113607</v>
      </c>
      <c r="AR201" s="204">
        <f t="shared" si="209"/>
        <v>1665733.4157547327</v>
      </c>
      <c r="AS201" s="204">
        <f t="shared" si="210"/>
        <v>0</v>
      </c>
      <c r="AT201" s="210">
        <f t="shared" si="211"/>
        <v>126595739.59735978</v>
      </c>
      <c r="AU201" s="222">
        <v>0</v>
      </c>
      <c r="AV201" s="214">
        <f t="shared" si="212"/>
        <v>180.52470879640688</v>
      </c>
      <c r="AW201" s="841">
        <f t="shared" si="213"/>
        <v>3.1814089830873744</v>
      </c>
    </row>
    <row r="202" spans="1:49">
      <c r="A202" s="89">
        <f>'Input data'!A126</f>
        <v>2026</v>
      </c>
      <c r="B202" s="93">
        <f>'Input data'!B126</f>
        <v>63.744102485123491</v>
      </c>
      <c r="C202" s="100">
        <f>'Recycling - Case 3'!E106</f>
        <v>0.91224615384615415</v>
      </c>
      <c r="D202" s="471">
        <f>'Recycling - Case 3'!F106</f>
        <v>0.34526153846153856</v>
      </c>
      <c r="E202" s="203">
        <f t="shared" si="188"/>
        <v>992145879.93098581</v>
      </c>
      <c r="F202" s="204">
        <v>0</v>
      </c>
      <c r="G202" s="205">
        <f t="shared" si="189"/>
        <v>992145879.93098581</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19026305.220522676</v>
      </c>
      <c r="AA202" s="204">
        <f t="shared" si="192"/>
        <v>0</v>
      </c>
      <c r="AB202" s="204">
        <f t="shared" si="193"/>
        <v>19026305.220522676</v>
      </c>
      <c r="AC202" s="204">
        <f t="shared" si="194"/>
        <v>10654730.923492702</v>
      </c>
      <c r="AD202" s="204">
        <f t="shared" si="195"/>
        <v>1522104.4176418139</v>
      </c>
      <c r="AE202" s="204">
        <f t="shared" si="196"/>
        <v>0</v>
      </c>
      <c r="AF202" s="210">
        <f t="shared" si="197"/>
        <v>50229445.782179862</v>
      </c>
      <c r="AG202" s="203">
        <f t="shared" si="198"/>
        <v>0</v>
      </c>
      <c r="AH202" s="204">
        <f t="shared" si="199"/>
        <v>0</v>
      </c>
      <c r="AI202" s="204">
        <f t="shared" si="200"/>
        <v>5357587.7516273232</v>
      </c>
      <c r="AJ202" s="204">
        <f t="shared" si="201"/>
        <v>1071517.5503254645</v>
      </c>
      <c r="AK202" s="204">
        <f t="shared" si="202"/>
        <v>0</v>
      </c>
      <c r="AL202" s="204">
        <f t="shared" si="203"/>
        <v>0</v>
      </c>
      <c r="AM202" s="839">
        <f t="shared" si="204"/>
        <v>6429105.3019527877</v>
      </c>
      <c r="AN202" s="203">
        <f t="shared" si="205"/>
        <v>58169894.534922913</v>
      </c>
      <c r="AO202" s="204">
        <f t="shared" si="206"/>
        <v>0</v>
      </c>
      <c r="AP202" s="204">
        <f t="shared" si="207"/>
        <v>29084947.267461456</v>
      </c>
      <c r="AQ202" s="204">
        <f t="shared" si="208"/>
        <v>41061102.024651475</v>
      </c>
      <c r="AR202" s="204">
        <f t="shared" si="209"/>
        <v>1710879.2510271433</v>
      </c>
      <c r="AS202" s="204">
        <f t="shared" si="210"/>
        <v>0</v>
      </c>
      <c r="AT202" s="210">
        <f t="shared" si="211"/>
        <v>130026823.07806298</v>
      </c>
      <c r="AU202" s="222">
        <v>0</v>
      </c>
      <c r="AV202" s="214">
        <f t="shared" si="212"/>
        <v>186.68537416219561</v>
      </c>
      <c r="AW202" s="841">
        <f t="shared" si="213"/>
        <v>3.2140659188721759</v>
      </c>
    </row>
    <row r="203" spans="1:49">
      <c r="A203" s="89">
        <f>'Input data'!A127</f>
        <v>2027</v>
      </c>
      <c r="B203" s="93">
        <f>'Input data'!B127</f>
        <v>64.377188881988602</v>
      </c>
      <c r="C203" s="100">
        <f>'Recycling - Case 3'!E107</f>
        <v>0.93418461538461572</v>
      </c>
      <c r="D203" s="471">
        <f>'Recycling - Case 3'!F107</f>
        <v>0.35144615384615396</v>
      </c>
      <c r="E203" s="203">
        <f t="shared" si="188"/>
        <v>1001999561.0685728</v>
      </c>
      <c r="F203" s="204">
        <v>0</v>
      </c>
      <c r="G203" s="205">
        <f t="shared" si="189"/>
        <v>1001999561.0685728</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20047698.910302751</v>
      </c>
      <c r="AA203" s="204">
        <f t="shared" ref="AA203:AA219" si="232">I203*$C$36*G203*$C$10</f>
        <v>0</v>
      </c>
      <c r="AB203" s="204">
        <f t="shared" ref="AB203:AB219" si="233">J203*$C$37*G203*$C$10</f>
        <v>20047698.910302751</v>
      </c>
      <c r="AC203" s="204">
        <f t="shared" ref="AC203:AC219" si="234">K203*$C$40*G203*$C$10</f>
        <v>11226711.389769547</v>
      </c>
      <c r="AD203" s="204">
        <f t="shared" ref="AD203:AD219" si="235">L203*$C$41*G203*$C$10</f>
        <v>1603815.9128242203</v>
      </c>
      <c r="AE203" s="204">
        <f t="shared" ref="AE203:AE219" si="236">M203*$C$42*G203*$C$10</f>
        <v>0</v>
      </c>
      <c r="AF203" s="210">
        <f t="shared" ref="AF203:AF219" si="237">SUM(Z203:AE203)</f>
        <v>52925925.123199269</v>
      </c>
      <c r="AG203" s="203">
        <f t="shared" ref="AG203:AG219" si="238">N203*$C$35*G203*$C$11</f>
        <v>0</v>
      </c>
      <c r="AH203" s="204">
        <f t="shared" ref="AH203:AH219" si="239">O203*$C$36*G203*$C$11</f>
        <v>0</v>
      </c>
      <c r="AI203" s="204">
        <f t="shared" ref="AI203:AI219" si="240">P203*$C$37*G203*$C$11</f>
        <v>5410797.6297702929</v>
      </c>
      <c r="AJ203" s="204">
        <f t="shared" ref="AJ203:AJ219" si="241">Q203*$C$38*G203*$C$11</f>
        <v>1082159.5259540584</v>
      </c>
      <c r="AK203" s="204">
        <f t="shared" ref="AK203:AK219" si="242">R203*$C$41*G203*$C$11</f>
        <v>0</v>
      </c>
      <c r="AL203" s="204">
        <f t="shared" ref="AL203:AL219" si="243">S203*$C$42*G203*$C$11</f>
        <v>0</v>
      </c>
      <c r="AM203" s="839">
        <f t="shared" ref="AM203:AM219" si="244">SUM(AG203:AL203)</f>
        <v>6492957.1557243513</v>
      </c>
      <c r="AN203" s="203">
        <f t="shared" ref="AN203:AN219" si="245">T203*$C$35*G203*$C$12</f>
        <v>59710695.381862529</v>
      </c>
      <c r="AO203" s="204">
        <f t="shared" ref="AO203:AO219" si="246">U203*$C$36*G203*$C$12</f>
        <v>0</v>
      </c>
      <c r="AP203" s="204">
        <f t="shared" ref="AP203:AP219" si="247">V203*$C$37*G203*$C$12</f>
        <v>29855347.690931264</v>
      </c>
      <c r="AQ203" s="204">
        <f t="shared" ref="AQ203:AQ219" si="248">W203*$C$39*G203*$C$12</f>
        <v>42148726.151902966</v>
      </c>
      <c r="AR203" s="204">
        <f t="shared" ref="AR203:AR219" si="249">X203*$C$41*G203*$C$12</f>
        <v>1756196.922995955</v>
      </c>
      <c r="AS203" s="204">
        <f t="shared" ref="AS203:AS219" si="250">Y203*$C$42*N203*$C$12</f>
        <v>0</v>
      </c>
      <c r="AT203" s="210">
        <f t="shared" ref="AT203:AT219" si="251">SUM(AN203:AS203)</f>
        <v>133470966.14769271</v>
      </c>
      <c r="AU203" s="222">
        <v>0</v>
      </c>
      <c r="AV203" s="214">
        <f t="shared" ref="AV203:AV219" si="252">(AF203+AM203+AT203)/10^6-AU203</f>
        <v>192.88984842661634</v>
      </c>
      <c r="AW203" s="841">
        <f t="shared" ref="AW203:AW219" si="253">((B203*$C$46*$C$47*$C$48*$C$49)-$C$50)*$C$51*$C$52</f>
        <v>3.2459870116876344</v>
      </c>
    </row>
    <row r="204" spans="1:49">
      <c r="A204" s="89">
        <f>'Input data'!A128</f>
        <v>2028</v>
      </c>
      <c r="B204" s="93">
        <f>'Input data'!B128</f>
        <v>64.995109664264291</v>
      </c>
      <c r="C204" s="100">
        <f>'Recycling - Case 3'!E108</f>
        <v>0.9561230769230773</v>
      </c>
      <c r="D204" s="471">
        <f>'Recycling - Case 3'!F108</f>
        <v>0.35763076923076936</v>
      </c>
      <c r="E204" s="203">
        <f t="shared" si="188"/>
        <v>1011617196.8083125</v>
      </c>
      <c r="F204" s="204">
        <v>0</v>
      </c>
      <c r="G204" s="205">
        <f t="shared" si="189"/>
        <v>1011617196.8083125</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21080546.047336295</v>
      </c>
      <c r="AA204" s="204">
        <f t="shared" si="232"/>
        <v>0</v>
      </c>
      <c r="AB204" s="204">
        <f t="shared" si="233"/>
        <v>21080546.047336295</v>
      </c>
      <c r="AC204" s="204">
        <f t="shared" si="234"/>
        <v>11805105.786508333</v>
      </c>
      <c r="AD204" s="204">
        <f t="shared" si="235"/>
        <v>1686443.683786904</v>
      </c>
      <c r="AE204" s="204">
        <f t="shared" si="236"/>
        <v>0</v>
      </c>
      <c r="AF204" s="210">
        <f t="shared" si="237"/>
        <v>55652641.564967833</v>
      </c>
      <c r="AG204" s="203">
        <f t="shared" si="238"/>
        <v>0</v>
      </c>
      <c r="AH204" s="204">
        <f t="shared" si="239"/>
        <v>0</v>
      </c>
      <c r="AI204" s="204">
        <f t="shared" si="240"/>
        <v>5462732.8627648875</v>
      </c>
      <c r="AJ204" s="204">
        <f t="shared" si="241"/>
        <v>1092546.5725529774</v>
      </c>
      <c r="AK204" s="204">
        <f t="shared" si="242"/>
        <v>0</v>
      </c>
      <c r="AL204" s="204">
        <f t="shared" si="243"/>
        <v>0</v>
      </c>
      <c r="AM204" s="839">
        <f t="shared" si="244"/>
        <v>6555279.4353178646</v>
      </c>
      <c r="AN204" s="203">
        <f t="shared" si="245"/>
        <v>61256144.851503983</v>
      </c>
      <c r="AO204" s="204">
        <f t="shared" si="246"/>
        <v>0</v>
      </c>
      <c r="AP204" s="204">
        <f t="shared" si="247"/>
        <v>30628072.425751992</v>
      </c>
      <c r="AQ204" s="204">
        <f t="shared" si="248"/>
        <v>43239631.659885168</v>
      </c>
      <c r="AR204" s="204">
        <f t="shared" si="249"/>
        <v>1801651.3191618801</v>
      </c>
      <c r="AS204" s="204">
        <f t="shared" si="250"/>
        <v>0</v>
      </c>
      <c r="AT204" s="210">
        <f t="shared" si="251"/>
        <v>136925500.25630304</v>
      </c>
      <c r="AU204" s="222">
        <v>0</v>
      </c>
      <c r="AV204" s="214">
        <f t="shared" si="252"/>
        <v>199.13342125658875</v>
      </c>
      <c r="AW204" s="841">
        <f t="shared" si="253"/>
        <v>3.277143433214452</v>
      </c>
    </row>
    <row r="205" spans="1:49">
      <c r="A205" s="89">
        <f>'Input data'!A129</f>
        <v>2029</v>
      </c>
      <c r="B205" s="93">
        <f>'Input data'!B129</f>
        <v>65.59730237662275</v>
      </c>
      <c r="C205" s="100">
        <f>'Recycling - Case 3'!E109</f>
        <v>0.97806153846153887</v>
      </c>
      <c r="D205" s="471">
        <f>'Recycling - Case 3'!F109</f>
        <v>0.36381538461538476</v>
      </c>
      <c r="E205" s="203">
        <f t="shared" si="188"/>
        <v>1020990032.8072246</v>
      </c>
      <c r="F205" s="204">
        <v>0</v>
      </c>
      <c r="G205" s="205">
        <f t="shared" si="189"/>
        <v>1020990032.8072246</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22124068.633984242</v>
      </c>
      <c r="AA205" s="204">
        <f t="shared" si="232"/>
        <v>0</v>
      </c>
      <c r="AB205" s="204">
        <f t="shared" si="233"/>
        <v>22124068.633984242</v>
      </c>
      <c r="AC205" s="204">
        <f t="shared" si="234"/>
        <v>12389478.435031183</v>
      </c>
      <c r="AD205" s="204">
        <f t="shared" si="235"/>
        <v>1769925.4907187398</v>
      </c>
      <c r="AE205" s="204">
        <f t="shared" si="236"/>
        <v>0</v>
      </c>
      <c r="AF205" s="210">
        <f t="shared" si="237"/>
        <v>58407541.193718404</v>
      </c>
      <c r="AG205" s="203">
        <f t="shared" si="238"/>
        <v>0</v>
      </c>
      <c r="AH205" s="204">
        <f t="shared" si="239"/>
        <v>0</v>
      </c>
      <c r="AI205" s="204">
        <f t="shared" si="240"/>
        <v>5513346.1771590132</v>
      </c>
      <c r="AJ205" s="204">
        <f t="shared" si="241"/>
        <v>1102669.2354318025</v>
      </c>
      <c r="AK205" s="204">
        <f t="shared" si="242"/>
        <v>0</v>
      </c>
      <c r="AL205" s="204">
        <f t="shared" si="243"/>
        <v>0</v>
      </c>
      <c r="AM205" s="839">
        <f t="shared" si="244"/>
        <v>6616015.4125908157</v>
      </c>
      <c r="AN205" s="203">
        <f t="shared" si="245"/>
        <v>62805023.802713968</v>
      </c>
      <c r="AO205" s="204">
        <f t="shared" si="246"/>
        <v>0</v>
      </c>
      <c r="AP205" s="204">
        <f t="shared" si="247"/>
        <v>31402511.901356984</v>
      </c>
      <c r="AQ205" s="204">
        <f t="shared" si="248"/>
        <v>44332957.978386335</v>
      </c>
      <c r="AR205" s="204">
        <f t="shared" si="249"/>
        <v>1847206.5824327623</v>
      </c>
      <c r="AS205" s="204">
        <f t="shared" si="250"/>
        <v>0</v>
      </c>
      <c r="AT205" s="210">
        <f t="shared" si="251"/>
        <v>140387700.26489007</v>
      </c>
      <c r="AU205" s="222">
        <v>0</v>
      </c>
      <c r="AV205" s="214">
        <f t="shared" si="252"/>
        <v>205.4112568711993</v>
      </c>
      <c r="AW205" s="841">
        <f t="shared" si="253"/>
        <v>3.307506823676122</v>
      </c>
    </row>
    <row r="206" spans="1:49">
      <c r="A206" s="89">
        <f>'Input data'!A130</f>
        <v>2030</v>
      </c>
      <c r="B206" s="93">
        <f>'Input data'!B130</f>
        <v>66.183214701401099</v>
      </c>
      <c r="C206" s="100">
        <f>'Recycling - Case 3'!E110</f>
        <v>1</v>
      </c>
      <c r="D206" s="471">
        <f>'Recycling - Case 3'!F110</f>
        <v>0.37</v>
      </c>
      <c r="E206" s="203">
        <f t="shared" si="188"/>
        <v>1030109472.5101414</v>
      </c>
      <c r="F206" s="204">
        <v>0</v>
      </c>
      <c r="G206" s="205">
        <f t="shared" si="189"/>
        <v>1030109472.5101414</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23177463.131478183</v>
      </c>
      <c r="AA206" s="204">
        <f t="shared" si="232"/>
        <v>0</v>
      </c>
      <c r="AB206" s="204">
        <f t="shared" si="233"/>
        <v>23177463.131478183</v>
      </c>
      <c r="AC206" s="204">
        <f t="shared" si="234"/>
        <v>12979379.353627784</v>
      </c>
      <c r="AD206" s="204">
        <f t="shared" si="235"/>
        <v>1854197.0505182547</v>
      </c>
      <c r="AE206" s="204">
        <f t="shared" si="236"/>
        <v>0</v>
      </c>
      <c r="AF206" s="210">
        <f t="shared" si="237"/>
        <v>61188502.667102404</v>
      </c>
      <c r="AG206" s="203">
        <f t="shared" si="238"/>
        <v>0</v>
      </c>
      <c r="AH206" s="204">
        <f t="shared" si="239"/>
        <v>0</v>
      </c>
      <c r="AI206" s="204">
        <f t="shared" si="240"/>
        <v>5562591.1515547624</v>
      </c>
      <c r="AJ206" s="204">
        <f t="shared" si="241"/>
        <v>1112518.2303109525</v>
      </c>
      <c r="AK206" s="204">
        <f t="shared" si="242"/>
        <v>0</v>
      </c>
      <c r="AL206" s="204">
        <f t="shared" si="243"/>
        <v>0</v>
      </c>
      <c r="AM206" s="839">
        <f t="shared" si="244"/>
        <v>6675109.3818657147</v>
      </c>
      <c r="AN206" s="203">
        <f t="shared" si="245"/>
        <v>64356089.29507108</v>
      </c>
      <c r="AO206" s="204">
        <f t="shared" si="246"/>
        <v>0</v>
      </c>
      <c r="AP206" s="204">
        <f t="shared" si="247"/>
        <v>32178044.64753554</v>
      </c>
      <c r="AQ206" s="204">
        <f t="shared" si="248"/>
        <v>45427827.737697229</v>
      </c>
      <c r="AR206" s="204">
        <f t="shared" si="249"/>
        <v>1892826.1557373847</v>
      </c>
      <c r="AS206" s="204">
        <f t="shared" si="250"/>
        <v>0</v>
      </c>
      <c r="AT206" s="210">
        <f t="shared" si="251"/>
        <v>143854787.83604124</v>
      </c>
      <c r="AU206" s="222">
        <v>0</v>
      </c>
      <c r="AV206" s="214">
        <f t="shared" si="252"/>
        <v>211.71839988500935</v>
      </c>
      <c r="AW206" s="841">
        <f t="shared" si="253"/>
        <v>3.337049334451244</v>
      </c>
    </row>
    <row r="207" spans="1:49">
      <c r="A207" s="89">
        <f>'Input data'!A131</f>
        <v>2031</v>
      </c>
      <c r="B207" s="93">
        <f>'Input data'!B131</f>
        <v>66.757007289602299</v>
      </c>
      <c r="C207" s="100">
        <f>'Recycling - Case 3'!E111</f>
        <v>1</v>
      </c>
      <c r="D207" s="471">
        <f>'Recycling - Case 3'!F111</f>
        <v>0.37</v>
      </c>
      <c r="E207" s="203">
        <f t="shared" si="188"/>
        <v>1039040274.4216062</v>
      </c>
      <c r="F207" s="204">
        <v>0</v>
      </c>
      <c r="G207" s="205">
        <f t="shared" si="189"/>
        <v>1039040274.4216062</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23378406.174486142</v>
      </c>
      <c r="AA207" s="204">
        <f t="shared" si="232"/>
        <v>0</v>
      </c>
      <c r="AB207" s="204">
        <f t="shared" si="233"/>
        <v>23378406.174486142</v>
      </c>
      <c r="AC207" s="204">
        <f t="shared" si="234"/>
        <v>13091907.457712241</v>
      </c>
      <c r="AD207" s="204">
        <f t="shared" si="235"/>
        <v>1870272.4939588914</v>
      </c>
      <c r="AE207" s="204">
        <f t="shared" si="236"/>
        <v>0</v>
      </c>
      <c r="AF207" s="210">
        <f t="shared" si="237"/>
        <v>61718992.300643414</v>
      </c>
      <c r="AG207" s="203">
        <f t="shared" si="238"/>
        <v>0</v>
      </c>
      <c r="AH207" s="204">
        <f t="shared" si="239"/>
        <v>0</v>
      </c>
      <c r="AI207" s="204">
        <f t="shared" si="240"/>
        <v>5610817.4818766732</v>
      </c>
      <c r="AJ207" s="204">
        <f t="shared" si="241"/>
        <v>1122163.4963753344</v>
      </c>
      <c r="AK207" s="204">
        <f t="shared" si="242"/>
        <v>0</v>
      </c>
      <c r="AL207" s="204">
        <f t="shared" si="243"/>
        <v>0</v>
      </c>
      <c r="AM207" s="839">
        <f t="shared" si="244"/>
        <v>6732980.9782520076</v>
      </c>
      <c r="AN207" s="203">
        <f t="shared" si="245"/>
        <v>64914041.144489847</v>
      </c>
      <c r="AO207" s="204">
        <f t="shared" si="246"/>
        <v>0</v>
      </c>
      <c r="AP207" s="204">
        <f t="shared" si="247"/>
        <v>32457020.572244924</v>
      </c>
      <c r="AQ207" s="204">
        <f t="shared" si="248"/>
        <v>45821676.101992831</v>
      </c>
      <c r="AR207" s="204">
        <f t="shared" si="249"/>
        <v>1909236.504249701</v>
      </c>
      <c r="AS207" s="204">
        <f t="shared" si="250"/>
        <v>0</v>
      </c>
      <c r="AT207" s="210">
        <f t="shared" si="251"/>
        <v>145101974.3229773</v>
      </c>
      <c r="AU207" s="222">
        <v>0</v>
      </c>
      <c r="AV207" s="214">
        <f t="shared" si="252"/>
        <v>213.55394760187275</v>
      </c>
      <c r="AW207" s="841">
        <f t="shared" si="253"/>
        <v>3.3659807513249738</v>
      </c>
    </row>
    <row r="208" spans="1:49">
      <c r="A208" s="89">
        <f>'Input data'!A132</f>
        <v>2032</v>
      </c>
      <c r="B208" s="93">
        <f>'Input data'!B132</f>
        <v>67.318270994163854</v>
      </c>
      <c r="C208" s="100">
        <f>'Recycling - Case 3'!E112</f>
        <v>1</v>
      </c>
      <c r="D208" s="471">
        <f>'Recycling - Case 3'!F112</f>
        <v>0.37</v>
      </c>
      <c r="E208" s="203">
        <f t="shared" si="188"/>
        <v>1047776070.3670508</v>
      </c>
      <c r="F208" s="204">
        <v>0</v>
      </c>
      <c r="G208" s="205">
        <f t="shared" si="189"/>
        <v>1047776070.3670508</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23574961.583258644</v>
      </c>
      <c r="AA208" s="204">
        <f t="shared" si="232"/>
        <v>0</v>
      </c>
      <c r="AB208" s="204">
        <f t="shared" si="233"/>
        <v>23574961.583258644</v>
      </c>
      <c r="AC208" s="204">
        <f t="shared" si="234"/>
        <v>13201978.486624843</v>
      </c>
      <c r="AD208" s="204">
        <f t="shared" si="235"/>
        <v>1885996.9266606916</v>
      </c>
      <c r="AE208" s="204">
        <f t="shared" si="236"/>
        <v>0</v>
      </c>
      <c r="AF208" s="210">
        <f t="shared" si="237"/>
        <v>62237898.579802826</v>
      </c>
      <c r="AG208" s="203">
        <f t="shared" si="238"/>
        <v>0</v>
      </c>
      <c r="AH208" s="204">
        <f t="shared" si="239"/>
        <v>0</v>
      </c>
      <c r="AI208" s="204">
        <f t="shared" si="240"/>
        <v>5657990.7799820732</v>
      </c>
      <c r="AJ208" s="204">
        <f t="shared" si="241"/>
        <v>1131598.1559964146</v>
      </c>
      <c r="AK208" s="204">
        <f t="shared" si="242"/>
        <v>0</v>
      </c>
      <c r="AL208" s="204">
        <f t="shared" si="243"/>
        <v>0</v>
      </c>
      <c r="AM208" s="839">
        <f t="shared" si="244"/>
        <v>6789588.9359784881</v>
      </c>
      <c r="AN208" s="203">
        <f t="shared" si="245"/>
        <v>65459809.996181495</v>
      </c>
      <c r="AO208" s="204">
        <f t="shared" si="246"/>
        <v>0</v>
      </c>
      <c r="AP208" s="204">
        <f t="shared" si="247"/>
        <v>32729904.998090748</v>
      </c>
      <c r="AQ208" s="204">
        <f t="shared" si="248"/>
        <v>46206924.703186937</v>
      </c>
      <c r="AR208" s="204">
        <f t="shared" si="249"/>
        <v>1925288.5292994555</v>
      </c>
      <c r="AS208" s="204">
        <f t="shared" si="250"/>
        <v>0</v>
      </c>
      <c r="AT208" s="210">
        <f t="shared" si="251"/>
        <v>146321928.22675866</v>
      </c>
      <c r="AU208" s="222">
        <v>0</v>
      </c>
      <c r="AV208" s="214">
        <f t="shared" si="252"/>
        <v>215.34941574253997</v>
      </c>
      <c r="AW208" s="841">
        <f t="shared" si="253"/>
        <v>3.3942804445358443</v>
      </c>
    </row>
    <row r="209" spans="1:49">
      <c r="A209" s="89">
        <f>'Input data'!A133</f>
        <v>2033</v>
      </c>
      <c r="B209" s="93">
        <f>'Input data'!B133</f>
        <v>67.86660286866902</v>
      </c>
      <c r="C209" s="100">
        <f>'Recycling - Case 3'!E113</f>
        <v>1</v>
      </c>
      <c r="D209" s="471">
        <f>'Recycling - Case 3'!F113</f>
        <v>0.37</v>
      </c>
      <c r="E209" s="203">
        <f t="shared" si="188"/>
        <v>1056310588.6819348</v>
      </c>
      <c r="F209" s="204">
        <v>0</v>
      </c>
      <c r="G209" s="205">
        <f t="shared" si="189"/>
        <v>1056310588.6819348</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23766988.245343536</v>
      </c>
      <c r="AA209" s="204">
        <f t="shared" si="232"/>
        <v>0</v>
      </c>
      <c r="AB209" s="204">
        <f t="shared" si="233"/>
        <v>23766988.245343536</v>
      </c>
      <c r="AC209" s="204">
        <f t="shared" si="234"/>
        <v>13309513.417392382</v>
      </c>
      <c r="AD209" s="204">
        <f t="shared" si="235"/>
        <v>1901359.0596274831</v>
      </c>
      <c r="AE209" s="204">
        <f t="shared" si="236"/>
        <v>0</v>
      </c>
      <c r="AF209" s="210">
        <f t="shared" si="237"/>
        <v>62744848.967706934</v>
      </c>
      <c r="AG209" s="203">
        <f t="shared" si="238"/>
        <v>0</v>
      </c>
      <c r="AH209" s="204">
        <f t="shared" si="239"/>
        <v>0</v>
      </c>
      <c r="AI209" s="204">
        <f t="shared" si="240"/>
        <v>5704077.178882448</v>
      </c>
      <c r="AJ209" s="204">
        <f t="shared" si="241"/>
        <v>1140815.4357764896</v>
      </c>
      <c r="AK209" s="204">
        <f t="shared" si="242"/>
        <v>0</v>
      </c>
      <c r="AL209" s="204">
        <f t="shared" si="243"/>
        <v>0</v>
      </c>
      <c r="AM209" s="839">
        <f t="shared" si="244"/>
        <v>6844892.6146589378</v>
      </c>
      <c r="AN209" s="203">
        <f t="shared" si="245"/>
        <v>65993004.027903877</v>
      </c>
      <c r="AO209" s="204">
        <f t="shared" si="246"/>
        <v>0</v>
      </c>
      <c r="AP209" s="204">
        <f t="shared" si="247"/>
        <v>32996502.013951939</v>
      </c>
      <c r="AQ209" s="204">
        <f t="shared" si="248"/>
        <v>46583296.960873321</v>
      </c>
      <c r="AR209" s="204">
        <f t="shared" si="249"/>
        <v>1940970.7067030552</v>
      </c>
      <c r="AS209" s="204">
        <f t="shared" si="250"/>
        <v>0</v>
      </c>
      <c r="AT209" s="210">
        <f t="shared" si="251"/>
        <v>147513773.70943218</v>
      </c>
      <c r="AU209" s="222">
        <v>0</v>
      </c>
      <c r="AV209" s="214">
        <f t="shared" si="252"/>
        <v>217.10351529179806</v>
      </c>
      <c r="AW209" s="841">
        <f t="shared" si="253"/>
        <v>3.4219280969675285</v>
      </c>
    </row>
    <row r="210" spans="1:49">
      <c r="A210" s="89">
        <f>'Input data'!A134</f>
        <v>2034</v>
      </c>
      <c r="B210" s="93">
        <f>'Input data'!B134</f>
        <v>68.401606645337111</v>
      </c>
      <c r="C210" s="100">
        <f>'Recycling - Case 3'!E114</f>
        <v>1</v>
      </c>
      <c r="D210" s="471">
        <f>'Recycling - Case 3'!F114</f>
        <v>0.37</v>
      </c>
      <c r="E210" s="203">
        <f t="shared" si="188"/>
        <v>1064637661.6514326</v>
      </c>
      <c r="F210" s="204">
        <v>0</v>
      </c>
      <c r="G210" s="205">
        <f t="shared" si="189"/>
        <v>1064637661.6514326</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23954347.387157235</v>
      </c>
      <c r="AA210" s="204">
        <f t="shared" si="232"/>
        <v>0</v>
      </c>
      <c r="AB210" s="204">
        <f t="shared" si="233"/>
        <v>23954347.387157235</v>
      </c>
      <c r="AC210" s="204">
        <f t="shared" si="234"/>
        <v>13414434.536808055</v>
      </c>
      <c r="AD210" s="204">
        <f t="shared" si="235"/>
        <v>1916347.790972579</v>
      </c>
      <c r="AE210" s="204">
        <f t="shared" si="236"/>
        <v>0</v>
      </c>
      <c r="AF210" s="210">
        <f t="shared" si="237"/>
        <v>63239477.102095097</v>
      </c>
      <c r="AG210" s="203">
        <f t="shared" si="238"/>
        <v>0</v>
      </c>
      <c r="AH210" s="204">
        <f t="shared" si="239"/>
        <v>0</v>
      </c>
      <c r="AI210" s="204">
        <f t="shared" si="240"/>
        <v>5749043.372917735</v>
      </c>
      <c r="AJ210" s="204">
        <f t="shared" si="241"/>
        <v>1149808.6745835471</v>
      </c>
      <c r="AK210" s="204">
        <f t="shared" si="242"/>
        <v>0</v>
      </c>
      <c r="AL210" s="204">
        <f t="shared" si="243"/>
        <v>0</v>
      </c>
      <c r="AM210" s="839">
        <f t="shared" si="244"/>
        <v>6898852.0475012818</v>
      </c>
      <c r="AN210" s="203">
        <f t="shared" si="245"/>
        <v>66513237.911673263</v>
      </c>
      <c r="AO210" s="204">
        <f t="shared" si="246"/>
        <v>0</v>
      </c>
      <c r="AP210" s="204">
        <f t="shared" si="247"/>
        <v>33256618.955836631</v>
      </c>
      <c r="AQ210" s="204">
        <f t="shared" si="248"/>
        <v>46950520.878828175</v>
      </c>
      <c r="AR210" s="204">
        <f t="shared" si="249"/>
        <v>1956271.7032845074</v>
      </c>
      <c r="AS210" s="204">
        <f t="shared" si="250"/>
        <v>0</v>
      </c>
      <c r="AT210" s="210">
        <f t="shared" si="251"/>
        <v>148676649.44962257</v>
      </c>
      <c r="AU210" s="222">
        <v>0</v>
      </c>
      <c r="AV210" s="214">
        <f t="shared" si="252"/>
        <v>218.81497859921896</v>
      </c>
      <c r="AW210" s="841">
        <f t="shared" si="253"/>
        <v>3.4489037282497814</v>
      </c>
    </row>
    <row r="211" spans="1:49">
      <c r="A211" s="89">
        <f>'Input data'!A135</f>
        <v>2035</v>
      </c>
      <c r="B211" s="93">
        <f>'Input data'!B135</f>
        <v>68.922893208527455</v>
      </c>
      <c r="C211" s="100">
        <f>'Recycling - Case 3'!E115</f>
        <v>1</v>
      </c>
      <c r="D211" s="471">
        <f>'Recycling - Case 3'!F115</f>
        <v>0.37</v>
      </c>
      <c r="E211" s="203">
        <f t="shared" si="188"/>
        <v>1072751232.8802906</v>
      </c>
      <c r="F211" s="204">
        <v>0</v>
      </c>
      <c r="G211" s="205">
        <f t="shared" si="189"/>
        <v>1072751232.8802906</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24136902.73980654</v>
      </c>
      <c r="AA211" s="204">
        <f t="shared" si="232"/>
        <v>0</v>
      </c>
      <c r="AB211" s="204">
        <f t="shared" si="233"/>
        <v>24136902.73980654</v>
      </c>
      <c r="AC211" s="204">
        <f t="shared" si="234"/>
        <v>13516665.534291666</v>
      </c>
      <c r="AD211" s="204">
        <f t="shared" si="235"/>
        <v>1930952.2191845234</v>
      </c>
      <c r="AE211" s="204">
        <f t="shared" si="236"/>
        <v>0</v>
      </c>
      <c r="AF211" s="210">
        <f t="shared" si="237"/>
        <v>63721423.233089276</v>
      </c>
      <c r="AG211" s="203">
        <f t="shared" si="238"/>
        <v>0</v>
      </c>
      <c r="AH211" s="204">
        <f t="shared" si="239"/>
        <v>0</v>
      </c>
      <c r="AI211" s="204">
        <f t="shared" si="240"/>
        <v>5792856.6575535685</v>
      </c>
      <c r="AJ211" s="204">
        <f t="shared" si="241"/>
        <v>1158571.3315107138</v>
      </c>
      <c r="AK211" s="204">
        <f t="shared" si="242"/>
        <v>0</v>
      </c>
      <c r="AL211" s="204">
        <f t="shared" si="243"/>
        <v>0</v>
      </c>
      <c r="AM211" s="839">
        <f t="shared" si="244"/>
        <v>6951427.9890642818</v>
      </c>
      <c r="AN211" s="203">
        <f t="shared" si="245"/>
        <v>67020133.274196155</v>
      </c>
      <c r="AO211" s="204">
        <f t="shared" si="246"/>
        <v>0</v>
      </c>
      <c r="AP211" s="204">
        <f t="shared" si="247"/>
        <v>33510066.637098078</v>
      </c>
      <c r="AQ211" s="204">
        <f t="shared" si="248"/>
        <v>47308329.370020814</v>
      </c>
      <c r="AR211" s="204">
        <f t="shared" si="249"/>
        <v>1971180.3904175339</v>
      </c>
      <c r="AS211" s="204">
        <f t="shared" si="250"/>
        <v>0</v>
      </c>
      <c r="AT211" s="210">
        <f t="shared" si="251"/>
        <v>149809709.6717326</v>
      </c>
      <c r="AU211" s="222">
        <v>0</v>
      </c>
      <c r="AV211" s="214">
        <f t="shared" si="252"/>
        <v>220.48256089388616</v>
      </c>
      <c r="AW211" s="841">
        <f t="shared" si="253"/>
        <v>3.4751877186331606</v>
      </c>
    </row>
    <row r="212" spans="1:49">
      <c r="A212" s="89">
        <f>'Input data'!A136</f>
        <v>2036</v>
      </c>
      <c r="B212" s="93">
        <f>'Input data'!B136</f>
        <v>69.431445341664755</v>
      </c>
      <c r="C212" s="100">
        <f>'Recycling - Case 3'!E116</f>
        <v>1</v>
      </c>
      <c r="D212" s="471">
        <f>'Recycling - Case 3'!F116</f>
        <v>0.37</v>
      </c>
      <c r="E212" s="203">
        <f t="shared" si="188"/>
        <v>1080666598.913408</v>
      </c>
      <c r="F212" s="204">
        <v>0</v>
      </c>
      <c r="G212" s="205">
        <f t="shared" si="189"/>
        <v>1080666598.913408</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24314998.475551683</v>
      </c>
      <c r="AA212" s="204">
        <f t="shared" si="232"/>
        <v>0</v>
      </c>
      <c r="AB212" s="204">
        <f t="shared" si="233"/>
        <v>24314998.475551683</v>
      </c>
      <c r="AC212" s="204">
        <f t="shared" si="234"/>
        <v>13616399.146308944</v>
      </c>
      <c r="AD212" s="204">
        <f t="shared" si="235"/>
        <v>1945199.8780441349</v>
      </c>
      <c r="AE212" s="204">
        <f t="shared" si="236"/>
        <v>0</v>
      </c>
      <c r="AF212" s="210">
        <f t="shared" si="237"/>
        <v>64191595.975456446</v>
      </c>
      <c r="AG212" s="203">
        <f t="shared" si="238"/>
        <v>0</v>
      </c>
      <c r="AH212" s="204">
        <f t="shared" si="239"/>
        <v>0</v>
      </c>
      <c r="AI212" s="204">
        <f t="shared" si="240"/>
        <v>5835599.6341324029</v>
      </c>
      <c r="AJ212" s="204">
        <f t="shared" si="241"/>
        <v>1167119.9268264805</v>
      </c>
      <c r="AK212" s="204">
        <f t="shared" si="242"/>
        <v>0</v>
      </c>
      <c r="AL212" s="204">
        <f t="shared" si="243"/>
        <v>0</v>
      </c>
      <c r="AM212" s="839">
        <f t="shared" si="244"/>
        <v>7002719.5609588837</v>
      </c>
      <c r="AN212" s="203">
        <f t="shared" si="245"/>
        <v>67514645.767115161</v>
      </c>
      <c r="AO212" s="204">
        <f t="shared" si="246"/>
        <v>0</v>
      </c>
      <c r="AP212" s="204">
        <f t="shared" si="247"/>
        <v>33757322.88355758</v>
      </c>
      <c r="AQ212" s="204">
        <f t="shared" si="248"/>
        <v>47657397.012081288</v>
      </c>
      <c r="AR212" s="204">
        <f t="shared" si="249"/>
        <v>1985724.8755033871</v>
      </c>
      <c r="AS212" s="204">
        <f t="shared" si="250"/>
        <v>0</v>
      </c>
      <c r="AT212" s="210">
        <f t="shared" si="251"/>
        <v>150915090.53825742</v>
      </c>
      <c r="AU212" s="222">
        <v>0</v>
      </c>
      <c r="AV212" s="214">
        <f t="shared" si="252"/>
        <v>222.10940607467276</v>
      </c>
      <c r="AW212" s="841">
        <f t="shared" si="253"/>
        <v>3.5008296214188772</v>
      </c>
    </row>
    <row r="213" spans="1:49">
      <c r="A213" s="89">
        <f>'Input data'!A137</f>
        <v>2037</v>
      </c>
      <c r="B213" s="93">
        <f>'Input data'!B137</f>
        <v>69.92691944658003</v>
      </c>
      <c r="C213" s="100">
        <f>'Recycling - Case 3'!E117</f>
        <v>1</v>
      </c>
      <c r="D213" s="471">
        <f>'Recycling - Case 3'!F117</f>
        <v>0.37</v>
      </c>
      <c r="E213" s="203">
        <f t="shared" si="188"/>
        <v>1088378411.812788</v>
      </c>
      <c r="F213" s="204">
        <v>0</v>
      </c>
      <c r="G213" s="205">
        <f t="shared" si="189"/>
        <v>1088378411.812788</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24488514.265787732</v>
      </c>
      <c r="AA213" s="204">
        <f t="shared" si="232"/>
        <v>0</v>
      </c>
      <c r="AB213" s="204">
        <f t="shared" si="233"/>
        <v>24488514.265787732</v>
      </c>
      <c r="AC213" s="204">
        <f t="shared" si="234"/>
        <v>13713567.988841133</v>
      </c>
      <c r="AD213" s="204">
        <f t="shared" si="235"/>
        <v>1959081.1412630186</v>
      </c>
      <c r="AE213" s="204">
        <f t="shared" si="236"/>
        <v>0</v>
      </c>
      <c r="AF213" s="210">
        <f t="shared" si="237"/>
        <v>64649677.661679611</v>
      </c>
      <c r="AG213" s="203">
        <f t="shared" si="238"/>
        <v>0</v>
      </c>
      <c r="AH213" s="204">
        <f t="shared" si="239"/>
        <v>0</v>
      </c>
      <c r="AI213" s="204">
        <f t="shared" si="240"/>
        <v>5877243.4237890542</v>
      </c>
      <c r="AJ213" s="204">
        <f t="shared" si="241"/>
        <v>1175448.6847578108</v>
      </c>
      <c r="AK213" s="204">
        <f t="shared" si="242"/>
        <v>0</v>
      </c>
      <c r="AL213" s="204">
        <f t="shared" si="243"/>
        <v>0</v>
      </c>
      <c r="AM213" s="839">
        <f t="shared" si="244"/>
        <v>7052692.1085468652</v>
      </c>
      <c r="AN213" s="203">
        <f t="shared" si="245"/>
        <v>67996441.278003931</v>
      </c>
      <c r="AO213" s="204">
        <f t="shared" si="246"/>
        <v>0</v>
      </c>
      <c r="AP213" s="204">
        <f t="shared" si="247"/>
        <v>33998220.639001966</v>
      </c>
      <c r="AQ213" s="204">
        <f t="shared" si="248"/>
        <v>47997487.960943945</v>
      </c>
      <c r="AR213" s="204">
        <f t="shared" si="249"/>
        <v>1999895.3317059979</v>
      </c>
      <c r="AS213" s="204">
        <f t="shared" si="250"/>
        <v>0</v>
      </c>
      <c r="AT213" s="210">
        <f t="shared" si="251"/>
        <v>151992045.20965582</v>
      </c>
      <c r="AU213" s="222">
        <v>0</v>
      </c>
      <c r="AV213" s="214">
        <f t="shared" si="252"/>
        <v>223.69441497988231</v>
      </c>
      <c r="AW213" s="841">
        <f t="shared" si="253"/>
        <v>3.5258121119114461</v>
      </c>
    </row>
    <row r="214" spans="1:49">
      <c r="A214" s="89">
        <f>'Input data'!A138</f>
        <v>2038</v>
      </c>
      <c r="B214" s="93">
        <f>'Input data'!B138</f>
        <v>70.408978817025954</v>
      </c>
      <c r="C214" s="100">
        <f>'Recycling - Case 3'!E118</f>
        <v>1</v>
      </c>
      <c r="D214" s="471">
        <f>'Recycling - Case 3'!F118</f>
        <v>0.37</v>
      </c>
      <c r="E214" s="203">
        <f t="shared" si="188"/>
        <v>1095881430.9098356</v>
      </c>
      <c r="F214" s="204">
        <v>0</v>
      </c>
      <c r="G214" s="205">
        <f t="shared" si="189"/>
        <v>1095881430.9098356</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24657332.195471302</v>
      </c>
      <c r="AA214" s="204">
        <f t="shared" si="232"/>
        <v>0</v>
      </c>
      <c r="AB214" s="204">
        <f t="shared" si="233"/>
        <v>24657332.195471302</v>
      </c>
      <c r="AC214" s="204">
        <f t="shared" si="234"/>
        <v>13808106.029463932</v>
      </c>
      <c r="AD214" s="204">
        <f t="shared" si="235"/>
        <v>1972586.5756377042</v>
      </c>
      <c r="AE214" s="204">
        <f t="shared" si="236"/>
        <v>0</v>
      </c>
      <c r="AF214" s="210">
        <f t="shared" si="237"/>
        <v>65095356.996044241</v>
      </c>
      <c r="AG214" s="203">
        <f t="shared" si="238"/>
        <v>0</v>
      </c>
      <c r="AH214" s="204">
        <f t="shared" si="239"/>
        <v>0</v>
      </c>
      <c r="AI214" s="204">
        <f t="shared" si="240"/>
        <v>5917759.7269131113</v>
      </c>
      <c r="AJ214" s="204">
        <f t="shared" si="241"/>
        <v>1183551.9453826223</v>
      </c>
      <c r="AK214" s="204">
        <f t="shared" si="242"/>
        <v>0</v>
      </c>
      <c r="AL214" s="204">
        <f t="shared" si="243"/>
        <v>0</v>
      </c>
      <c r="AM214" s="839">
        <f t="shared" si="244"/>
        <v>7101311.6722957334</v>
      </c>
      <c r="AN214" s="203">
        <f t="shared" si="245"/>
        <v>68465192.396091983</v>
      </c>
      <c r="AO214" s="204">
        <f t="shared" si="246"/>
        <v>0</v>
      </c>
      <c r="AP214" s="204">
        <f t="shared" si="247"/>
        <v>34232596.198045991</v>
      </c>
      <c r="AQ214" s="204">
        <f t="shared" si="248"/>
        <v>48328371.103123747</v>
      </c>
      <c r="AR214" s="204">
        <f t="shared" si="249"/>
        <v>2013682.1292968227</v>
      </c>
      <c r="AS214" s="204">
        <f t="shared" si="250"/>
        <v>0</v>
      </c>
      <c r="AT214" s="210">
        <f t="shared" si="251"/>
        <v>153039841.82655853</v>
      </c>
      <c r="AU214" s="222">
        <v>0</v>
      </c>
      <c r="AV214" s="214">
        <f t="shared" si="252"/>
        <v>225.23651049489851</v>
      </c>
      <c r="AW214" s="841">
        <f t="shared" si="253"/>
        <v>3.5501182129156104</v>
      </c>
    </row>
    <row r="215" spans="1:49">
      <c r="A215" s="89">
        <f>'Input data'!A139</f>
        <v>2039</v>
      </c>
      <c r="B215" s="93">
        <f>'Input data'!B139</f>
        <v>70.877294017675013</v>
      </c>
      <c r="C215" s="100">
        <f>'Recycling - Case 3'!E119</f>
        <v>1</v>
      </c>
      <c r="D215" s="471">
        <f>'Recycling - Case 3'!F119</f>
        <v>0.37</v>
      </c>
      <c r="E215" s="203">
        <f t="shared" si="188"/>
        <v>1103170528.704278</v>
      </c>
      <c r="F215" s="204">
        <v>0</v>
      </c>
      <c r="G215" s="205">
        <f t="shared" si="189"/>
        <v>1103170528.704278</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24821336.895846259</v>
      </c>
      <c r="AA215" s="204">
        <f t="shared" si="232"/>
        <v>0</v>
      </c>
      <c r="AB215" s="204">
        <f t="shared" si="233"/>
        <v>24821336.895846259</v>
      </c>
      <c r="AC215" s="204">
        <f t="shared" si="234"/>
        <v>13899948.661673905</v>
      </c>
      <c r="AD215" s="204">
        <f t="shared" si="235"/>
        <v>1985706.9516677007</v>
      </c>
      <c r="AE215" s="204">
        <f t="shared" si="236"/>
        <v>0</v>
      </c>
      <c r="AF215" s="210">
        <f t="shared" si="237"/>
        <v>65528329.405034125</v>
      </c>
      <c r="AG215" s="203">
        <f t="shared" si="238"/>
        <v>0</v>
      </c>
      <c r="AH215" s="204">
        <f t="shared" si="239"/>
        <v>0</v>
      </c>
      <c r="AI215" s="204">
        <f t="shared" si="240"/>
        <v>5957120.8550031008</v>
      </c>
      <c r="AJ215" s="204">
        <f t="shared" si="241"/>
        <v>1191424.1710006201</v>
      </c>
      <c r="AK215" s="204">
        <f t="shared" si="242"/>
        <v>0</v>
      </c>
      <c r="AL215" s="204">
        <f t="shared" si="243"/>
        <v>0</v>
      </c>
      <c r="AM215" s="839">
        <f t="shared" si="244"/>
        <v>7148545.0260037212</v>
      </c>
      <c r="AN215" s="203">
        <f t="shared" si="245"/>
        <v>68920578.780799761</v>
      </c>
      <c r="AO215" s="204">
        <f t="shared" si="246"/>
        <v>0</v>
      </c>
      <c r="AP215" s="204">
        <f t="shared" si="247"/>
        <v>34460289.390399881</v>
      </c>
      <c r="AQ215" s="204">
        <f t="shared" si="248"/>
        <v>48649820.315858662</v>
      </c>
      <c r="AR215" s="204">
        <f t="shared" si="249"/>
        <v>2027075.8464941105</v>
      </c>
      <c r="AS215" s="204">
        <f t="shared" si="250"/>
        <v>0</v>
      </c>
      <c r="AT215" s="210">
        <f t="shared" si="251"/>
        <v>154057764.33355242</v>
      </c>
      <c r="AU215" s="222">
        <v>0</v>
      </c>
      <c r="AV215" s="214">
        <f t="shared" si="252"/>
        <v>226.73463876459027</v>
      </c>
      <c r="AW215" s="841">
        <f t="shared" si="253"/>
        <v>3.5737313138459617</v>
      </c>
    </row>
    <row r="216" spans="1:49">
      <c r="A216" s="89">
        <f>'Input data'!A140</f>
        <v>2040</v>
      </c>
      <c r="B216" s="93">
        <f>'Input data'!B140</f>
        <v>71.331543257193218</v>
      </c>
      <c r="C216" s="100">
        <f>'Recycling - Case 3'!E120</f>
        <v>1</v>
      </c>
      <c r="D216" s="471">
        <f>'Recycling - Case 3'!F120</f>
        <v>0.37</v>
      </c>
      <c r="E216" s="203">
        <f t="shared" si="188"/>
        <v>1110240696.6708748</v>
      </c>
      <c r="F216" s="204">
        <v>0</v>
      </c>
      <c r="G216" s="205">
        <f t="shared" si="189"/>
        <v>1110240696.6708748</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24980415.675094686</v>
      </c>
      <c r="AA216" s="204">
        <f t="shared" si="232"/>
        <v>0</v>
      </c>
      <c r="AB216" s="204">
        <f t="shared" si="233"/>
        <v>24980415.675094686</v>
      </c>
      <c r="AC216" s="204">
        <f t="shared" si="234"/>
        <v>13989032.778053025</v>
      </c>
      <c r="AD216" s="204">
        <f t="shared" si="235"/>
        <v>1998433.2540075749</v>
      </c>
      <c r="AE216" s="204">
        <f t="shared" si="236"/>
        <v>0</v>
      </c>
      <c r="AF216" s="210">
        <f t="shared" si="237"/>
        <v>65948297.382249974</v>
      </c>
      <c r="AG216" s="203">
        <f t="shared" si="238"/>
        <v>0</v>
      </c>
      <c r="AH216" s="204">
        <f t="shared" si="239"/>
        <v>0</v>
      </c>
      <c r="AI216" s="204">
        <f t="shared" si="240"/>
        <v>5995299.7620227234</v>
      </c>
      <c r="AJ216" s="204">
        <f t="shared" si="241"/>
        <v>1199059.9524045447</v>
      </c>
      <c r="AK216" s="204">
        <f t="shared" si="242"/>
        <v>0</v>
      </c>
      <c r="AL216" s="204">
        <f t="shared" si="243"/>
        <v>0</v>
      </c>
      <c r="AM216" s="839">
        <f t="shared" si="244"/>
        <v>7194359.7144272681</v>
      </c>
      <c r="AN216" s="203">
        <f t="shared" si="245"/>
        <v>69362287.524512902</v>
      </c>
      <c r="AO216" s="204">
        <f t="shared" si="246"/>
        <v>0</v>
      </c>
      <c r="AP216" s="204">
        <f t="shared" si="247"/>
        <v>34681143.762256451</v>
      </c>
      <c r="AQ216" s="204">
        <f t="shared" si="248"/>
        <v>48961614.723185576</v>
      </c>
      <c r="AR216" s="204">
        <f t="shared" si="249"/>
        <v>2040067.2801327324</v>
      </c>
      <c r="AS216" s="204">
        <f t="shared" si="250"/>
        <v>0</v>
      </c>
      <c r="AT216" s="210">
        <f t="shared" si="251"/>
        <v>155045113.29008767</v>
      </c>
      <c r="AU216" s="222">
        <v>0</v>
      </c>
      <c r="AV216" s="214">
        <f t="shared" si="252"/>
        <v>228.18777038676492</v>
      </c>
      <c r="AW216" s="841">
        <f t="shared" si="253"/>
        <v>3.5966351895378317</v>
      </c>
    </row>
    <row r="217" spans="1:49">
      <c r="A217" s="89">
        <f>'Input data'!A141</f>
        <v>2041</v>
      </c>
      <c r="B217" s="93">
        <f>'Input data'!B141</f>
        <v>71.772879261991122</v>
      </c>
      <c r="C217" s="100">
        <f>'Recycling - Case 3'!E121</f>
        <v>1</v>
      </c>
      <c r="D217" s="471">
        <f>'Recycling - Case 3'!F121</f>
        <v>0.37</v>
      </c>
      <c r="E217" s="203">
        <f t="shared" si="188"/>
        <v>1117109876.4342515</v>
      </c>
      <c r="F217" s="204">
        <v>0</v>
      </c>
      <c r="G217" s="205">
        <f t="shared" si="189"/>
        <v>1117109876.4342515</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25134972.219770662</v>
      </c>
      <c r="AA217" s="204">
        <f t="shared" si="232"/>
        <v>0</v>
      </c>
      <c r="AB217" s="204">
        <f t="shared" si="233"/>
        <v>25134972.219770662</v>
      </c>
      <c r="AC217" s="204">
        <f t="shared" si="234"/>
        <v>14075584.443071574</v>
      </c>
      <c r="AD217" s="204">
        <f t="shared" si="235"/>
        <v>2010797.7775816531</v>
      </c>
      <c r="AE217" s="204">
        <f t="shared" si="236"/>
        <v>0</v>
      </c>
      <c r="AF217" s="210">
        <f t="shared" si="237"/>
        <v>66356326.660194553</v>
      </c>
      <c r="AG217" s="203">
        <f t="shared" si="238"/>
        <v>0</v>
      </c>
      <c r="AH217" s="204">
        <f t="shared" si="239"/>
        <v>0</v>
      </c>
      <c r="AI217" s="204">
        <f t="shared" si="240"/>
        <v>6032393.3327449579</v>
      </c>
      <c r="AJ217" s="204">
        <f t="shared" si="241"/>
        <v>1206478.6665489916</v>
      </c>
      <c r="AK217" s="204">
        <f t="shared" si="242"/>
        <v>0</v>
      </c>
      <c r="AL217" s="204">
        <f t="shared" si="243"/>
        <v>0</v>
      </c>
      <c r="AM217" s="839">
        <f t="shared" si="244"/>
        <v>7238871.9992939495</v>
      </c>
      <c r="AN217" s="203">
        <f t="shared" si="245"/>
        <v>69791439.530229867</v>
      </c>
      <c r="AO217" s="204">
        <f t="shared" si="246"/>
        <v>0</v>
      </c>
      <c r="AP217" s="204">
        <f t="shared" si="247"/>
        <v>34895719.765114933</v>
      </c>
      <c r="AQ217" s="204">
        <f t="shared" si="248"/>
        <v>49264545.550750494</v>
      </c>
      <c r="AR217" s="204">
        <f t="shared" si="249"/>
        <v>2052689.3979479373</v>
      </c>
      <c r="AS217" s="204">
        <f t="shared" si="250"/>
        <v>0</v>
      </c>
      <c r="AT217" s="210">
        <f t="shared" si="251"/>
        <v>156004394.24404323</v>
      </c>
      <c r="AU217" s="222">
        <v>0</v>
      </c>
      <c r="AV217" s="214">
        <f t="shared" si="252"/>
        <v>229.59959290353174</v>
      </c>
      <c r="AW217" s="841">
        <f t="shared" si="253"/>
        <v>3.6188879620531109</v>
      </c>
    </row>
    <row r="218" spans="1:49">
      <c r="A218" s="89">
        <f>'Input data'!A142</f>
        <v>2042</v>
      </c>
      <c r="B218" s="93">
        <f>'Input data'!B142</f>
        <v>72.201023455996193</v>
      </c>
      <c r="C218" s="100">
        <f>'Recycling - Case 3'!E122</f>
        <v>1</v>
      </c>
      <c r="D218" s="471">
        <f>'Recycling - Case 3'!F122</f>
        <v>0.37</v>
      </c>
      <c r="E218" s="203">
        <f t="shared" si="188"/>
        <v>1123773732.0936463</v>
      </c>
      <c r="F218" s="204">
        <v>0</v>
      </c>
      <c r="G218" s="205">
        <f t="shared" si="189"/>
        <v>1123773732.0936463</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25284908.972107045</v>
      </c>
      <c r="AA218" s="204">
        <f t="shared" si="232"/>
        <v>0</v>
      </c>
      <c r="AB218" s="204">
        <f t="shared" si="233"/>
        <v>25284908.972107045</v>
      </c>
      <c r="AC218" s="204">
        <f t="shared" si="234"/>
        <v>14159549.024379946</v>
      </c>
      <c r="AD218" s="204">
        <f t="shared" si="235"/>
        <v>2022792.7177685634</v>
      </c>
      <c r="AE218" s="204">
        <f t="shared" si="236"/>
        <v>0</v>
      </c>
      <c r="AF218" s="210">
        <f t="shared" si="237"/>
        <v>66752159.686362602</v>
      </c>
      <c r="AG218" s="203">
        <f t="shared" si="238"/>
        <v>0</v>
      </c>
      <c r="AH218" s="204">
        <f t="shared" si="239"/>
        <v>0</v>
      </c>
      <c r="AI218" s="204">
        <f t="shared" si="240"/>
        <v>6068378.1533056898</v>
      </c>
      <c r="AJ218" s="204">
        <f t="shared" si="241"/>
        <v>1213675.6306611379</v>
      </c>
      <c r="AK218" s="204">
        <f t="shared" si="242"/>
        <v>0</v>
      </c>
      <c r="AL218" s="204">
        <f t="shared" si="243"/>
        <v>0</v>
      </c>
      <c r="AM218" s="839">
        <f t="shared" si="244"/>
        <v>7282053.7839668281</v>
      </c>
      <c r="AN218" s="203">
        <f t="shared" si="245"/>
        <v>70207763.912550554</v>
      </c>
      <c r="AO218" s="204">
        <f t="shared" si="246"/>
        <v>0</v>
      </c>
      <c r="AP218" s="204">
        <f t="shared" si="247"/>
        <v>35103881.956275277</v>
      </c>
      <c r="AQ218" s="204">
        <f t="shared" si="248"/>
        <v>49558421.585329801</v>
      </c>
      <c r="AR218" s="204">
        <f t="shared" si="249"/>
        <v>2064934.2327220747</v>
      </c>
      <c r="AS218" s="204">
        <f t="shared" si="250"/>
        <v>0</v>
      </c>
      <c r="AT218" s="210">
        <f t="shared" si="251"/>
        <v>156935001.6868777</v>
      </c>
      <c r="AU218" s="222">
        <v>0</v>
      </c>
      <c r="AV218" s="214">
        <f t="shared" si="252"/>
        <v>230.96921515720715</v>
      </c>
      <c r="AW218" s="841">
        <f t="shared" si="253"/>
        <v>3.6404755852004582</v>
      </c>
    </row>
    <row r="219" spans="1:49">
      <c r="A219" s="89">
        <f>'Input data'!A143</f>
        <v>2043</v>
      </c>
      <c r="B219" s="93">
        <f>'Input data'!B143</f>
        <v>72.615704257339331</v>
      </c>
      <c r="C219" s="100">
        <f>'Recycling - Case 3'!E123</f>
        <v>1</v>
      </c>
      <c r="D219" s="471">
        <f>'Recycling - Case 3'!F123</f>
        <v>0.37</v>
      </c>
      <c r="E219" s="203">
        <f t="shared" si="188"/>
        <v>1130228036.6096613</v>
      </c>
      <c r="F219" s="204">
        <v>0</v>
      </c>
      <c r="G219" s="205">
        <f t="shared" si="189"/>
        <v>1130228036.6096613</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25430130.823717382</v>
      </c>
      <c r="AA219" s="204">
        <f t="shared" si="232"/>
        <v>0</v>
      </c>
      <c r="AB219" s="204">
        <f t="shared" si="233"/>
        <v>25430130.823717382</v>
      </c>
      <c r="AC219" s="204">
        <f t="shared" si="234"/>
        <v>14240873.261281736</v>
      </c>
      <c r="AD219" s="204">
        <f t="shared" si="235"/>
        <v>2034410.4658973906</v>
      </c>
      <c r="AE219" s="204">
        <f t="shared" si="236"/>
        <v>0</v>
      </c>
      <c r="AF219" s="210">
        <f t="shared" si="237"/>
        <v>67135545.374613896</v>
      </c>
      <c r="AG219" s="203">
        <f t="shared" si="238"/>
        <v>0</v>
      </c>
      <c r="AH219" s="204">
        <f t="shared" si="239"/>
        <v>0</v>
      </c>
      <c r="AI219" s="204">
        <f t="shared" si="240"/>
        <v>6103231.3976921709</v>
      </c>
      <c r="AJ219" s="204">
        <f t="shared" si="241"/>
        <v>1220646.279538434</v>
      </c>
      <c r="AK219" s="204">
        <f t="shared" si="242"/>
        <v>0</v>
      </c>
      <c r="AL219" s="204">
        <f t="shared" si="243"/>
        <v>0</v>
      </c>
      <c r="AM219" s="839">
        <f t="shared" si="244"/>
        <v>7323877.6772306049</v>
      </c>
      <c r="AN219" s="203">
        <f t="shared" si="245"/>
        <v>70610996.587188587</v>
      </c>
      <c r="AO219" s="204">
        <f t="shared" si="246"/>
        <v>0</v>
      </c>
      <c r="AP219" s="204">
        <f t="shared" si="247"/>
        <v>35305498.293594293</v>
      </c>
      <c r="AQ219" s="204">
        <f t="shared" si="248"/>
        <v>49843056.414486058</v>
      </c>
      <c r="AR219" s="204">
        <f t="shared" si="249"/>
        <v>2076794.0172702526</v>
      </c>
      <c r="AS219" s="204">
        <f t="shared" si="250"/>
        <v>0</v>
      </c>
      <c r="AT219" s="210">
        <f t="shared" si="251"/>
        <v>157836345.31253919</v>
      </c>
      <c r="AU219" s="222">
        <v>0</v>
      </c>
      <c r="AV219" s="214">
        <f t="shared" si="252"/>
        <v>232.29576836438369</v>
      </c>
      <c r="AW219" s="841">
        <f t="shared" si="253"/>
        <v>3.6613843654459499</v>
      </c>
    </row>
    <row r="220" spans="1:49">
      <c r="A220" s="89">
        <f>'Input data'!A144</f>
        <v>2044</v>
      </c>
      <c r="B220" s="93">
        <f>'Input data'!B144</f>
        <v>73.016657364175842</v>
      </c>
      <c r="C220" s="100">
        <f>'Recycling - Case 3'!E124</f>
        <v>1</v>
      </c>
      <c r="D220" s="471">
        <f>'Recycling - Case 3'!F124</f>
        <v>0.37</v>
      </c>
      <c r="E220" s="203">
        <f t="shared" si="188"/>
        <v>1136468676.2529321</v>
      </c>
      <c r="F220" s="204">
        <v>0</v>
      </c>
      <c r="G220" s="205">
        <f t="shared" si="189"/>
        <v>1136468676.2529321</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25570545.215690974</v>
      </c>
      <c r="AA220" s="204">
        <f t="shared" ref="AA220:AA226" si="274">I220*$C$36*G220*$C$10</f>
        <v>0</v>
      </c>
      <c r="AB220" s="204">
        <f t="shared" ref="AB220:AB226" si="275">J220*$C$37*G220*$C$10</f>
        <v>25570545.215690974</v>
      </c>
      <c r="AC220" s="204">
        <f t="shared" ref="AC220:AC226" si="276">K220*$C$40*G220*$C$10</f>
        <v>14319505.320786949</v>
      </c>
      <c r="AD220" s="204">
        <f t="shared" ref="AD220:AD226" si="277">L220*$C$41*G220*$C$10</f>
        <v>2045643.6172552779</v>
      </c>
      <c r="AE220" s="204">
        <f t="shared" ref="AE220:AE226" si="278">M220*$C$42*G220*$C$10</f>
        <v>0</v>
      </c>
      <c r="AF220" s="210">
        <f t="shared" ref="AF220:AF226" si="279">SUM(Z220:AE220)</f>
        <v>67506239.369424164</v>
      </c>
      <c r="AG220" s="203">
        <f t="shared" ref="AG220:AG226" si="280">N220*$C$35*G220*$C$11</f>
        <v>0</v>
      </c>
      <c r="AH220" s="204">
        <f t="shared" ref="AH220:AH226" si="281">O220*$C$36*G220*$C$11</f>
        <v>0</v>
      </c>
      <c r="AI220" s="204">
        <f t="shared" ref="AI220:AI226" si="282">P220*$C$37*G220*$C$11</f>
        <v>6136930.8517658329</v>
      </c>
      <c r="AJ220" s="204">
        <f t="shared" ref="AJ220:AJ226" si="283">Q220*$C$38*G220*$C$11</f>
        <v>1227386.1703531665</v>
      </c>
      <c r="AK220" s="204">
        <f t="shared" ref="AK220:AK226" si="284">R220*$C$41*G220*$C$11</f>
        <v>0</v>
      </c>
      <c r="AL220" s="204">
        <f t="shared" ref="AL220:AL226" si="285">S220*$C$42*G220*$C$11</f>
        <v>0</v>
      </c>
      <c r="AM220" s="839">
        <f t="shared" ref="AM220:AM226" si="286">SUM(AG220:AL220)</f>
        <v>7364317.0221189996</v>
      </c>
      <c r="AN220" s="203">
        <f t="shared" ref="AN220:AN226" si="287">T220*$C$35*G220*$C$12</f>
        <v>71000880.54890193</v>
      </c>
      <c r="AO220" s="204">
        <f t="shared" ref="AO220:AO226" si="288">U220*$C$36*G220*$C$12</f>
        <v>0</v>
      </c>
      <c r="AP220" s="204">
        <f t="shared" ref="AP220:AP226" si="289">V220*$C$37*G220*$C$12</f>
        <v>35500440.274450965</v>
      </c>
      <c r="AQ220" s="204">
        <f t="shared" ref="AQ220:AQ226" si="290">W220*$C$39*G220*$C$12</f>
        <v>50118268.622754298</v>
      </c>
      <c r="AR220" s="204">
        <f t="shared" ref="AR220:AR226" si="291">X220*$C$41*G220*$C$12</f>
        <v>2088261.1926147628</v>
      </c>
      <c r="AS220" s="204">
        <f t="shared" ref="AS220:AS226" si="292">Y220*$C$42*N220*$C$12</f>
        <v>0</v>
      </c>
      <c r="AT220" s="210">
        <f t="shared" ref="AT220:AT226" si="293">SUM(AN220:AS220)</f>
        <v>158707850.63872197</v>
      </c>
      <c r="AU220" s="222">
        <v>0</v>
      </c>
      <c r="AV220" s="214">
        <f t="shared" ref="AV220:AV226" si="294">(AF220+AM220+AT220)/10^6-AU220</f>
        <v>233.57840703026514</v>
      </c>
      <c r="AW220" s="841">
        <f t="shared" ref="AW220:AW226" si="295">((B220*$C$46*$C$47*$C$48*$C$49)-$C$50)*$C$51*$C$52</f>
        <v>3.6816009763245785</v>
      </c>
    </row>
    <row r="221" spans="1:49">
      <c r="A221" s="89">
        <f>'Input data'!A145</f>
        <v>2045</v>
      </c>
      <c r="B221" s="93">
        <f>'Input data'!B145</f>
        <v>73.40362603426334</v>
      </c>
      <c r="C221" s="100">
        <f>'Recycling - Case 3'!E125</f>
        <v>1</v>
      </c>
      <c r="D221" s="471">
        <f>'Recycling - Case 3'!F125</f>
        <v>0.37</v>
      </c>
      <c r="E221" s="203">
        <f t="shared" si="188"/>
        <v>1142491654.9556174</v>
      </c>
      <c r="F221" s="204">
        <v>0</v>
      </c>
      <c r="G221" s="205">
        <f t="shared" si="189"/>
        <v>1142491654.9556174</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25706062.236501392</v>
      </c>
      <c r="AA221" s="204">
        <f t="shared" si="274"/>
        <v>0</v>
      </c>
      <c r="AB221" s="204">
        <f t="shared" si="275"/>
        <v>25706062.236501392</v>
      </c>
      <c r="AC221" s="204">
        <f t="shared" si="276"/>
        <v>14395394.852440782</v>
      </c>
      <c r="AD221" s="204">
        <f t="shared" si="277"/>
        <v>2056484.9789201119</v>
      </c>
      <c r="AE221" s="204">
        <f t="shared" si="278"/>
        <v>0</v>
      </c>
      <c r="AF221" s="210">
        <f t="shared" si="279"/>
        <v>67864004.304363683</v>
      </c>
      <c r="AG221" s="203">
        <f t="shared" si="280"/>
        <v>0</v>
      </c>
      <c r="AH221" s="204">
        <f t="shared" si="281"/>
        <v>0</v>
      </c>
      <c r="AI221" s="204">
        <f t="shared" si="282"/>
        <v>6169454.9367603343</v>
      </c>
      <c r="AJ221" s="204">
        <f t="shared" si="283"/>
        <v>1233890.9873520667</v>
      </c>
      <c r="AK221" s="204">
        <f t="shared" si="284"/>
        <v>0</v>
      </c>
      <c r="AL221" s="204">
        <f t="shared" si="285"/>
        <v>0</v>
      </c>
      <c r="AM221" s="839">
        <f t="shared" si="286"/>
        <v>7403345.924112401</v>
      </c>
      <c r="AN221" s="203">
        <f t="shared" si="287"/>
        <v>71377166.143352196</v>
      </c>
      <c r="AO221" s="204">
        <f t="shared" si="288"/>
        <v>0</v>
      </c>
      <c r="AP221" s="204">
        <f t="shared" si="289"/>
        <v>35688583.071676098</v>
      </c>
      <c r="AQ221" s="204">
        <f t="shared" si="290"/>
        <v>50383881.983542725</v>
      </c>
      <c r="AR221" s="204">
        <f t="shared" si="291"/>
        <v>2099328.4159809467</v>
      </c>
      <c r="AS221" s="204">
        <f t="shared" si="292"/>
        <v>0</v>
      </c>
      <c r="AT221" s="210">
        <f t="shared" si="293"/>
        <v>159548959.61455196</v>
      </c>
      <c r="AU221" s="222">
        <v>0</v>
      </c>
      <c r="AV221" s="214">
        <f t="shared" si="294"/>
        <v>234.81630984302805</v>
      </c>
      <c r="AW221" s="841">
        <f t="shared" si="295"/>
        <v>3.7011124725369502</v>
      </c>
    </row>
    <row r="222" spans="1:49">
      <c r="A222" s="89">
        <f>'Input data'!A146</f>
        <v>2046</v>
      </c>
      <c r="B222" s="93">
        <f>'Input data'!B146</f>
        <v>73.776422042674071</v>
      </c>
      <c r="C222" s="100">
        <f>'Recycling - Case 3'!E126</f>
        <v>1</v>
      </c>
      <c r="D222" s="471">
        <f>'Recycling - Case 3'!F126</f>
        <v>0.37</v>
      </c>
      <c r="E222" s="203">
        <f t="shared" si="188"/>
        <v>1148294043.0884762</v>
      </c>
      <c r="F222" s="204">
        <v>0</v>
      </c>
      <c r="G222" s="205">
        <f t="shared" si="189"/>
        <v>1148294043.0884762</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25836615.969490718</v>
      </c>
      <c r="AA222" s="204">
        <f t="shared" si="274"/>
        <v>0</v>
      </c>
      <c r="AB222" s="204">
        <f t="shared" si="275"/>
        <v>25836615.969490718</v>
      </c>
      <c r="AC222" s="204">
        <f t="shared" si="276"/>
        <v>14468504.942914804</v>
      </c>
      <c r="AD222" s="204">
        <f t="shared" si="277"/>
        <v>2066929.2775592576</v>
      </c>
      <c r="AE222" s="204">
        <f t="shared" si="278"/>
        <v>0</v>
      </c>
      <c r="AF222" s="210">
        <f t="shared" si="279"/>
        <v>68208666.159455493</v>
      </c>
      <c r="AG222" s="203">
        <f t="shared" si="280"/>
        <v>0</v>
      </c>
      <c r="AH222" s="204">
        <f t="shared" si="281"/>
        <v>0</v>
      </c>
      <c r="AI222" s="204">
        <f t="shared" si="282"/>
        <v>6200787.8326777713</v>
      </c>
      <c r="AJ222" s="204">
        <f t="shared" si="283"/>
        <v>1240157.5665355541</v>
      </c>
      <c r="AK222" s="204">
        <f t="shared" si="284"/>
        <v>0</v>
      </c>
      <c r="AL222" s="204">
        <f t="shared" si="285"/>
        <v>0</v>
      </c>
      <c r="AM222" s="839">
        <f t="shared" si="286"/>
        <v>7440945.3992133252</v>
      </c>
      <c r="AN222" s="203">
        <f t="shared" si="287"/>
        <v>71739670.341952547</v>
      </c>
      <c r="AO222" s="204">
        <f t="shared" si="288"/>
        <v>0</v>
      </c>
      <c r="AP222" s="204">
        <f t="shared" si="289"/>
        <v>35869835.170976274</v>
      </c>
      <c r="AQ222" s="204">
        <f t="shared" si="290"/>
        <v>50639767.300201796</v>
      </c>
      <c r="AR222" s="204">
        <f t="shared" si="291"/>
        <v>2109990.3041750747</v>
      </c>
      <c r="AS222" s="204">
        <f t="shared" si="292"/>
        <v>0</v>
      </c>
      <c r="AT222" s="210">
        <f t="shared" si="293"/>
        <v>160359263.1173057</v>
      </c>
      <c r="AU222" s="222">
        <v>0</v>
      </c>
      <c r="AV222" s="214">
        <f t="shared" si="294"/>
        <v>236.00887467597451</v>
      </c>
      <c r="AW222" s="841">
        <f t="shared" si="295"/>
        <v>3.7199093635215581</v>
      </c>
    </row>
    <row r="223" spans="1:49">
      <c r="A223" s="89">
        <f>'Input data'!A147</f>
        <v>2047</v>
      </c>
      <c r="B223" s="93">
        <f>'Input data'!B147</f>
        <v>74.134805489166112</v>
      </c>
      <c r="C223" s="100">
        <f>'Recycling - Case 3'!E127</f>
        <v>1</v>
      </c>
      <c r="D223" s="471">
        <f>'Recycling - Case 3'!F127</f>
        <v>0.37</v>
      </c>
      <c r="E223" s="203">
        <f t="shared" si="188"/>
        <v>1153872106.7211947</v>
      </c>
      <c r="F223" s="204">
        <v>0</v>
      </c>
      <c r="G223" s="205">
        <f t="shared" si="189"/>
        <v>1153872106.7211947</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25962122.401226882</v>
      </c>
      <c r="AA223" s="204">
        <f t="shared" si="274"/>
        <v>0</v>
      </c>
      <c r="AB223" s="204">
        <f t="shared" si="275"/>
        <v>25962122.401226882</v>
      </c>
      <c r="AC223" s="204">
        <f t="shared" si="276"/>
        <v>14538788.544687057</v>
      </c>
      <c r="AD223" s="204">
        <f t="shared" si="277"/>
        <v>2076969.7920981506</v>
      </c>
      <c r="AE223" s="204">
        <f t="shared" si="278"/>
        <v>0</v>
      </c>
      <c r="AF223" s="210">
        <f t="shared" si="279"/>
        <v>68540003.139238968</v>
      </c>
      <c r="AG223" s="203">
        <f t="shared" si="280"/>
        <v>0</v>
      </c>
      <c r="AH223" s="204">
        <f t="shared" si="281"/>
        <v>0</v>
      </c>
      <c r="AI223" s="204">
        <f t="shared" si="282"/>
        <v>6230909.3762944518</v>
      </c>
      <c r="AJ223" s="204">
        <f t="shared" si="283"/>
        <v>1246181.8752588902</v>
      </c>
      <c r="AK223" s="204">
        <f t="shared" si="284"/>
        <v>0</v>
      </c>
      <c r="AL223" s="204">
        <f t="shared" si="285"/>
        <v>0</v>
      </c>
      <c r="AM223" s="839">
        <f t="shared" si="286"/>
        <v>7477091.2515533417</v>
      </c>
      <c r="AN223" s="203">
        <f t="shared" si="287"/>
        <v>72088159.867406651</v>
      </c>
      <c r="AO223" s="204">
        <f t="shared" si="288"/>
        <v>0</v>
      </c>
      <c r="AP223" s="204">
        <f t="shared" si="289"/>
        <v>36044079.933703326</v>
      </c>
      <c r="AQ223" s="204">
        <f t="shared" si="290"/>
        <v>50885759.906404689</v>
      </c>
      <c r="AR223" s="204">
        <f t="shared" si="291"/>
        <v>2120239.9961001952</v>
      </c>
      <c r="AS223" s="204">
        <f t="shared" si="292"/>
        <v>0</v>
      </c>
      <c r="AT223" s="210">
        <f t="shared" si="293"/>
        <v>161138239.70361483</v>
      </c>
      <c r="AU223" s="222">
        <v>0</v>
      </c>
      <c r="AV223" s="214">
        <f t="shared" si="294"/>
        <v>237.15533409440715</v>
      </c>
      <c r="AW223" s="841">
        <f t="shared" si="295"/>
        <v>3.7379795531759945</v>
      </c>
    </row>
    <row r="224" spans="1:49">
      <c r="A224" s="89">
        <f>'Input data'!A148</f>
        <v>2048</v>
      </c>
      <c r="B224" s="93">
        <f>'Input data'!B148</f>
        <v>74.478544758379343</v>
      </c>
      <c r="C224" s="100">
        <f>'Recycling - Case 3'!E128</f>
        <v>1</v>
      </c>
      <c r="D224" s="471">
        <f>'Recycling - Case 3'!F128</f>
        <v>0.37</v>
      </c>
      <c r="E224" s="203">
        <f t="shared" si="188"/>
        <v>1159222240.873605</v>
      </c>
      <c r="F224" s="204">
        <v>0</v>
      </c>
      <c r="G224" s="205">
        <f t="shared" si="189"/>
        <v>1159222240.873605</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26082500.419656117</v>
      </c>
      <c r="AA224" s="204">
        <f t="shared" si="274"/>
        <v>0</v>
      </c>
      <c r="AB224" s="204">
        <f t="shared" si="275"/>
        <v>26082500.419656117</v>
      </c>
      <c r="AC224" s="204">
        <f t="shared" si="276"/>
        <v>14606200.235007428</v>
      </c>
      <c r="AD224" s="204">
        <f t="shared" si="277"/>
        <v>2086600.0335724894</v>
      </c>
      <c r="AE224" s="204">
        <f t="shared" si="278"/>
        <v>0</v>
      </c>
      <c r="AF224" s="210">
        <f t="shared" si="279"/>
        <v>68857801.107892156</v>
      </c>
      <c r="AG224" s="203">
        <f t="shared" si="280"/>
        <v>0</v>
      </c>
      <c r="AH224" s="204">
        <f t="shared" si="281"/>
        <v>0</v>
      </c>
      <c r="AI224" s="204">
        <f t="shared" si="282"/>
        <v>6259800.1007174673</v>
      </c>
      <c r="AJ224" s="204">
        <f t="shared" si="283"/>
        <v>1251960.0201434933</v>
      </c>
      <c r="AK224" s="204">
        <f t="shared" si="284"/>
        <v>0</v>
      </c>
      <c r="AL224" s="204">
        <f t="shared" si="285"/>
        <v>0</v>
      </c>
      <c r="AM224" s="839">
        <f t="shared" si="286"/>
        <v>7511760.1208609603</v>
      </c>
      <c r="AN224" s="203">
        <f t="shared" si="287"/>
        <v>72422409.498578474</v>
      </c>
      <c r="AO224" s="204">
        <f t="shared" si="288"/>
        <v>0</v>
      </c>
      <c r="AP224" s="204">
        <f t="shared" si="289"/>
        <v>36211204.749289237</v>
      </c>
      <c r="AQ224" s="204">
        <f t="shared" si="290"/>
        <v>51121700.822525978</v>
      </c>
      <c r="AR224" s="204">
        <f t="shared" si="291"/>
        <v>2130070.8676052494</v>
      </c>
      <c r="AS224" s="204">
        <f t="shared" si="292"/>
        <v>0</v>
      </c>
      <c r="AT224" s="210">
        <f t="shared" si="293"/>
        <v>161885385.93799892</v>
      </c>
      <c r="AU224" s="222">
        <v>0</v>
      </c>
      <c r="AV224" s="214">
        <f t="shared" si="294"/>
        <v>238.25494716675203</v>
      </c>
      <c r="AW224" s="841">
        <f t="shared" si="295"/>
        <v>3.7553113631330666</v>
      </c>
    </row>
    <row r="225" spans="1:49">
      <c r="A225" s="89">
        <f>'Input data'!A149</f>
        <v>2049</v>
      </c>
      <c r="B225" s="93">
        <f>'Input data'!B149</f>
        <v>74.807416768507309</v>
      </c>
      <c r="C225" s="100">
        <f>'Recycling - Case 3'!E129</f>
        <v>1</v>
      </c>
      <c r="D225" s="471">
        <f>'Recycling - Case 3'!F129</f>
        <v>0.37</v>
      </c>
      <c r="E225" s="203">
        <f t="shared" si="188"/>
        <v>1164340973.3861418</v>
      </c>
      <c r="F225" s="204">
        <v>0</v>
      </c>
      <c r="G225" s="205">
        <f t="shared" si="189"/>
        <v>1164340973.3861418</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26197671.901188195</v>
      </c>
      <c r="AA225" s="204">
        <f t="shared" si="274"/>
        <v>0</v>
      </c>
      <c r="AB225" s="204">
        <f t="shared" si="275"/>
        <v>26197671.901188195</v>
      </c>
      <c r="AC225" s="204">
        <f t="shared" si="276"/>
        <v>14670696.264665391</v>
      </c>
      <c r="AD225" s="204">
        <f t="shared" si="277"/>
        <v>2095813.7520950555</v>
      </c>
      <c r="AE225" s="204">
        <f t="shared" si="278"/>
        <v>0</v>
      </c>
      <c r="AF225" s="210">
        <f t="shared" si="279"/>
        <v>69161853.819136843</v>
      </c>
      <c r="AG225" s="203">
        <f t="shared" si="280"/>
        <v>0</v>
      </c>
      <c r="AH225" s="204">
        <f t="shared" si="281"/>
        <v>0</v>
      </c>
      <c r="AI225" s="204">
        <f t="shared" si="282"/>
        <v>6287441.2562851645</v>
      </c>
      <c r="AJ225" s="204">
        <f t="shared" si="283"/>
        <v>1257488.2512570331</v>
      </c>
      <c r="AK225" s="204">
        <f t="shared" si="284"/>
        <v>0</v>
      </c>
      <c r="AL225" s="204">
        <f t="shared" si="285"/>
        <v>0</v>
      </c>
      <c r="AM225" s="839">
        <f t="shared" si="286"/>
        <v>7544929.5075421976</v>
      </c>
      <c r="AN225" s="203">
        <f t="shared" si="287"/>
        <v>72742202.312299207</v>
      </c>
      <c r="AO225" s="204">
        <f t="shared" si="288"/>
        <v>0</v>
      </c>
      <c r="AP225" s="204">
        <f t="shared" si="289"/>
        <v>36371101.156149603</v>
      </c>
      <c r="AQ225" s="204">
        <f t="shared" si="290"/>
        <v>51347436.926328845</v>
      </c>
      <c r="AR225" s="204">
        <f t="shared" si="291"/>
        <v>2139476.5385970352</v>
      </c>
      <c r="AS225" s="204">
        <f t="shared" si="292"/>
        <v>0</v>
      </c>
      <c r="AT225" s="210">
        <f t="shared" si="293"/>
        <v>162600216.9333747</v>
      </c>
      <c r="AU225" s="222">
        <v>0</v>
      </c>
      <c r="AV225" s="214">
        <f t="shared" si="294"/>
        <v>239.30700026005374</v>
      </c>
      <c r="AW225" s="841">
        <f t="shared" si="295"/>
        <v>3.7718935452991729</v>
      </c>
    </row>
    <row r="226" spans="1:49" ht="15.75" thickBot="1">
      <c r="A226" s="141">
        <f>'Input data'!A150</f>
        <v>2050</v>
      </c>
      <c r="B226" s="830">
        <f>'Input data'!B150</f>
        <v>75.121207211856714</v>
      </c>
      <c r="C226" s="581">
        <f>'Recycling - Case 3'!E130</f>
        <v>1</v>
      </c>
      <c r="D226" s="582">
        <f>'Recycling - Case 3'!F130</f>
        <v>0.37</v>
      </c>
      <c r="E226" s="206">
        <f t="shared" si="188"/>
        <v>1169224968.6640341</v>
      </c>
      <c r="F226" s="207">
        <v>0</v>
      </c>
      <c r="G226" s="208">
        <f t="shared" si="189"/>
        <v>1169224968.6640341</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26307561.794940773</v>
      </c>
      <c r="AA226" s="207">
        <f t="shared" si="274"/>
        <v>0</v>
      </c>
      <c r="AB226" s="207">
        <f t="shared" si="275"/>
        <v>26307561.794940773</v>
      </c>
      <c r="AC226" s="207">
        <f t="shared" si="276"/>
        <v>14732234.605166836</v>
      </c>
      <c r="AD226" s="207">
        <f t="shared" si="277"/>
        <v>2104604.9435952613</v>
      </c>
      <c r="AE226" s="207">
        <f t="shared" si="278"/>
        <v>0</v>
      </c>
      <c r="AF226" s="211">
        <f t="shared" si="279"/>
        <v>69451963.138643637</v>
      </c>
      <c r="AG226" s="206">
        <f t="shared" si="280"/>
        <v>0</v>
      </c>
      <c r="AH226" s="207">
        <f t="shared" si="281"/>
        <v>0</v>
      </c>
      <c r="AI226" s="207">
        <f t="shared" si="282"/>
        <v>6313814.8307857839</v>
      </c>
      <c r="AJ226" s="207">
        <f t="shared" si="283"/>
        <v>1262762.9661571567</v>
      </c>
      <c r="AK226" s="207">
        <f t="shared" si="284"/>
        <v>0</v>
      </c>
      <c r="AL226" s="207">
        <f t="shared" si="285"/>
        <v>0</v>
      </c>
      <c r="AM226" s="840">
        <f t="shared" si="286"/>
        <v>7576577.7969429409</v>
      </c>
      <c r="AN226" s="206">
        <f t="shared" si="287"/>
        <v>73047329.917285532</v>
      </c>
      <c r="AO226" s="207">
        <f t="shared" si="288"/>
        <v>0</v>
      </c>
      <c r="AP226" s="207">
        <f t="shared" si="289"/>
        <v>36523664.958642766</v>
      </c>
      <c r="AQ226" s="207">
        <f t="shared" si="290"/>
        <v>51562821.118083902</v>
      </c>
      <c r="AR226" s="207">
        <f t="shared" si="291"/>
        <v>2148450.8799201627</v>
      </c>
      <c r="AS226" s="207">
        <f t="shared" si="292"/>
        <v>0</v>
      </c>
      <c r="AT226" s="211">
        <f t="shared" si="293"/>
        <v>163282266.87393236</v>
      </c>
      <c r="AU226" s="222">
        <v>0</v>
      </c>
      <c r="AV226" s="217">
        <f t="shared" si="294"/>
        <v>240.31080780951893</v>
      </c>
      <c r="AW226" s="842">
        <f t="shared" si="295"/>
        <v>3.7877152939836489</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5546875" defaultRowHeight="15"/>
  <cols>
    <col min="1" max="1" width="39.28515625" customWidth="1"/>
    <col min="2" max="2" width="23.28515625" customWidth="1"/>
    <col min="3" max="3" width="16.5703125" customWidth="1"/>
    <col min="4" max="4" width="14.7109375" customWidth="1"/>
    <col min="5" max="5" width="16.42578125" customWidth="1"/>
    <col min="6" max="6" width="17" customWidth="1"/>
    <col min="7" max="7" width="13.85546875" customWidth="1"/>
    <col min="8" max="8" width="16.5703125" customWidth="1"/>
    <col min="9" max="9" width="20.28515625" customWidth="1"/>
    <col min="10" max="10" width="15.140625" customWidth="1"/>
    <col min="12" max="12" width="20.85546875" customWidth="1"/>
    <col min="14" max="14" width="11" customWidth="1"/>
    <col min="15" max="15" width="10.7109375" bestFit="1" customWidth="1"/>
  </cols>
  <sheetData>
    <row r="1" spans="1:23">
      <c r="A1" s="7" t="s">
        <v>126</v>
      </c>
      <c r="B1" s="12"/>
      <c r="C1" s="12"/>
      <c r="D1" s="12"/>
      <c r="E1" s="12"/>
      <c r="F1" s="12"/>
      <c r="G1" s="12"/>
      <c r="H1" s="12"/>
      <c r="I1" s="12"/>
      <c r="J1" s="12"/>
    </row>
    <row r="2" spans="1:23" ht="14.45" customHeight="1"/>
    <row r="3" spans="1:23">
      <c r="A3" t="s">
        <v>159</v>
      </c>
      <c r="B3" s="31"/>
      <c r="C3" s="31"/>
      <c r="D3" s="31"/>
      <c r="E3" s="31"/>
      <c r="F3" s="31"/>
      <c r="G3" s="31"/>
      <c r="L3" s="45" t="s">
        <v>127</v>
      </c>
      <c r="M3" s="12"/>
      <c r="N3" s="12"/>
      <c r="O3" s="12"/>
    </row>
    <row r="4" spans="1:23" ht="15.7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7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7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7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30.75"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30.75"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7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75" thickBot="1">
      <c r="A19" s="12"/>
      <c r="B19" s="12"/>
      <c r="C19" s="12"/>
      <c r="D19" s="12"/>
      <c r="E19" s="12"/>
      <c r="F19" s="12"/>
      <c r="G19" s="12"/>
      <c r="M19" s="12"/>
      <c r="N19" s="51"/>
      <c r="O19" s="12"/>
    </row>
    <row r="20" spans="1:15" ht="17.25">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7.25">
      <c r="A22" s="53" t="s">
        <v>161</v>
      </c>
      <c r="B22" s="1706" t="s">
        <v>149</v>
      </c>
      <c r="C22" s="1707"/>
      <c r="D22" s="12"/>
      <c r="E22" s="12"/>
      <c r="F22" s="12"/>
      <c r="G22" s="12"/>
      <c r="M22" s="12"/>
      <c r="N22" s="12"/>
      <c r="O22" s="12"/>
    </row>
    <row r="23" spans="1:15" ht="15.7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75" thickBot="1">
      <c r="A26" s="13" t="s">
        <v>101</v>
      </c>
    </row>
    <row r="27" spans="1:15" ht="15.7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75" thickBot="1">
      <c r="A35" s="37" t="s">
        <v>247</v>
      </c>
      <c r="B35" s="18">
        <v>0</v>
      </c>
      <c r="C35" s="92"/>
    </row>
    <row r="36" spans="1:12">
      <c r="A36" s="38" t="s">
        <v>97</v>
      </c>
      <c r="B36" s="20">
        <v>0.18</v>
      </c>
      <c r="C36" s="21" t="s">
        <v>98</v>
      </c>
    </row>
    <row r="37" spans="1:12" ht="15.7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30">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30">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5"/>
  <cols>
    <col min="2" max="2" width="15.7109375" customWidth="1"/>
    <col min="3" max="3" width="17.425781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5"/>
  <sheetData>
    <row r="6" spans="1:39">
      <c r="A6" t="s">
        <v>218</v>
      </c>
    </row>
    <row r="7" spans="1:39">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c r="AH7" s="10"/>
      <c r="AI7" s="10"/>
      <c r="AJ7" s="10"/>
      <c r="AK7" s="10"/>
      <c r="AL7" s="10"/>
      <c r="AM7" s="10"/>
    </row>
    <row r="8" spans="1:39">
      <c r="A8">
        <v>58364.834921819442</v>
      </c>
      <c r="B8">
        <v>59308.69</v>
      </c>
      <c r="C8">
        <v>60158.036186957921</v>
      </c>
      <c r="D8">
        <v>60963.559588769531</v>
      </c>
      <c r="E8">
        <v>61723.133308607779</v>
      </c>
      <c r="F8">
        <v>62434.728280060037</v>
      </c>
      <c r="G8">
        <v>63096.422221537941</v>
      </c>
      <c r="H8">
        <v>63744.102485123491</v>
      </c>
      <c r="I8">
        <v>64377.188881988601</v>
      </c>
      <c r="J8">
        <v>64995.109664264295</v>
      </c>
      <c r="K8">
        <v>65597.302376622756</v>
      </c>
      <c r="L8">
        <v>66183.214701401099</v>
      </c>
      <c r="M8">
        <v>66757.007289602305</v>
      </c>
      <c r="N8">
        <v>67318.27099416386</v>
      </c>
      <c r="O8">
        <v>67866.602868669026</v>
      </c>
      <c r="P8">
        <v>68401.606645337117</v>
      </c>
      <c r="Q8">
        <v>68922.893208527457</v>
      </c>
      <c r="R8">
        <v>69431.445341664759</v>
      </c>
      <c r="S8">
        <v>69926.919446580025</v>
      </c>
      <c r="T8">
        <v>70408.978817025956</v>
      </c>
      <c r="U8">
        <v>70877.294017675013</v>
      </c>
      <c r="V8">
        <v>71331.543257193218</v>
      </c>
      <c r="W8">
        <v>71772.879261991126</v>
      </c>
      <c r="X8">
        <v>72201.023455996197</v>
      </c>
      <c r="Y8">
        <v>72615.704257339326</v>
      </c>
      <c r="Z8">
        <v>73016.657364175844</v>
      </c>
      <c r="AA8">
        <v>73403.626034263347</v>
      </c>
      <c r="AB8">
        <v>73776.422042674065</v>
      </c>
      <c r="AC8">
        <v>74134.805489166116</v>
      </c>
      <c r="AD8">
        <v>74478.544758379343</v>
      </c>
      <c r="AE8">
        <v>74807.416768507304</v>
      </c>
      <c r="AF8">
        <v>75121.207211856716</v>
      </c>
    </row>
    <row r="14" spans="1:39">
      <c r="A14" t="s">
        <v>390</v>
      </c>
    </row>
    <row r="15" spans="1:39">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c r="AH15" s="10"/>
      <c r="AI15" s="10"/>
      <c r="AJ15" s="10"/>
      <c r="AK15" s="10"/>
      <c r="AL15" s="10"/>
      <c r="AM15" s="10"/>
    </row>
    <row r="16" spans="1:39">
      <c r="A16">
        <v>4436.7699999999986</v>
      </c>
      <c r="B16">
        <v>4157.24</v>
      </c>
      <c r="C16">
        <v>4296.6100000000006</v>
      </c>
      <c r="D16">
        <v>4408.5100000000011</v>
      </c>
      <c r="E16">
        <v>4511.7199999999984</v>
      </c>
      <c r="F16">
        <v>4622.4800000000005</v>
      </c>
      <c r="G16">
        <v>4727.3100000000004</v>
      </c>
      <c r="H16">
        <v>4818.42</v>
      </c>
      <c r="I16">
        <v>4908.8799999999992</v>
      </c>
      <c r="J16">
        <v>5001.3400000000011</v>
      </c>
      <c r="K16">
        <v>5124.16</v>
      </c>
      <c r="L16">
        <v>5234.6499999999996</v>
      </c>
      <c r="M16">
        <v>5365.4400000000005</v>
      </c>
      <c r="N16">
        <v>5502.3</v>
      </c>
      <c r="O16">
        <v>5663.260000000002</v>
      </c>
      <c r="P16">
        <v>5838.79</v>
      </c>
      <c r="Q16">
        <v>5978.8699999999981</v>
      </c>
      <c r="R16">
        <v>6119.1299999999983</v>
      </c>
      <c r="S16">
        <v>6283.2400000000007</v>
      </c>
      <c r="T16">
        <v>6443.4999999999982</v>
      </c>
      <c r="U16">
        <v>6615.260000000002</v>
      </c>
      <c r="V16">
        <v>6787.6000000000013</v>
      </c>
      <c r="W16">
        <v>6981.3799999999992</v>
      </c>
      <c r="X16">
        <v>7178.2100000000019</v>
      </c>
      <c r="Y16">
        <v>7380.12</v>
      </c>
      <c r="Z16">
        <v>7589.87</v>
      </c>
      <c r="AA16">
        <v>7808.4800000000005</v>
      </c>
      <c r="AB16">
        <v>8042.25</v>
      </c>
      <c r="AC16">
        <v>8187.4100000000008</v>
      </c>
      <c r="AD16">
        <v>8322.6399999999976</v>
      </c>
      <c r="AE16">
        <v>8457.3799999999992</v>
      </c>
      <c r="AF16">
        <v>8589.119999999999</v>
      </c>
    </row>
    <row r="23" spans="1:39">
      <c r="A23" t="s">
        <v>685</v>
      </c>
    </row>
    <row r="24" spans="1:39">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c r="AH24" s="10"/>
      <c r="AI24" s="10"/>
      <c r="AJ24" s="10"/>
      <c r="AK24" s="10"/>
      <c r="AL24" s="10"/>
      <c r="AM24" s="10"/>
    </row>
    <row r="25" spans="1:39">
      <c r="A25">
        <v>3086.7910019497117</v>
      </c>
      <c r="B25">
        <v>2958.0157014213519</v>
      </c>
      <c r="C25">
        <v>2958.3726159080811</v>
      </c>
      <c r="D25">
        <v>2933.4440515107422</v>
      </c>
      <c r="E25">
        <v>2878.8657841300928</v>
      </c>
      <c r="F25">
        <v>2906.313702558788</v>
      </c>
      <c r="G25">
        <v>2878.101301780307</v>
      </c>
      <c r="H25">
        <v>2772.6292416402171</v>
      </c>
      <c r="I25">
        <v>2714.4136373773235</v>
      </c>
      <c r="J25">
        <v>2639.5656404119932</v>
      </c>
      <c r="K25">
        <v>2593.2975653296439</v>
      </c>
      <c r="L25">
        <v>2403.2551343495879</v>
      </c>
      <c r="M25">
        <v>2272.5697223216002</v>
      </c>
      <c r="N25">
        <v>2116.4996960963999</v>
      </c>
      <c r="O25">
        <v>2069.1447279710419</v>
      </c>
      <c r="P25">
        <v>1872.8866969953394</v>
      </c>
      <c r="Q25">
        <v>1443.4202620722292</v>
      </c>
      <c r="R25">
        <v>673.24735921036972</v>
      </c>
      <c r="S25">
        <v>379.47015311340829</v>
      </c>
      <c r="T25">
        <v>288.34547087917991</v>
      </c>
      <c r="U25">
        <v>197.22078864495148</v>
      </c>
      <c r="V25">
        <v>106.09610641072311</v>
      </c>
      <c r="W25">
        <v>98.682901273799672</v>
      </c>
      <c r="X25">
        <v>91.26969613687622</v>
      </c>
      <c r="Y25">
        <v>83.856490999952797</v>
      </c>
      <c r="Z25">
        <v>76.443285863029359</v>
      </c>
      <c r="AA25">
        <v>69.030080726105908</v>
      </c>
      <c r="AB25">
        <v>57.671164091401252</v>
      </c>
      <c r="AC25">
        <v>46.312247456696596</v>
      </c>
      <c r="AD25">
        <v>34.953330821991941</v>
      </c>
      <c r="AE25">
        <v>23.594414187287281</v>
      </c>
      <c r="AF25">
        <v>12.235497552582627</v>
      </c>
    </row>
    <row r="40" spans="1:5">
      <c r="A40" s="10" t="s">
        <v>812</v>
      </c>
      <c r="B40" s="10" t="s">
        <v>813</v>
      </c>
      <c r="C40" s="10" t="s">
        <v>814</v>
      </c>
      <c r="D40" s="10" t="s">
        <v>815</v>
      </c>
      <c r="E40" s="10" t="s">
        <v>819</v>
      </c>
    </row>
    <row r="41" spans="1:5">
      <c r="A41">
        <v>-1</v>
      </c>
      <c r="B41">
        <v>-1</v>
      </c>
      <c r="C41">
        <v>-1</v>
      </c>
      <c r="D41">
        <v>1</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5"/>
  <cols>
    <col min="1" max="1" width="37.7109375" bestFit="1" customWidth="1"/>
  </cols>
  <sheetData>
    <row r="1" spans="1:45">
      <c r="A1" t="s">
        <v>671</v>
      </c>
      <c r="B1" s="1005">
        <f>Drivers!D41</f>
        <v>1</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16932.541723623472</v>
      </c>
      <c r="AR3">
        <v>16842.875377232984</v>
      </c>
      <c r="AS3" s="1391">
        <f ca="1">AQ3/AR3</f>
        <v>1.0053236958881553</v>
      </c>
    </row>
    <row r="4" spans="1:45">
      <c r="H4">
        <v>3</v>
      </c>
      <c r="I4">
        <f>I3-I2+I3</f>
        <v>137</v>
      </c>
      <c r="J4" t="str">
        <f t="shared" si="0"/>
        <v>W4BCH4</v>
      </c>
      <c r="K4" t="s">
        <v>678</v>
      </c>
      <c r="L4" t="s">
        <v>188</v>
      </c>
      <c r="M4">
        <v>2</v>
      </c>
      <c r="N4">
        <v>2</v>
      </c>
      <c r="AM4" t="s">
        <v>674</v>
      </c>
      <c r="AN4" t="s">
        <v>679</v>
      </c>
      <c r="AO4" t="s">
        <v>190</v>
      </c>
      <c r="AP4">
        <v>1</v>
      </c>
      <c r="AQ4">
        <f ca="1">AP4*AA16</f>
        <v>16.587852490537948</v>
      </c>
    </row>
    <row r="5" spans="1:45">
      <c r="J5" t="str">
        <f t="shared" si="0"/>
        <v>W4C2CH4</v>
      </c>
      <c r="K5" t="s">
        <v>679</v>
      </c>
      <c r="L5" t="s">
        <v>188</v>
      </c>
      <c r="M5">
        <v>6</v>
      </c>
      <c r="N5">
        <v>1</v>
      </c>
      <c r="AM5" t="s">
        <v>673</v>
      </c>
      <c r="AN5" t="s">
        <v>677</v>
      </c>
      <c r="AO5" t="s">
        <v>188</v>
      </c>
      <c r="AP5">
        <v>21</v>
      </c>
      <c r="AQ5">
        <f t="shared" ref="AQ5:AQ11" ca="1" si="1">AP5*AA17</f>
        <v>10139.290093474539</v>
      </c>
    </row>
    <row r="6" spans="1:45">
      <c r="J6" t="str">
        <f t="shared" si="0"/>
        <v>W4D1CH4</v>
      </c>
      <c r="K6" t="s">
        <v>680</v>
      </c>
      <c r="L6" t="s">
        <v>188</v>
      </c>
      <c r="M6">
        <v>8</v>
      </c>
      <c r="N6">
        <v>1</v>
      </c>
      <c r="AM6" t="s">
        <v>676</v>
      </c>
      <c r="AN6" t="s">
        <v>678</v>
      </c>
      <c r="AO6" t="s">
        <v>188</v>
      </c>
      <c r="AP6">
        <v>21</v>
      </c>
      <c r="AQ6">
        <f t="shared" ca="1" si="1"/>
        <v>806.81486702954498</v>
      </c>
    </row>
    <row r="7" spans="1:45">
      <c r="J7" t="str">
        <f t="shared" si="0"/>
        <v>W4BN2O</v>
      </c>
      <c r="K7" t="s">
        <v>678</v>
      </c>
      <c r="L7" t="s">
        <v>191</v>
      </c>
      <c r="M7">
        <v>4</v>
      </c>
      <c r="N7">
        <v>1</v>
      </c>
      <c r="AM7" t="s">
        <v>674</v>
      </c>
      <c r="AN7" t="s">
        <v>679</v>
      </c>
      <c r="AO7" t="s">
        <v>188</v>
      </c>
      <c r="AP7">
        <v>21</v>
      </c>
      <c r="AQ7">
        <f t="shared" ca="1" si="1"/>
        <v>117.20739491541519</v>
      </c>
    </row>
    <row r="8" spans="1:45">
      <c r="J8" t="str">
        <f t="shared" si="0"/>
        <v>W4C2N2O</v>
      </c>
      <c r="K8" t="s">
        <v>679</v>
      </c>
      <c r="L8" t="s">
        <v>191</v>
      </c>
      <c r="M8">
        <v>7</v>
      </c>
      <c r="N8">
        <v>1</v>
      </c>
      <c r="AM8" t="s">
        <v>675</v>
      </c>
      <c r="AN8" t="s">
        <v>680</v>
      </c>
      <c r="AO8" t="s">
        <v>188</v>
      </c>
      <c r="AP8">
        <v>21</v>
      </c>
      <c r="AQ8">
        <f t="shared" ca="1" si="1"/>
        <v>4052.1734484030562</v>
      </c>
    </row>
    <row r="9" spans="1:45">
      <c r="J9" t="str">
        <f t="shared" si="0"/>
        <v>W4D1N2O</v>
      </c>
      <c r="K9" t="s">
        <v>680</v>
      </c>
      <c r="L9" t="s">
        <v>191</v>
      </c>
      <c r="M9">
        <v>9</v>
      </c>
      <c r="N9">
        <v>1</v>
      </c>
      <c r="AM9" t="s">
        <v>676</v>
      </c>
      <c r="AN9" t="s">
        <v>678</v>
      </c>
      <c r="AO9" t="s">
        <v>191</v>
      </c>
      <c r="AP9">
        <v>310</v>
      </c>
      <c r="AQ9">
        <f t="shared" ca="1" si="1"/>
        <v>699.0725090100716</v>
      </c>
    </row>
    <row r="10" spans="1:45">
      <c r="AM10" t="s">
        <v>674</v>
      </c>
      <c r="AN10" t="s">
        <v>679</v>
      </c>
      <c r="AO10" t="s">
        <v>191</v>
      </c>
      <c r="AP10">
        <v>310</v>
      </c>
      <c r="AQ10">
        <f t="shared" ca="1" si="1"/>
        <v>24.087365524025167</v>
      </c>
    </row>
    <row r="11" spans="1:45">
      <c r="AM11" t="s">
        <v>675</v>
      </c>
      <c r="AN11" t="s">
        <v>680</v>
      </c>
      <c r="AO11" t="s">
        <v>191</v>
      </c>
      <c r="AP11">
        <v>310</v>
      </c>
      <c r="AQ11">
        <f t="shared" ca="1" si="1"/>
        <v>1077.3081927762798</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32.890504306921038</v>
      </c>
      <c r="K16" s="119">
        <f ca="1">SUM(OFFSET('Output data (results)'!$B$10,K$15-2000+INDEX($I$2:$I$4,MATCH($B$1,$H$2:$H$4,0)),INDEX($M$2:$M$9,MATCH($B16&amp;$C16,$J$2:$J$9,0)),1,INDEX($N$2:$N$9,MATCH($B16&amp;$C16,$J$2:$J$9,0))))</f>
        <v>32.036480261883405</v>
      </c>
      <c r="L16" s="119">
        <f ca="1">SUM(OFFSET('Output data (results)'!$B$10,L$15-2000+INDEX($I$2:$I$4,MATCH($B$1,$H$2:$H$4,0)),INDEX($M$2:$M$9,MATCH($B16&amp;$C16,$J$2:$J$9,0)),1,INDEX($N$2:$N$9,MATCH($B16&amp;$C16,$J$2:$J$9,0))))</f>
        <v>31.199856234261556</v>
      </c>
      <c r="M16" s="119">
        <f ca="1">SUM(OFFSET('Output data (results)'!$B$10,M$15-2000+INDEX($I$2:$I$4,MATCH($B$1,$H$2:$H$4,0)),INDEX($M$2:$M$9,MATCH($B16&amp;$C16,$J$2:$J$9,0)),1,INDEX($N$2:$N$9,MATCH($B16&amp;$C16,$J$2:$J$9,0))))</f>
        <v>30.386407749771987</v>
      </c>
      <c r="N16" s="119">
        <f ca="1">SUM(OFFSET('Output data (results)'!$B$10,N$15-2000+INDEX($I$2:$I$4,MATCH($B$1,$H$2:$H$4,0)),INDEX($M$2:$M$9,MATCH($B16&amp;$C16,$J$2:$J$9,0)),1,INDEX($N$2:$N$9,MATCH($B16&amp;$C16,$J$2:$J$9,0))))</f>
        <v>29.596158430445612</v>
      </c>
      <c r="O16" s="119">
        <f ca="1">SUM(OFFSET('Output data (results)'!$B$10,O$15-2000+INDEX($I$2:$I$4,MATCH($B$1,$H$2:$H$4,0)),INDEX($M$2:$M$9,MATCH($B16&amp;$C16,$J$2:$J$9,0)),1,INDEX($N$2:$N$9,MATCH($B16&amp;$C16,$J$2:$J$9,0))))</f>
        <v>28.830657956534516</v>
      </c>
      <c r="P16" s="119">
        <f ca="1">SUM(OFFSET('Output data (results)'!$B$10,P$15-2000+INDEX($I$2:$I$4,MATCH($B$1,$H$2:$H$4,0)),INDEX($M$2:$M$9,MATCH($B16&amp;$C16,$J$2:$J$9,0)),1,INDEX($N$2:$N$9,MATCH($B16&amp;$C16,$J$2:$J$9,0))))</f>
        <v>28.091385413966311</v>
      </c>
      <c r="Q16" s="119">
        <f ca="1">SUM(OFFSET('Output data (results)'!$B$10,Q$15-2000+INDEX($I$2:$I$4,MATCH($B$1,$H$2:$H$4,0)),INDEX($M$2:$M$9,MATCH($B16&amp;$C16,$J$2:$J$9,0)),1,INDEX($N$2:$N$9,MATCH($B16&amp;$C16,$J$2:$J$9,0))))</f>
        <v>27.379769971599782</v>
      </c>
      <c r="R16" s="119">
        <f ca="1">SUM(OFFSET('Output data (results)'!$B$10,R$15-2000+INDEX($I$2:$I$4,MATCH($B$1,$H$2:$H$4,0)),INDEX($M$2:$M$9,MATCH($B16&amp;$C16,$J$2:$J$9,0)),1,INDEX($N$2:$N$9,MATCH($B16&amp;$C16,$J$2:$J$9,0))))</f>
        <v>26.692830963865504</v>
      </c>
      <c r="S16" s="119">
        <f ca="1">SUM(OFFSET('Output data (results)'!$B$10,S$15-2000+INDEX($I$2:$I$4,MATCH($B$1,$H$2:$H$4,0)),INDEX($M$2:$M$9,MATCH($B16&amp;$C16,$J$2:$J$9,0)),1,INDEX($N$2:$N$9,MATCH($B16&amp;$C16,$J$2:$J$9,0))))</f>
        <v>26.03059037382214</v>
      </c>
      <c r="T16" s="119">
        <f ca="1">SUM(OFFSET('Output data (results)'!$B$10,T$15-2000+INDEX($I$2:$I$4,MATCH($B$1,$H$2:$H$4,0)),INDEX($M$2:$M$9,MATCH($B16&amp;$C16,$J$2:$J$9,0)),1,INDEX($N$2:$N$9,MATCH($B16&amp;$C16,$J$2:$J$9,0))))</f>
        <v>24.605552307512465</v>
      </c>
      <c r="U16" s="119">
        <f ca="1">SUM(OFFSET('Output data (results)'!$B$10,U$15-2000+INDEX($I$2:$I$4,MATCH($B$1,$H$2:$H$4,0)),INDEX($M$2:$M$9,MATCH($B16&amp;$C16,$J$2:$J$9,0)),1,INDEX($N$2:$N$9,MATCH($B16&amp;$C16,$J$2:$J$9,0))))</f>
        <v>23.261742474211513</v>
      </c>
      <c r="V16" s="119">
        <f ca="1">SUM(OFFSET('Output data (results)'!$B$10,V$15-2000+INDEX($I$2:$I$4,MATCH($B$1,$H$2:$H$4,0)),INDEX($M$2:$M$9,MATCH($B16&amp;$C16,$J$2:$J$9,0)),1,INDEX($N$2:$N$9,MATCH($B16&amp;$C16,$J$2:$J$9,0))))</f>
        <v>21.994271745680376</v>
      </c>
      <c r="W16" s="119">
        <f ca="1">SUM(OFFSET('Output data (results)'!$B$10,W$15-2000+INDEX($I$2:$I$4,MATCH($B$1,$H$2:$H$4,0)),INDEX($M$2:$M$9,MATCH($B16&amp;$C16,$J$2:$J$9,0)),1,INDEX($N$2:$N$9,MATCH($B16&amp;$C16,$J$2:$J$9,0))))</f>
        <v>20.898523822655662</v>
      </c>
      <c r="X16" s="119">
        <f ca="1">SUM(OFFSET('Output data (results)'!$B$10,X$15-2000+INDEX($I$2:$I$4,MATCH($B$1,$H$2:$H$4,0)),INDEX($M$2:$M$9,MATCH($B16&amp;$C16,$J$2:$J$9,0)),1,INDEX($N$2:$N$9,MATCH($B16&amp;$C16,$J$2:$J$9,0))))</f>
        <v>19.810418044878325</v>
      </c>
      <c r="Y16" s="119">
        <f ca="1">SUM(OFFSET('Output data (results)'!$B$10,Y$15-2000+INDEX($I$2:$I$4,MATCH($B$1,$H$2:$H$4,0)),INDEX($M$2:$M$9,MATCH($B16&amp;$C16,$J$2:$J$9,0)),1,INDEX($N$2:$N$9,MATCH($B16&amp;$C16,$J$2:$J$9,0))))</f>
        <v>18.729534956830655</v>
      </c>
      <c r="Z16" s="119">
        <f ca="1">SUM(OFFSET('Output data (results)'!$B$10,Z$15-2000+INDEX($I$2:$I$4,MATCH($B$1,$H$2:$H$4,0)),INDEX($M$2:$M$9,MATCH($B16&amp;$C16,$J$2:$J$9,0)),1,INDEX($N$2:$N$9,MATCH($B16&amp;$C16,$J$2:$J$9,0))))</f>
        <v>17.655474053341521</v>
      </c>
      <c r="AA16" s="119">
        <f ca="1">SUM(OFFSET('Output data (results)'!$B$10,AA$15-2000+INDEX($I$2:$I$4,MATCH($B$1,$H$2:$H$4,0)),INDEX($M$2:$M$9,MATCH($B16&amp;$C16,$J$2:$J$9,0)),1,INDEX($N$2:$N$9,MATCH($B16&amp;$C16,$J$2:$J$9,0))))</f>
        <v>16.587852490537948</v>
      </c>
      <c r="AB16" s="119">
        <f ca="1">SUM(OFFSET('Output data (results)'!$B$10,AB$15-2000+INDEX($I$2:$I$4,MATCH($B$1,$H$2:$H$4,0)),INDEX($M$2:$M$9,MATCH($B16&amp;$C16,$J$2:$J$9,0)),1,INDEX($N$2:$N$9,MATCH($B16&amp;$C16,$J$2:$J$9,0))))</f>
        <v>15.526217032319304</v>
      </c>
      <c r="AC16" s="119">
        <f ca="1">SUM(OFFSET('Output data (results)'!$B$10,AC$15-2000+INDEX($I$2:$I$4,MATCH($B$1,$H$2:$H$4,0)),INDEX($M$2:$M$9,MATCH($B16&amp;$C16,$J$2:$J$9,0)),1,INDEX($N$2:$N$9,MATCH($B16&amp;$C16,$J$2:$J$9,0))))</f>
        <v>15.150319688032559</v>
      </c>
      <c r="AD16" s="119">
        <f ca="1">SUM(OFFSET('Output data (results)'!$B$10,AD$15-2000+INDEX($I$2:$I$4,MATCH($B$1,$H$2:$H$4,0)),INDEX($M$2:$M$9,MATCH($B16&amp;$C16,$J$2:$J$9,0)),1,INDEX($N$2:$N$9,MATCH($B16&amp;$C16,$J$2:$J$9,0))))</f>
        <v>14.473067507214994</v>
      </c>
      <c r="AE16" s="119">
        <f ca="1">SUM(OFFSET('Output data (results)'!$B$10,AE$15-2000+INDEX($I$2:$I$4,MATCH($B$1,$H$2:$H$4,0)),INDEX($M$2:$M$9,MATCH($B16&amp;$C16,$J$2:$J$9,0)),1,INDEX($N$2:$N$9,MATCH($B16&amp;$C16,$J$2:$J$9,0))))</f>
        <v>13.799524103177545</v>
      </c>
      <c r="AF16" s="119">
        <f ca="1">SUM(OFFSET('Output data (results)'!$B$10,AF$15-2000+INDEX($I$2:$I$4,MATCH($B$1,$H$2:$H$4,0)),INDEX($M$2:$M$9,MATCH($B16&amp;$C16,$J$2:$J$9,0)),1,INDEX($N$2:$N$9,MATCH($B16&amp;$C16,$J$2:$J$9,0))))</f>
        <v>13.129489470402261</v>
      </c>
      <c r="AG16" s="119">
        <f ca="1">SUM(OFFSET('Output data (results)'!$B$10,AG$15-2000+INDEX($I$2:$I$4,MATCH($B$1,$H$2:$H$4,0)),INDEX($M$2:$M$9,MATCH($B16&amp;$C16,$J$2:$J$9,0)),1,INDEX($N$2:$N$9,MATCH($B16&amp;$C16,$J$2:$J$9,0))))</f>
        <v>12.462701759742169</v>
      </c>
      <c r="AH16" s="119">
        <f ca="1">SUM(OFFSET('Output data (results)'!$B$10,AH$15-2000+INDEX($I$2:$I$4,MATCH($B$1,$H$2:$H$4,0)),INDEX($M$2:$M$9,MATCH($B16&amp;$C16,$J$2:$J$9,0)),1,INDEX($N$2:$N$9,MATCH($B16&amp;$C16,$J$2:$J$9,0))))</f>
        <v>11.798988299389535</v>
      </c>
      <c r="AI16" s="119">
        <f ca="1">SUM(OFFSET('Output data (results)'!$B$10,AI$15-2000+INDEX($I$2:$I$4,MATCH($B$1,$H$2:$H$4,0)),INDEX($M$2:$M$9,MATCH($B16&amp;$C16,$J$2:$J$9,0)),1,INDEX($N$2:$N$9,MATCH($B16&amp;$C16,$J$2:$J$9,0))))</f>
        <v>11.138182533741386</v>
      </c>
      <c r="AJ16" s="119">
        <f ca="1">SUM(OFFSET('Output data (results)'!$B$10,AJ$15-2000+INDEX($I$2:$I$4,MATCH($B$1,$H$2:$H$4,0)),INDEX($M$2:$M$9,MATCH($B16&amp;$C16,$J$2:$J$9,0)),1,INDEX($N$2:$N$9,MATCH($B16&amp;$C16,$J$2:$J$9,0))))</f>
        <v>10.480123636715845</v>
      </c>
      <c r="AK16" s="119">
        <f ca="1">SUM(OFFSET('Output data (results)'!$B$10,AK$15-2000+INDEX($I$2:$I$4,MATCH($B$1,$H$2:$H$4,0)),INDEX($M$2:$M$9,MATCH($B16&amp;$C16,$J$2:$J$9,0)),1,INDEX($N$2:$N$9,MATCH($B16&amp;$C16,$J$2:$J$9,0))))</f>
        <v>9.8246561460806792</v>
      </c>
      <c r="AL16" s="119">
        <f ca="1">SUM(OFFSET('Output data (results)'!$B$10,AL$15-2000+INDEX($I$2:$I$4,MATCH($B$1,$H$2:$H$4,0)),INDEX($M$2:$M$9,MATCH($B16&amp;$C16,$J$2:$J$9,0)),1,INDEX($N$2:$N$9,MATCH($B16&amp;$C16,$J$2:$J$9,0))))</f>
        <v>9.171627629328972</v>
      </c>
      <c r="AM16" s="119">
        <f ca="1">SUM(OFFSET('Output data (results)'!$B$10,AM$15-2000+INDEX($I$2:$I$4,MATCH($B$1,$H$2:$H$4,0)),INDEX($M$2:$M$9,MATCH($B16&amp;$C16,$J$2:$J$9,0)),1,INDEX($N$2:$N$9,MATCH($B16&amp;$C16,$J$2:$J$9,0))))</f>
        <v>8.5208927870673108</v>
      </c>
      <c r="AN16" s="119">
        <f ca="1">SUM(OFFSET('Output data (results)'!$B$10,AN$15-2000+INDEX($I$2:$I$4,MATCH($B$1,$H$2:$H$4,0)),INDEX($M$2:$M$9,MATCH($B16&amp;$C16,$J$2:$J$9,0)),1,INDEX($N$2:$N$9,MATCH($B16&amp;$C16,$J$2:$J$9,0))))</f>
        <v>8.5106061417100527</v>
      </c>
      <c r="AO16" s="119">
        <f ca="1">SUM(OFFSET('Output data (results)'!$B$10,AO$15-2000+INDEX($I$2:$I$4,MATCH($B$1,$H$2:$H$4,0)),INDEX($M$2:$M$9,MATCH($B16&amp;$C16,$J$2:$J$9,0)),1,INDEX($N$2:$N$9,MATCH($B16&amp;$C16,$J$2:$J$9,0))))</f>
        <v>8.5008758111161278</v>
      </c>
      <c r="AP16" s="119">
        <f ca="1">SUM(OFFSET('Output data (results)'!$B$10,AP$15-2000+INDEX($I$2:$I$4,MATCH($B$1,$H$2:$H$4,0)),INDEX($M$2:$M$9,MATCH($B16&amp;$C16,$J$2:$J$9,0)),1,INDEX($N$2:$N$9,MATCH($B16&amp;$C16,$J$2:$J$9,0))))</f>
        <v>8.491691581364206</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801.61949135232783</v>
      </c>
      <c r="L17" s="119">
        <f ca="1">SUM(OFFSET('Output data (results)'!$B$10,L$15-2000+INDEX($I$2:$I$4,MATCH($B$1,$H$2:$H$4,0)),INDEX($M$2:$M$9,MATCH($B17&amp;$C17,$J$2:$J$9,0)),1,INDEX($N$2:$N$9,MATCH($B17&amp;$C17,$J$2:$J$9,0))))</f>
        <v>781.09352210286238</v>
      </c>
      <c r="M17" s="119">
        <f ca="1">SUM(OFFSET('Output data (results)'!$B$10,M$15-2000+INDEX($I$2:$I$4,MATCH($B$1,$H$2:$H$4,0)),INDEX($M$2:$M$9,MATCH($B17&amp;$C17,$J$2:$J$9,0)),1,INDEX($N$2:$N$9,MATCH($B17&amp;$C17,$J$2:$J$9,0))))</f>
        <v>760.43821861888443</v>
      </c>
      <c r="N17" s="119">
        <f ca="1">SUM(OFFSET('Output data (results)'!$B$10,N$15-2000+INDEX($I$2:$I$4,MATCH($B$1,$H$2:$H$4,0)),INDEX($M$2:$M$9,MATCH($B17&amp;$C17,$J$2:$J$9,0)),1,INDEX($N$2:$N$9,MATCH($B17&amp;$C17,$J$2:$J$9,0))))</f>
        <v>739.2196613267846</v>
      </c>
      <c r="O17" s="119">
        <f ca="1">SUM(OFFSET('Output data (results)'!$B$10,O$15-2000+INDEX($I$2:$I$4,MATCH($B$1,$H$2:$H$4,0)),INDEX($M$2:$M$9,MATCH($B17&amp;$C17,$J$2:$J$9,0)),1,INDEX($N$2:$N$9,MATCH($B17&amp;$C17,$J$2:$J$9,0))))</f>
        <v>717.70640236004044</v>
      </c>
      <c r="P17" s="119">
        <f ca="1">SUM(OFFSET('Output data (results)'!$B$10,P$15-2000+INDEX($I$2:$I$4,MATCH($B$1,$H$2:$H$4,0)),INDEX($M$2:$M$9,MATCH($B17&amp;$C17,$J$2:$J$9,0)),1,INDEX($N$2:$N$9,MATCH($B17&amp;$C17,$J$2:$J$9,0))))</f>
        <v>696.14731363793908</v>
      </c>
      <c r="Q17" s="119">
        <f ca="1">SUM(OFFSET('Output data (results)'!$B$10,Q$15-2000+INDEX($I$2:$I$4,MATCH($B$1,$H$2:$H$4,0)),INDEX($M$2:$M$9,MATCH($B17&amp;$C17,$J$2:$J$9,0)),1,INDEX($N$2:$N$9,MATCH($B17&amp;$C17,$J$2:$J$9,0))))</f>
        <v>674.32639613657113</v>
      </c>
      <c r="R17" s="119">
        <f ca="1">SUM(OFFSET('Output data (results)'!$B$10,R$15-2000+INDEX($I$2:$I$4,MATCH($B$1,$H$2:$H$4,0)),INDEX($M$2:$M$9,MATCH($B17&amp;$C17,$J$2:$J$9,0)),1,INDEX($N$2:$N$9,MATCH($B17&amp;$C17,$J$2:$J$9,0))))</f>
        <v>652.57482378407542</v>
      </c>
      <c r="S17" s="119">
        <f ca="1">SUM(OFFSET('Output data (results)'!$B$10,S$15-2000+INDEX($I$2:$I$4,MATCH($B$1,$H$2:$H$4,0)),INDEX($M$2:$M$9,MATCH($B17&amp;$C17,$J$2:$J$9,0)),1,INDEX($N$2:$N$9,MATCH($B17&amp;$C17,$J$2:$J$9,0))))</f>
        <v>631.24619579512307</v>
      </c>
      <c r="T17" s="119">
        <f ca="1">SUM(OFFSET('Output data (results)'!$B$10,T$15-2000+INDEX($I$2:$I$4,MATCH($B$1,$H$2:$H$4,0)),INDEX($M$2:$M$9,MATCH($B17&amp;$C17,$J$2:$J$9,0)),1,INDEX($N$2:$N$9,MATCH($B17&amp;$C17,$J$2:$J$9,0))))</f>
        <v>610.21903750045556</v>
      </c>
      <c r="U17" s="119">
        <f ca="1">SUM(OFFSET('Output data (results)'!$B$10,U$15-2000+INDEX($I$2:$I$4,MATCH($B$1,$H$2:$H$4,0)),INDEX($M$2:$M$9,MATCH($B17&amp;$C17,$J$2:$J$9,0)),1,INDEX($N$2:$N$9,MATCH($B17&amp;$C17,$J$2:$J$9,0))))</f>
        <v>589.80422212531448</v>
      </c>
      <c r="V17" s="119">
        <f ca="1">SUM(OFFSET('Output data (results)'!$B$10,V$15-2000+INDEX($I$2:$I$4,MATCH($B$1,$H$2:$H$4,0)),INDEX($M$2:$M$9,MATCH($B17&amp;$C17,$J$2:$J$9,0)),1,INDEX($N$2:$N$9,MATCH($B17&amp;$C17,$J$2:$J$9,0))))</f>
        <v>569.98711253968997</v>
      </c>
      <c r="W17" s="119">
        <f ca="1">SUM(OFFSET('Output data (results)'!$B$10,W$15-2000+INDEX($I$2:$I$4,MATCH($B$1,$H$2:$H$4,0)),INDEX($M$2:$M$9,MATCH($B17&amp;$C17,$J$2:$J$9,0)),1,INDEX($N$2:$N$9,MATCH($B17&amp;$C17,$J$2:$J$9,0))))</f>
        <v>551.10423923297583</v>
      </c>
      <c r="X17" s="119">
        <f ca="1">SUM(OFFSET('Output data (results)'!$B$10,X$15-2000+INDEX($I$2:$I$4,MATCH($B$1,$H$2:$H$4,0)),INDEX($M$2:$M$9,MATCH($B17&amp;$C17,$J$2:$J$9,0)),1,INDEX($N$2:$N$9,MATCH($B17&amp;$C17,$J$2:$J$9,0))))</f>
        <v>532.98594033779705</v>
      </c>
      <c r="Y17" s="119">
        <f ca="1">SUM(OFFSET('Output data (results)'!$B$10,Y$15-2000+INDEX($I$2:$I$4,MATCH($B$1,$H$2:$H$4,0)),INDEX($M$2:$M$9,MATCH($B17&amp;$C17,$J$2:$J$9,0)),1,INDEX($N$2:$N$9,MATCH($B17&amp;$C17,$J$2:$J$9,0))))</f>
        <v>515.68256959342523</v>
      </c>
      <c r="Z17" s="119">
        <f ca="1">SUM(OFFSET('Output data (results)'!$B$10,Z$15-2000+INDEX($I$2:$I$4,MATCH($B$1,$H$2:$H$4,0)),INDEX($M$2:$M$9,MATCH($B17&amp;$C17,$J$2:$J$9,0)),1,INDEX($N$2:$N$9,MATCH($B17&amp;$C17,$J$2:$J$9,0))))</f>
        <v>498.80332693081812</v>
      </c>
      <c r="AA17" s="119">
        <f ca="1">SUM(OFFSET('Output data (results)'!$B$10,AA$15-2000+INDEX($I$2:$I$4,MATCH($B$1,$H$2:$H$4,0)),INDEX($M$2:$M$9,MATCH($B17&amp;$C17,$J$2:$J$9,0)),1,INDEX($N$2:$N$9,MATCH($B17&amp;$C17,$J$2:$J$9,0))))</f>
        <v>482.82333778450192</v>
      </c>
      <c r="AB17" s="119">
        <f ca="1">SUM(OFFSET('Output data (results)'!$B$10,AB$15-2000+INDEX($I$2:$I$4,MATCH($B$1,$H$2:$H$4,0)),INDEX($M$2:$M$9,MATCH($B17&amp;$C17,$J$2:$J$9,0)),1,INDEX($N$2:$N$9,MATCH($B17&amp;$C17,$J$2:$J$9,0))))</f>
        <v>468.48872006100009</v>
      </c>
      <c r="AC17" s="119">
        <f ca="1">SUM(OFFSET('Output data (results)'!$B$10,AC$15-2000+INDEX($I$2:$I$4,MATCH($B$1,$H$2:$H$4,0)),INDEX($M$2:$M$9,MATCH($B17&amp;$C17,$J$2:$J$9,0)),1,INDEX($N$2:$N$9,MATCH($B17&amp;$C17,$J$2:$J$9,0))))</f>
        <v>456.89196047577144</v>
      </c>
      <c r="AD17" s="119">
        <f ca="1">SUM(OFFSET('Output data (results)'!$B$10,AD$15-2000+INDEX($I$2:$I$4,MATCH($B$1,$H$2:$H$4,0)),INDEX($M$2:$M$9,MATCH($B17&amp;$C17,$J$2:$J$9,0)),1,INDEX($N$2:$N$9,MATCH($B17&amp;$C17,$J$2:$J$9,0))))</f>
        <v>446.58672186809486</v>
      </c>
      <c r="AE17" s="119">
        <f ca="1">SUM(OFFSET('Output data (results)'!$B$10,AE$15-2000+INDEX($I$2:$I$4,MATCH($B$1,$H$2:$H$4,0)),INDEX($M$2:$M$9,MATCH($B17&amp;$C17,$J$2:$J$9,0)),1,INDEX($N$2:$N$9,MATCH($B17&amp;$C17,$J$2:$J$9,0))))</f>
        <v>436.70519660413362</v>
      </c>
      <c r="AF17" s="119">
        <f ca="1">SUM(OFFSET('Output data (results)'!$B$10,AF$15-2000+INDEX($I$2:$I$4,MATCH($B$1,$H$2:$H$4,0)),INDEX($M$2:$M$9,MATCH($B17&amp;$C17,$J$2:$J$9,0)),1,INDEX($N$2:$N$9,MATCH($B17&amp;$C17,$J$2:$J$9,0))))</f>
        <v>427.23210249738196</v>
      </c>
      <c r="AG17" s="119">
        <f ca="1">SUM(OFFSET('Output data (results)'!$B$10,AG$15-2000+INDEX($I$2:$I$4,MATCH($B$1,$H$2:$H$4,0)),INDEX($M$2:$M$9,MATCH($B17&amp;$C17,$J$2:$J$9,0)),1,INDEX($N$2:$N$9,MATCH($B17&amp;$C17,$J$2:$J$9,0))))</f>
        <v>418.14999190410981</v>
      </c>
      <c r="AH17" s="119">
        <f ca="1">SUM(OFFSET('Output data (results)'!$B$10,AH$15-2000+INDEX($I$2:$I$4,MATCH($B$1,$H$2:$H$4,0)),INDEX($M$2:$M$9,MATCH($B17&amp;$C17,$J$2:$J$9,0)),1,INDEX($N$2:$N$9,MATCH($B17&amp;$C17,$J$2:$J$9,0))))</f>
        <v>409.03329784488511</v>
      </c>
      <c r="AI17" s="119">
        <f ca="1">SUM(OFFSET('Output data (results)'!$B$10,AI$15-2000+INDEX($I$2:$I$4,MATCH($B$1,$H$2:$H$4,0)),INDEX($M$2:$M$9,MATCH($B17&amp;$C17,$J$2:$J$9,0)),1,INDEX($N$2:$N$9,MATCH($B17&amp;$C17,$J$2:$J$9,0))))</f>
        <v>399.89091938816426</v>
      </c>
      <c r="AJ17" s="119">
        <f ca="1">SUM(OFFSET('Output data (results)'!$B$10,AJ$15-2000+INDEX($I$2:$I$4,MATCH($B$1,$H$2:$H$4,0)),INDEX($M$2:$M$9,MATCH($B17&amp;$C17,$J$2:$J$9,0)),1,INDEX($N$2:$N$9,MATCH($B17&amp;$C17,$J$2:$J$9,0))))</f>
        <v>390.73144465625177</v>
      </c>
      <c r="AK17" s="119">
        <f ca="1">SUM(OFFSET('Output data (results)'!$B$10,AK$15-2000+INDEX($I$2:$I$4,MATCH($B$1,$H$2:$H$4,0)),INDEX($M$2:$M$9,MATCH($B17&amp;$C17,$J$2:$J$9,0)),1,INDEX($N$2:$N$9,MATCH($B17&amp;$C17,$J$2:$J$9,0))))</f>
        <v>381.56310617518238</v>
      </c>
      <c r="AL17" s="119">
        <f ca="1">SUM(OFFSET('Output data (results)'!$B$10,AL$15-2000+INDEX($I$2:$I$4,MATCH($B$1,$H$2:$H$4,0)),INDEX($M$2:$M$9,MATCH($B17&amp;$C17,$J$2:$J$9,0)),1,INDEX($N$2:$N$9,MATCH($B17&amp;$C17,$J$2:$J$9,0))))</f>
        <v>372.39338738853041</v>
      </c>
      <c r="AM17" s="119">
        <f ca="1">SUM(OFFSET('Output data (results)'!$B$10,AM$15-2000+INDEX($I$2:$I$4,MATCH($B$1,$H$2:$H$4,0)),INDEX($M$2:$M$9,MATCH($B17&amp;$C17,$J$2:$J$9,0)),1,INDEX($N$2:$N$9,MATCH($B17&amp;$C17,$J$2:$J$9,0))))</f>
        <v>363.24406444020588</v>
      </c>
      <c r="AN17" s="119">
        <f ca="1">SUM(OFFSET('Output data (results)'!$B$10,AN$15-2000+INDEX($I$2:$I$4,MATCH($B$1,$H$2:$H$4,0)),INDEX($M$2:$M$9,MATCH($B17&amp;$C17,$J$2:$J$9,0)),1,INDEX($N$2:$N$9,MATCH($B17&amp;$C17,$J$2:$J$9,0))))</f>
        <v>354.10944849578721</v>
      </c>
      <c r="AO17" s="119">
        <f ca="1">SUM(OFFSET('Output data (results)'!$B$10,AO$15-2000+INDEX($I$2:$I$4,MATCH($B$1,$H$2:$H$4,0)),INDEX($M$2:$M$9,MATCH($B17&amp;$C17,$J$2:$J$9,0)),1,INDEX($N$2:$N$9,MATCH($B17&amp;$C17,$J$2:$J$9,0))))</f>
        <v>345.27745441905842</v>
      </c>
      <c r="AP17" s="119">
        <f ca="1">SUM(OFFSET('Output data (results)'!$B$10,AP$15-2000+INDEX($I$2:$I$4,MATCH($B$1,$H$2:$H$4,0)),INDEX($M$2:$M$9,MATCH($B17&amp;$C17,$J$2:$J$9,0)),1,INDEX($N$2:$N$9,MATCH($B17&amp;$C17,$J$2:$J$9,0))))</f>
        <v>336.74408884599865</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24.575247159827704</v>
      </c>
      <c r="L18" s="119">
        <f ca="1">SUM(OFFSET('Output data (results)'!$B$10,L$15-2000+INDEX($I$2:$I$4,MATCH($B$1,$H$2:$H$4,0)),INDEX($M$2:$M$9,MATCH($B18&amp;$C18,$J$2:$J$9,0)),1,INDEX($N$2:$N$9,MATCH($B18&amp;$C18,$J$2:$J$9,0))))</f>
        <v>25.300077335171402</v>
      </c>
      <c r="M18" s="119">
        <f ca="1">SUM(OFFSET('Output data (results)'!$B$10,M$15-2000+INDEX($I$2:$I$4,MATCH($B$1,$H$2:$H$4,0)),INDEX($M$2:$M$9,MATCH($B18&amp;$C18,$J$2:$J$9,0)),1,INDEX($N$2:$N$9,MATCH($B18&amp;$C18,$J$2:$J$9,0))))</f>
        <v>26.843599415579973</v>
      </c>
      <c r="N18" s="119">
        <f ca="1">SUM(OFFSET('Output data (results)'!$B$10,N$15-2000+INDEX($I$2:$I$4,MATCH($B$1,$H$2:$H$4,0)),INDEX($M$2:$M$9,MATCH($B18&amp;$C18,$J$2:$J$9,0)),1,INDEX($N$2:$N$9,MATCH($B18&amp;$C18,$J$2:$J$9,0))))</f>
        <v>28.312747108659448</v>
      </c>
      <c r="O18" s="119">
        <f ca="1">SUM(OFFSET('Output data (results)'!$B$10,O$15-2000+INDEX($I$2:$I$4,MATCH($B$1,$H$2:$H$4,0)),INDEX($M$2:$M$9,MATCH($B18&amp;$C18,$J$2:$J$9,0)),1,INDEX($N$2:$N$9,MATCH($B18&amp;$C18,$J$2:$J$9,0))))</f>
        <v>29.912270663298141</v>
      </c>
      <c r="P18" s="119">
        <f ca="1">SUM(OFFSET('Output data (results)'!$B$10,P$15-2000+INDEX($I$2:$I$4,MATCH($B$1,$H$2:$H$4,0)),INDEX($M$2:$M$9,MATCH($B18&amp;$C18,$J$2:$J$9,0)),1,INDEX($N$2:$N$9,MATCH($B18&amp;$C18,$J$2:$J$9,0))))</f>
        <v>31.526899736917898</v>
      </c>
      <c r="Q18" s="119">
        <f ca="1">SUM(OFFSET('Output data (results)'!$B$10,Q$15-2000+INDEX($I$2:$I$4,MATCH($B$1,$H$2:$H$4,0)),INDEX($M$2:$M$9,MATCH($B18&amp;$C18,$J$2:$J$9,0)),1,INDEX($N$2:$N$9,MATCH($B18&amp;$C18,$J$2:$J$9,0))))</f>
        <v>33.129664475761814</v>
      </c>
      <c r="R18" s="119">
        <f ca="1">SUM(OFFSET('Output data (results)'!$B$10,R$15-2000+INDEX($I$2:$I$4,MATCH($B$1,$H$2:$H$4,0)),INDEX($M$2:$M$9,MATCH($B18&amp;$C18,$J$2:$J$9,0)),1,INDEX($N$2:$N$9,MATCH($B18&amp;$C18,$J$2:$J$9,0))))</f>
        <v>34.704979185410991</v>
      </c>
      <c r="S18" s="119">
        <f ca="1">SUM(OFFSET('Output data (results)'!$B$10,S$15-2000+INDEX($I$2:$I$4,MATCH($B$1,$H$2:$H$4,0)),INDEX($M$2:$M$9,MATCH($B18&amp;$C18,$J$2:$J$9,0)),1,INDEX($N$2:$N$9,MATCH($B18&amp;$C18,$J$2:$J$9,0))))</f>
        <v>36.278993419916119</v>
      </c>
      <c r="T18" s="119">
        <f ca="1">SUM(OFFSET('Output data (results)'!$B$10,T$15-2000+INDEX($I$2:$I$4,MATCH($B$1,$H$2:$H$4,0)),INDEX($M$2:$M$9,MATCH($B18&amp;$C18,$J$2:$J$9,0)),1,INDEX($N$2:$N$9,MATCH($B18&amp;$C18,$J$2:$J$9,0))))</f>
        <v>36.463981007331817</v>
      </c>
      <c r="U18" s="119">
        <f ca="1">SUM(OFFSET('Output data (results)'!$B$10,U$15-2000+INDEX($I$2:$I$4,MATCH($B$1,$H$2:$H$4,0)),INDEX($M$2:$M$9,MATCH($B18&amp;$C18,$J$2:$J$9,0)),1,INDEX($N$2:$N$9,MATCH($B18&amp;$C18,$J$2:$J$9,0))))</f>
        <v>36.709710787630286</v>
      </c>
      <c r="V18" s="119">
        <f ca="1">SUM(OFFSET('Output data (results)'!$B$10,V$15-2000+INDEX($I$2:$I$4,MATCH($B$1,$H$2:$H$4,0)),INDEX($M$2:$M$9,MATCH($B18&amp;$C18,$J$2:$J$9,0)),1,INDEX($N$2:$N$9,MATCH($B18&amp;$C18,$J$2:$J$9,0))))</f>
        <v>36.930771554811344</v>
      </c>
      <c r="W18" s="119">
        <f ca="1">SUM(OFFSET('Output data (results)'!$B$10,W$15-2000+INDEX($I$2:$I$4,MATCH($B$1,$H$2:$H$4,0)),INDEX($M$2:$M$9,MATCH($B18&amp;$C18,$J$2:$J$9,0)),1,INDEX($N$2:$N$9,MATCH($B18&amp;$C18,$J$2:$J$9,0))))</f>
        <v>37.192447161107026</v>
      </c>
      <c r="X18" s="119">
        <f ca="1">SUM(OFFSET('Output data (results)'!$B$10,X$15-2000+INDEX($I$2:$I$4,MATCH($B$1,$H$2:$H$4,0)),INDEX($M$2:$M$9,MATCH($B18&amp;$C18,$J$2:$J$9,0)),1,INDEX($N$2:$N$9,MATCH($B18&amp;$C18,$J$2:$J$9,0))))</f>
        <v>37.466267204517294</v>
      </c>
      <c r="Y18" s="119">
        <f ca="1">SUM(OFFSET('Output data (results)'!$B$10,Y$15-2000+INDEX($I$2:$I$4,MATCH($B$1,$H$2:$H$4,0)),INDEX($M$2:$M$9,MATCH($B18&amp;$C18,$J$2:$J$9,0)),1,INDEX($N$2:$N$9,MATCH($B18&amp;$C18,$J$2:$J$9,0))))</f>
        <v>37.788304864807486</v>
      </c>
      <c r="Z18" s="119">
        <f ca="1">SUM(OFFSET('Output data (results)'!$B$10,Z$15-2000+INDEX($I$2:$I$4,MATCH($B$1,$H$2:$H$4,0)),INDEX($M$2:$M$9,MATCH($B18&amp;$C18,$J$2:$J$9,0)),1,INDEX($N$2:$N$9,MATCH($B18&amp;$C18,$J$2:$J$9,0))))</f>
        <v>38.139493175634627</v>
      </c>
      <c r="AA18" s="119">
        <f ca="1">SUM(OFFSET('Output data (results)'!$B$10,AA$15-2000+INDEX($I$2:$I$4,MATCH($B$1,$H$2:$H$4,0)),INDEX($M$2:$M$9,MATCH($B18&amp;$C18,$J$2:$J$9,0)),1,INDEX($N$2:$N$9,MATCH($B18&amp;$C18,$J$2:$J$9,0))))</f>
        <v>38.419755572835477</v>
      </c>
      <c r="AB18" s="119">
        <f ca="1">SUM(OFFSET('Output data (results)'!$B$10,AB$15-2000+INDEX($I$2:$I$4,MATCH($B$1,$H$2:$H$4,0)),INDEX($M$2:$M$9,MATCH($B18&amp;$C18,$J$2:$J$9,0)),1,INDEX($N$2:$N$9,MATCH($B18&amp;$C18,$J$2:$J$9,0))))</f>
        <v>38.700378101614689</v>
      </c>
      <c r="AC18" s="119">
        <f ca="1">SUM(OFFSET('Output data (results)'!$B$10,AC$15-2000+INDEX($I$2:$I$4,MATCH($B$1,$H$2:$H$4,0)),INDEX($M$2:$M$9,MATCH($B18&amp;$C18,$J$2:$J$9,0)),1,INDEX($N$2:$N$9,MATCH($B18&amp;$C18,$J$2:$J$9,0))))</f>
        <v>39.028718064526117</v>
      </c>
      <c r="AD18" s="119">
        <f ca="1">SUM(OFFSET('Output data (results)'!$B$10,AD$15-2000+INDEX($I$2:$I$4,MATCH($B$1,$H$2:$H$4,0)),INDEX($M$2:$M$9,MATCH($B18&amp;$C18,$J$2:$J$9,0)),1,INDEX($N$2:$N$9,MATCH($B18&amp;$C18,$J$2:$J$9,0))))</f>
        <v>39.349355213122692</v>
      </c>
      <c r="AE18" s="119">
        <f ca="1">SUM(OFFSET('Output data (results)'!$B$10,AE$15-2000+INDEX($I$2:$I$4,MATCH($B$1,$H$2:$H$4,0)),INDEX($M$2:$M$9,MATCH($B18&amp;$C18,$J$2:$J$9,0)),1,INDEX($N$2:$N$9,MATCH($B18&amp;$C18,$J$2:$J$9,0))))</f>
        <v>39.693000768114281</v>
      </c>
      <c r="AF18" s="119">
        <f ca="1">SUM(OFFSET('Output data (results)'!$B$10,AF$15-2000+INDEX($I$2:$I$4,MATCH($B$1,$H$2:$H$4,0)),INDEX($M$2:$M$9,MATCH($B18&amp;$C18,$J$2:$J$9,0)),1,INDEX($N$2:$N$9,MATCH($B18&amp;$C18,$J$2:$J$9,0))))</f>
        <v>40.037806747080545</v>
      </c>
      <c r="AG18" s="119">
        <f ca="1">SUM(OFFSET('Output data (results)'!$B$10,AG$15-2000+INDEX($I$2:$I$4,MATCH($B$1,$H$2:$H$4,0)),INDEX($M$2:$M$9,MATCH($B18&amp;$C18,$J$2:$J$9,0)),1,INDEX($N$2:$N$9,MATCH($B18&amp;$C18,$J$2:$J$9,0))))</f>
        <v>40.42550839849104</v>
      </c>
      <c r="AH18" s="119">
        <f ca="1">SUM(OFFSET('Output data (results)'!$B$10,AH$15-2000+INDEX($I$2:$I$4,MATCH($B$1,$H$2:$H$4,0)),INDEX($M$2:$M$9,MATCH($B18&amp;$C18,$J$2:$J$9,0)),1,INDEX($N$2:$N$9,MATCH($B18&amp;$C18,$J$2:$J$9,0))))</f>
        <v>40.819312279423684</v>
      </c>
      <c r="AI18" s="119">
        <f ca="1">SUM(OFFSET('Output data (results)'!$B$10,AI$15-2000+INDEX($I$2:$I$4,MATCH($B$1,$H$2:$H$4,0)),INDEX($M$2:$M$9,MATCH($B18&amp;$C18,$J$2:$J$9,0)),1,INDEX($N$2:$N$9,MATCH($B18&amp;$C18,$J$2:$J$9,0))))</f>
        <v>41.223279873789934</v>
      </c>
      <c r="AJ18" s="119">
        <f ca="1">SUM(OFFSET('Output data (results)'!$B$10,AJ$15-2000+INDEX($I$2:$I$4,MATCH($B$1,$H$2:$H$4,0)),INDEX($M$2:$M$9,MATCH($B18&amp;$C18,$J$2:$J$9,0)),1,INDEX($N$2:$N$9,MATCH($B18&amp;$C18,$J$2:$J$9,0))))</f>
        <v>41.642933199124606</v>
      </c>
      <c r="AK18" s="119">
        <f ca="1">SUM(OFFSET('Output data (results)'!$B$10,AK$15-2000+INDEX($I$2:$I$4,MATCH($B$1,$H$2:$H$4,0)),INDEX($M$2:$M$9,MATCH($B18&amp;$C18,$J$2:$J$9,0)),1,INDEX($N$2:$N$9,MATCH($B18&amp;$C18,$J$2:$J$9,0))))</f>
        <v>42.080313001038363</v>
      </c>
      <c r="AL18" s="119">
        <f ca="1">SUM(OFFSET('Output data (results)'!$B$10,AL$15-2000+INDEX($I$2:$I$4,MATCH($B$1,$H$2:$H$4,0)),INDEX($M$2:$M$9,MATCH($B18&amp;$C18,$J$2:$J$9,0)),1,INDEX($N$2:$N$9,MATCH($B18&amp;$C18,$J$2:$J$9,0))))</f>
        <v>42.548023884773684</v>
      </c>
      <c r="AM18" s="119">
        <f ca="1">SUM(OFFSET('Output data (results)'!$B$10,AM$15-2000+INDEX($I$2:$I$4,MATCH($B$1,$H$2:$H$4,0)),INDEX($M$2:$M$9,MATCH($B18&amp;$C18,$J$2:$J$9,0)),1,INDEX($N$2:$N$9,MATCH($B18&amp;$C18,$J$2:$J$9,0))))</f>
        <v>42.838449995408155</v>
      </c>
      <c r="AN18" s="119">
        <f ca="1">SUM(OFFSET('Output data (results)'!$B$10,AN$15-2000+INDEX($I$2:$I$4,MATCH($B$1,$H$2:$H$4,0)),INDEX($M$2:$M$9,MATCH($B18&amp;$C18,$J$2:$J$9,0)),1,INDEX($N$2:$N$9,MATCH($B18&amp;$C18,$J$2:$J$9,0))))</f>
        <v>43.109008847303301</v>
      </c>
      <c r="AO18" s="119">
        <f ca="1">SUM(OFFSET('Output data (results)'!$B$10,AO$15-2000+INDEX($I$2:$I$4,MATCH($B$1,$H$2:$H$4,0)),INDEX($M$2:$M$9,MATCH($B18&amp;$C18,$J$2:$J$9,0)),1,INDEX($N$2:$N$9,MATCH($B18&amp;$C18,$J$2:$J$9,0))))</f>
        <v>43.378587341012917</v>
      </c>
      <c r="AP18" s="119">
        <f ca="1">SUM(OFFSET('Output data (results)'!$B$10,AP$15-2000+INDEX($I$2:$I$4,MATCH($B$1,$H$2:$H$4,0)),INDEX($M$2:$M$9,MATCH($B18&amp;$C18,$J$2:$J$9,0)),1,INDEX($N$2:$N$9,MATCH($B18&amp;$C18,$J$2:$J$9,0))))</f>
        <v>43.642163641749931</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11.066647744235141</v>
      </c>
      <c r="K19" s="119">
        <f ca="1">SUM(OFFSET('Output data (results)'!$B$10,K$15-2000+INDEX($I$2:$I$4,MATCH($B$1,$H$2:$H$4,0)),INDEX($M$2:$M$9,MATCH($B19&amp;$C19,$J$2:$J$9,0)),1,INDEX($N$2:$N$9,MATCH($B19&amp;$C19,$J$2:$J$9,0))))</f>
        <v>10.779294799344312</v>
      </c>
      <c r="L19" s="119">
        <f ca="1">SUM(OFFSET('Output data (results)'!$B$10,L$15-2000+INDEX($I$2:$I$4,MATCH($B$1,$H$2:$H$4,0)),INDEX($M$2:$M$9,MATCH($B19&amp;$C19,$J$2:$J$9,0)),1,INDEX($N$2:$N$9,MATCH($B19&amp;$C19,$J$2:$J$9,0))))</f>
        <v>10.497796427605877</v>
      </c>
      <c r="M19" s="119">
        <f ca="1">SUM(OFFSET('Output data (results)'!$B$10,M$15-2000+INDEX($I$2:$I$4,MATCH($B$1,$H$2:$H$4,0)),INDEX($M$2:$M$9,MATCH($B19&amp;$C19,$J$2:$J$9,0)),1,INDEX($N$2:$N$9,MATCH($B19&amp;$C19,$J$2:$J$9,0))))</f>
        <v>10.224095916603568</v>
      </c>
      <c r="N19" s="119">
        <f ca="1">SUM(OFFSET('Output data (results)'!$B$10,N$15-2000+INDEX($I$2:$I$4,MATCH($B$1,$H$2:$H$4,0)),INDEX($M$2:$M$9,MATCH($B19&amp;$C19,$J$2:$J$9,0)),1,INDEX($N$2:$N$9,MATCH($B19&amp;$C19,$J$2:$J$9,0))))</f>
        <v>9.9582012144275875</v>
      </c>
      <c r="O19" s="119">
        <f ca="1">SUM(OFFSET('Output data (results)'!$B$10,O$15-2000+INDEX($I$2:$I$4,MATCH($B$1,$H$2:$H$4,0)),INDEX($M$2:$M$9,MATCH($B19&amp;$C19,$J$2:$J$9,0)),1,INDEX($N$2:$N$9,MATCH($B19&amp;$C19,$J$2:$J$9,0))))</f>
        <v>9.7006337410387218</v>
      </c>
      <c r="P19" s="119">
        <f ca="1">SUM(OFFSET('Output data (results)'!$B$10,P$15-2000+INDEX($I$2:$I$4,MATCH($B$1,$H$2:$H$4,0)),INDEX($M$2:$M$9,MATCH($B19&amp;$C19,$J$2:$J$9,0)),1,INDEX($N$2:$N$9,MATCH($B19&amp;$C19,$J$2:$J$9,0))))</f>
        <v>9.4518911635688543</v>
      </c>
      <c r="Q19" s="119">
        <f ca="1">SUM(OFFSET('Output data (results)'!$B$10,Q$15-2000+INDEX($I$2:$I$4,MATCH($B$1,$H$2:$H$4,0)),INDEX($M$2:$M$9,MATCH($B19&amp;$C19,$J$2:$J$9,0)),1,INDEX($N$2:$N$9,MATCH($B19&amp;$C19,$J$2:$J$9,0))))</f>
        <v>9.2124543535844214</v>
      </c>
      <c r="R19" s="119">
        <f ca="1">SUM(OFFSET('Output data (results)'!$B$10,R$15-2000+INDEX($I$2:$I$4,MATCH($B$1,$H$2:$H$4,0)),INDEX($M$2:$M$9,MATCH($B19&amp;$C19,$J$2:$J$9,0)),1,INDEX($N$2:$N$9,MATCH($B19&amp;$C19,$J$2:$J$9,0))))</f>
        <v>8.9813204083754989</v>
      </c>
      <c r="S19" s="119">
        <f ca="1">SUM(OFFSET('Output data (results)'!$B$10,S$15-2000+INDEX($I$2:$I$4,MATCH($B$1,$H$2:$H$4,0)),INDEX($M$2:$M$9,MATCH($B19&amp;$C19,$J$2:$J$9,0)),1,INDEX($N$2:$N$9,MATCH($B19&amp;$C19,$J$2:$J$9,0))))</f>
        <v>8.7584967245683103</v>
      </c>
      <c r="T19" s="119">
        <f ca="1">SUM(OFFSET('Output data (results)'!$B$10,T$15-2000+INDEX($I$2:$I$4,MATCH($B$1,$H$2:$H$4,0)),INDEX($M$2:$M$9,MATCH($B19&amp;$C19,$J$2:$J$9,0)),1,INDEX($N$2:$N$9,MATCH($B19&amp;$C19,$J$2:$J$9,0))))</f>
        <v>8.2790150433264493</v>
      </c>
      <c r="U19" s="119">
        <f ca="1">SUM(OFFSET('Output data (results)'!$B$10,U$15-2000+INDEX($I$2:$I$4,MATCH($B$1,$H$2:$H$4,0)),INDEX($M$2:$M$9,MATCH($B19&amp;$C19,$J$2:$J$9,0)),1,INDEX($N$2:$N$9,MATCH($B19&amp;$C19,$J$2:$J$9,0))))</f>
        <v>7.826864175659404</v>
      </c>
      <c r="V19" s="119">
        <f ca="1">SUM(OFFSET('Output data (results)'!$B$10,V$15-2000+INDEX($I$2:$I$4,MATCH($B$1,$H$2:$H$4,0)),INDEX($M$2:$M$9,MATCH($B19&amp;$C19,$J$2:$J$9,0)),1,INDEX($N$2:$N$9,MATCH($B19&amp;$C19,$J$2:$J$9,0))))</f>
        <v>7.4003990795972694</v>
      </c>
      <c r="W19" s="119">
        <f ca="1">SUM(OFFSET('Output data (results)'!$B$10,W$15-2000+INDEX($I$2:$I$4,MATCH($B$1,$H$2:$H$4,0)),INDEX($M$2:$M$9,MATCH($B19&amp;$C19,$J$2:$J$9,0)),1,INDEX($N$2:$N$9,MATCH($B19&amp;$C19,$J$2:$J$9,0))))</f>
        <v>7.0317134502303738</v>
      </c>
      <c r="X19" s="119">
        <f ca="1">SUM(OFFSET('Output data (results)'!$B$10,X$15-2000+INDEX($I$2:$I$4,MATCH($B$1,$H$2:$H$4,0)),INDEX($M$2:$M$9,MATCH($B19&amp;$C19,$J$2:$J$9,0)),1,INDEX($N$2:$N$9,MATCH($B19&amp;$C19,$J$2:$J$9,0))))</f>
        <v>6.665599168772097</v>
      </c>
      <c r="Y19" s="119">
        <f ca="1">SUM(OFFSET('Output data (results)'!$B$10,Y$15-2000+INDEX($I$2:$I$4,MATCH($B$1,$H$2:$H$4,0)),INDEX($M$2:$M$9,MATCH($B19&amp;$C19,$J$2:$J$9,0)),1,INDEX($N$2:$N$9,MATCH($B19&amp;$C19,$J$2:$J$9,0))))</f>
        <v>6.301915101282515</v>
      </c>
      <c r="Z19" s="119">
        <f ca="1">SUM(OFFSET('Output data (results)'!$B$10,Z$15-2000+INDEX($I$2:$I$4,MATCH($B$1,$H$2:$H$4,0)),INDEX($M$2:$M$9,MATCH($B19&amp;$C19,$J$2:$J$9,0)),1,INDEX($N$2:$N$9,MATCH($B19&amp;$C19,$J$2:$J$9,0))))</f>
        <v>5.9405264900331556</v>
      </c>
      <c r="AA19" s="119">
        <f ca="1">SUM(OFFSET('Output data (results)'!$B$10,AA$15-2000+INDEX($I$2:$I$4,MATCH($B$1,$H$2:$H$4,0)),INDEX($M$2:$M$9,MATCH($B19&amp;$C19,$J$2:$J$9,0)),1,INDEX($N$2:$N$9,MATCH($B19&amp;$C19,$J$2:$J$9,0))))</f>
        <v>5.5813045197816757</v>
      </c>
      <c r="AB19" s="119">
        <f ca="1">SUM(OFFSET('Output data (results)'!$B$10,AB$15-2000+INDEX($I$2:$I$4,MATCH($B$1,$H$2:$H$4,0)),INDEX($M$2:$M$9,MATCH($B19&amp;$C19,$J$2:$J$9,0)),1,INDEX($N$2:$N$9,MATCH($B19&amp;$C19,$J$2:$J$9,0))))</f>
        <v>5.2240966904562036</v>
      </c>
      <c r="AC19" s="119">
        <f ca="1">SUM(OFFSET('Output data (results)'!$B$10,AC$15-2000+INDEX($I$2:$I$4,MATCH($B$1,$H$2:$H$4,0)),INDEX($M$2:$M$9,MATCH($B19&amp;$C19,$J$2:$J$9,0)),1,INDEX($N$2:$N$9,MATCH($B19&amp;$C19,$J$2:$J$9,0))))</f>
        <v>5.0976187423409618</v>
      </c>
      <c r="AD19" s="119">
        <f ca="1">SUM(OFFSET('Output data (results)'!$B$10,AD$15-2000+INDEX($I$2:$I$4,MATCH($B$1,$H$2:$H$4,0)),INDEX($M$2:$M$9,MATCH($B19&amp;$C19,$J$2:$J$9,0)),1,INDEX($N$2:$N$9,MATCH($B19&amp;$C19,$J$2:$J$9,0))))</f>
        <v>4.8697441178237</v>
      </c>
      <c r="AE19" s="119">
        <f ca="1">SUM(OFFSET('Output data (results)'!$B$10,AE$15-2000+INDEX($I$2:$I$4,MATCH($B$1,$H$2:$H$4,0)),INDEX($M$2:$M$9,MATCH($B19&amp;$C19,$J$2:$J$9,0)),1,INDEX($N$2:$N$9,MATCH($B19&amp;$C19,$J$2:$J$9,0))))</f>
        <v>4.6431173831473629</v>
      </c>
      <c r="AF19" s="119">
        <f ca="1">SUM(OFFSET('Output data (results)'!$B$10,AF$15-2000+INDEX($I$2:$I$4,MATCH($B$1,$H$2:$H$4,0)),INDEX($M$2:$M$9,MATCH($B19&amp;$C19,$J$2:$J$9,0)),1,INDEX($N$2:$N$9,MATCH($B19&amp;$C19,$J$2:$J$9,0))))</f>
        <v>4.4176712425784057</v>
      </c>
      <c r="AG19" s="119">
        <f ca="1">SUM(OFFSET('Output data (results)'!$B$10,AG$15-2000+INDEX($I$2:$I$4,MATCH($B$1,$H$2:$H$4,0)),INDEX($M$2:$M$9,MATCH($B19&amp;$C19,$J$2:$J$9,0)),1,INDEX($N$2:$N$9,MATCH($B19&amp;$C19,$J$2:$J$9,0))))</f>
        <v>4.1933175918954797</v>
      </c>
      <c r="AH19" s="119">
        <f ca="1">SUM(OFFSET('Output data (results)'!$B$10,AH$15-2000+INDEX($I$2:$I$4,MATCH($B$1,$H$2:$H$4,0)),INDEX($M$2:$M$9,MATCH($B19&amp;$C19,$J$2:$J$9,0)),1,INDEX($N$2:$N$9,MATCH($B19&amp;$C19,$J$2:$J$9,0))))</f>
        <v>3.969998332321695</v>
      </c>
      <c r="AI19" s="119">
        <f ca="1">SUM(OFFSET('Output data (results)'!$B$10,AI$15-2000+INDEX($I$2:$I$4,MATCH($B$1,$H$2:$H$4,0)),INDEX($M$2:$M$9,MATCH($B19&amp;$C19,$J$2:$J$9,0)),1,INDEX($N$2:$N$9,MATCH($B19&amp;$C19,$J$2:$J$9,0))))</f>
        <v>3.7476574229958128</v>
      </c>
      <c r="AJ19" s="119">
        <f ca="1">SUM(OFFSET('Output data (results)'!$B$10,AJ$15-2000+INDEX($I$2:$I$4,MATCH($B$1,$H$2:$H$4,0)),INDEX($M$2:$M$9,MATCH($B19&amp;$C19,$J$2:$J$9,0)),1,INDEX($N$2:$N$9,MATCH($B19&amp;$C19,$J$2:$J$9,0))))</f>
        <v>3.526240750865032</v>
      </c>
      <c r="AK19" s="119">
        <f ca="1">SUM(OFFSET('Output data (results)'!$B$10,AK$15-2000+INDEX($I$2:$I$4,MATCH($B$1,$H$2:$H$4,0)),INDEX($M$2:$M$9,MATCH($B19&amp;$C19,$J$2:$J$9,0)),1,INDEX($N$2:$N$9,MATCH($B19&amp;$C19,$J$2:$J$9,0))))</f>
        <v>3.3056960076477404</v>
      </c>
      <c r="AL19" s="119">
        <f ca="1">SUM(OFFSET('Output data (results)'!$B$10,AL$15-2000+INDEX($I$2:$I$4,MATCH($B$1,$H$2:$H$4,0)),INDEX($M$2:$M$9,MATCH($B19&amp;$C19,$J$2:$J$9,0)),1,INDEX($N$2:$N$9,MATCH($B19&amp;$C19,$J$2:$J$9,0))))</f>
        <v>3.0859719044721379</v>
      </c>
      <c r="AM19" s="119">
        <f ca="1">SUM(OFFSET('Output data (results)'!$B$10,AM$15-2000+INDEX($I$2:$I$4,MATCH($B$1,$H$2:$H$4,0)),INDEX($M$2:$M$9,MATCH($B19&amp;$C19,$J$2:$J$9,0)),1,INDEX($N$2:$N$9,MATCH($B19&amp;$C19,$J$2:$J$9,0))))</f>
        <v>2.8670195525407376</v>
      </c>
      <c r="AN19" s="119">
        <f ca="1">SUM(OFFSET('Output data (results)'!$B$10,AN$15-2000+INDEX($I$2:$I$4,MATCH($B$1,$H$2:$H$4,0)),INDEX($M$2:$M$9,MATCH($B19&amp;$C19,$J$2:$J$9,0)),1,INDEX($N$2:$N$9,MATCH($B19&amp;$C19,$J$2:$J$9,0))))</f>
        <v>2.8635584113075003</v>
      </c>
      <c r="AO19" s="119">
        <f ca="1">SUM(OFFSET('Output data (results)'!$B$10,AO$15-2000+INDEX($I$2:$I$4,MATCH($B$1,$H$2:$H$4,0)),INDEX($M$2:$M$9,MATCH($B19&amp;$C19,$J$2:$J$9,0)),1,INDEX($N$2:$N$9,MATCH($B19&amp;$C19,$J$2:$J$9,0))))</f>
        <v>2.8602844529603413</v>
      </c>
      <c r="AP19" s="119">
        <f ca="1">SUM(OFFSET('Output data (results)'!$B$10,AP$15-2000+INDEX($I$2:$I$4,MATCH($B$1,$H$2:$H$4,0)),INDEX($M$2:$M$9,MATCH($B19&amp;$C19,$J$2:$J$9,0)),1,INDEX($N$2:$N$9,MATCH($B19&amp;$C19,$J$2:$J$9,0))))</f>
        <v>2.8571942408274356</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134.80821026422416</v>
      </c>
      <c r="K20" s="119">
        <f ca="1">SUM(OFFSET('Output data (results)'!$B$10,K$15-2000+INDEX($I$2:$I$4,MATCH($B$1,$H$2:$H$4,0)),INDEX($M$2:$M$9,MATCH($B20&amp;$C20,$J$2:$J$9,0)),1,INDEX($N$2:$N$9,MATCH($B20&amp;$C20,$J$2:$J$9,0))))</f>
        <v>138.54200894277699</v>
      </c>
      <c r="L20" s="119">
        <f ca="1">SUM(OFFSET('Output data (results)'!$B$10,L$15-2000+INDEX($I$2:$I$4,MATCH($B$1,$H$2:$H$4,0)),INDEX($M$2:$M$9,MATCH($B20&amp;$C20,$J$2:$J$9,0)),1,INDEX($N$2:$N$9,MATCH($B20&amp;$C20,$J$2:$J$9,0))))</f>
        <v>142.36131561162929</v>
      </c>
      <c r="M20" s="119">
        <f ca="1">SUM(OFFSET('Output data (results)'!$B$10,M$15-2000+INDEX($I$2:$I$4,MATCH($B$1,$H$2:$H$4,0)),INDEX($M$2:$M$9,MATCH($B20&amp;$C20,$J$2:$J$9,0)),1,INDEX($N$2:$N$9,MATCH($B20&amp;$C20,$J$2:$J$9,0))))</f>
        <v>146.00150510718282</v>
      </c>
      <c r="N20" s="119">
        <f ca="1">SUM(OFFSET('Output data (results)'!$B$10,N$15-2000+INDEX($I$2:$I$4,MATCH($B$1,$H$2:$H$4,0)),INDEX($M$2:$M$9,MATCH($B20&amp;$C20,$J$2:$J$9,0)),1,INDEX($N$2:$N$9,MATCH($B20&amp;$C20,$J$2:$J$9,0))))</f>
        <v>149.57939243953086</v>
      </c>
      <c r="O20" s="119">
        <f ca="1">SUM(OFFSET('Output data (results)'!$B$10,O$15-2000+INDEX($I$2:$I$4,MATCH($B$1,$H$2:$H$4,0)),INDEX($M$2:$M$9,MATCH($B20&amp;$C20,$J$2:$J$9,0)),1,INDEX($N$2:$N$9,MATCH($B20&amp;$C20,$J$2:$J$9,0))))</f>
        <v>153.08620264640646</v>
      </c>
      <c r="P20" s="119">
        <f ca="1">SUM(OFFSET('Output data (results)'!$B$10,P$15-2000+INDEX($I$2:$I$4,MATCH($B$1,$H$2:$H$4,0)),INDEX($M$2:$M$9,MATCH($B20&amp;$C20,$J$2:$J$9,0)),1,INDEX($N$2:$N$9,MATCH($B20&amp;$C20,$J$2:$J$9,0))))</f>
        <v>156.51317952937083</v>
      </c>
      <c r="Q20" s="119">
        <f ca="1">SUM(OFFSET('Output data (results)'!$B$10,Q$15-2000+INDEX($I$2:$I$4,MATCH($B$1,$H$2:$H$4,0)),INDEX($M$2:$M$9,MATCH($B20&amp;$C20,$J$2:$J$9,0)),1,INDEX($N$2:$N$9,MATCH($B20&amp;$C20,$J$2:$J$9,0))))</f>
        <v>159.85162136106766</v>
      </c>
      <c r="R20" s="119">
        <f ca="1">SUM(OFFSET('Output data (results)'!$B$10,R$15-2000+INDEX($I$2:$I$4,MATCH($B$1,$H$2:$H$4,0)),INDEX($M$2:$M$9,MATCH($B20&amp;$C20,$J$2:$J$9,0)),1,INDEX($N$2:$N$9,MATCH($B20&amp;$C20,$J$2:$J$9,0))))</f>
        <v>163.18941706216847</v>
      </c>
      <c r="S20" s="119">
        <f ca="1">SUM(OFFSET('Output data (results)'!$B$10,S$15-2000+INDEX($I$2:$I$4,MATCH($B$1,$H$2:$H$4,0)),INDEX($M$2:$M$9,MATCH($B20&amp;$C20,$J$2:$J$9,0)),1,INDEX($N$2:$N$9,MATCH($B20&amp;$C20,$J$2:$J$9,0))))</f>
        <v>166.52394668963149</v>
      </c>
      <c r="T20" s="119">
        <f ca="1">SUM(OFFSET('Output data (results)'!$B$10,T$15-2000+INDEX($I$2:$I$4,MATCH($B$1,$H$2:$H$4,0)),INDEX($M$2:$M$9,MATCH($B20&amp;$C20,$J$2:$J$9,0)),1,INDEX($N$2:$N$9,MATCH($B20&amp;$C20,$J$2:$J$9,0))))</f>
        <v>169.85255057850929</v>
      </c>
      <c r="U20" s="119">
        <f ca="1">SUM(OFFSET('Output data (results)'!$B$10,U$15-2000+INDEX($I$2:$I$4,MATCH($B$1,$H$2:$H$4,0)),INDEX($M$2:$M$9,MATCH($B20&amp;$C20,$J$2:$J$9,0)),1,INDEX($N$2:$N$9,MATCH($B20&amp;$C20,$J$2:$J$9,0))))</f>
        <v>173.17253271360184</v>
      </c>
      <c r="V20" s="119">
        <f ca="1">SUM(OFFSET('Output data (results)'!$B$10,V$15-2000+INDEX($I$2:$I$4,MATCH($B$1,$H$2:$H$4,0)),INDEX($M$2:$M$9,MATCH($B20&amp;$C20,$J$2:$J$9,0)),1,INDEX($N$2:$N$9,MATCH($B20&amp;$C20,$J$2:$J$9,0))))</f>
        <v>176.4811642199079</v>
      </c>
      <c r="W20" s="119">
        <f ca="1">SUM(OFFSET('Output data (results)'!$B$10,W$15-2000+INDEX($I$2:$I$4,MATCH($B$1,$H$2:$H$4,0)),INDEX($M$2:$M$9,MATCH($B20&amp;$C20,$J$2:$J$9,0)),1,INDEX($N$2:$N$9,MATCH($B20&amp;$C20,$J$2:$J$9,0))))</f>
        <v>179.78835026220057</v>
      </c>
      <c r="X20" s="119">
        <f ca="1">SUM(OFFSET('Output data (results)'!$B$10,X$15-2000+INDEX($I$2:$I$4,MATCH($B$1,$H$2:$H$4,0)),INDEX($M$2:$M$9,MATCH($B20&amp;$C20,$J$2:$J$9,0)),1,INDEX($N$2:$N$9,MATCH($B20&amp;$C20,$J$2:$J$9,0))))</f>
        <v>183.09201012599974</v>
      </c>
      <c r="Y20" s="119">
        <f ca="1">SUM(OFFSET('Output data (results)'!$B$10,Y$15-2000+INDEX($I$2:$I$4,MATCH($B$1,$H$2:$H$4,0)),INDEX($M$2:$M$9,MATCH($B20&amp;$C20,$J$2:$J$9,0)),1,INDEX($N$2:$N$9,MATCH($B20&amp;$C20,$J$2:$J$9,0))))</f>
        <v>186.39003655881149</v>
      </c>
      <c r="Z20" s="119">
        <f ca="1">SUM(OFFSET('Output data (results)'!$B$10,Z$15-2000+INDEX($I$2:$I$4,MATCH($B$1,$H$2:$H$4,0)),INDEX($M$2:$M$9,MATCH($B20&amp;$C20,$J$2:$J$9,0)),1,INDEX($N$2:$N$9,MATCH($B20&amp;$C20,$J$2:$J$9,0))))</f>
        <v>189.68029792094978</v>
      </c>
      <c r="AA20" s="119">
        <f ca="1">SUM(OFFSET('Output data (results)'!$B$10,AA$15-2000+INDEX($I$2:$I$4,MATCH($B$1,$H$2:$H$4,0)),INDEX($M$2:$M$9,MATCH($B20&amp;$C20,$J$2:$J$9,0)),1,INDEX($N$2:$N$9,MATCH($B20&amp;$C20,$J$2:$J$9,0))))</f>
        <v>192.96064040014554</v>
      </c>
      <c r="AB20" s="119">
        <f ca="1">SUM(OFFSET('Output data (results)'!$B$10,AB$15-2000+INDEX($I$2:$I$4,MATCH($B$1,$H$2:$H$4,0)),INDEX($M$2:$M$9,MATCH($B20&amp;$C20,$J$2:$J$9,0)),1,INDEX($N$2:$N$9,MATCH($B20&amp;$C20,$J$2:$J$9,0))))</f>
        <v>196.23274612127315</v>
      </c>
      <c r="AC20" s="119">
        <f ca="1">SUM(OFFSET('Output data (results)'!$B$10,AC$15-2000+INDEX($I$2:$I$4,MATCH($B$1,$H$2:$H$4,0)),INDEX($M$2:$M$9,MATCH($B20&amp;$C20,$J$2:$J$9,0)),1,INDEX($N$2:$N$9,MATCH($B20&amp;$C20,$J$2:$J$9,0))))</f>
        <v>199.49461782370096</v>
      </c>
      <c r="AD20" s="119">
        <f ca="1">SUM(OFFSET('Output data (results)'!$B$10,AD$15-2000+INDEX($I$2:$I$4,MATCH($B$1,$H$2:$H$4,0)),INDEX($M$2:$M$9,MATCH($B20&amp;$C20,$J$2:$J$9,0)),1,INDEX($N$2:$N$9,MATCH($B20&amp;$C20,$J$2:$J$9,0))))</f>
        <v>202.74424150456656</v>
      </c>
      <c r="AE20" s="119">
        <f ca="1">SUM(OFFSET('Output data (results)'!$B$10,AE$15-2000+INDEX($I$2:$I$4,MATCH($B$1,$H$2:$H$4,0)),INDEX($M$2:$M$9,MATCH($B20&amp;$C20,$J$2:$J$9,0)),1,INDEX($N$2:$N$9,MATCH($B20&amp;$C20,$J$2:$J$9,0))))</f>
        <v>205.97958843754799</v>
      </c>
      <c r="AF20" s="119">
        <f ca="1">SUM(OFFSET('Output data (results)'!$B$10,AF$15-2000+INDEX($I$2:$I$4,MATCH($B$1,$H$2:$H$4,0)),INDEX($M$2:$M$9,MATCH($B20&amp;$C20,$J$2:$J$9,0)),1,INDEX($N$2:$N$9,MATCH($B20&amp;$C20,$J$2:$J$9,0))))</f>
        <v>209.19861723479599</v>
      </c>
      <c r="AG20" s="119">
        <f ca="1">SUM(OFFSET('Output data (results)'!$B$10,AG$15-2000+INDEX($I$2:$I$4,MATCH($B$1,$H$2:$H$4,0)),INDEX($M$2:$M$9,MATCH($B20&amp;$C20,$J$2:$J$9,0)),1,INDEX($N$2:$N$9,MATCH($B20&amp;$C20,$J$2:$J$9,0))))</f>
        <v>212.40361590924937</v>
      </c>
      <c r="AH20" s="119">
        <f ca="1">SUM(OFFSET('Output data (results)'!$B$10,AH$15-2000+INDEX($I$2:$I$4,MATCH($B$1,$H$2:$H$4,0)),INDEX($M$2:$M$9,MATCH($B20&amp;$C20,$J$2:$J$9,0)),1,INDEX($N$2:$N$9,MATCH($B20&amp;$C20,$J$2:$J$9,0))))</f>
        <v>215.59272134221817</v>
      </c>
      <c r="AI20" s="119">
        <f ca="1">SUM(OFFSET('Output data (results)'!$B$10,AI$15-2000+INDEX($I$2:$I$4,MATCH($B$1,$H$2:$H$4,0)),INDEX($M$2:$M$9,MATCH($B20&amp;$C20,$J$2:$J$9,0)),1,INDEX($N$2:$N$9,MATCH($B20&amp;$C20,$J$2:$J$9,0))))</f>
        <v>218.76406182207293</v>
      </c>
      <c r="AJ20" s="119">
        <f ca="1">SUM(OFFSET('Output data (results)'!$B$10,AJ$15-2000+INDEX($I$2:$I$4,MATCH($B$1,$H$2:$H$4,0)),INDEX($M$2:$M$9,MATCH($B20&amp;$C20,$J$2:$J$9,0)),1,INDEX($N$2:$N$9,MATCH($B20&amp;$C20,$J$2:$J$9,0))))</f>
        <v>221.91575884388917</v>
      </c>
      <c r="AK20" s="119">
        <f ca="1">SUM(OFFSET('Output data (results)'!$B$10,AK$15-2000+INDEX($I$2:$I$4,MATCH($B$1,$H$2:$H$4,0)),INDEX($M$2:$M$9,MATCH($B20&amp;$C20,$J$2:$J$9,0)),1,INDEX($N$2:$N$9,MATCH($B20&amp;$C20,$J$2:$J$9,0))))</f>
        <v>225.04592893560309</v>
      </c>
      <c r="AL20" s="119">
        <f ca="1">SUM(OFFSET('Output data (results)'!$B$10,AL$15-2000+INDEX($I$2:$I$4,MATCH($B$1,$H$2:$H$4,0)),INDEX($M$2:$M$9,MATCH($B20&amp;$C20,$J$2:$J$9,0)),1,INDEX($N$2:$N$9,MATCH($B20&amp;$C20,$J$2:$J$9,0))))</f>
        <v>228.15287317536848</v>
      </c>
      <c r="AM20" s="119">
        <f ca="1">SUM(OFFSET('Output data (results)'!$B$10,AM$15-2000+INDEX($I$2:$I$4,MATCH($B$1,$H$2:$H$4,0)),INDEX($M$2:$M$9,MATCH($B20&amp;$C20,$J$2:$J$9,0)),1,INDEX($N$2:$N$9,MATCH($B20&amp;$C20,$J$2:$J$9,0))))</f>
        <v>231.23471141735649</v>
      </c>
      <c r="AN20" s="119">
        <f ca="1">SUM(OFFSET('Output data (results)'!$B$10,AN$15-2000+INDEX($I$2:$I$4,MATCH($B$1,$H$2:$H$4,0)),INDEX($M$2:$M$9,MATCH($B20&amp;$C20,$J$2:$J$9,0)),1,INDEX($N$2:$N$9,MATCH($B20&amp;$C20,$J$2:$J$9,0))))</f>
        <v>234.28956403224367</v>
      </c>
      <c r="AO20" s="119">
        <f ca="1">SUM(OFFSET('Output data (results)'!$B$10,AO$15-2000+INDEX($I$2:$I$4,MATCH($B$1,$H$2:$H$4,0)),INDEX($M$2:$M$9,MATCH($B20&amp;$C20,$J$2:$J$9,0)),1,INDEX($N$2:$N$9,MATCH($B20&amp;$C20,$J$2:$J$9,0))))</f>
        <v>237.31555379884583</v>
      </c>
      <c r="AP20" s="119">
        <f ca="1">SUM(OFFSET('Output data (results)'!$B$10,AP$15-2000+INDEX($I$2:$I$4,MATCH($B$1,$H$2:$H$4,0)),INDEX($M$2:$M$9,MATCH($B20&amp;$C20,$J$2:$J$9,0)),1,INDEX($N$2:$N$9,MATCH($B20&amp;$C20,$J$2:$J$9,0))))</f>
        <v>240.31080780951893</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1.448738046129775</v>
      </c>
      <c r="L21" s="119">
        <f ca="1">SUM(OFFSET('Output data (results)'!$B$10,L$15-2000+INDEX($I$2:$I$4,MATCH($B$1,$H$2:$H$4,0)),INDEX($M$2:$M$9,MATCH($B21&amp;$C21,$J$2:$J$9,0)),1,INDEX($N$2:$N$9,MATCH($B21&amp;$C21,$J$2:$J$9,0))))</f>
        <v>1.4895063346850028</v>
      </c>
      <c r="M21" s="119">
        <f ca="1">SUM(OFFSET('Output data (results)'!$B$10,M$15-2000+INDEX($I$2:$I$4,MATCH($B$1,$H$2:$H$4,0)),INDEX($M$2:$M$9,MATCH($B21&amp;$C21,$J$2:$J$9,0)),1,INDEX($N$2:$N$9,MATCH($B21&amp;$C21,$J$2:$J$9,0))))</f>
        <v>1.5780117409232244</v>
      </c>
      <c r="N21" s="119">
        <f ca="1">SUM(OFFSET('Output data (results)'!$B$10,N$15-2000+INDEX($I$2:$I$4,MATCH($B$1,$H$2:$H$4,0)),INDEX($M$2:$M$9,MATCH($B21&amp;$C21,$J$2:$J$9,0)),1,INDEX($N$2:$N$9,MATCH($B21&amp;$C21,$J$2:$J$9,0))))</f>
        <v>1.6618351563778373</v>
      </c>
      <c r="O21" s="119">
        <f ca="1">SUM(OFFSET('Output data (results)'!$B$10,O$15-2000+INDEX($I$2:$I$4,MATCH($B$1,$H$2:$H$4,0)),INDEX($M$2:$M$9,MATCH($B21&amp;$C21,$J$2:$J$9,0)),1,INDEX($N$2:$N$9,MATCH($B21&amp;$C21,$J$2:$J$9,0))))</f>
        <v>1.7557202345848908</v>
      </c>
      <c r="P21" s="119">
        <f ca="1">SUM(OFFSET('Output data (results)'!$B$10,P$15-2000+INDEX($I$2:$I$4,MATCH($B$1,$H$2:$H$4,0)),INDEX($M$2:$M$9,MATCH($B21&amp;$C21,$J$2:$J$9,0)),1,INDEX($N$2:$N$9,MATCH($B21&amp;$C21,$J$2:$J$9,0))))</f>
        <v>1.8504919410799636</v>
      </c>
      <c r="Q21" s="119">
        <f ca="1">SUM(OFFSET('Output data (results)'!$B$10,Q$15-2000+INDEX($I$2:$I$4,MATCH($B$1,$H$2:$H$4,0)),INDEX($M$2:$M$9,MATCH($B21&amp;$C21,$J$2:$J$9,0)),1,INDEX($N$2:$N$9,MATCH($B21&amp;$C21,$J$2:$J$9,0))))</f>
        <v>1.9445672627077581</v>
      </c>
      <c r="R21" s="119">
        <f ca="1">SUM(OFFSET('Output data (results)'!$B$10,R$15-2000+INDEX($I$2:$I$4,MATCH($B$1,$H$2:$H$4,0)),INDEX($M$2:$M$9,MATCH($B21&amp;$C21,$J$2:$J$9,0)),1,INDEX($N$2:$N$9,MATCH($B21&amp;$C21,$J$2:$J$9,0))))</f>
        <v>2.0370313869697756</v>
      </c>
      <c r="S21" s="119">
        <f ca="1">SUM(OFFSET('Output data (results)'!$B$10,S$15-2000+INDEX($I$2:$I$4,MATCH($B$1,$H$2:$H$4,0)),INDEX($M$2:$M$9,MATCH($B21&amp;$C21,$J$2:$J$9,0)),1,INDEX($N$2:$N$9,MATCH($B21&amp;$C21,$J$2:$J$9,0))))</f>
        <v>2.1294191789950765</v>
      </c>
      <c r="T21" s="119">
        <f ca="1">SUM(OFFSET('Output data (results)'!$B$10,T$15-2000+INDEX($I$2:$I$4,MATCH($B$1,$H$2:$H$4,0)),INDEX($M$2:$M$9,MATCH($B21&amp;$C21,$J$2:$J$9,0)),1,INDEX($N$2:$N$9,MATCH($B21&amp;$C21,$J$2:$J$9,0))))</f>
        <v>2.1402771460825196</v>
      </c>
      <c r="U21" s="119">
        <f ca="1">SUM(OFFSET('Output data (results)'!$B$10,U$15-2000+INDEX($I$2:$I$4,MATCH($B$1,$H$2:$H$4,0)),INDEX($M$2:$M$9,MATCH($B21&amp;$C21,$J$2:$J$9,0)),1,INDEX($N$2:$N$9,MATCH($B21&amp;$C21,$J$2:$J$9,0))))</f>
        <v>2.1547004157956904</v>
      </c>
      <c r="V21" s="119">
        <f ca="1">SUM(OFFSET('Output data (results)'!$B$10,V$15-2000+INDEX($I$2:$I$4,MATCH($B$1,$H$2:$H$4,0)),INDEX($M$2:$M$9,MATCH($B21&amp;$C21,$J$2:$J$9,0)),1,INDEX($N$2:$N$9,MATCH($B21&amp;$C21,$J$2:$J$9,0))))</f>
        <v>2.1676757216954483</v>
      </c>
      <c r="W21" s="119">
        <f ca="1">SUM(OFFSET('Output data (results)'!$B$10,W$15-2000+INDEX($I$2:$I$4,MATCH($B$1,$H$2:$H$4,0)),INDEX($M$2:$M$9,MATCH($B21&amp;$C21,$J$2:$J$9,0)),1,INDEX($N$2:$N$9,MATCH($B21&amp;$C21,$J$2:$J$9,0))))</f>
        <v>2.1830349420649782</v>
      </c>
      <c r="X21" s="119">
        <f ca="1">SUM(OFFSET('Output data (results)'!$B$10,X$15-2000+INDEX($I$2:$I$4,MATCH($B$1,$H$2:$H$4,0)),INDEX($M$2:$M$9,MATCH($B21&amp;$C21,$J$2:$J$9,0)),1,INDEX($N$2:$N$9,MATCH($B21&amp;$C21,$J$2:$J$9,0))))</f>
        <v>2.1991069880912324</v>
      </c>
      <c r="Y21" s="119">
        <f ca="1">SUM(OFFSET('Output data (results)'!$B$10,Y$15-2000+INDEX($I$2:$I$4,MATCH($B$1,$H$2:$H$4,0)),INDEX($M$2:$M$9,MATCH($B21&amp;$C21,$J$2:$J$9,0)),1,INDEX($N$2:$N$9,MATCH($B21&amp;$C21,$J$2:$J$9,0))))</f>
        <v>2.2180091985865262</v>
      </c>
      <c r="Z21" s="119">
        <f ca="1">SUM(OFFSET('Output data (results)'!$B$10,Z$15-2000+INDEX($I$2:$I$4,MATCH($B$1,$H$2:$H$4,0)),INDEX($M$2:$M$9,MATCH($B21&amp;$C21,$J$2:$J$9,0)),1,INDEX($N$2:$N$9,MATCH($B21&amp;$C21,$J$2:$J$9,0))))</f>
        <v>2.2386224255263802</v>
      </c>
      <c r="AA21" s="119">
        <f ca="1">SUM(OFFSET('Output data (results)'!$B$10,AA$15-2000+INDEX($I$2:$I$4,MATCH($B$1,$H$2:$H$4,0)),INDEX($M$2:$M$9,MATCH($B21&amp;$C21,$J$2:$J$9,0)),1,INDEX($N$2:$N$9,MATCH($B21&amp;$C21,$J$2:$J$9,0))))</f>
        <v>2.2550726097099085</v>
      </c>
      <c r="AB21" s="119">
        <f ca="1">SUM(OFFSET('Output data (results)'!$B$10,AB$15-2000+INDEX($I$2:$I$4,MATCH($B$1,$H$2:$H$4,0)),INDEX($M$2:$M$9,MATCH($B21&amp;$C21,$J$2:$J$9,0)),1,INDEX($N$2:$N$9,MATCH($B21&amp;$C21,$J$2:$J$9,0))))</f>
        <v>2.2715439320512969</v>
      </c>
      <c r="AC21" s="119">
        <f ca="1">SUM(OFFSET('Output data (results)'!$B$10,AC$15-2000+INDEX($I$2:$I$4,MATCH($B$1,$H$2:$H$4,0)),INDEX($M$2:$M$9,MATCH($B21&amp;$C21,$J$2:$J$9,0)),1,INDEX($N$2:$N$9,MATCH($B21&amp;$C21,$J$2:$J$9,0))))</f>
        <v>2.2908160603091421</v>
      </c>
      <c r="AD21" s="119">
        <f ca="1">SUM(OFFSET('Output data (results)'!$B$10,AD$15-2000+INDEX($I$2:$I$4,MATCH($B$1,$H$2:$H$4,0)),INDEX($M$2:$M$9,MATCH($B21&amp;$C21,$J$2:$J$9,0)),1,INDEX($N$2:$N$9,MATCH($B21&amp;$C21,$J$2:$J$9,0))))</f>
        <v>2.3096360668572018</v>
      </c>
      <c r="AE21" s="119">
        <f ca="1">SUM(OFFSET('Output data (results)'!$B$10,AE$15-2000+INDEX($I$2:$I$4,MATCH($B$1,$H$2:$H$4,0)),INDEX($M$2:$M$9,MATCH($B21&amp;$C21,$J$2:$J$9,0)),1,INDEX($N$2:$N$9,MATCH($B21&amp;$C21,$J$2:$J$9,0))))</f>
        <v>2.3298065668240993</v>
      </c>
      <c r="AF21" s="119">
        <f ca="1">SUM(OFFSET('Output data (results)'!$B$10,AF$15-2000+INDEX($I$2:$I$4,MATCH($B$1,$H$2:$H$4,0)),INDEX($M$2:$M$9,MATCH($B21&amp;$C21,$J$2:$J$9,0)),1,INDEX($N$2:$N$9,MATCH($B21&amp;$C21,$J$2:$J$9,0))))</f>
        <v>2.350045178632989</v>
      </c>
      <c r="AG21" s="119">
        <f ca="1">SUM(OFFSET('Output data (results)'!$B$10,AG$15-2000+INDEX($I$2:$I$4,MATCH($B$1,$H$2:$H$4,0)),INDEX($M$2:$M$9,MATCH($B21&amp;$C21,$J$2:$J$9,0)),1,INDEX($N$2:$N$9,MATCH($B21&amp;$C21,$J$2:$J$9,0))))</f>
        <v>2.3728015799114308</v>
      </c>
      <c r="AH21" s="119">
        <f ca="1">SUM(OFFSET('Output data (results)'!$B$10,AH$15-2000+INDEX($I$2:$I$4,MATCH($B$1,$H$2:$H$4,0)),INDEX($M$2:$M$9,MATCH($B21&amp;$C21,$J$2:$J$9,0)),1,INDEX($N$2:$N$9,MATCH($B21&amp;$C21,$J$2:$J$9,0))))</f>
        <v>2.3959161555313901</v>
      </c>
      <c r="AI21" s="119">
        <f ca="1">SUM(OFFSET('Output data (results)'!$B$10,AI$15-2000+INDEX($I$2:$I$4,MATCH($B$1,$H$2:$H$4,0)),INDEX($M$2:$M$9,MATCH($B21&amp;$C21,$J$2:$J$9,0)),1,INDEX($N$2:$N$9,MATCH($B21&amp;$C21,$J$2:$J$9,0))))</f>
        <v>2.4196272969398445</v>
      </c>
      <c r="AJ21" s="119">
        <f ca="1">SUM(OFFSET('Output data (results)'!$B$10,AJ$15-2000+INDEX($I$2:$I$4,MATCH($B$1,$H$2:$H$4,0)),INDEX($M$2:$M$9,MATCH($B21&amp;$C21,$J$2:$J$9,0)),1,INDEX($N$2:$N$9,MATCH($B21&amp;$C21,$J$2:$J$9,0))))</f>
        <v>2.4442591225573138</v>
      </c>
      <c r="AK21" s="119">
        <f ca="1">SUM(OFFSET('Output data (results)'!$B$10,AK$15-2000+INDEX($I$2:$I$4,MATCH($B$1,$H$2:$H$4,0)),INDEX($M$2:$M$9,MATCH($B21&amp;$C21,$J$2:$J$9,0)),1,INDEX($N$2:$N$9,MATCH($B21&amp;$C21,$J$2:$J$9,0))))</f>
        <v>2.4699314152783387</v>
      </c>
      <c r="AL21" s="119">
        <f ca="1">SUM(OFFSET('Output data (results)'!$B$10,AL$15-2000+INDEX($I$2:$I$4,MATCH($B$1,$H$2:$H$4,0)),INDEX($M$2:$M$9,MATCH($B21&amp;$C21,$J$2:$J$9,0)),1,INDEX($N$2:$N$9,MATCH($B21&amp;$C21,$J$2:$J$9,0))))</f>
        <v>2.497384010628021</v>
      </c>
      <c r="AM21" s="119">
        <f ca="1">SUM(OFFSET('Output data (results)'!$B$10,AM$15-2000+INDEX($I$2:$I$4,MATCH($B$1,$H$2:$H$4,0)),INDEX($M$2:$M$9,MATCH($B21&amp;$C21,$J$2:$J$9,0)),1,INDEX($N$2:$N$9,MATCH($B21&amp;$C21,$J$2:$J$9,0))))</f>
        <v>2.5144307606000442</v>
      </c>
      <c r="AN21" s="119">
        <f ca="1">SUM(OFFSET('Output data (results)'!$B$10,AN$15-2000+INDEX($I$2:$I$4,MATCH($B$1,$H$2:$H$4,0)),INDEX($M$2:$M$9,MATCH($B21&amp;$C21,$J$2:$J$9,0)),1,INDEX($N$2:$N$9,MATCH($B21&amp;$C21,$J$2:$J$9,0))))</f>
        <v>2.5303113888634545</v>
      </c>
      <c r="AO21" s="119">
        <f ca="1">SUM(OFFSET('Output data (results)'!$B$10,AO$15-2000+INDEX($I$2:$I$4,MATCH($B$1,$H$2:$H$4,0)),INDEX($M$2:$M$9,MATCH($B21&amp;$C21,$J$2:$J$9,0)),1,INDEX($N$2:$N$9,MATCH($B21&amp;$C21,$J$2:$J$9,0))))</f>
        <v>2.5461344743638019</v>
      </c>
      <c r="AP21" s="119">
        <f ca="1">SUM(OFFSET('Output data (results)'!$B$10,AP$15-2000+INDEX($I$2:$I$4,MATCH($B$1,$H$2:$H$4,0)),INDEX($M$2:$M$9,MATCH($B21&amp;$C21,$J$2:$J$9,0)),1,INDEX($N$2:$N$9,MATCH($B21&amp;$C21,$J$2:$J$9,0))))</f>
        <v>2.5616052572331478</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0.15406641502389429</v>
      </c>
      <c r="K22" s="119">
        <f ca="1">SUM(OFFSET('Output data (results)'!$B$10,K$15-2000+INDEX($I$2:$I$4,MATCH($B$1,$H$2:$H$4,0)),INDEX($M$2:$M$9,MATCH($B22&amp;$C22,$J$2:$J$9,0)),1,INDEX($N$2:$N$9,MATCH($B22&amp;$C22,$J$2:$J$9,0))))</f>
        <v>0.1500659770331802</v>
      </c>
      <c r="L22" s="119">
        <f ca="1">SUM(OFFSET('Output data (results)'!$B$10,L$15-2000+INDEX($I$2:$I$4,MATCH($B$1,$H$2:$H$4,0)),INDEX($M$2:$M$9,MATCH($B22&amp;$C22,$J$2:$J$9,0)),1,INDEX($N$2:$N$9,MATCH($B22&amp;$C22,$J$2:$J$9,0))))</f>
        <v>0.14614704458216801</v>
      </c>
      <c r="M22" s="119">
        <f ca="1">SUM(OFFSET('Output data (results)'!$B$10,M$15-2000+INDEX($I$2:$I$4,MATCH($B$1,$H$2:$H$4,0)),INDEX($M$2:$M$9,MATCH($B22&amp;$C22,$J$2:$J$9,0)),1,INDEX($N$2:$N$9,MATCH($B22&amp;$C22,$J$2:$J$9,0))))</f>
        <v>0.14233667151392793</v>
      </c>
      <c r="N22" s="119">
        <f ca="1">SUM(OFFSET('Output data (results)'!$B$10,N$15-2000+INDEX($I$2:$I$4,MATCH($B$1,$H$2:$H$4,0)),INDEX($M$2:$M$9,MATCH($B22&amp;$C22,$J$2:$J$9,0)),1,INDEX($N$2:$N$9,MATCH($B22&amp;$C22,$J$2:$J$9,0))))</f>
        <v>0.13863496847929035</v>
      </c>
      <c r="O22" s="119">
        <f ca="1">SUM(OFFSET('Output data (results)'!$B$10,O$15-2000+INDEX($I$2:$I$4,MATCH($B$1,$H$2:$H$4,0)),INDEX($M$2:$M$9,MATCH($B22&amp;$C22,$J$2:$J$9,0)),1,INDEX($N$2:$N$9,MATCH($B22&amp;$C22,$J$2:$J$9,0))))</f>
        <v>0.13504919452416869</v>
      </c>
      <c r="P22" s="119">
        <f ca="1">SUM(OFFSET('Output data (results)'!$B$10,P$15-2000+INDEX($I$2:$I$4,MATCH($B$1,$H$2:$H$4,0)),INDEX($M$2:$M$9,MATCH($B22&amp;$C22,$J$2:$J$9,0)),1,INDEX($N$2:$N$9,MATCH($B22&amp;$C22,$J$2:$J$9,0))))</f>
        <v>0.13158627801500727</v>
      </c>
      <c r="Q22" s="119">
        <f ca="1">SUM(OFFSET('Output data (results)'!$B$10,Q$15-2000+INDEX($I$2:$I$4,MATCH($B$1,$H$2:$H$4,0)),INDEX($M$2:$M$9,MATCH($B22&amp;$C22,$J$2:$J$9,0)),1,INDEX($N$2:$N$9,MATCH($B22&amp;$C22,$J$2:$J$9,0))))</f>
        <v>0.12825291349563189</v>
      </c>
      <c r="R22" s="119">
        <f ca="1">SUM(OFFSET('Output data (results)'!$B$10,R$15-2000+INDEX($I$2:$I$4,MATCH($B$1,$H$2:$H$4,0)),INDEX($M$2:$M$9,MATCH($B22&amp;$C22,$J$2:$J$9,0)),1,INDEX($N$2:$N$9,MATCH($B22&amp;$C22,$J$2:$J$9,0))))</f>
        <v>0.12503513886760889</v>
      </c>
      <c r="S22" s="119">
        <f ca="1">SUM(OFFSET('Output data (results)'!$B$10,S$15-2000+INDEX($I$2:$I$4,MATCH($B$1,$H$2:$H$4,0)),INDEX($M$2:$M$9,MATCH($B22&amp;$C22,$J$2:$J$9,0)),1,INDEX($N$2:$N$9,MATCH($B22&amp;$C22,$J$2:$J$9,0))))</f>
        <v>0.1219330571044594</v>
      </c>
      <c r="T22" s="119">
        <f ca="1">SUM(OFFSET('Output data (results)'!$B$10,T$15-2000+INDEX($I$2:$I$4,MATCH($B$1,$H$2:$H$4,0)),INDEX($M$2:$M$9,MATCH($B22&amp;$C22,$J$2:$J$9,0)),1,INDEX($N$2:$N$9,MATCH($B22&amp;$C22,$J$2:$J$9,0))))</f>
        <v>0.11525786282649525</v>
      </c>
      <c r="U22" s="119">
        <f ca="1">SUM(OFFSET('Output data (results)'!$B$10,U$15-2000+INDEX($I$2:$I$4,MATCH($B$1,$H$2:$H$4,0)),INDEX($M$2:$M$9,MATCH($B22&amp;$C22,$J$2:$J$9,0)),1,INDEX($N$2:$N$9,MATCH($B22&amp;$C22,$J$2:$J$9,0))))</f>
        <v>0.10896315960277578</v>
      </c>
      <c r="V22" s="119">
        <f ca="1">SUM(OFFSET('Output data (results)'!$B$10,V$15-2000+INDEX($I$2:$I$4,MATCH($B$1,$H$2:$H$4,0)),INDEX($M$2:$M$9,MATCH($B22&amp;$C22,$J$2:$J$9,0)),1,INDEX($N$2:$N$9,MATCH($B22&amp;$C22,$J$2:$J$9,0))))</f>
        <v>0.10302604567255781</v>
      </c>
      <c r="W22" s="119">
        <f ca="1">SUM(OFFSET('Output data (results)'!$B$10,W$15-2000+INDEX($I$2:$I$4,MATCH($B$1,$H$2:$H$4,0)),INDEX($M$2:$M$9,MATCH($B22&amp;$C22,$J$2:$J$9,0)),1,INDEX($N$2:$N$9,MATCH($B22&amp;$C22,$J$2:$J$9,0))))</f>
        <v>9.7893319439631893E-2</v>
      </c>
      <c r="X22" s="119">
        <f ca="1">SUM(OFFSET('Output data (results)'!$B$10,X$15-2000+INDEX($I$2:$I$4,MATCH($B$1,$H$2:$H$4,0)),INDEX($M$2:$M$9,MATCH($B22&amp;$C22,$J$2:$J$9,0)),1,INDEX($N$2:$N$9,MATCH($B22&amp;$C22,$J$2:$J$9,0))))</f>
        <v>9.2796390709546595E-2</v>
      </c>
      <c r="Y22" s="119">
        <f ca="1">SUM(OFFSET('Output data (results)'!$B$10,Y$15-2000+INDEX($I$2:$I$4,MATCH($B$1,$H$2:$H$4,0)),INDEX($M$2:$M$9,MATCH($B22&amp;$C22,$J$2:$J$9,0)),1,INDEX($N$2:$N$9,MATCH($B22&amp;$C22,$J$2:$J$9,0))))</f>
        <v>8.7733294659650546E-2</v>
      </c>
      <c r="Z22" s="119">
        <f ca="1">SUM(OFFSET('Output data (results)'!$B$10,Z$15-2000+INDEX($I$2:$I$4,MATCH($B$1,$H$2:$H$4,0)),INDEX($M$2:$M$9,MATCH($B22&amp;$C22,$J$2:$J$9,0)),1,INDEX($N$2:$N$9,MATCH($B22&amp;$C22,$J$2:$J$9,0))))</f>
        <v>8.2702155234917696E-2</v>
      </c>
      <c r="AA22" s="119">
        <f ca="1">SUM(OFFSET('Output data (results)'!$B$10,AA$15-2000+INDEX($I$2:$I$4,MATCH($B$1,$H$2:$H$4,0)),INDEX($M$2:$M$9,MATCH($B22&amp;$C22,$J$2:$J$9,0)),1,INDEX($N$2:$N$9,MATCH($B22&amp;$C22,$J$2:$J$9,0))))</f>
        <v>7.77011791097586E-2</v>
      </c>
      <c r="AB22" s="119">
        <f ca="1">SUM(OFFSET('Output data (results)'!$B$10,AB$15-2000+INDEX($I$2:$I$4,MATCH($B$1,$H$2:$H$4,0)),INDEX($M$2:$M$9,MATCH($B22&amp;$C22,$J$2:$J$9,0)),1,INDEX($N$2:$N$9,MATCH($B22&amp;$C22,$J$2:$J$9,0))))</f>
        <v>7.2728243225781378E-2</v>
      </c>
      <c r="AC22" s="119">
        <f ca="1">SUM(OFFSET('Output data (results)'!$B$10,AC$15-2000+INDEX($I$2:$I$4,MATCH($B$1,$H$2:$H$4,0)),INDEX($M$2:$M$9,MATCH($B22&amp;$C22,$J$2:$J$9,0)),1,INDEX($N$2:$N$9,MATCH($B22&amp;$C22,$J$2:$J$9,0))))</f>
        <v>7.0967456716981181E-2</v>
      </c>
      <c r="AD22" s="119">
        <f ca="1">SUM(OFFSET('Output data (results)'!$B$10,AD$15-2000+INDEX($I$2:$I$4,MATCH($B$1,$H$2:$H$4,0)),INDEX($M$2:$M$9,MATCH($B22&amp;$C22,$J$2:$J$9,0)),1,INDEX($N$2:$N$9,MATCH($B22&amp;$C22,$J$2:$J$9,0))))</f>
        <v>6.7795057334107622E-2</v>
      </c>
      <c r="AE22" s="119">
        <f ca="1">SUM(OFFSET('Output data (results)'!$B$10,AE$15-2000+INDEX($I$2:$I$4,MATCH($B$1,$H$2:$H$4,0)),INDEX($M$2:$M$9,MATCH($B22&amp;$C22,$J$2:$J$9,0)),1,INDEX($N$2:$N$9,MATCH($B22&amp;$C22,$J$2:$J$9,0))))</f>
        <v>6.4640030684023561E-2</v>
      </c>
      <c r="AF22" s="119">
        <f ca="1">SUM(OFFSET('Output data (results)'!$B$10,AF$15-2000+INDEX($I$2:$I$4,MATCH($B$1,$H$2:$H$4,0)),INDEX($M$2:$M$9,MATCH($B22&amp;$C22,$J$2:$J$9,0)),1,INDEX($N$2:$N$9,MATCH($B22&amp;$C22,$J$2:$J$9,0))))</f>
        <v>6.150143989653549E-2</v>
      </c>
      <c r="AG22" s="119">
        <f ca="1">SUM(OFFSET('Output data (results)'!$B$10,AG$15-2000+INDEX($I$2:$I$4,MATCH($B$1,$H$2:$H$4,0)),INDEX($M$2:$M$9,MATCH($B22&amp;$C22,$J$2:$J$9,0)),1,INDEX($N$2:$N$9,MATCH($B22&amp;$C22,$J$2:$J$9,0))))</f>
        <v>5.8378058412178822E-2</v>
      </c>
      <c r="AH22" s="119">
        <f ca="1">SUM(OFFSET('Output data (results)'!$B$10,AH$15-2000+INDEX($I$2:$I$4,MATCH($B$1,$H$2:$H$4,0)),INDEX($M$2:$M$9,MATCH($B22&amp;$C22,$J$2:$J$9,0)),1,INDEX($N$2:$N$9,MATCH($B22&amp;$C22,$J$2:$J$9,0))))</f>
        <v>5.5269077397919433E-2</v>
      </c>
      <c r="AI22" s="119">
        <f ca="1">SUM(OFFSET('Output data (results)'!$B$10,AI$15-2000+INDEX($I$2:$I$4,MATCH($B$1,$H$2:$H$4,0)),INDEX($M$2:$M$9,MATCH($B22&amp;$C22,$J$2:$J$9,0)),1,INDEX($N$2:$N$9,MATCH($B22&amp;$C22,$J$2:$J$9,0))))</f>
        <v>5.2173716670382425E-2</v>
      </c>
      <c r="AJ22" s="119">
        <f ca="1">SUM(OFFSET('Output data (results)'!$B$10,AJ$15-2000+INDEX($I$2:$I$4,MATCH($B$1,$H$2:$H$4,0)),INDEX($M$2:$M$9,MATCH($B22&amp;$C22,$J$2:$J$9,0)),1,INDEX($N$2:$N$9,MATCH($B22&amp;$C22,$J$2:$J$9,0))))</f>
        <v>4.9091222884540139E-2</v>
      </c>
      <c r="AK22" s="119">
        <f ca="1">SUM(OFFSET('Output data (results)'!$B$10,AK$15-2000+INDEX($I$2:$I$4,MATCH($B$1,$H$2:$H$4,0)),INDEX($M$2:$M$9,MATCH($B22&amp;$C22,$J$2:$J$9,0)),1,INDEX($N$2:$N$9,MATCH($B22&amp;$C22,$J$2:$J$9,0))))</f>
        <v>4.602086782082597E-2</v>
      </c>
      <c r="AL22" s="119">
        <f ca="1">SUM(OFFSET('Output data (results)'!$B$10,AL$15-2000+INDEX($I$2:$I$4,MATCH($B$1,$H$2:$H$4,0)),INDEX($M$2:$M$9,MATCH($B22&amp;$C22,$J$2:$J$9,0)),1,INDEX($N$2:$N$9,MATCH($B22&amp;$C22,$J$2:$J$9,0))))</f>
        <v>4.2961937451578447E-2</v>
      </c>
      <c r="AM22" s="119">
        <f ca="1">SUM(OFFSET('Output data (results)'!$B$10,AM$15-2000+INDEX($I$2:$I$4,MATCH($B$1,$H$2:$H$4,0)),INDEX($M$2:$M$9,MATCH($B22&amp;$C22,$J$2:$J$9,0)),1,INDEX($N$2:$N$9,MATCH($B22&amp;$C22,$J$2:$J$9,0))))</f>
        <v>3.991375116222147E-2</v>
      </c>
      <c r="AN22" s="119">
        <f ca="1">SUM(OFFSET('Output data (results)'!$B$10,AN$15-2000+INDEX($I$2:$I$4,MATCH($B$1,$H$2:$H$4,0)),INDEX($M$2:$M$9,MATCH($B22&amp;$C22,$J$2:$J$9,0)),1,INDEX($N$2:$N$9,MATCH($B22&amp;$C22,$J$2:$J$9,0))))</f>
        <v>3.9865566234498079E-2</v>
      </c>
      <c r="AO22" s="119">
        <f ca="1">SUM(OFFSET('Output data (results)'!$B$10,AO$15-2000+INDEX($I$2:$I$4,MATCH($B$1,$H$2:$H$4,0)),INDEX($M$2:$M$9,MATCH($B22&amp;$C22,$J$2:$J$9,0)),1,INDEX($N$2:$N$9,MATCH($B22&amp;$C22,$J$2:$J$9,0))))</f>
        <v>3.9819987208478472E-2</v>
      </c>
      <c r="AP22" s="119">
        <f ca="1">SUM(OFFSET('Output data (results)'!$B$10,AP$15-2000+INDEX($I$2:$I$4,MATCH($B$1,$H$2:$H$4,0)),INDEX($M$2:$M$9,MATCH($B22&amp;$C22,$J$2:$J$9,0)),1,INDEX($N$2:$N$9,MATCH($B22&amp;$C22,$J$2:$J$9,0))))</f>
        <v>3.9776966239890382E-2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2.9904262793007734</v>
      </c>
      <c r="M23" s="119">
        <f ca="1">SUM(OFFSET('Output data (results)'!$B$10,M$15-2000+INDEX($I$2:$I$4,MATCH($B$1,$H$2:$H$4,0)),INDEX($M$2:$M$9,MATCH($B23&amp;$C23,$J$2:$J$9,0)),1,INDEX($N$2:$N$9,MATCH($B23&amp;$C23,$J$2:$J$9,0))))</f>
        <v>3.0332514902049907</v>
      </c>
      <c r="N23" s="119">
        <f ca="1">SUM(OFFSET('Output data (results)'!$B$10,N$15-2000+INDEX($I$2:$I$4,MATCH($B$1,$H$2:$H$4,0)),INDEX($M$2:$M$9,MATCH($B23&amp;$C23,$J$2:$J$9,0)),1,INDEX($N$2:$N$9,MATCH($B23&amp;$C23,$J$2:$J$9,0))))</f>
        <v>3.0738670955972056</v>
      </c>
      <c r="O23" s="119">
        <f ca="1">SUM(OFFSET('Output data (results)'!$B$10,O$15-2000+INDEX($I$2:$I$4,MATCH($B$1,$H$2:$H$4,0)),INDEX($M$2:$M$9,MATCH($B23&amp;$C23,$J$2:$J$9,0)),1,INDEX($N$2:$N$9,MATCH($B23&amp;$C23,$J$2:$J$9,0))))</f>
        <v>3.1121658543941133</v>
      </c>
      <c r="P23" s="119">
        <f ca="1">SUM(OFFSET('Output data (results)'!$B$10,P$15-2000+INDEX($I$2:$I$4,MATCH($B$1,$H$2:$H$4,0)),INDEX($M$2:$M$9,MATCH($B23&amp;$C23,$J$2:$J$9,0)),1,INDEX($N$2:$N$9,MATCH($B23&amp;$C23,$J$2:$J$9,0))))</f>
        <v>3.1480454582573771</v>
      </c>
      <c r="Q23" s="119">
        <f ca="1">SUM(OFFSET('Output data (results)'!$B$10,Q$15-2000+INDEX($I$2:$I$4,MATCH($B$1,$H$2:$H$4,0)),INDEX($M$2:$M$9,MATCH($B23&amp;$C23,$J$2:$J$9,0)),1,INDEX($N$2:$N$9,MATCH($B23&amp;$C23,$J$2:$J$9,0))))</f>
        <v>3.1814089830873744</v>
      </c>
      <c r="R23" s="119">
        <f ca="1">SUM(OFFSET('Output data (results)'!$B$10,R$15-2000+INDEX($I$2:$I$4,MATCH($B$1,$H$2:$H$4,0)),INDEX($M$2:$M$9,MATCH($B23&amp;$C23,$J$2:$J$9,0)),1,INDEX($N$2:$N$9,MATCH($B23&amp;$C23,$J$2:$J$9,0))))</f>
        <v>3.2140659188721759</v>
      </c>
      <c r="S23" s="119">
        <f ca="1">SUM(OFFSET('Output data (results)'!$B$10,S$15-2000+INDEX($I$2:$I$4,MATCH($B$1,$H$2:$H$4,0)),INDEX($M$2:$M$9,MATCH($B23&amp;$C23,$J$2:$J$9,0)),1,INDEX($N$2:$N$9,MATCH($B23&amp;$C23,$J$2:$J$9,0))))</f>
        <v>3.2459870116876344</v>
      </c>
      <c r="T23" s="119">
        <f ca="1">SUM(OFFSET('Output data (results)'!$B$10,T$15-2000+INDEX($I$2:$I$4,MATCH($B$1,$H$2:$H$4,0)),INDEX($M$2:$M$9,MATCH($B23&amp;$C23,$J$2:$J$9,0)),1,INDEX($N$2:$N$9,MATCH($B23&amp;$C23,$J$2:$J$9,0))))</f>
        <v>3.277143433214452</v>
      </c>
      <c r="U23" s="119">
        <f ca="1">SUM(OFFSET('Output data (results)'!$B$10,U$15-2000+INDEX($I$2:$I$4,MATCH($B$1,$H$2:$H$4,0)),INDEX($M$2:$M$9,MATCH($B23&amp;$C23,$J$2:$J$9,0)),1,INDEX($N$2:$N$9,MATCH($B23&amp;$C23,$J$2:$J$9,0))))</f>
        <v>3.307506823676122</v>
      </c>
      <c r="V23" s="119">
        <f ca="1">SUM(OFFSET('Output data (results)'!$B$10,V$15-2000+INDEX($I$2:$I$4,MATCH($B$1,$H$2:$H$4,0)),INDEX($M$2:$M$9,MATCH($B23&amp;$C23,$J$2:$J$9,0)),1,INDEX($N$2:$N$9,MATCH($B23&amp;$C23,$J$2:$J$9,0))))</f>
        <v>3.337049334451244</v>
      </c>
      <c r="W23" s="119">
        <f ca="1">SUM(OFFSET('Output data (results)'!$B$10,W$15-2000+INDEX($I$2:$I$4,MATCH($B$1,$H$2:$H$4,0)),INDEX($M$2:$M$9,MATCH($B23&amp;$C23,$J$2:$J$9,0)),1,INDEX($N$2:$N$9,MATCH($B23&amp;$C23,$J$2:$J$9,0))))</f>
        <v>3.3659807513249738</v>
      </c>
      <c r="X23" s="119">
        <f ca="1">SUM(OFFSET('Output data (results)'!$B$10,X$15-2000+INDEX($I$2:$I$4,MATCH($B$1,$H$2:$H$4,0)),INDEX($M$2:$M$9,MATCH($B23&amp;$C23,$J$2:$J$9,0)),1,INDEX($N$2:$N$9,MATCH($B23&amp;$C23,$J$2:$J$9,0))))</f>
        <v>3.3942804445358443</v>
      </c>
      <c r="Y23" s="119">
        <f ca="1">SUM(OFFSET('Output data (results)'!$B$10,Y$15-2000+INDEX($I$2:$I$4,MATCH($B$1,$H$2:$H$4,0)),INDEX($M$2:$M$9,MATCH($B23&amp;$C23,$J$2:$J$9,0)),1,INDEX($N$2:$N$9,MATCH($B23&amp;$C23,$J$2:$J$9,0))))</f>
        <v>3.4219280969675285</v>
      </c>
      <c r="Z23" s="119">
        <f ca="1">SUM(OFFSET('Output data (results)'!$B$10,Z$15-2000+INDEX($I$2:$I$4,MATCH($B$1,$H$2:$H$4,0)),INDEX($M$2:$M$9,MATCH($B23&amp;$C23,$J$2:$J$9,0)),1,INDEX($N$2:$N$9,MATCH($B23&amp;$C23,$J$2:$J$9,0))))</f>
        <v>3.4489037282497814</v>
      </c>
      <c r="AA23" s="119">
        <f ca="1">SUM(OFFSET('Output data (results)'!$B$10,AA$15-2000+INDEX($I$2:$I$4,MATCH($B$1,$H$2:$H$4,0)),INDEX($M$2:$M$9,MATCH($B23&amp;$C23,$J$2:$J$9,0)),1,INDEX($N$2:$N$9,MATCH($B23&amp;$C23,$J$2:$J$9,0))))</f>
        <v>3.4751877186331606</v>
      </c>
      <c r="AB23" s="119">
        <f ca="1">SUM(OFFSET('Output data (results)'!$B$10,AB$15-2000+INDEX($I$2:$I$4,MATCH($B$1,$H$2:$H$4,0)),INDEX($M$2:$M$9,MATCH($B23&amp;$C23,$J$2:$J$9,0)),1,INDEX($N$2:$N$9,MATCH($B23&amp;$C23,$J$2:$J$9,0))))</f>
        <v>3.5008296214188772</v>
      </c>
      <c r="AC23" s="119">
        <f ca="1">SUM(OFFSET('Output data (results)'!$B$10,AC$15-2000+INDEX($I$2:$I$4,MATCH($B$1,$H$2:$H$4,0)),INDEX($M$2:$M$9,MATCH($B23&amp;$C23,$J$2:$J$9,0)),1,INDEX($N$2:$N$9,MATCH($B23&amp;$C23,$J$2:$J$9,0))))</f>
        <v>3.5258121119114461</v>
      </c>
      <c r="AD23" s="119">
        <f ca="1">SUM(OFFSET('Output data (results)'!$B$10,AD$15-2000+INDEX($I$2:$I$4,MATCH($B$1,$H$2:$H$4,0)),INDEX($M$2:$M$9,MATCH($B23&amp;$C23,$J$2:$J$9,0)),1,INDEX($N$2:$N$9,MATCH($B23&amp;$C23,$J$2:$J$9,0))))</f>
        <v>3.5501182129156104</v>
      </c>
      <c r="AE23" s="119">
        <f ca="1">SUM(OFFSET('Output data (results)'!$B$10,AE$15-2000+INDEX($I$2:$I$4,MATCH($B$1,$H$2:$H$4,0)),INDEX($M$2:$M$9,MATCH($B23&amp;$C23,$J$2:$J$9,0)),1,INDEX($N$2:$N$9,MATCH($B23&amp;$C23,$J$2:$J$9,0))))</f>
        <v>3.5737313138459617</v>
      </c>
      <c r="AF23" s="119">
        <f ca="1">SUM(OFFSET('Output data (results)'!$B$10,AF$15-2000+INDEX($I$2:$I$4,MATCH($B$1,$H$2:$H$4,0)),INDEX($M$2:$M$9,MATCH($B23&amp;$C23,$J$2:$J$9,0)),1,INDEX($N$2:$N$9,MATCH($B23&amp;$C23,$J$2:$J$9,0))))</f>
        <v>3.5966351895378317</v>
      </c>
      <c r="AG23" s="119">
        <f ca="1">SUM(OFFSET('Output data (results)'!$B$10,AG$15-2000+INDEX($I$2:$I$4,MATCH($B$1,$H$2:$H$4,0)),INDEX($M$2:$M$9,MATCH($B23&amp;$C23,$J$2:$J$9,0)),1,INDEX($N$2:$N$9,MATCH($B23&amp;$C23,$J$2:$J$9,0))))</f>
        <v>3.6188879620531109</v>
      </c>
      <c r="AH23" s="119">
        <f ca="1">SUM(OFFSET('Output data (results)'!$B$10,AH$15-2000+INDEX($I$2:$I$4,MATCH($B$1,$H$2:$H$4,0)),INDEX($M$2:$M$9,MATCH($B23&amp;$C23,$J$2:$J$9,0)),1,INDEX($N$2:$N$9,MATCH($B23&amp;$C23,$J$2:$J$9,0))))</f>
        <v>3.6404755852004582</v>
      </c>
      <c r="AI23" s="119">
        <f ca="1">SUM(OFFSET('Output data (results)'!$B$10,AI$15-2000+INDEX($I$2:$I$4,MATCH($B$1,$H$2:$H$4,0)),INDEX($M$2:$M$9,MATCH($B23&amp;$C23,$J$2:$J$9,0)),1,INDEX($N$2:$N$9,MATCH($B23&amp;$C23,$J$2:$J$9,0))))</f>
        <v>3.6613843654459499</v>
      </c>
      <c r="AJ23" s="119">
        <f ca="1">SUM(OFFSET('Output data (results)'!$B$10,AJ$15-2000+INDEX($I$2:$I$4,MATCH($B$1,$H$2:$H$4,0)),INDEX($M$2:$M$9,MATCH($B23&amp;$C23,$J$2:$J$9,0)),1,INDEX($N$2:$N$9,MATCH($B23&amp;$C23,$J$2:$J$9,0))))</f>
        <v>3.6816009763245785</v>
      </c>
      <c r="AK23" s="119">
        <f ca="1">SUM(OFFSET('Output data (results)'!$B$10,AK$15-2000+INDEX($I$2:$I$4,MATCH($B$1,$H$2:$H$4,0)),INDEX($M$2:$M$9,MATCH($B23&amp;$C23,$J$2:$J$9,0)),1,INDEX($N$2:$N$9,MATCH($B23&amp;$C23,$J$2:$J$9,0))))</f>
        <v>3.7011124725369502</v>
      </c>
      <c r="AL23" s="119">
        <f ca="1">SUM(OFFSET('Output data (results)'!$B$10,AL$15-2000+INDEX($I$2:$I$4,MATCH($B$1,$H$2:$H$4,0)),INDEX($M$2:$M$9,MATCH($B23&amp;$C23,$J$2:$J$9,0)),1,INDEX($N$2:$N$9,MATCH($B23&amp;$C23,$J$2:$J$9,0))))</f>
        <v>3.7199093635215581</v>
      </c>
      <c r="AM23" s="119">
        <f ca="1">SUM(OFFSET('Output data (results)'!$B$10,AM$15-2000+INDEX($I$2:$I$4,MATCH($B$1,$H$2:$H$4,0)),INDEX($M$2:$M$9,MATCH($B23&amp;$C23,$J$2:$J$9,0)),1,INDEX($N$2:$N$9,MATCH($B23&amp;$C23,$J$2:$J$9,0))))</f>
        <v>3.7379795531759945</v>
      </c>
      <c r="AN23" s="119">
        <f ca="1">SUM(OFFSET('Output data (results)'!$B$10,AN$15-2000+INDEX($I$2:$I$4,MATCH($B$1,$H$2:$H$4,0)),INDEX($M$2:$M$9,MATCH($B23&amp;$C23,$J$2:$J$9,0)),1,INDEX($N$2:$N$9,MATCH($B23&amp;$C23,$J$2:$J$9,0))))</f>
        <v>3.7553113631330666</v>
      </c>
      <c r="AO23" s="119">
        <f ca="1">SUM(OFFSET('Output data (results)'!$B$10,AO$15-2000+INDEX($I$2:$I$4,MATCH($B$1,$H$2:$H$4,0)),INDEX($M$2:$M$9,MATCH($B23&amp;$C23,$J$2:$J$9,0)),1,INDEX($N$2:$N$9,MATCH($B23&amp;$C23,$J$2:$J$9,0))))</f>
        <v>3.7718935452991729</v>
      </c>
      <c r="AP23" s="119">
        <f ca="1">SUM(OFFSET('Output data (results)'!$B$10,AP$15-2000+INDEX($I$2:$I$4,MATCH($B$1,$H$2:$H$4,0)),INDEX($M$2:$M$9,MATCH($B23&amp;$C23,$J$2:$J$9,0)),1,INDEX($N$2:$N$9,MATCH($B23&amp;$C23,$J$2:$J$9,0))))</f>
        <v>3.7877152939836489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5546875" defaultRowHeight="15.75"/>
  <cols>
    <col min="1" max="1" width="32.7109375" style="157" customWidth="1"/>
    <col min="2" max="2" width="31" style="157" customWidth="1"/>
    <col min="3" max="3" width="71.28515625" style="157" bestFit="1" customWidth="1"/>
    <col min="4" max="4" width="70.5703125" style="157" bestFit="1" customWidth="1"/>
    <col min="5" max="5" width="21.7109375" style="157" customWidth="1"/>
    <col min="6" max="6" width="24.42578125" style="157" customWidth="1"/>
    <col min="7" max="7" width="21.85546875" style="157" customWidth="1"/>
    <col min="8" max="8" width="20" style="157" customWidth="1"/>
    <col min="9" max="9" width="17.7109375" style="157" customWidth="1"/>
    <col min="10" max="10" width="16.85546875" style="157" customWidth="1"/>
    <col min="11" max="12" width="13.42578125" style="157" bestFit="1" customWidth="1"/>
    <col min="13" max="13" width="13.140625" style="157" customWidth="1"/>
    <col min="14" max="14" width="14.7109375" style="157" bestFit="1" customWidth="1"/>
    <col min="15" max="15" width="11.7109375" style="157" customWidth="1"/>
    <col min="16" max="16" width="11.28515625" style="157" customWidth="1"/>
    <col min="17" max="17" width="12.7109375" customWidth="1"/>
    <col min="18" max="18" width="11" customWidth="1"/>
    <col min="19" max="20" width="9.140625" customWidth="1"/>
    <col min="21" max="16384" width="8.85546875" style="157"/>
  </cols>
  <sheetData>
    <row r="1" spans="1:14" ht="16.5" thickBot="1">
      <c r="A1" s="156" t="s">
        <v>231</v>
      </c>
    </row>
    <row r="2" spans="1:14">
      <c r="A2" s="402"/>
      <c r="B2" s="403" t="s">
        <v>2</v>
      </c>
      <c r="C2" s="403" t="s">
        <v>4</v>
      </c>
      <c r="D2" s="404" t="s">
        <v>468</v>
      </c>
    </row>
    <row r="3" spans="1:14" ht="31.5">
      <c r="A3" s="162" t="s">
        <v>488</v>
      </c>
      <c r="B3" s="365" t="s">
        <v>227</v>
      </c>
      <c r="C3" s="360">
        <v>578.73</v>
      </c>
      <c r="D3" s="169" t="s">
        <v>487</v>
      </c>
    </row>
    <row r="4" spans="1:14" ht="31.5">
      <c r="A4" s="162" t="s">
        <v>486</v>
      </c>
      <c r="B4" s="365" t="s">
        <v>227</v>
      </c>
      <c r="C4" s="360">
        <f>'Waste Summary 2017 SASOW'!P6</f>
        <v>424.26313389388866</v>
      </c>
      <c r="D4" s="169" t="s">
        <v>469</v>
      </c>
    </row>
    <row r="5" spans="1:14" ht="31.5">
      <c r="A5" s="162" t="s">
        <v>475</v>
      </c>
      <c r="B5" s="401" t="str">
        <f>'Waste Summary 2017 SASOW'!C34</f>
        <v>ton industrial waste/Rmill GDP</v>
      </c>
      <c r="C5" s="360">
        <f>'Waste Summary 2017 SASOW'!B34</f>
        <v>28.06789123869763</v>
      </c>
      <c r="D5" s="169" t="s">
        <v>470</v>
      </c>
    </row>
    <row r="6" spans="1:14" ht="31.5">
      <c r="A6" s="162" t="s">
        <v>570</v>
      </c>
      <c r="B6" s="401" t="str">
        <f>B5</f>
        <v>ton industrial waste/Rmill GDP</v>
      </c>
      <c r="C6" s="360">
        <f>'Waste Summary 2017 SASOW'!B36</f>
        <v>12.031045626813224</v>
      </c>
      <c r="D6" s="169" t="s">
        <v>470</v>
      </c>
    </row>
    <row r="7" spans="1:14" ht="55.9" customHeight="1">
      <c r="A7" s="162" t="s">
        <v>476</v>
      </c>
      <c r="B7" s="163" t="s">
        <v>3</v>
      </c>
      <c r="C7" s="360">
        <f>37*365/1000</f>
        <v>13.505000000000001</v>
      </c>
      <c r="D7" s="169" t="s">
        <v>471</v>
      </c>
    </row>
    <row r="8" spans="1:14" ht="31.5">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5" thickBot="1">
      <c r="A11" s="422" t="s">
        <v>533</v>
      </c>
      <c r="B11" s="280"/>
      <c r="C11"/>
      <c r="D11" s="3"/>
      <c r="E11" s="3"/>
      <c r="F11" s="3"/>
      <c r="G11" s="3"/>
      <c r="H11" s="3"/>
      <c r="I11" s="3"/>
      <c r="J11" s="3"/>
      <c r="K11" s="3"/>
      <c r="L11" s="3"/>
      <c r="M11" s="3"/>
      <c r="N11" s="3"/>
    </row>
    <row r="12" spans="1:14" ht="31.5">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5"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5" thickBot="1">
      <c r="A32"/>
      <c r="B32" s="293"/>
      <c r="C32" s="100"/>
      <c r="D32" s="100"/>
      <c r="E32" s="100"/>
      <c r="F32" s="100"/>
      <c r="G32" s="100"/>
      <c r="H32" s="100"/>
      <c r="I32" s="100"/>
      <c r="J32" s="100"/>
      <c r="K32" s="100"/>
      <c r="L32" s="100"/>
      <c r="M32" s="100"/>
      <c r="N32" s="294"/>
      <c r="O32" s="294"/>
      <c r="P32" s="294"/>
    </row>
    <row r="33" spans="1:29">
      <c r="A33" s="1417"/>
      <c r="B33" s="1414" t="s">
        <v>485</v>
      </c>
      <c r="C33" s="1415"/>
      <c r="D33" s="1415"/>
      <c r="E33" s="1415"/>
      <c r="F33" s="1416"/>
      <c r="G33" s="1414" t="s">
        <v>532</v>
      </c>
      <c r="H33" s="1415"/>
      <c r="I33" s="1416"/>
      <c r="J33" s="100"/>
      <c r="L33" s="100"/>
      <c r="M33" s="100"/>
      <c r="N33" s="294"/>
      <c r="O33" s="294"/>
      <c r="P33" s="294"/>
    </row>
    <row r="34" spans="1:29" ht="16.5" thickBot="1">
      <c r="A34" s="1418"/>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5"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5" thickBot="1">
      <c r="H40" s="295"/>
      <c r="L40" s="381"/>
    </row>
    <row r="41" spans="1:29">
      <c r="A41" s="1419" t="s">
        <v>615</v>
      </c>
      <c r="B41" s="1420"/>
      <c r="C41" s="1421"/>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5" customHeight="1" thickBot="1">
      <c r="A43" s="427" t="s">
        <v>506</v>
      </c>
      <c r="B43" s="428" t="s">
        <v>229</v>
      </c>
      <c r="C43" s="508">
        <f>Parameters!D12*(SUM(Parameters!D17:H17))+Parameters!D13*(SUM(Parameters!D18:H18))+Parameters!D14*(SUM(Parameters!D19:H19))</f>
        <v>0.71479999999999999</v>
      </c>
    </row>
    <row r="44" spans="1:29" ht="16.5" thickBot="1">
      <c r="A44" s="295"/>
      <c r="C44" s="100"/>
      <c r="F44" s="380"/>
      <c r="G44" s="382"/>
      <c r="H44" s="382"/>
      <c r="I44" s="382"/>
      <c r="J44" s="382"/>
      <c r="K44" s="382"/>
      <c r="L44" s="382"/>
      <c r="M44" s="362"/>
    </row>
    <row r="45" spans="1:29">
      <c r="A45" s="295"/>
      <c r="C45" s="100"/>
    </row>
    <row r="46" spans="1:29" ht="16.5" thickBot="1">
      <c r="A46" s="295"/>
      <c r="C46" s="100"/>
    </row>
    <row r="47" spans="1:29" ht="16.5" thickBot="1">
      <c r="A47" s="295"/>
      <c r="B47" s="1411" t="s">
        <v>527</v>
      </c>
      <c r="C47" s="1412"/>
      <c r="D47" s="1412"/>
      <c r="E47" s="1413"/>
      <c r="F47" s="955" t="s">
        <v>529</v>
      </c>
      <c r="G47" s="955"/>
      <c r="H47" s="955"/>
      <c r="I47" s="1401" t="s">
        <v>631</v>
      </c>
      <c r="J47" s="1401"/>
      <c r="K47" s="1401"/>
      <c r="L47" s="1401"/>
      <c r="M47" s="1402"/>
      <c r="N47" s="1400" t="s">
        <v>530</v>
      </c>
      <c r="O47" s="1401"/>
      <c r="P47" s="1401"/>
      <c r="Q47" s="1401"/>
      <c r="R47" s="1401"/>
      <c r="S47" s="1401"/>
      <c r="T47" s="1401"/>
      <c r="U47" s="1401"/>
      <c r="V47" s="1401"/>
      <c r="W47" s="1401"/>
      <c r="X47" s="1401"/>
      <c r="Y47" s="1401"/>
      <c r="Z47" s="1401"/>
      <c r="AA47" s="1401"/>
      <c r="AB47" s="1401"/>
      <c r="AC47" s="1402"/>
    </row>
    <row r="48" spans="1:29" ht="94.5">
      <c r="A48" s="1409"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03" t="s">
        <v>481</v>
      </c>
      <c r="O48" s="1404"/>
      <c r="P48" s="1404"/>
      <c r="Q48" s="1404"/>
      <c r="R48" s="1404"/>
      <c r="S48" s="1404"/>
      <c r="T48" s="1404"/>
      <c r="U48" s="1405"/>
      <c r="V48" s="1406" t="s">
        <v>739</v>
      </c>
      <c r="W48" s="1407"/>
      <c r="X48" s="1407"/>
      <c r="Y48" s="1407"/>
      <c r="Z48" s="1407"/>
      <c r="AA48" s="1407"/>
      <c r="AB48" s="1407"/>
      <c r="AC48" s="1408"/>
    </row>
    <row r="49" spans="1:29" ht="39" customHeight="1" thickBot="1">
      <c r="A49" s="1410"/>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5"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4436.7699999999986</v>
      </c>
      <c r="D119" s="1356">
        <f>INDEX(Drivers!$A$25:$AM$25,1,$A119-2018)/INDEX(Drivers!$A$25:$AM$25,1,$A119-2019)*D118</f>
        <v>52992370.977903679</v>
      </c>
      <c r="E119" s="681">
        <f t="shared" ref="E119:E150" si="52">D119</f>
        <v>52992370.977903679</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106371.35328357978</v>
      </c>
      <c r="M119" s="1122">
        <f t="shared" ref="M119:M150" si="55">C119*J119*1000/1000+E119/1000</f>
        <v>106371.35328357978</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59.308690000000006</v>
      </c>
      <c r="C120" s="1359">
        <f>INDEX(Drivers!$A$16:$AM$16,1,$A120-2018)</f>
        <v>4157.24</v>
      </c>
      <c r="D120" s="1356">
        <f>INDEX(Drivers!$A$25:$AM$25,1,$A120-2018)/INDEX(Drivers!$A$25:$AM$25,1,$A120-2019)*D119</f>
        <v>50781625.743101723</v>
      </c>
      <c r="E120" s="681">
        <f t="shared" si="52"/>
        <v>50781625.743101723</v>
      </c>
      <c r="F120" s="965"/>
      <c r="G120" s="965"/>
      <c r="H120" s="966"/>
      <c r="I120" s="1119">
        <f t="shared" si="51"/>
        <v>424.26313389388866</v>
      </c>
      <c r="J120" s="1120">
        <f t="shared" si="53"/>
        <v>12.031045626813224</v>
      </c>
      <c r="K120" s="1121">
        <f t="shared" si="41"/>
        <v>25162.490686541139</v>
      </c>
      <c r="L120" s="1121">
        <f t="shared" si="54"/>
        <v>100797.56986471472</v>
      </c>
      <c r="M120" s="1122">
        <f t="shared" si="55"/>
        <v>100797.56986471472</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60.158036186957922</v>
      </c>
      <c r="C121" s="1359">
        <f>INDEX(Drivers!$A$16:$AM$16,1,$A121-2018)</f>
        <v>4296.6100000000006</v>
      </c>
      <c r="D121" s="1356">
        <f>INDEX(Drivers!$A$25:$AM$25,1,$A121-2018)/INDEX(Drivers!$A$25:$AM$25,1,$A121-2019)*D120</f>
        <v>50787753.059423499</v>
      </c>
      <c r="E121" s="681">
        <f t="shared" si="52"/>
        <v>50787753.059423499</v>
      </c>
      <c r="F121" s="965"/>
      <c r="G121" s="965"/>
      <c r="H121" s="966"/>
      <c r="I121" s="1119">
        <f t="shared" si="51"/>
        <v>424.26313389388866</v>
      </c>
      <c r="J121" s="1120">
        <f t="shared" si="53"/>
        <v>12.031045626813224</v>
      </c>
      <c r="K121" s="1121">
        <f t="shared" si="41"/>
        <v>25522.836961580728</v>
      </c>
      <c r="L121" s="1121">
        <f t="shared" si="54"/>
        <v>102480.46401004547</v>
      </c>
      <c r="M121" s="1122">
        <f t="shared" si="55"/>
        <v>102480.46401004547</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60.963559588769527</v>
      </c>
      <c r="C122" s="1359">
        <f>INDEX(Drivers!$A$16:$AM$16,1,$A122-2018)</f>
        <v>4408.5100000000011</v>
      </c>
      <c r="D122" s="1356">
        <f>INDEX(Drivers!$A$25:$AM$25,1,$A122-2018)/INDEX(Drivers!$A$25:$AM$25,1,$A122-2019)*D121</f>
        <v>50359792.847133145</v>
      </c>
      <c r="E122" s="681">
        <f t="shared" si="52"/>
        <v>50359792.847133145</v>
      </c>
      <c r="F122" s="965"/>
      <c r="G122" s="965"/>
      <c r="H122" s="966"/>
      <c r="I122" s="1119">
        <f t="shared" si="51"/>
        <v>424.26313389388866</v>
      </c>
      <c r="J122" s="1120">
        <f t="shared" si="53"/>
        <v>12.031045626813224</v>
      </c>
      <c r="K122" s="1121">
        <f t="shared" si="41"/>
        <v>25864.590844458187</v>
      </c>
      <c r="L122" s="1121">
        <f t="shared" si="54"/>
        <v>103398.77780339553</v>
      </c>
      <c r="M122" s="1122">
        <f t="shared" si="55"/>
        <v>103398.77780339553</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61.723133308607778</v>
      </c>
      <c r="C123" s="1359">
        <f>INDEX(Drivers!$A$16:$AM$16,1,$A123-2018)</f>
        <v>4511.7199999999984</v>
      </c>
      <c r="D123" s="1356">
        <f>INDEX(Drivers!$A$25:$AM$25,1,$A123-2018)/INDEX(Drivers!$A$25:$AM$25,1,$A123-2019)*D122</f>
        <v>49422822.449545562</v>
      </c>
      <c r="E123" s="681">
        <f t="shared" si="52"/>
        <v>49422822.449545562</v>
      </c>
      <c r="F123" s="965"/>
      <c r="G123" s="965"/>
      <c r="H123" s="966"/>
      <c r="I123" s="1119">
        <f t="shared" si="51"/>
        <v>424.26313389388866</v>
      </c>
      <c r="J123" s="1120">
        <f t="shared" si="53"/>
        <v>12.031045626813224</v>
      </c>
      <c r="K123" s="1121">
        <f t="shared" si="41"/>
        <v>26186.849971260202</v>
      </c>
      <c r="L123" s="1121">
        <f t="shared" si="54"/>
        <v>103703.53162495131</v>
      </c>
      <c r="M123" s="1122">
        <f t="shared" si="55"/>
        <v>103703.53162495131</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62.434728280060035</v>
      </c>
      <c r="C124" s="1359">
        <f>INDEX(Drivers!$A$16:$AM$16,1,$A124-2018)</f>
        <v>4622.4800000000005</v>
      </c>
      <c r="D124" s="1356">
        <f>INDEX(Drivers!$A$25:$AM$25,1,$A124-2018)/INDEX(Drivers!$A$25:$AM$25,1,$A124-2019)*D123</f>
        <v>49894033.579494402</v>
      </c>
      <c r="E124" s="681">
        <f t="shared" si="52"/>
        <v>49894033.579494402</v>
      </c>
      <c r="F124" s="965"/>
      <c r="G124" s="965"/>
      <c r="H124" s="966"/>
      <c r="I124" s="1119">
        <f t="shared" si="51"/>
        <v>424.26313389388866</v>
      </c>
      <c r="J124" s="1120">
        <f t="shared" si="53"/>
        <v>12.031045626813224</v>
      </c>
      <c r="K124" s="1121">
        <f t="shared" si="41"/>
        <v>26488.753483911667</v>
      </c>
      <c r="L124" s="1121">
        <f t="shared" si="54"/>
        <v>105507.30136852601</v>
      </c>
      <c r="M124" s="1122">
        <f t="shared" si="55"/>
        <v>105507.30136852601</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63.096422221537942</v>
      </c>
      <c r="C125" s="1359">
        <f>INDEX(Drivers!$A$16:$AM$16,1,$A125-2018)</f>
        <v>4727.3100000000004</v>
      </c>
      <c r="D125" s="1356">
        <f>INDEX(Drivers!$A$25:$AM$25,1,$A125-2018)/INDEX(Drivers!$A$25:$AM$25,1,$A125-2019)*D124</f>
        <v>49409698.226927206</v>
      </c>
      <c r="E125" s="681">
        <f t="shared" si="52"/>
        <v>49409698.226927206</v>
      </c>
      <c r="F125" s="965"/>
      <c r="G125" s="965"/>
      <c r="H125" s="966"/>
      <c r="I125" s="1119">
        <f t="shared" si="51"/>
        <v>424.26313389388866</v>
      </c>
      <c r="J125" s="1120">
        <f t="shared" si="53"/>
        <v>12.031045626813224</v>
      </c>
      <c r="K125" s="1121">
        <f t="shared" si="41"/>
        <v>26769.485829201683</v>
      </c>
      <c r="L125" s="1121">
        <f t="shared" si="54"/>
        <v>106284.18052901764</v>
      </c>
      <c r="M125" s="1122">
        <f t="shared" si="55"/>
        <v>106284.18052901764</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63.744102485123491</v>
      </c>
      <c r="C126" s="1359">
        <f>INDEX(Drivers!$A$16:$AM$16,1,$A126-2018)</f>
        <v>4818.42</v>
      </c>
      <c r="D126" s="1356">
        <f>INDEX(Drivers!$A$25:$AM$25,1,$A126-2018)/INDEX(Drivers!$A$25:$AM$25,1,$A126-2019)*D125</f>
        <v>47599010.514277697</v>
      </c>
      <c r="E126" s="681">
        <f t="shared" si="52"/>
        <v>47599010.514277697</v>
      </c>
      <c r="F126" s="965"/>
      <c r="G126" s="965"/>
      <c r="H126" s="966"/>
      <c r="I126" s="1119">
        <f t="shared" si="51"/>
        <v>424.26313389388866</v>
      </c>
      <c r="J126" s="1120">
        <f t="shared" si="53"/>
        <v>12.031045626813224</v>
      </c>
      <c r="K126" s="1121">
        <f t="shared" si="41"/>
        <v>27044.272687591711</v>
      </c>
      <c r="L126" s="1121">
        <f t="shared" si="54"/>
        <v>105569.64138342708</v>
      </c>
      <c r="M126" s="1122">
        <f t="shared" si="55"/>
        <v>105569.64138342708</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64.377188881988602</v>
      </c>
      <c r="C127" s="1359">
        <f>INDEX(Drivers!$A$16:$AM$16,1,$A127-2018)</f>
        <v>4908.8799999999992</v>
      </c>
      <c r="D127" s="1356">
        <f>INDEX(Drivers!$A$25:$AM$25,1,$A127-2018)/INDEX(Drivers!$A$25:$AM$25,1,$A127-2019)*D126</f>
        <v>46599596.269564167</v>
      </c>
      <c r="E127" s="681">
        <f t="shared" si="52"/>
        <v>46599596.269564167</v>
      </c>
      <c r="F127" s="965"/>
      <c r="G127" s="965"/>
      <c r="H127" s="966"/>
      <c r="I127" s="1119">
        <f t="shared" si="51"/>
        <v>424.26313389388866</v>
      </c>
      <c r="J127" s="1120">
        <f t="shared" si="53"/>
        <v>12.031045626813224</v>
      </c>
      <c r="K127" s="1121">
        <f t="shared" si="41"/>
        <v>27312.86790635129</v>
      </c>
      <c r="L127" s="1121">
        <f t="shared" si="54"/>
        <v>105658.55552611506</v>
      </c>
      <c r="M127" s="1122">
        <f t="shared" si="55"/>
        <v>105658.55552611506</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64.995109664264291</v>
      </c>
      <c r="C128" s="1359">
        <f>INDEX(Drivers!$A$16:$AM$16,1,$A128-2018)</f>
        <v>5001.3400000000011</v>
      </c>
      <c r="D128" s="1356">
        <f>INDEX(Drivers!$A$25:$AM$25,1,$A128-2018)/INDEX(Drivers!$A$25:$AM$25,1,$A128-2019)*D127</f>
        <v>45314646.034956604</v>
      </c>
      <c r="E128" s="681">
        <f t="shared" si="52"/>
        <v>45314646.034956604</v>
      </c>
      <c r="F128" s="965"/>
      <c r="G128" s="965"/>
      <c r="H128" s="966"/>
      <c r="I128" s="1119">
        <f t="shared" si="51"/>
        <v>424.26313389388866</v>
      </c>
      <c r="J128" s="1120">
        <f t="shared" si="53"/>
        <v>12.031045626813224</v>
      </c>
      <c r="K128" s="1121">
        <f t="shared" si="41"/>
        <v>27575.028913937738</v>
      </c>
      <c r="L128" s="1121">
        <f t="shared" si="54"/>
        <v>105485.99577016267</v>
      </c>
      <c r="M128" s="1122">
        <f t="shared" si="55"/>
        <v>105485.99577016267</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65.59730237662275</v>
      </c>
      <c r="C129" s="1359">
        <f>INDEX(Drivers!$A$16:$AM$16,1,$A129-2018)</f>
        <v>5124.16</v>
      </c>
      <c r="D129" s="1356">
        <f>INDEX(Drivers!$A$25:$AM$25,1,$A129-2018)/INDEX(Drivers!$A$25:$AM$25,1,$A129-2019)*D128</f>
        <v>44520340.557958424</v>
      </c>
      <c r="E129" s="681">
        <f t="shared" si="52"/>
        <v>44520340.557958424</v>
      </c>
      <c r="F129" s="965"/>
      <c r="G129" s="965"/>
      <c r="H129" s="966"/>
      <c r="I129" s="1119">
        <f t="shared" si="51"/>
        <v>424.26313389388866</v>
      </c>
      <c r="J129" s="1120">
        <f t="shared" si="53"/>
        <v>12.031045626813224</v>
      </c>
      <c r="K129" s="1121">
        <f t="shared" si="41"/>
        <v>27830.517081291</v>
      </c>
      <c r="L129" s="1121">
        <f t="shared" si="54"/>
        <v>106169.34331704967</v>
      </c>
      <c r="M129" s="1122">
        <f t="shared" si="55"/>
        <v>106169.34331704967</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66.183214701401099</v>
      </c>
      <c r="C130" s="1359">
        <f>INDEX(Drivers!$A$16:$AM$16,1,$A130-2018)</f>
        <v>5234.6499999999996</v>
      </c>
      <c r="D130" s="1356">
        <f>INDEX(Drivers!$A$25:$AM$25,1,$A130-2018)/INDEX(Drivers!$A$25:$AM$25,1,$A130-2019)*D129</f>
        <v>41257794.114847519</v>
      </c>
      <c r="E130" s="681">
        <f t="shared" si="52"/>
        <v>41257794.114847519</v>
      </c>
      <c r="F130" s="965"/>
      <c r="G130" s="965"/>
      <c r="H130" s="966"/>
      <c r="I130" s="1119">
        <f t="shared" si="51"/>
        <v>424.26313389388866</v>
      </c>
      <c r="J130" s="1120">
        <f t="shared" si="53"/>
        <v>12.031045626813224</v>
      </c>
      <c r="K130" s="1121">
        <f t="shared" si="41"/>
        <v>28079.098080388514</v>
      </c>
      <c r="L130" s="1121">
        <f t="shared" si="54"/>
        <v>104236.10710524536</v>
      </c>
      <c r="M130" s="1122">
        <f t="shared" si="55"/>
        <v>104236.10710524536</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66.757007289602299</v>
      </c>
      <c r="C131" s="1359">
        <f>INDEX(Drivers!$A$16:$AM$16,1,$A131-2018)</f>
        <v>5365.4400000000005</v>
      </c>
      <c r="D131" s="1356">
        <f>INDEX(Drivers!$A$25:$AM$25,1,$A131-2018)/INDEX(Drivers!$A$25:$AM$25,1,$A131-2019)*D130</f>
        <v>39014257.111139439</v>
      </c>
      <c r="E131" s="681">
        <f t="shared" si="52"/>
        <v>39014257.111139439</v>
      </c>
      <c r="F131" s="965"/>
      <c r="G131" s="965"/>
      <c r="H131" s="966"/>
      <c r="I131" s="1119">
        <f t="shared" si="51"/>
        <v>424.26313389388866</v>
      </c>
      <c r="J131" s="1120">
        <f t="shared" si="53"/>
        <v>12.031045626813224</v>
      </c>
      <c r="K131" s="1121">
        <f t="shared" si="41"/>
        <v>28322.537122063841</v>
      </c>
      <c r="L131" s="1121">
        <f t="shared" si="54"/>
        <v>103566.11055906818</v>
      </c>
      <c r="M131" s="1122">
        <f t="shared" si="55"/>
        <v>103566.11055906818</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67.318270994163854</v>
      </c>
      <c r="C132" s="1359">
        <f>INDEX(Drivers!$A$16:$AM$16,1,$A132-2018)</f>
        <v>5502.3</v>
      </c>
      <c r="D132" s="1356">
        <f>INDEX(Drivers!$A$25:$AM$25,1,$A132-2018)/INDEX(Drivers!$A$25:$AM$25,1,$A132-2019)*D131</f>
        <v>36334930.67697753</v>
      </c>
      <c r="E132" s="681">
        <f t="shared" si="52"/>
        <v>36334930.67697753</v>
      </c>
      <c r="F132" s="965"/>
      <c r="G132" s="965"/>
      <c r="H132" s="966"/>
      <c r="I132" s="1119">
        <f t="shared" si="51"/>
        <v>424.26313389388866</v>
      </c>
      <c r="J132" s="1120">
        <f t="shared" si="53"/>
        <v>12.031045626813224</v>
      </c>
      <c r="K132" s="1121">
        <f t="shared" si="41"/>
        <v>28560.66062030202</v>
      </c>
      <c r="L132" s="1121">
        <f t="shared" si="54"/>
        <v>102533.35302939193</v>
      </c>
      <c r="M132" s="1122">
        <f t="shared" si="55"/>
        <v>102533.35302939193</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67.86660286866902</v>
      </c>
      <c r="C133" s="1359">
        <f>INDEX(Drivers!$A$16:$AM$16,1,$A133-2018)</f>
        <v>5663.260000000002</v>
      </c>
      <c r="D133" s="1356">
        <f>INDEX(Drivers!$A$25:$AM$25,1,$A133-2018)/INDEX(Drivers!$A$25:$AM$25,1,$A133-2019)*D132</f>
        <v>35521966.003645025</v>
      </c>
      <c r="E133" s="681">
        <f t="shared" si="52"/>
        <v>35521966.003645025</v>
      </c>
      <c r="F133" s="965"/>
      <c r="G133" s="965"/>
      <c r="H133" s="966"/>
      <c r="I133" s="1119">
        <f t="shared" si="51"/>
        <v>424.26313389388866</v>
      </c>
      <c r="J133" s="1120">
        <f t="shared" si="53"/>
        <v>12.031045626813224</v>
      </c>
      <c r="K133" s="1121">
        <f t="shared" si="41"/>
        <v>28793.297619793491</v>
      </c>
      <c r="L133" s="1121">
        <f t="shared" si="54"/>
        <v>103656.90546015131</v>
      </c>
      <c r="M133" s="1122">
        <f t="shared" si="55"/>
        <v>103656.90546015131</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68.401606645337111</v>
      </c>
      <c r="C134" s="1359">
        <f>INDEX(Drivers!$A$16:$AM$16,1,$A134-2018)</f>
        <v>5838.79</v>
      </c>
      <c r="D134" s="1356">
        <f>INDEX(Drivers!$A$25:$AM$25,1,$A134-2018)/INDEX(Drivers!$A$25:$AM$25,1,$A134-2019)*D133</f>
        <v>32152713.47625063</v>
      </c>
      <c r="E134" s="681">
        <f t="shared" si="52"/>
        <v>32152713.47625063</v>
      </c>
      <c r="F134" s="965"/>
      <c r="G134" s="965"/>
      <c r="H134" s="966"/>
      <c r="I134" s="1119">
        <f t="shared" si="51"/>
        <v>424.26313389388866</v>
      </c>
      <c r="J134" s="1120">
        <f t="shared" si="53"/>
        <v>12.031045626813224</v>
      </c>
      <c r="K134" s="1121">
        <f t="shared" si="41"/>
        <v>29020.279998727765</v>
      </c>
      <c r="L134" s="1121">
        <f t="shared" si="54"/>
        <v>102399.46237163142</v>
      </c>
      <c r="M134" s="1122">
        <f t="shared" si="55"/>
        <v>102399.46237163142</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68.922893208527455</v>
      </c>
      <c r="C135" s="1359">
        <f>INDEX(Drivers!$A$16:$AM$16,1,$A135-2018)</f>
        <v>5978.8699999999981</v>
      </c>
      <c r="D135" s="1356">
        <f>INDEX(Drivers!$A$25:$AM$25,1,$A135-2018)/INDEX(Drivers!$A$25:$AM$25,1,$A135-2019)*D134</f>
        <v>24779864.252695084</v>
      </c>
      <c r="E135" s="681">
        <f t="shared" si="52"/>
        <v>24779864.252695084</v>
      </c>
      <c r="F135" s="965"/>
      <c r="G135" s="965"/>
      <c r="H135" s="966"/>
      <c r="I135" s="1119">
        <f t="shared" si="51"/>
        <v>424.26313389388866</v>
      </c>
      <c r="J135" s="1120">
        <f t="shared" si="53"/>
        <v>12.031045626813224</v>
      </c>
      <c r="K135" s="1121">
        <f t="shared" si="41"/>
        <v>29241.442669683674</v>
      </c>
      <c r="L135" s="1121">
        <f t="shared" si="54"/>
        <v>96711.92201947984</v>
      </c>
      <c r="M135" s="1122">
        <f t="shared" si="55"/>
        <v>96711.92201947984</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69.431445341664755</v>
      </c>
      <c r="C136" s="1359">
        <f>INDEX(Drivers!$A$16:$AM$16,1,$A136-2018)</f>
        <v>6119.1299999999983</v>
      </c>
      <c r="D136" s="1356">
        <f>INDEX(Drivers!$A$25:$AM$25,1,$A136-2018)/INDEX(Drivers!$A$25:$AM$25,1,$A136-2019)*D135</f>
        <v>11557949.273739366</v>
      </c>
      <c r="E136" s="681">
        <f t="shared" si="52"/>
        <v>11557949.273739366</v>
      </c>
      <c r="F136" s="965"/>
      <c r="G136" s="965"/>
      <c r="H136" s="966"/>
      <c r="I136" s="1119">
        <f t="shared" si="51"/>
        <v>424.26313389388866</v>
      </c>
      <c r="J136" s="1120">
        <f t="shared" si="53"/>
        <v>12.031045626813224</v>
      </c>
      <c r="K136" s="1121">
        <f t="shared" si="41"/>
        <v>29457.202591436926</v>
      </c>
      <c r="L136" s="1121">
        <f t="shared" si="54"/>
        <v>85177.481500140944</v>
      </c>
      <c r="M136" s="1122">
        <f t="shared" si="55"/>
        <v>85177.481500140944</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69.92691944658003</v>
      </c>
      <c r="C137" s="1359">
        <f>INDEX(Drivers!$A$16:$AM$16,1,$A137-2018)</f>
        <v>6283.2400000000007</v>
      </c>
      <c r="D137" s="1356">
        <f>INDEX(Drivers!$A$25:$AM$25,1,$A137-2018)/INDEX(Drivers!$A$25:$AM$25,1,$A137-2019)*D136</f>
        <v>6514539.8947081817</v>
      </c>
      <c r="E137" s="681">
        <f t="shared" si="52"/>
        <v>6514539.8947081817</v>
      </c>
      <c r="F137" s="965"/>
      <c r="G137" s="965"/>
      <c r="H137" s="966"/>
      <c r="I137" s="1119">
        <f t="shared" si="51"/>
        <v>424.26313389388866</v>
      </c>
      <c r="J137" s="1120">
        <f t="shared" si="53"/>
        <v>12.031045626813224</v>
      </c>
      <c r="K137" s="1121">
        <f t="shared" si="41"/>
        <v>29667.41398795155</v>
      </c>
      <c r="L137" s="1121">
        <f t="shared" si="54"/>
        <v>82108.487018926113</v>
      </c>
      <c r="M137" s="1122">
        <f t="shared" si="55"/>
        <v>82108.487018926113</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70.408978817025954</v>
      </c>
      <c r="C138" s="1359">
        <f>INDEX(Drivers!$A$16:$AM$16,1,$A138-2018)</f>
        <v>6443.4999999999982</v>
      </c>
      <c r="D138" s="1356">
        <f>INDEX(Drivers!$A$25:$AM$25,1,$A138-2018)/INDEX(Drivers!$A$25:$AM$25,1,$A138-2019)*D137</f>
        <v>4950160.264487111</v>
      </c>
      <c r="E138" s="681">
        <f t="shared" si="52"/>
        <v>4950160.264487111</v>
      </c>
      <c r="F138" s="965"/>
      <c r="G138" s="965"/>
      <c r="H138" s="966"/>
      <c r="I138" s="1119">
        <f t="shared" si="51"/>
        <v>424.26313389388866</v>
      </c>
      <c r="J138" s="1120">
        <f t="shared" si="53"/>
        <v>12.031045626813224</v>
      </c>
      <c r="K138" s="1121">
        <f t="shared" si="41"/>
        <v>29871.934007179854</v>
      </c>
      <c r="L138" s="1121">
        <f t="shared" si="54"/>
        <v>82472.202760858097</v>
      </c>
      <c r="M138" s="1122">
        <f t="shared" si="55"/>
        <v>82472.202760858097</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70.877294017675013</v>
      </c>
      <c r="C139" s="1359">
        <f>INDEX(Drivers!$A$16:$AM$16,1,$A139-2018)</f>
        <v>6615.260000000002</v>
      </c>
      <c r="D139" s="1356">
        <f>INDEX(Drivers!$A$25:$AM$25,1,$A139-2018)/INDEX(Drivers!$A$25:$AM$25,1,$A139-2019)*D138</f>
        <v>3385780.6342660398</v>
      </c>
      <c r="E139" s="681">
        <f t="shared" si="52"/>
        <v>3385780.6342660398</v>
      </c>
      <c r="F139" s="965"/>
      <c r="G139" s="965"/>
      <c r="H139" s="966"/>
      <c r="I139" s="1119">
        <f t="shared" si="51"/>
        <v>424.26313389388866</v>
      </c>
      <c r="J139" s="1120">
        <f t="shared" si="53"/>
        <v>12.031045626813224</v>
      </c>
      <c r="K139" s="1121">
        <f t="shared" si="41"/>
        <v>30070.622881857369</v>
      </c>
      <c r="L139" s="1121">
        <f t="shared" si="54"/>
        <v>82974.27552749851</v>
      </c>
      <c r="M139" s="1122">
        <f t="shared" si="55"/>
        <v>82974.27552749851</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71.331543257193218</v>
      </c>
      <c r="C140" s="1359">
        <f>INDEX(Drivers!$A$16:$AM$16,1,$A140-2018)</f>
        <v>6787.6000000000013</v>
      </c>
      <c r="D140" s="1356">
        <f>INDEX(Drivers!$A$25:$AM$25,1,$A140-2018)/INDEX(Drivers!$A$25:$AM$25,1,$A140-2019)*D139</f>
        <v>1821401.0040449696</v>
      </c>
      <c r="E140" s="681">
        <f t="shared" si="52"/>
        <v>1821401.0040449696</v>
      </c>
      <c r="F140" s="965"/>
      <c r="G140" s="965"/>
      <c r="H140" s="966"/>
      <c r="I140" s="1119">
        <f t="shared" si="51"/>
        <v>424.26313389388866</v>
      </c>
      <c r="J140" s="1120">
        <f t="shared" si="53"/>
        <v>12.031045626813224</v>
      </c>
      <c r="K140" s="1121">
        <f t="shared" si="41"/>
        <v>30263.344087784277</v>
      </c>
      <c r="L140" s="1121">
        <f t="shared" si="54"/>
        <v>83483.326300602421</v>
      </c>
      <c r="M140" s="1122">
        <f t="shared" si="55"/>
        <v>83483.326300602421</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71.772879261991122</v>
      </c>
      <c r="C141" s="1359">
        <f>INDEX(Drivers!$A$16:$AM$16,1,$A141-2018)</f>
        <v>6981.3799999999992</v>
      </c>
      <c r="D141" s="1356">
        <f>INDEX(Drivers!$A$25:$AM$25,1,$A141-2018)/INDEX(Drivers!$A$25:$AM$25,1,$A141-2019)*D140</f>
        <v>1694135.0775526946</v>
      </c>
      <c r="E141" s="681">
        <f t="shared" si="52"/>
        <v>1694135.0775526946</v>
      </c>
      <c r="F141" s="965"/>
      <c r="G141" s="965"/>
      <c r="H141" s="966"/>
      <c r="I141" s="1119">
        <f t="shared" si="51"/>
        <v>424.26313389388866</v>
      </c>
      <c r="J141" s="1120">
        <f t="shared" si="53"/>
        <v>12.031045626813224</v>
      </c>
      <c r="K141" s="1121">
        <f t="shared" si="41"/>
        <v>30450.586684280046</v>
      </c>
      <c r="L141" s="1121">
        <f t="shared" si="54"/>
        <v>85687.436395673998</v>
      </c>
      <c r="M141" s="1122">
        <f t="shared" si="55"/>
        <v>85687.436395673998</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72.201023455996193</v>
      </c>
      <c r="C142" s="1359">
        <f>INDEX(Drivers!$A$16:$AM$16,1,$A142-2018)</f>
        <v>7178.2100000000019</v>
      </c>
      <c r="D142" s="1356">
        <f>INDEX(Drivers!$A$25:$AM$25,1,$A142-2018)/INDEX(Drivers!$A$25:$AM$25,1,$A142-2019)*D141</f>
        <v>1566869.1510604194</v>
      </c>
      <c r="E142" s="681">
        <f t="shared" si="52"/>
        <v>1566869.1510604194</v>
      </c>
      <c r="F142" s="965"/>
      <c r="G142" s="965"/>
      <c r="H142" s="966"/>
      <c r="I142" s="1119">
        <f t="shared" si="51"/>
        <v>424.26313389388866</v>
      </c>
      <c r="J142" s="1120">
        <f t="shared" si="53"/>
        <v>12.031045626813224</v>
      </c>
      <c r="K142" s="1121">
        <f t="shared" si="41"/>
        <v>30632.232481787109</v>
      </c>
      <c r="L142" s="1121">
        <f t="shared" si="54"/>
        <v>87928.241179907403</v>
      </c>
      <c r="M142" s="1122">
        <f t="shared" si="55"/>
        <v>87928.241179907403</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72.615704257339331</v>
      </c>
      <c r="C143" s="1359">
        <f>INDEX(Drivers!$A$16:$AM$16,1,$A143-2018)</f>
        <v>7380.12</v>
      </c>
      <c r="D143" s="1356">
        <f>INDEX(Drivers!$A$25:$AM$25,1,$A143-2018)/INDEX(Drivers!$A$25:$AM$25,1,$A143-2019)*D142</f>
        <v>1439603.2245681447</v>
      </c>
      <c r="E143" s="681">
        <f t="shared" si="52"/>
        <v>1439603.2245681447</v>
      </c>
      <c r="F143" s="965"/>
      <c r="G143" s="965"/>
      <c r="H143" s="966"/>
      <c r="I143" s="1119">
        <f t="shared" si="51"/>
        <v>424.26313389388866</v>
      </c>
      <c r="J143" s="1120">
        <f t="shared" si="53"/>
        <v>12.031045626813224</v>
      </c>
      <c r="K143" s="1121">
        <f t="shared" si="41"/>
        <v>30808.166258130579</v>
      </c>
      <c r="L143" s="1121">
        <f t="shared" si="54"/>
        <v>90230.163675924952</v>
      </c>
      <c r="M143" s="1122">
        <f t="shared" si="55"/>
        <v>90230.163675924952</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73.016657364175842</v>
      </c>
      <c r="C144" s="1359">
        <f>INDEX(Drivers!$A$16:$AM$16,1,$A144-2018)</f>
        <v>7589.87</v>
      </c>
      <c r="D144" s="1356">
        <f>INDEX(Drivers!$A$25:$AM$25,1,$A144-2018)/INDEX(Drivers!$A$25:$AM$25,1,$A144-2019)*D143</f>
        <v>1312337.2980758694</v>
      </c>
      <c r="E144" s="681">
        <f t="shared" si="52"/>
        <v>1312337.2980758694</v>
      </c>
      <c r="F144" s="965"/>
      <c r="G144" s="965"/>
      <c r="H144" s="966"/>
      <c r="I144" s="1119">
        <f t="shared" si="51"/>
        <v>424.26313389388866</v>
      </c>
      <c r="J144" s="1120">
        <f t="shared" si="53"/>
        <v>12.031045626813224</v>
      </c>
      <c r="K144" s="1121">
        <f t="shared" si="41"/>
        <v>30978.275879781526</v>
      </c>
      <c r="L144" s="1121">
        <f t="shared" si="54"/>
        <v>92626.409569656753</v>
      </c>
      <c r="M144" s="1122">
        <f t="shared" si="55"/>
        <v>92626.409569656753</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73.40362603426334</v>
      </c>
      <c r="C145" s="1359">
        <f>INDEX(Drivers!$A$16:$AM$16,1,$A145-2018)</f>
        <v>7808.4800000000005</v>
      </c>
      <c r="D145" s="1356">
        <f>INDEX(Drivers!$A$25:$AM$25,1,$A145-2018)/INDEX(Drivers!$A$25:$AM$25,1,$A145-2019)*D144</f>
        <v>1185071.3715835942</v>
      </c>
      <c r="E145" s="681">
        <f t="shared" si="52"/>
        <v>1185071.3715835942</v>
      </c>
      <c r="F145" s="965"/>
      <c r="G145" s="965"/>
      <c r="H145" s="966"/>
      <c r="I145" s="1119">
        <f t="shared" si="51"/>
        <v>424.26313389388866</v>
      </c>
      <c r="J145" s="1120">
        <f t="shared" si="53"/>
        <v>12.031045626813224</v>
      </c>
      <c r="K145" s="1121">
        <f t="shared" si="41"/>
        <v>31142.4524204716</v>
      </c>
      <c r="L145" s="1121">
        <f t="shared" si="54"/>
        <v>95129.250527642114</v>
      </c>
      <c r="M145" s="1122">
        <f t="shared" si="55"/>
        <v>95129.250527642114</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73.776422042674071</v>
      </c>
      <c r="C146" s="1359">
        <f>INDEX(Drivers!$A$16:$AM$16,1,$A146-2018)</f>
        <v>8042.25</v>
      </c>
      <c r="D146" s="1356">
        <f>INDEX(Drivers!$A$25:$AM$25,1,$A146-2018)/INDEX(Drivers!$A$25:$AM$25,1,$A146-2019)*D145</f>
        <v>990067.58809674683</v>
      </c>
      <c r="E146" s="681">
        <f t="shared" si="52"/>
        <v>990067.58809674683</v>
      </c>
      <c r="F146" s="965"/>
      <c r="G146" s="965"/>
      <c r="H146" s="966"/>
      <c r="I146" s="1119">
        <f t="shared" si="51"/>
        <v>424.26313389388866</v>
      </c>
      <c r="J146" s="1120">
        <f t="shared" si="53"/>
        <v>12.031045626813224</v>
      </c>
      <c r="K146" s="1121">
        <f t="shared" si="41"/>
        <v>31300.616023303068</v>
      </c>
      <c r="L146" s="1121">
        <f t="shared" si="54"/>
        <v>97746.744280335406</v>
      </c>
      <c r="M146" s="1122">
        <f t="shared" si="55"/>
        <v>97746.744280335406</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74.134805489166112</v>
      </c>
      <c r="C147" s="1359">
        <f>INDEX(Drivers!$A$16:$AM$16,1,$A147-2018)</f>
        <v>8187.4100000000008</v>
      </c>
      <c r="D147" s="1356">
        <f>INDEX(Drivers!$A$25:$AM$25,1,$A147-2018)/INDEX(Drivers!$A$25:$AM$25,1,$A147-2019)*D146</f>
        <v>795063.80460989953</v>
      </c>
      <c r="E147" s="681">
        <f t="shared" si="52"/>
        <v>795063.80460989953</v>
      </c>
      <c r="F147" s="965"/>
      <c r="G147" s="965"/>
      <c r="H147" s="966"/>
      <c r="I147" s="1119">
        <f t="shared" si="51"/>
        <v>424.26313389388866</v>
      </c>
      <c r="J147" s="1120">
        <f t="shared" si="53"/>
        <v>12.031045626813224</v>
      </c>
      <c r="K147" s="1121">
        <f t="shared" si="41"/>
        <v>31452.664907447474</v>
      </c>
      <c r="L147" s="1121">
        <f t="shared" si="54"/>
        <v>99298.167080036772</v>
      </c>
      <c r="M147" s="1122">
        <f t="shared" si="55"/>
        <v>99298.167080036772</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74.478544758379343</v>
      </c>
      <c r="C148" s="1359">
        <f>INDEX(Drivers!$A$16:$AM$16,1,$A148-2018)</f>
        <v>8322.6399999999976</v>
      </c>
      <c r="D148" s="1356">
        <f>INDEX(Drivers!$A$25:$AM$25,1,$A148-2018)/INDEX(Drivers!$A$25:$AM$25,1,$A148-2019)*D147</f>
        <v>600060.02112305223</v>
      </c>
      <c r="E148" s="681">
        <f t="shared" si="52"/>
        <v>600060.02112305223</v>
      </c>
      <c r="F148" s="965"/>
      <c r="G148" s="965"/>
      <c r="H148" s="966"/>
      <c r="I148" s="1119">
        <f t="shared" si="51"/>
        <v>424.26313389388866</v>
      </c>
      <c r="J148" s="1120">
        <f t="shared" si="53"/>
        <v>12.031045626813224</v>
      </c>
      <c r="K148" s="1121">
        <f t="shared" si="41"/>
        <v>31598.500807046275</v>
      </c>
      <c r="L148" s="1121">
        <f t="shared" si="54"/>
        <v>100730.12159666383</v>
      </c>
      <c r="M148" s="1122">
        <f t="shared" si="55"/>
        <v>100730.12159666383</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74.807416768507309</v>
      </c>
      <c r="C149" s="1359">
        <f>INDEX(Drivers!$A$16:$AM$16,1,$A149-2018)</f>
        <v>8457.3799999999992</v>
      </c>
      <c r="D149" s="1356">
        <f>INDEX(Drivers!$A$25:$AM$25,1,$A149-2018)/INDEX(Drivers!$A$25:$AM$25,1,$A149-2019)*D148</f>
        <v>405056.23763620481</v>
      </c>
      <c r="E149" s="681">
        <f t="shared" si="52"/>
        <v>405056.23763620481</v>
      </c>
      <c r="F149" s="965"/>
      <c r="G149" s="965"/>
      <c r="H149" s="966"/>
      <c r="I149" s="1119">
        <f t="shared" si="51"/>
        <v>424.26313389388866</v>
      </c>
      <c r="J149" s="1120">
        <f t="shared" si="53"/>
        <v>12.031045626813224</v>
      </c>
      <c r="K149" s="1121">
        <f t="shared" si="41"/>
        <v>31738.029076713148</v>
      </c>
      <c r="L149" s="1121">
        <f t="shared" si="54"/>
        <v>102156.18090093382</v>
      </c>
      <c r="M149" s="1122">
        <f t="shared" si="55"/>
        <v>102156.18090093382</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5" thickBot="1">
      <c r="A150" s="677">
        <f t="shared" si="56"/>
        <v>2050</v>
      </c>
      <c r="B150" s="1355">
        <f>INDEX(Drivers!$A$8:$AM$8,1,$A150-2018)/1000</f>
        <v>75.121207211856714</v>
      </c>
      <c r="C150" s="1357">
        <f>INDEX(Drivers!$A$16:$AM$16,1,$A150-2018)</f>
        <v>8589.119999999999</v>
      </c>
      <c r="D150" s="1358">
        <f>INDEX(Drivers!$A$25:$AM$25,1,$A150-2018)/INDEX(Drivers!$A$25:$AM$25,1,$A150-2019)*D149</f>
        <v>210052.45414935748</v>
      </c>
      <c r="E150" s="681">
        <f t="shared" si="52"/>
        <v>210052.45414935748</v>
      </c>
      <c r="F150" s="967"/>
      <c r="G150" s="967"/>
      <c r="H150" s="968"/>
      <c r="I150" s="1125">
        <f t="shared" si="51"/>
        <v>424.26313389388866</v>
      </c>
      <c r="J150" s="1126">
        <f t="shared" si="53"/>
        <v>12.031045626813224</v>
      </c>
      <c r="K150" s="1127">
        <f t="shared" si="41"/>
        <v>31871.158793594521</v>
      </c>
      <c r="L150" s="1127">
        <f t="shared" si="54"/>
        <v>103546.14706832333</v>
      </c>
      <c r="M150" s="1128">
        <f t="shared" si="55"/>
        <v>103546.14706832333</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B33:F33"/>
    <mergeCell ref="G33:I33"/>
    <mergeCell ref="A33:A34"/>
    <mergeCell ref="A41:C41"/>
    <mergeCell ref="I47:M47"/>
    <mergeCell ref="N47:AC47"/>
    <mergeCell ref="N48:U48"/>
    <mergeCell ref="V48:AC48"/>
    <mergeCell ref="A48:A49"/>
    <mergeCell ref="B47:E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5"/>
  <cols>
    <col min="1" max="1" width="20.28515625" bestFit="1" customWidth="1"/>
    <col min="2" max="2" width="10.85546875" customWidth="1"/>
    <col min="3" max="3" width="17.28515625" customWidth="1"/>
    <col min="4" max="4" width="25.42578125" customWidth="1"/>
    <col min="5" max="5" width="19.7109375" bestFit="1" customWidth="1"/>
    <col min="6" max="6" width="19.85546875" bestFit="1" customWidth="1"/>
    <col min="7" max="7" width="17.28515625" customWidth="1"/>
    <col min="8" max="9" width="15.7109375" customWidth="1"/>
    <col min="10" max="10" width="17" style="93" customWidth="1"/>
    <col min="11" max="11" width="16.85546875" customWidth="1"/>
    <col min="12" max="12" width="13.140625" customWidth="1"/>
    <col min="13" max="13" width="18.42578125" bestFit="1" customWidth="1"/>
    <col min="14" max="14" width="15.7109375" customWidth="1"/>
    <col min="15" max="15" width="15.5703125" customWidth="1"/>
    <col min="16" max="16" width="22.7109375" customWidth="1"/>
    <col min="17" max="17" width="13.7109375" customWidth="1"/>
    <col min="18" max="18" width="20.42578125" customWidth="1"/>
    <col min="19" max="19" width="21.7109375" customWidth="1"/>
    <col min="20" max="20" width="19" customWidth="1"/>
    <col min="21" max="21" width="16" customWidth="1"/>
    <col min="24" max="24" width="10.7109375" customWidth="1"/>
    <col min="25" max="25" width="21.28515625" customWidth="1"/>
    <col min="26" max="26" width="10.7109375" customWidth="1"/>
    <col min="27" max="27" width="13.140625" customWidth="1"/>
    <col min="28" max="28" width="12.140625" customWidth="1"/>
    <col min="29" max="29" width="20.42578125" customWidth="1"/>
    <col min="30" max="30" width="10.7109375" customWidth="1"/>
    <col min="31" max="31" width="11.7109375" customWidth="1"/>
    <col min="32" max="32" width="12.28515625" customWidth="1"/>
    <col min="33" max="33" width="13.140625" customWidth="1"/>
    <col min="34" max="34" width="12.140625" customWidth="1"/>
    <col min="35" max="35" width="16.7109375" style="6" customWidth="1"/>
    <col min="36" max="37" width="14.7109375" customWidth="1"/>
    <col min="38" max="38" width="12.5703125" customWidth="1"/>
    <col min="39" max="39" width="12.7109375" customWidth="1"/>
    <col min="40" max="40" width="14.42578125" customWidth="1"/>
    <col min="41" max="41" width="18.42578125" style="112" customWidth="1"/>
    <col min="42" max="43" width="14.7109375" customWidth="1"/>
    <col min="44" max="44" width="12.5703125" customWidth="1"/>
    <col min="45" max="45" width="12.28515625" customWidth="1"/>
    <col min="46" max="46" width="10.85546875" customWidth="1"/>
    <col min="47" max="47" width="16.42578125" style="112" customWidth="1"/>
    <col min="48" max="48" width="12.7109375" customWidth="1"/>
    <col min="50" max="50" width="13.42578125" customWidth="1"/>
    <col min="51" max="51" width="11.28515625" customWidth="1"/>
    <col min="52" max="52" width="12.7109375" customWidth="1"/>
    <col min="53" max="53" width="21.7109375" style="6" customWidth="1"/>
    <col min="54" max="54" width="11.42578125" customWidth="1"/>
    <col min="58" max="58" width="12.7109375" customWidth="1"/>
    <col min="59" max="59" width="20.7109375" style="6" customWidth="1"/>
    <col min="61" max="61" width="13.7109375" customWidth="1"/>
    <col min="62" max="63" width="22" customWidth="1"/>
    <col min="64" max="64" width="17.7109375" customWidth="1"/>
    <col min="65" max="66" width="20.28515625" customWidth="1"/>
    <col min="67" max="67" width="15.140625" customWidth="1"/>
    <col min="68" max="68" width="21.5703125" customWidth="1"/>
    <col min="69" max="69" width="18.5703125" customWidth="1"/>
    <col min="70" max="70" width="15.85546875" customWidth="1"/>
    <col min="71" max="71" width="13.7109375" customWidth="1"/>
    <col min="72" max="72" width="20.28515625" customWidth="1"/>
    <col min="73" max="73" width="12.85546875" customWidth="1"/>
    <col min="74" max="74" width="16" customWidth="1"/>
    <col min="75" max="75" width="17.42578125" customWidth="1"/>
    <col min="76" max="76" width="12.85546875" customWidth="1"/>
    <col min="77" max="77" width="16" customWidth="1"/>
    <col min="78" max="78" width="19.7109375" customWidth="1"/>
    <col min="80" max="81" width="16.7109375" customWidth="1"/>
    <col min="82" max="82" width="15.5703125" customWidth="1"/>
    <col min="83" max="83" width="18.42578125" customWidth="1"/>
    <col min="84" max="84" width="14.7109375" customWidth="1"/>
    <col min="85" max="85" width="15.7109375" customWidth="1"/>
    <col min="86" max="86" width="14.28515625" customWidth="1"/>
    <col min="87" max="87" width="18" customWidth="1"/>
    <col min="88" max="88" width="12.85546875" customWidth="1"/>
    <col min="89" max="89" width="20.28515625" customWidth="1"/>
    <col min="90" max="90" width="14.5703125" customWidth="1"/>
    <col min="91" max="91" width="18" customWidth="1"/>
  </cols>
  <sheetData>
    <row r="2" spans="1:16381" ht="15.75" thickBot="1">
      <c r="B2" t="s">
        <v>188</v>
      </c>
      <c r="C2" t="s">
        <v>191</v>
      </c>
    </row>
    <row r="3" spans="1:16381" ht="27" thickBot="1">
      <c r="A3" t="s">
        <v>519</v>
      </c>
      <c r="B3">
        <v>21</v>
      </c>
      <c r="C3">
        <v>310</v>
      </c>
      <c r="W3" s="1464" t="s">
        <v>665</v>
      </c>
      <c r="X3" s="1465"/>
      <c r="Y3" s="1465"/>
      <c r="Z3" s="1465"/>
      <c r="AA3" s="1465"/>
      <c r="AB3" s="1465"/>
      <c r="AC3" s="1465"/>
      <c r="AD3" s="1466"/>
      <c r="AE3" s="1" t="s">
        <v>782</v>
      </c>
    </row>
    <row r="4" spans="1:16381" ht="15.75" thickBot="1"/>
    <row r="5" spans="1:16381" ht="16.149999999999999" customHeight="1" thickBot="1">
      <c r="C5" s="1467" t="s">
        <v>294</v>
      </c>
      <c r="D5" s="1468"/>
      <c r="E5" s="1468"/>
      <c r="F5" s="1468"/>
      <c r="G5" s="1468"/>
      <c r="H5" s="1468"/>
      <c r="I5" s="1468"/>
      <c r="J5" s="1468"/>
      <c r="K5" s="1469"/>
      <c r="L5" s="1434" t="s">
        <v>516</v>
      </c>
      <c r="M5" s="1435"/>
      <c r="N5" s="1435"/>
      <c r="O5" s="1435"/>
      <c r="P5" s="1436"/>
      <c r="Q5" s="1440" t="s">
        <v>518</v>
      </c>
      <c r="R5" s="1441"/>
      <c r="S5" s="1441"/>
      <c r="T5" s="1441"/>
      <c r="U5" s="1442"/>
      <c r="W5" s="655"/>
      <c r="X5" s="1472" t="s">
        <v>643</v>
      </c>
      <c r="Y5" s="1473"/>
      <c r="Z5" s="1473"/>
      <c r="AA5" s="1473"/>
      <c r="AB5" s="1474"/>
      <c r="AC5" s="101"/>
      <c r="AD5" s="1445" t="s">
        <v>641</v>
      </c>
      <c r="AE5" s="1446"/>
      <c r="AF5" s="1446"/>
      <c r="AG5" s="1446"/>
      <c r="AH5" s="1447"/>
      <c r="AI5" s="1010"/>
      <c r="AJ5" s="1445" t="s">
        <v>645</v>
      </c>
      <c r="AK5" s="1446"/>
      <c r="AL5" s="1446"/>
      <c r="AM5" s="1446"/>
      <c r="AN5" s="1447"/>
      <c r="AO5" s="1382"/>
      <c r="AP5" s="1445" t="s">
        <v>649</v>
      </c>
      <c r="AQ5" s="1446"/>
      <c r="AR5" s="1446"/>
      <c r="AS5" s="1446"/>
      <c r="AT5" s="1447"/>
      <c r="AU5" s="1382"/>
      <c r="AV5" s="1445" t="s">
        <v>659</v>
      </c>
      <c r="AW5" s="1446"/>
      <c r="AX5" s="1446"/>
      <c r="AY5" s="1446"/>
      <c r="AZ5" s="1447"/>
      <c r="BA5" s="1010"/>
      <c r="BB5" s="1445" t="s">
        <v>655</v>
      </c>
      <c r="BC5" s="1446"/>
      <c r="BD5" s="1446"/>
      <c r="BE5" s="1446"/>
      <c r="BF5" s="1447"/>
      <c r="BH5" s="1448" t="s">
        <v>217</v>
      </c>
      <c r="BI5" s="1422" t="s">
        <v>635</v>
      </c>
      <c r="BJ5" s="1423"/>
      <c r="BK5" s="1424"/>
      <c r="BL5" s="1423" t="s">
        <v>638</v>
      </c>
      <c r="BM5" s="1423"/>
      <c r="BN5" s="1424"/>
      <c r="BO5" s="1422" t="s">
        <v>646</v>
      </c>
      <c r="BP5" s="1423"/>
      <c r="BQ5" s="1423"/>
      <c r="BR5" s="1422" t="s">
        <v>650</v>
      </c>
      <c r="BS5" s="1423"/>
      <c r="BT5" s="1424"/>
      <c r="BU5" s="1422" t="s">
        <v>660</v>
      </c>
      <c r="BV5" s="1423"/>
      <c r="BW5" s="1424"/>
      <c r="BX5" s="1422" t="s">
        <v>656</v>
      </c>
      <c r="BY5" s="1423"/>
      <c r="BZ5" s="1424"/>
      <c r="CB5" s="1422" t="s">
        <v>796</v>
      </c>
      <c r="CC5" s="1423"/>
      <c r="CD5" s="1423"/>
      <c r="CE5" s="1424"/>
      <c r="CF5" s="1422" t="s">
        <v>796</v>
      </c>
      <c r="CG5" s="1423"/>
      <c r="CH5" s="1423"/>
      <c r="CI5" s="1424"/>
      <c r="CJ5" s="1422" t="s">
        <v>796</v>
      </c>
      <c r="CK5" s="1423"/>
      <c r="CL5" s="1423"/>
      <c r="CM5" s="1424"/>
    </row>
    <row r="6" spans="1:16381" ht="16.149999999999999" customHeight="1" thickBot="1">
      <c r="A6" s="1451" t="s">
        <v>217</v>
      </c>
      <c r="B6" s="1459" t="s">
        <v>292</v>
      </c>
      <c r="C6" s="270" t="s">
        <v>187</v>
      </c>
      <c r="D6" s="1461" t="s">
        <v>194</v>
      </c>
      <c r="E6" s="1462"/>
      <c r="F6" s="1463"/>
      <c r="G6" s="1461" t="s">
        <v>189</v>
      </c>
      <c r="H6" s="1462"/>
      <c r="I6" s="1463"/>
      <c r="J6" s="1461" t="s">
        <v>192</v>
      </c>
      <c r="K6" s="1463"/>
      <c r="L6" s="453" t="s">
        <v>187</v>
      </c>
      <c r="M6" s="1443" t="s">
        <v>194</v>
      </c>
      <c r="N6" s="1444"/>
      <c r="O6" s="451" t="s">
        <v>189</v>
      </c>
      <c r="P6" s="456" t="s">
        <v>514</v>
      </c>
      <c r="Q6" s="455" t="s">
        <v>187</v>
      </c>
      <c r="R6" s="458" t="s">
        <v>194</v>
      </c>
      <c r="S6" s="458" t="s">
        <v>513</v>
      </c>
      <c r="T6" s="458" t="s">
        <v>517</v>
      </c>
      <c r="U6" s="459">
        <v>4</v>
      </c>
      <c r="W6" s="1470"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49"/>
      <c r="BI6" s="1428"/>
      <c r="BJ6" s="1429"/>
      <c r="BK6" s="1430"/>
      <c r="BL6" s="1429"/>
      <c r="BM6" s="1429"/>
      <c r="BN6" s="1430"/>
      <c r="BO6" s="1428"/>
      <c r="BP6" s="1429"/>
      <c r="BQ6" s="1429"/>
      <c r="BR6" s="1428"/>
      <c r="BS6" s="1429"/>
      <c r="BT6" s="1430"/>
      <c r="BU6" s="1428"/>
      <c r="BV6" s="1429"/>
      <c r="BW6" s="1430"/>
      <c r="BX6" s="1428"/>
      <c r="BY6" s="1429"/>
      <c r="BZ6" s="1430"/>
      <c r="CB6" s="1425"/>
      <c r="CC6" s="1426"/>
      <c r="CD6" s="1426"/>
      <c r="CE6" s="1427"/>
      <c r="CF6" s="1425"/>
      <c r="CG6" s="1426"/>
      <c r="CH6" s="1426"/>
      <c r="CI6" s="1427"/>
      <c r="CJ6" s="1425"/>
      <c r="CK6" s="1426"/>
      <c r="CL6" s="1426"/>
      <c r="CM6" s="1427"/>
    </row>
    <row r="7" spans="1:16381" ht="90.75" thickBot="1">
      <c r="A7" s="1452"/>
      <c r="B7" s="1460"/>
      <c r="C7" s="448" t="s">
        <v>233</v>
      </c>
      <c r="D7" s="449" t="s">
        <v>234</v>
      </c>
      <c r="E7" s="1455" t="s">
        <v>176</v>
      </c>
      <c r="F7" s="1456"/>
      <c r="G7" s="1454" t="s">
        <v>284</v>
      </c>
      <c r="H7" s="1455"/>
      <c r="I7" s="1456"/>
      <c r="J7" s="1457" t="s">
        <v>193</v>
      </c>
      <c r="K7" s="1458"/>
      <c r="L7" s="454" t="s">
        <v>233</v>
      </c>
      <c r="M7" s="452" t="s">
        <v>234</v>
      </c>
      <c r="N7" s="452" t="s">
        <v>176</v>
      </c>
      <c r="O7" s="452" t="s">
        <v>284</v>
      </c>
      <c r="P7" s="457" t="s">
        <v>193</v>
      </c>
      <c r="Q7" s="455" t="s">
        <v>233</v>
      </c>
      <c r="R7" s="458" t="s">
        <v>512</v>
      </c>
      <c r="S7" s="458" t="s">
        <v>38</v>
      </c>
      <c r="T7" s="458" t="s">
        <v>193</v>
      </c>
      <c r="U7" s="459" t="s">
        <v>627</v>
      </c>
      <c r="W7" s="1471"/>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49"/>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75" thickBot="1">
      <c r="A8" s="1453"/>
      <c r="B8" s="271" t="s">
        <v>293</v>
      </c>
      <c r="C8" s="271" t="s">
        <v>188</v>
      </c>
      <c r="D8" s="272" t="s">
        <v>188</v>
      </c>
      <c r="E8" s="273" t="s">
        <v>188</v>
      </c>
      <c r="F8" s="274" t="s">
        <v>191</v>
      </c>
      <c r="G8" s="275" t="s">
        <v>190</v>
      </c>
      <c r="H8" s="273" t="s">
        <v>188</v>
      </c>
      <c r="I8" s="274" t="s">
        <v>191</v>
      </c>
      <c r="J8" s="853" t="s">
        <v>188</v>
      </c>
      <c r="K8" s="450" t="s">
        <v>191</v>
      </c>
      <c r="L8" s="1431" t="s">
        <v>515</v>
      </c>
      <c r="M8" s="1432"/>
      <c r="N8" s="1432"/>
      <c r="O8" s="1432"/>
      <c r="P8" s="1433"/>
      <c r="Q8" s="1437" t="s">
        <v>515</v>
      </c>
      <c r="R8" s="1438"/>
      <c r="S8" s="1438"/>
      <c r="T8" s="1438"/>
      <c r="U8" s="1439"/>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50"/>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965.18898465661198</v>
      </c>
      <c r="Z29" s="465">
        <f t="shared" ref="Z29:Z60" si="82">S30</f>
        <v>304.9221239283998</v>
      </c>
      <c r="AA29" s="465">
        <f t="shared" ref="AA29:AA60" si="83">T30</f>
        <v>3821.6612855587077</v>
      </c>
      <c r="AB29" s="986">
        <f t="shared" si="22"/>
        <v>21925.781712542605</v>
      </c>
      <c r="AC29" s="1206" t="str">
        <f>IF(OR('Recycling - Case 1'!AC99="No",'Recycling - Case 1'!T139="No"), "No", "Yes")</f>
        <v>Yes</v>
      </c>
      <c r="AD29" s="948">
        <f t="shared" ref="AD29:AD60" si="84">Q64</f>
        <v>16834.009318398883</v>
      </c>
      <c r="AE29" s="465">
        <f t="shared" ref="AE29:AE60" si="85">R64</f>
        <v>965.18898465661198</v>
      </c>
      <c r="AF29" s="465">
        <f t="shared" ref="AF29:AF60" si="86">S64</f>
        <v>304.9221239283998</v>
      </c>
      <c r="AG29" s="465">
        <f t="shared" ref="AG29:AG60" si="87">T64</f>
        <v>3821.6612855587077</v>
      </c>
      <c r="AH29" s="986">
        <f t="shared" si="60"/>
        <v>21925.781712542605</v>
      </c>
      <c r="AI29" s="1206" t="str">
        <f>IF(OR('Recycling - Case 1'!AI10="No",'Recycling - Case 1'!Z139="No"), "No", "Yes")</f>
        <v>Yes</v>
      </c>
      <c r="AJ29" s="948">
        <f t="shared" ref="AJ29:AJ60" si="88">Q98</f>
        <v>16839.898969230198</v>
      </c>
      <c r="AK29" s="465">
        <f t="shared" ref="AK29:AK60" si="89">R98</f>
        <v>965.18898465661198</v>
      </c>
      <c r="AL29" s="465">
        <f t="shared" ref="AL29:AL60" si="90">S98</f>
        <v>307.81392004196488</v>
      </c>
      <c r="AM29" s="465">
        <f t="shared" ref="AM29:AM60" si="91">T98</f>
        <v>3922.0560748079342</v>
      </c>
      <c r="AN29" s="986">
        <f t="shared" ref="AN29:AN60" si="92">U98</f>
        <v>22034.957948736708</v>
      </c>
      <c r="AO29" s="1201" t="str">
        <f>IF(OR('Recycling - Case 2'!AC99="No",'Recycling - Case 2'!T139="No"), "No", "Yes")</f>
        <v>Yes</v>
      </c>
      <c r="AP29" s="948">
        <f t="shared" ref="AP29:AP60" si="93">Q132</f>
        <v>16839.898969230198</v>
      </c>
      <c r="AQ29" s="465">
        <f t="shared" ref="AQ29:AQ60" si="94">R132</f>
        <v>965.18898465661198</v>
      </c>
      <c r="AR29" s="465">
        <f t="shared" ref="AR29:AR60" si="95">S132</f>
        <v>307.81392004196488</v>
      </c>
      <c r="AS29" s="465">
        <f t="shared" ref="AS29:AS60" si="96">T132</f>
        <v>3922.0560748079342</v>
      </c>
      <c r="AT29" s="986">
        <f t="shared" si="37"/>
        <v>22034.957948736708</v>
      </c>
      <c r="AU29" s="1206" t="str">
        <f>IF(OR('Recycling - Case 2'!AC99="No",'Recycling - Case 2'!T179="No"), "No", "Yes")</f>
        <v>Yes</v>
      </c>
      <c r="AV29" s="948">
        <f t="shared" si="63"/>
        <v>16839.906548915631</v>
      </c>
      <c r="AW29" s="465">
        <f t="shared" si="64"/>
        <v>816.26147130889444</v>
      </c>
      <c r="AX29" s="465">
        <f t="shared" si="65"/>
        <v>307.81392004196488</v>
      </c>
      <c r="AY29" s="465">
        <f t="shared" si="66"/>
        <v>3922.0560748079342</v>
      </c>
      <c r="AZ29" s="986">
        <f t="shared" si="67"/>
        <v>21886.038015074424</v>
      </c>
      <c r="BA29" s="1206" t="str">
        <f>IF(OR('Recycling - Case 3'!AC99="No",'Recycling - Case 3'!T139="No"), "No", "Yes")</f>
        <v>Yes</v>
      </c>
      <c r="BB29" s="948">
        <f t="shared" ref="BB29:BB60" si="97">Q200</f>
        <v>16839.906548915631</v>
      </c>
      <c r="BC29" s="465">
        <f t="shared" ref="BC29:BC60" si="98">R200</f>
        <v>816.26147130889444</v>
      </c>
      <c r="BD29" s="465">
        <f t="shared" ref="BD29:BD60" si="99">S200</f>
        <v>307.81392004196488</v>
      </c>
      <c r="BE29" s="465">
        <f t="shared" ref="BE29:BE60" si="100">T200</f>
        <v>3922.0560748079342</v>
      </c>
      <c r="BF29" s="986">
        <f t="shared" si="47"/>
        <v>21886.038015074424</v>
      </c>
      <c r="BG29" s="1206" t="str">
        <f>IF(OR('Recycling - Case 3'!AC99="No",'Recycling - Case 3'!T179="No"), "No", "Yes")</f>
        <v>Yes</v>
      </c>
      <c r="BH29" s="535">
        <f t="shared" si="48"/>
        <v>2019</v>
      </c>
      <c r="BI29" s="465">
        <f>'Recycling - Case 1'!BV99</f>
        <v>111.90638849318943</v>
      </c>
      <c r="BJ29" s="100">
        <f>'Recycling - Case 1'!BW99</f>
        <v>0.36076998856317394</v>
      </c>
      <c r="BK29" s="986">
        <f>'Recycling - Case 1'!BX99</f>
        <v>52.992370977903676</v>
      </c>
      <c r="BL29" s="948">
        <f>'Recycling - Case 1'!BY99</f>
        <v>111.90638849318943</v>
      </c>
      <c r="BM29" s="518">
        <f>'Recycling - Case 1'!BZ99</f>
        <v>0.36076998856317394</v>
      </c>
      <c r="BN29" s="986">
        <f>'Recycling - Case 1'!CA99</f>
        <v>52.992370977903676</v>
      </c>
      <c r="BO29" s="465">
        <f>'Recycling - Case 2'!BV99</f>
        <v>113.54788737648573</v>
      </c>
      <c r="BP29" s="100">
        <f>'Recycling - Case 2'!BW99</f>
        <v>0.37621447580546824</v>
      </c>
      <c r="BQ29" s="986">
        <f>'Recycling - Case 2'!BX99</f>
        <v>52.992370977903676</v>
      </c>
      <c r="BR29" s="948">
        <f>'Recycling - Case 2'!BY99</f>
        <v>113.54788737648573</v>
      </c>
      <c r="BS29" s="100">
        <f>'Recycling - Case 2'!BZ99</f>
        <v>0.37621447580546824</v>
      </c>
      <c r="BT29" s="986">
        <f>'Recycling - Case 2'!CA99</f>
        <v>52.992370977903676</v>
      </c>
      <c r="BU29" s="465">
        <f>'Recycling - Case 3'!BV99</f>
        <v>113.54788737648573</v>
      </c>
      <c r="BV29" s="100">
        <f>'Recycling - Case 3'!BW99</f>
        <v>0.37621447580546824</v>
      </c>
      <c r="BW29" s="986">
        <f>'Recycling - Case 3'!BX99</f>
        <v>52.992370977903676</v>
      </c>
      <c r="BX29" s="948">
        <f>'Recycling - Case 3'!BY99</f>
        <v>113.54788737648573</v>
      </c>
      <c r="BY29" s="100">
        <f>'Recycling - Case 3'!BZ99</f>
        <v>0.37621447580546824</v>
      </c>
      <c r="BZ29" s="986">
        <f>'Recycling - Case 3'!CA99</f>
        <v>52.992370977903676</v>
      </c>
      <c r="CA29" s="535">
        <v>2019</v>
      </c>
      <c r="CB29" s="579">
        <f>'Recycling - Case 1'!CB99</f>
        <v>4.7766344222348933E-2</v>
      </c>
      <c r="CC29" s="100">
        <f>'Recycling - Case 1'!CC99</f>
        <v>0.16963420609902846</v>
      </c>
      <c r="CD29" s="100">
        <f>'Recycling - Case 1'!CD99</f>
        <v>4.7766344222348933E-2</v>
      </c>
      <c r="CE29" s="471">
        <f>'Recycling - Case 1'!CE99</f>
        <v>0.16963420609902846</v>
      </c>
      <c r="CF29" s="579">
        <f>'Recycling - Case 2'!CB99</f>
        <v>4.2261345922522509E-2</v>
      </c>
      <c r="CG29" s="100">
        <f>'Recycling - Case 2'!CC99</f>
        <v>0.15548393155666862</v>
      </c>
      <c r="CH29" s="100">
        <f>'Recycling - Case 2'!CD99</f>
        <v>4.2261345922522509E-2</v>
      </c>
      <c r="CI29" s="471">
        <f>'Recycling - Case 2'!CE99</f>
        <v>0.15548393155666862</v>
      </c>
      <c r="CJ29" s="579">
        <f>'Recycling - Case 3'!CB99</f>
        <v>4.2261345922522509E-2</v>
      </c>
      <c r="CK29" s="100">
        <f>'Recycling - Case 3'!CC99</f>
        <v>0.15548393155666862</v>
      </c>
      <c r="CL29" s="100">
        <f>'Recycling - Case 3'!CD99</f>
        <v>4.2261345922522509E-2</v>
      </c>
      <c r="CM29" s="471">
        <f>'Recycling - Case 3'!CE99</f>
        <v>0.15548393155666862</v>
      </c>
    </row>
    <row r="30" spans="1:91">
      <c r="A30">
        <f>'Input data'!A119</f>
        <v>2019</v>
      </c>
      <c r="C30" s="116">
        <f>'4A SWD Case 1'!BG89</f>
        <v>801.61949135232783</v>
      </c>
      <c r="D30" s="3">
        <f>'4B Biological treatment '!T83</f>
        <v>0.42961305766478691</v>
      </c>
      <c r="E30" s="152">
        <f>'4B Biological treatment '!U83</f>
        <v>24.145634102162916</v>
      </c>
      <c r="F30" s="152">
        <f>'4B Biological treatment '!W83</f>
        <v>1.448738046129775</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9.0218742109605259</v>
      </c>
      <c r="N30" s="465">
        <f t="shared" si="71"/>
        <v>956.16711044565147</v>
      </c>
      <c r="O30" s="464">
        <f t="shared" si="72"/>
        <v>304.9221239283998</v>
      </c>
      <c r="P30" s="465">
        <f t="shared" si="73"/>
        <v>3821.6612855587077</v>
      </c>
      <c r="Q30" s="465">
        <f t="shared" si="74"/>
        <v>16834.009318398883</v>
      </c>
      <c r="R30" s="467">
        <f t="shared" si="75"/>
        <v>965.18898465661198</v>
      </c>
      <c r="S30" s="464">
        <f t="shared" si="76"/>
        <v>304.9221239283998</v>
      </c>
      <c r="T30" s="465">
        <f t="shared" si="77"/>
        <v>3821.6612855587077</v>
      </c>
      <c r="U30" s="465">
        <f t="shared" si="78"/>
        <v>21925.781712542605</v>
      </c>
      <c r="V30" s="3"/>
      <c r="W30" s="535">
        <f t="shared" si="79"/>
        <v>2020</v>
      </c>
      <c r="X30" s="948">
        <f t="shared" si="80"/>
        <v>16402.96396416011</v>
      </c>
      <c r="Y30" s="465">
        <f t="shared" si="81"/>
        <v>993.04858779095036</v>
      </c>
      <c r="Z30" s="465">
        <f t="shared" si="82"/>
        <v>296.95916503445704</v>
      </c>
      <c r="AA30" s="465">
        <f t="shared" si="83"/>
        <v>3916.619774427455</v>
      </c>
      <c r="AB30" s="986">
        <f t="shared" si="22"/>
        <v>21609.591491412968</v>
      </c>
      <c r="AC30" s="1206" t="str">
        <f>IF(OR('Recycling - Case 1'!AC100="No",'Recycling - Case 1'!T140="No"), "No", "Yes")</f>
        <v>Yes</v>
      </c>
      <c r="AD30" s="948">
        <f t="shared" si="84"/>
        <v>16402.96396416011</v>
      </c>
      <c r="AE30" s="465">
        <f t="shared" si="85"/>
        <v>993.04858779095036</v>
      </c>
      <c r="AF30" s="465">
        <f t="shared" si="86"/>
        <v>296.95916503445704</v>
      </c>
      <c r="AG30" s="465">
        <f t="shared" si="87"/>
        <v>3916.619774427455</v>
      </c>
      <c r="AH30" s="986">
        <f t="shared" si="60"/>
        <v>21609.591491412968</v>
      </c>
      <c r="AI30" s="1206" t="str">
        <f>IF(OR('Recycling - Case 1'!AI11="No",'Recycling - Case 1'!Z140="No"), "No", "Yes")</f>
        <v>Yes</v>
      </c>
      <c r="AJ30" s="948">
        <f t="shared" si="88"/>
        <v>16425.701374078832</v>
      </c>
      <c r="AK30" s="465">
        <f t="shared" si="89"/>
        <v>1048.5083161077769</v>
      </c>
      <c r="AL30" s="465">
        <f t="shared" si="90"/>
        <v>299.52410113774715</v>
      </c>
      <c r="AM30" s="465">
        <f t="shared" si="91"/>
        <v>4069.6472808319609</v>
      </c>
      <c r="AN30" s="986">
        <f t="shared" si="92"/>
        <v>21843.381072156317</v>
      </c>
      <c r="AO30" s="1201" t="str">
        <f>IF(OR('Recycling - Case 2'!AC100="No",'Recycling - Case 2'!T140="No"), "No", "Yes")</f>
        <v>Yes</v>
      </c>
      <c r="AP30" s="948">
        <f t="shared" si="93"/>
        <v>16425.701374078832</v>
      </c>
      <c r="AQ30" s="465">
        <f t="shared" si="94"/>
        <v>1048.5083161077769</v>
      </c>
      <c r="AR30" s="465">
        <f t="shared" si="95"/>
        <v>299.52410113774715</v>
      </c>
      <c r="AS30" s="465">
        <f t="shared" si="96"/>
        <v>4069.6472808319609</v>
      </c>
      <c r="AT30" s="986">
        <f t="shared" si="37"/>
        <v>21843.381072156317</v>
      </c>
      <c r="AU30" s="1206" t="str">
        <f>IF(OR('Recycling - Case 2'!AC100="No",'Recycling - Case 2'!T180="No"), "No", "Yes")</f>
        <v>Yes</v>
      </c>
      <c r="AV30" s="948">
        <f t="shared" si="63"/>
        <v>16425.723916880503</v>
      </c>
      <c r="AW30" s="465">
        <f t="shared" si="64"/>
        <v>804.55310712020696</v>
      </c>
      <c r="AX30" s="465">
        <f t="shared" si="65"/>
        <v>299.52410113774715</v>
      </c>
      <c r="AY30" s="465">
        <f t="shared" si="66"/>
        <v>4069.6472808319609</v>
      </c>
      <c r="AZ30" s="986">
        <f t="shared" si="67"/>
        <v>21599.448405970415</v>
      </c>
      <c r="BA30" s="1206" t="str">
        <f>IF(OR('Recycling - Case 3'!AC100="No",'Recycling - Case 3'!T140="No"), "No", "Yes")</f>
        <v>Yes</v>
      </c>
      <c r="BB30" s="948">
        <f t="shared" si="97"/>
        <v>16425.723916880503</v>
      </c>
      <c r="BC30" s="465">
        <f t="shared" si="98"/>
        <v>804.55310712020685</v>
      </c>
      <c r="BD30" s="465">
        <f t="shared" si="99"/>
        <v>299.52410113774715</v>
      </c>
      <c r="BE30" s="465">
        <f t="shared" si="100"/>
        <v>4069.6472808319609</v>
      </c>
      <c r="BF30" s="986">
        <f t="shared" si="47"/>
        <v>21599.448405970415</v>
      </c>
      <c r="BG30" s="1206" t="str">
        <f>IF(OR('Recycling - Case 3'!AC100="No",'Recycling - Case 3'!T180="No"), "No", "Yes")</f>
        <v>Yes</v>
      </c>
      <c r="BH30" s="535">
        <f t="shared" si="48"/>
        <v>2020</v>
      </c>
      <c r="BI30" s="465">
        <f>'Recycling - Case 1'!BV100</f>
        <v>107.36741512404284</v>
      </c>
      <c r="BJ30" s="100">
        <f>'Recycling - Case 1'!BW100</f>
        <v>0.36833998584315464</v>
      </c>
      <c r="BK30" s="986">
        <f>'Recycling - Case 1'!BX100</f>
        <v>50.781625743101721</v>
      </c>
      <c r="BL30" s="948">
        <f>'Recycling - Case 1'!BY100</f>
        <v>107.36741512404284</v>
      </c>
      <c r="BM30" s="518">
        <f>'Recycling - Case 1'!BZ100</f>
        <v>0.36833998584315464</v>
      </c>
      <c r="BN30" s="986">
        <f>'Recycling - Case 1'!CA100</f>
        <v>50.781625743101721</v>
      </c>
      <c r="BO30" s="465">
        <f>'Recycling - Case 2'!BV100</f>
        <v>107.71993373767972</v>
      </c>
      <c r="BP30" s="100">
        <f>'Recycling - Case 2'!BW100</f>
        <v>0.40157009918946829</v>
      </c>
      <c r="BQ30" s="986">
        <f>'Recycling - Case 2'!BX100</f>
        <v>50.781625743101721</v>
      </c>
      <c r="BR30" s="948">
        <f>'Recycling - Case 2'!BY100</f>
        <v>107.71993373767972</v>
      </c>
      <c r="BS30" s="100">
        <f>'Recycling - Case 2'!BZ100</f>
        <v>0.40157009918946829</v>
      </c>
      <c r="BT30" s="986">
        <f>'Recycling - Case 2'!CA100</f>
        <v>50.781625743101721</v>
      </c>
      <c r="BU30" s="465">
        <f>'Recycling - Case 3'!BV100</f>
        <v>107.71993373767972</v>
      </c>
      <c r="BV30" s="100">
        <f>'Recycling - Case 3'!BW100</f>
        <v>0.40157009918946829</v>
      </c>
      <c r="BW30" s="986">
        <f>'Recycling - Case 3'!BX100</f>
        <v>50.781625743101721</v>
      </c>
      <c r="BX30" s="948">
        <f>'Recycling - Case 3'!BY100</f>
        <v>107.71993373767972</v>
      </c>
      <c r="BY30" s="100">
        <f>'Recycling - Case 3'!BZ100</f>
        <v>0.40157009918946829</v>
      </c>
      <c r="BZ30" s="986">
        <f>'Recycling - Case 3'!CA100</f>
        <v>50.781625743101721</v>
      </c>
      <c r="CA30" s="535">
        <v>2020</v>
      </c>
      <c r="CB30" s="579">
        <f>'Recycling - Case 1'!CB100</f>
        <v>7.0040644951311681E-2</v>
      </c>
      <c r="CC30" s="100">
        <f>'Recycling - Case 1'!CC100</f>
        <v>0.16697077492577461</v>
      </c>
      <c r="CD30" s="100">
        <f>'Recycling - Case 1'!CD100</f>
        <v>7.0040644951311681E-2</v>
      </c>
      <c r="CE30" s="471">
        <f>'Recycling - Case 1'!CE100</f>
        <v>0.16697077492577461</v>
      </c>
      <c r="CF30" s="579">
        <f>'Recycling - Case 2'!CB100</f>
        <v>6.3097402659273327E-2</v>
      </c>
      <c r="CG30" s="100">
        <f>'Recycling - Case 2'!CC100</f>
        <v>0.16520675080924352</v>
      </c>
      <c r="CH30" s="100">
        <f>'Recycling - Case 2'!CD100</f>
        <v>6.3097402659273327E-2</v>
      </c>
      <c r="CI30" s="471">
        <f>'Recycling - Case 2'!CE100</f>
        <v>0.16520675080924352</v>
      </c>
      <c r="CJ30" s="579">
        <f>'Recycling - Case 3'!CB100</f>
        <v>6.3097402659273327E-2</v>
      </c>
      <c r="CK30" s="100">
        <f>'Recycling - Case 3'!CC100</f>
        <v>0.16520675080924352</v>
      </c>
      <c r="CL30" s="100">
        <f>'Recycling - Case 3'!CD100</f>
        <v>6.3097402659273327E-2</v>
      </c>
      <c r="CM30" s="471">
        <f>'Recycling - Case 3'!CE100</f>
        <v>0.16520675080924352</v>
      </c>
    </row>
    <row r="31" spans="1:91">
      <c r="A31">
        <f>'Input data'!A120</f>
        <v>2020</v>
      </c>
      <c r="C31" s="116">
        <f>'4A SWD Case 1'!BG90</f>
        <v>781.09352210286238</v>
      </c>
      <c r="D31" s="3">
        <f>'4B Biological treatment '!T84</f>
        <v>0.47497175708801948</v>
      </c>
      <c r="E31" s="152">
        <f>'4B Biological treatment '!U84</f>
        <v>24.825105578083381</v>
      </c>
      <c r="F31" s="152">
        <f>'4B Biological treatment '!W84</f>
        <v>1.4895063346850028</v>
      </c>
      <c r="G31" s="688">
        <f>'4C2 Open-burning '!R91</f>
        <v>31.199856234261556</v>
      </c>
      <c r="H31" s="688">
        <f>'4C2 Open-burning '!Z91</f>
        <v>10.497796427605877</v>
      </c>
      <c r="I31" s="688">
        <f>'4C2 Open-burning '!AH91</f>
        <v>0.14614704458216801</v>
      </c>
      <c r="J31" s="93">
        <f>'4D Wastewater treatment and dis'!AV128</f>
        <v>142.36131561162929</v>
      </c>
      <c r="K31" s="3">
        <f>'4D Wastewater treatment and dis'!AW128</f>
        <v>2.9904262793007734</v>
      </c>
      <c r="L31" s="465">
        <f t="shared" si="69"/>
        <v>16402.96396416011</v>
      </c>
      <c r="M31" s="688">
        <f t="shared" si="70"/>
        <v>9.9744068988484091</v>
      </c>
      <c r="N31" s="465">
        <f t="shared" si="71"/>
        <v>983.07418089210194</v>
      </c>
      <c r="O31" s="464">
        <f t="shared" si="72"/>
        <v>296.95916503445704</v>
      </c>
      <c r="P31" s="465">
        <f t="shared" si="73"/>
        <v>3916.619774427455</v>
      </c>
      <c r="Q31" s="465">
        <f t="shared" si="74"/>
        <v>16402.96396416011</v>
      </c>
      <c r="R31" s="467">
        <f t="shared" si="75"/>
        <v>993.04858779095036</v>
      </c>
      <c r="S31" s="464">
        <f t="shared" si="76"/>
        <v>296.95916503445704</v>
      </c>
      <c r="T31" s="465">
        <f t="shared" si="77"/>
        <v>3916.619774427455</v>
      </c>
      <c r="U31" s="465">
        <f t="shared" si="78"/>
        <v>21609.591491412968</v>
      </c>
      <c r="V31" s="3"/>
      <c r="W31" s="535">
        <f t="shared" si="79"/>
        <v>2021</v>
      </c>
      <c r="X31" s="948">
        <f t="shared" si="80"/>
        <v>15969.202590996572</v>
      </c>
      <c r="Y31" s="465">
        <f t="shared" si="81"/>
        <v>1052.8992274133789</v>
      </c>
      <c r="Z31" s="465">
        <f t="shared" si="82"/>
        <v>289.2167901677646</v>
      </c>
      <c r="AA31" s="465">
        <f t="shared" si="83"/>
        <v>4006.3395692143868</v>
      </c>
      <c r="AB31" s="986">
        <f t="shared" si="22"/>
        <v>21317.658177792102</v>
      </c>
      <c r="AC31" s="1206" t="str">
        <f>IF(OR('Recycling - Case 1'!AC101="No",'Recycling - Case 1'!T141="No"), "No", "Yes")</f>
        <v>Yes</v>
      </c>
      <c r="AD31" s="948">
        <f t="shared" si="84"/>
        <v>15969.202590996572</v>
      </c>
      <c r="AE31" s="465">
        <f t="shared" si="85"/>
        <v>1052.8992274133789</v>
      </c>
      <c r="AF31" s="465">
        <f t="shared" si="86"/>
        <v>289.2167901677646</v>
      </c>
      <c r="AG31" s="465">
        <f t="shared" si="87"/>
        <v>4006.3395692143868</v>
      </c>
      <c r="AH31" s="986">
        <f t="shared" si="60"/>
        <v>21317.658177792102</v>
      </c>
      <c r="AI31" s="1206" t="str">
        <f>IF(OR('Recycling - Case 1'!AI12="No",'Recycling - Case 1'!Z141="No"), "No", "Yes")</f>
        <v>Yes</v>
      </c>
      <c r="AJ31" s="948">
        <f t="shared" si="88"/>
        <v>15984.307431159603</v>
      </c>
      <c r="AK31" s="465">
        <f t="shared" si="89"/>
        <v>1273.0199745103064</v>
      </c>
      <c r="AL31" s="465">
        <f t="shared" si="90"/>
        <v>275.15845517166412</v>
      </c>
      <c r="AM31" s="465">
        <f t="shared" si="91"/>
        <v>4213.2982069875279</v>
      </c>
      <c r="AN31" s="986">
        <f t="shared" si="92"/>
        <v>21745.7840678291</v>
      </c>
      <c r="AO31" s="1201" t="str">
        <f>IF(OR('Recycling - Case 2'!AC101="No",'Recycling - Case 2'!T141="No"), "No", "Yes")</f>
        <v>Yes</v>
      </c>
      <c r="AP31" s="948">
        <f t="shared" si="93"/>
        <v>15984.307431159603</v>
      </c>
      <c r="AQ31" s="465">
        <f t="shared" si="94"/>
        <v>1273.0199745103064</v>
      </c>
      <c r="AR31" s="465">
        <f t="shared" si="95"/>
        <v>275.15845517166412</v>
      </c>
      <c r="AS31" s="465">
        <f t="shared" si="96"/>
        <v>4213.2982069875279</v>
      </c>
      <c r="AT31" s="986">
        <f t="shared" si="37"/>
        <v>21745.7840678291</v>
      </c>
      <c r="AU31" s="1206" t="str">
        <f>IF(OR('Recycling - Case 2'!AC101="No",'Recycling - Case 2'!T181="No"), "No", "Yes")</f>
        <v>Yes</v>
      </c>
      <c r="AV31" s="948">
        <f t="shared" si="63"/>
        <v>15984.352141629424</v>
      </c>
      <c r="AW31" s="465">
        <f t="shared" si="64"/>
        <v>875.70330766334484</v>
      </c>
      <c r="AX31" s="465">
        <f t="shared" si="65"/>
        <v>275.15845517166412</v>
      </c>
      <c r="AY31" s="465">
        <f t="shared" si="66"/>
        <v>4213.2982069875279</v>
      </c>
      <c r="AZ31" s="986">
        <f t="shared" si="67"/>
        <v>21348.512111451961</v>
      </c>
      <c r="BA31" s="1206" t="str">
        <f>IF(OR('Recycling - Case 3'!AC101="No",'Recycling - Case 3'!T141="No"), "No", "Yes")</f>
        <v>Yes</v>
      </c>
      <c r="BB31" s="948">
        <f t="shared" si="97"/>
        <v>15984.352141629424</v>
      </c>
      <c r="BC31" s="465">
        <f t="shared" si="98"/>
        <v>875.70330766334473</v>
      </c>
      <c r="BD31" s="465">
        <f t="shared" si="99"/>
        <v>275.15845517166412</v>
      </c>
      <c r="BE31" s="465">
        <f t="shared" si="100"/>
        <v>4213.2982069875279</v>
      </c>
      <c r="BF31" s="986">
        <f t="shared" si="47"/>
        <v>21348.512111451961</v>
      </c>
      <c r="BG31" s="1206" t="str">
        <f>IF(OR('Recycling - Case 3'!AC101="No",'Recycling - Case 3'!T181="No"), "No", "Yes")</f>
        <v>Yes</v>
      </c>
      <c r="BH31" s="535">
        <f t="shared" si="48"/>
        <v>2021</v>
      </c>
      <c r="BI31" s="465">
        <f>'Recycling - Case 1'!BV101</f>
        <v>105.35762365377846</v>
      </c>
      <c r="BJ31" s="100">
        <f>'Recycling - Case 1'!BW101</f>
        <v>0.38971349985823206</v>
      </c>
      <c r="BK31" s="986">
        <f>'Recycling - Case 1'!BX101</f>
        <v>50.787753059423501</v>
      </c>
      <c r="BL31" s="948">
        <f>'Recycling - Case 1'!BY101</f>
        <v>105.35762365377846</v>
      </c>
      <c r="BM31" s="518">
        <f>'Recycling - Case 1'!BZ101</f>
        <v>0.38971349985823206</v>
      </c>
      <c r="BN31" s="986">
        <f>'Recycling - Case 1'!CA101</f>
        <v>50.787753059423501</v>
      </c>
      <c r="BO31" s="465">
        <f>'Recycling - Case 2'!BV101</f>
        <v>98.528476167232299</v>
      </c>
      <c r="BP31" s="100">
        <f>'Recycling - Case 2'!BW101</f>
        <v>0.47497989513788669</v>
      </c>
      <c r="BQ31" s="986">
        <f>'Recycling - Case 2'!BX101</f>
        <v>50.787753059423501</v>
      </c>
      <c r="BR31" s="948">
        <f>'Recycling - Case 2'!BY101</f>
        <v>98.528476167232299</v>
      </c>
      <c r="BS31" s="100">
        <f>'Recycling - Case 2'!BZ101</f>
        <v>0.47497989513788669</v>
      </c>
      <c r="BT31" s="986">
        <f>'Recycling - Case 2'!CA101</f>
        <v>50.787753059423501</v>
      </c>
      <c r="BU31" s="465">
        <f>'Recycling - Case 3'!BV101</f>
        <v>98.528476167232299</v>
      </c>
      <c r="BV31" s="100">
        <f>'Recycling - Case 3'!BW101</f>
        <v>0.47497989513788669</v>
      </c>
      <c r="BW31" s="986">
        <f>'Recycling - Case 3'!BX101</f>
        <v>50.787753059423501</v>
      </c>
      <c r="BX31" s="948">
        <f>'Recycling - Case 3'!BY101</f>
        <v>98.528476167232299</v>
      </c>
      <c r="BY31" s="100">
        <f>'Recycling - Case 3'!BZ101</f>
        <v>0.47497989513788669</v>
      </c>
      <c r="BZ31" s="986">
        <f>'Recycling - Case 3'!CA101</f>
        <v>50.787753059423501</v>
      </c>
      <c r="CA31" s="535">
        <v>2021</v>
      </c>
      <c r="CB31" s="579">
        <f>'Recycling - Case 1'!CB101</f>
        <v>8.9484246619426888E-2</v>
      </c>
      <c r="CC31" s="100">
        <f>'Recycling - Case 1'!CC101</f>
        <v>0.19868943488345547</v>
      </c>
      <c r="CD31" s="100">
        <f>'Recycling - Case 1'!CD101</f>
        <v>8.9484246619426888E-2</v>
      </c>
      <c r="CE31" s="471">
        <f>'Recycling - Case 1'!CE101</f>
        <v>0.19868943488345547</v>
      </c>
      <c r="CF31" s="579">
        <f>'Recycling - Case 2'!CB101</f>
        <v>9.9034262897181091E-2</v>
      </c>
      <c r="CG31" s="100">
        <f>'Recycling - Case 2'!CC101</f>
        <v>0.26294952622596801</v>
      </c>
      <c r="CH31" s="100">
        <f>'Recycling - Case 2'!CD101</f>
        <v>9.9034262897181091E-2</v>
      </c>
      <c r="CI31" s="471">
        <f>'Recycling - Case 2'!CE101</f>
        <v>0.26294952622596801</v>
      </c>
      <c r="CJ31" s="579">
        <f>'Recycling - Case 3'!CB101</f>
        <v>9.9034262897181091E-2</v>
      </c>
      <c r="CK31" s="100">
        <f>'Recycling - Case 3'!CC101</f>
        <v>0.26294952622596801</v>
      </c>
      <c r="CL31" s="100">
        <f>'Recycling - Case 3'!CD101</f>
        <v>9.9034262897181091E-2</v>
      </c>
      <c r="CM31" s="471">
        <f>'Recycling - Case 3'!CE101</f>
        <v>0.26294952622596801</v>
      </c>
    </row>
    <row r="32" spans="1:91">
      <c r="A32">
        <f>'Input data'!A121</f>
        <v>2021</v>
      </c>
      <c r="C32" s="116">
        <f>'4A SWD Case 1'!BG91</f>
        <v>760.43821861888443</v>
      </c>
      <c r="D32" s="3">
        <f>'4B Biological treatment '!T85</f>
        <v>0.54340373352623117</v>
      </c>
      <c r="E32" s="152">
        <f>'4B Biological treatment '!U85</f>
        <v>26.300195682053744</v>
      </c>
      <c r="F32" s="152">
        <f>'4B Biological treatment '!W85</f>
        <v>1.5780117409232244</v>
      </c>
      <c r="G32" s="688">
        <f>'4C2 Open-burning '!R92</f>
        <v>30.386407749771987</v>
      </c>
      <c r="H32" s="688">
        <f>'4C2 Open-burning '!Z92</f>
        <v>10.224095916603568</v>
      </c>
      <c r="I32" s="688">
        <f>'4C2 Open-burning '!AH92</f>
        <v>0.14233667151392793</v>
      </c>
      <c r="J32" s="93">
        <f>'4D Wastewater treatment and dis'!AV129</f>
        <v>146.00150510718282</v>
      </c>
      <c r="K32" s="3">
        <f>'4D Wastewater treatment and dis'!AW129</f>
        <v>3.0332514902049907</v>
      </c>
      <c r="L32" s="465">
        <f t="shared" si="69"/>
        <v>15969.202590996572</v>
      </c>
      <c r="M32" s="688">
        <f t="shared" si="70"/>
        <v>11.411478404050854</v>
      </c>
      <c r="N32" s="465">
        <f t="shared" si="71"/>
        <v>1041.4877490093281</v>
      </c>
      <c r="O32" s="464">
        <f t="shared" si="72"/>
        <v>289.2167901677646</v>
      </c>
      <c r="P32" s="465">
        <f t="shared" si="73"/>
        <v>4006.3395692143868</v>
      </c>
      <c r="Q32" s="465">
        <f t="shared" si="74"/>
        <v>15969.202590996572</v>
      </c>
      <c r="R32" s="467">
        <f t="shared" si="75"/>
        <v>1052.8992274133789</v>
      </c>
      <c r="S32" s="464">
        <f t="shared" si="76"/>
        <v>289.2167901677646</v>
      </c>
      <c r="T32" s="465">
        <f t="shared" si="77"/>
        <v>4006.3395692143868</v>
      </c>
      <c r="U32" s="465">
        <f t="shared" si="78"/>
        <v>21317.658177792102</v>
      </c>
      <c r="V32" s="3"/>
      <c r="W32" s="535">
        <f t="shared" si="79"/>
        <v>2022</v>
      </c>
      <c r="X32" s="948">
        <f t="shared" si="80"/>
        <v>15523.612887862477</v>
      </c>
      <c r="Y32" s="465">
        <f t="shared" si="81"/>
        <v>1109.7365877589782</v>
      </c>
      <c r="Z32" s="465">
        <f t="shared" si="82"/>
        <v>281.69522416200493</v>
      </c>
      <c r="AA32" s="465">
        <f t="shared" si="83"/>
        <v>4094.066040865282</v>
      </c>
      <c r="AB32" s="986">
        <f t="shared" si="22"/>
        <v>21009.110740648743</v>
      </c>
      <c r="AC32" s="1206" t="str">
        <f>IF(OR('Recycling - Case 1'!AC102="No",'Recycling - Case 1'!T142="No"), "No", "Yes")</f>
        <v>Yes</v>
      </c>
      <c r="AD32" s="948">
        <f t="shared" si="84"/>
        <v>15523.612887862477</v>
      </c>
      <c r="AE32" s="465">
        <f t="shared" si="85"/>
        <v>1109.7365877589782</v>
      </c>
      <c r="AF32" s="465">
        <f t="shared" si="86"/>
        <v>281.69522416200493</v>
      </c>
      <c r="AG32" s="465">
        <f t="shared" si="87"/>
        <v>4094.066040865282</v>
      </c>
      <c r="AH32" s="986">
        <f t="shared" si="60"/>
        <v>21009.110740648743</v>
      </c>
      <c r="AI32" s="1206" t="str">
        <f>IF(OR('Recycling - Case 1'!AI13="No",'Recycling - Case 1'!Z142="No"), "No", "Yes")</f>
        <v>Yes</v>
      </c>
      <c r="AJ32" s="948">
        <f t="shared" si="88"/>
        <v>15440.910570061716</v>
      </c>
      <c r="AK32" s="465">
        <f t="shared" si="89"/>
        <v>1382.7398139171632</v>
      </c>
      <c r="AL32" s="465">
        <f t="shared" si="90"/>
        <v>228.791856973352</v>
      </c>
      <c r="AM32" s="465">
        <f t="shared" si="91"/>
        <v>4356.2283396619641</v>
      </c>
      <c r="AN32" s="986">
        <f t="shared" si="92"/>
        <v>21408.670580614194</v>
      </c>
      <c r="AO32" s="1201" t="str">
        <f>IF(OR('Recycling - Case 2'!AC102="No",'Recycling - Case 2'!T142="No"), "No", "Yes")</f>
        <v>No</v>
      </c>
      <c r="AP32" s="948">
        <f t="shared" si="93"/>
        <v>15440.910570061716</v>
      </c>
      <c r="AQ32" s="465">
        <f t="shared" si="94"/>
        <v>1382.7398139171632</v>
      </c>
      <c r="AR32" s="465">
        <f t="shared" si="95"/>
        <v>228.791856973352</v>
      </c>
      <c r="AS32" s="465">
        <f t="shared" si="96"/>
        <v>4356.2283396619641</v>
      </c>
      <c r="AT32" s="986">
        <f t="shared" si="37"/>
        <v>21408.670580614194</v>
      </c>
      <c r="AU32" s="1206" t="str">
        <f>IF(OR('Recycling - Case 2'!AC102="No",'Recycling - Case 2'!T182="No"), "No", "Yes")</f>
        <v>No</v>
      </c>
      <c r="AV32" s="948">
        <f t="shared" si="63"/>
        <v>15440.984432419138</v>
      </c>
      <c r="AW32" s="465">
        <f t="shared" si="64"/>
        <v>839.76710828579792</v>
      </c>
      <c r="AX32" s="465">
        <f t="shared" si="65"/>
        <v>228.791856973352</v>
      </c>
      <c r="AY32" s="465">
        <f t="shared" si="66"/>
        <v>4356.2283396619641</v>
      </c>
      <c r="AZ32" s="986">
        <f t="shared" si="67"/>
        <v>20865.771737340252</v>
      </c>
      <c r="BA32" s="1206" t="str">
        <f>IF(OR('Recycling - Case 3'!AC102="No",'Recycling - Case 3'!T142="No"), "No", "Yes")</f>
        <v>No</v>
      </c>
      <c r="BB32" s="948">
        <f t="shared" si="97"/>
        <v>15440.984432419138</v>
      </c>
      <c r="BC32" s="465">
        <f t="shared" si="98"/>
        <v>839.76710828579792</v>
      </c>
      <c r="BD32" s="465">
        <f t="shared" si="99"/>
        <v>228.791856973352</v>
      </c>
      <c r="BE32" s="465">
        <f t="shared" si="100"/>
        <v>4356.2283396619641</v>
      </c>
      <c r="BF32" s="986">
        <f t="shared" si="47"/>
        <v>20865.771737340252</v>
      </c>
      <c r="BG32" s="1206" t="str">
        <f>IF(OR('Recycling - Case 3'!AC102="No",'Recycling - Case 3'!T182="No"), "No", "Yes")</f>
        <v>No</v>
      </c>
      <c r="BH32" s="535">
        <f t="shared" si="48"/>
        <v>2022</v>
      </c>
      <c r="BI32" s="465">
        <f>'Recycling - Case 1'!BV102</f>
        <v>103.38172457476958</v>
      </c>
      <c r="BJ32" s="100">
        <f>'Recycling - Case 1'!BW102</f>
        <v>0.41034253147076877</v>
      </c>
      <c r="BK32" s="986">
        <f>'Recycling - Case 1'!BX102</f>
        <v>50.359792847133143</v>
      </c>
      <c r="BL32" s="948">
        <f>'Recycling - Case 1'!BY102</f>
        <v>103.38172457476958</v>
      </c>
      <c r="BM32" s="100">
        <f>'Recycling - Case 1'!BZ102</f>
        <v>0.41034253147076877</v>
      </c>
      <c r="BN32" s="986">
        <f>'Recycling - Case 1'!CA102</f>
        <v>50.359792847133143</v>
      </c>
      <c r="BO32" s="465">
        <f>'Recycling - Case 2'!BV102</f>
        <v>95.435016155135301</v>
      </c>
      <c r="BP32" s="100">
        <f>'Recycling - Case 2'!BW102</f>
        <v>0.51509680516620993</v>
      </c>
      <c r="BQ32" s="986">
        <f>'Recycling - Case 2'!BX102</f>
        <v>50.359792847133143</v>
      </c>
      <c r="BR32" s="948">
        <f>'Recycling - Case 2'!BY102</f>
        <v>95.435016155135301</v>
      </c>
      <c r="BS32" s="100">
        <f>'Recycling - Case 2'!BZ102</f>
        <v>0.51509680516620993</v>
      </c>
      <c r="BT32" s="986">
        <f>'Recycling - Case 2'!CA102</f>
        <v>50.359792847133143</v>
      </c>
      <c r="BU32" s="465">
        <f>'Recycling - Case 3'!BV102</f>
        <v>95.435016155135301</v>
      </c>
      <c r="BV32" s="100">
        <f>'Recycling - Case 3'!BW102</f>
        <v>0.51509680516620993</v>
      </c>
      <c r="BW32" s="986">
        <f>'Recycling - Case 3'!BX102</f>
        <v>50.359792847133143</v>
      </c>
      <c r="BX32" s="948">
        <f>'Recycling - Case 3'!BY102</f>
        <v>95.435016155135301</v>
      </c>
      <c r="BY32" s="100">
        <f>'Recycling - Case 3'!BZ102</f>
        <v>0.51509680516620993</v>
      </c>
      <c r="BZ32" s="986">
        <f>'Recycling - Case 3'!CA102</f>
        <v>50.359792847133143</v>
      </c>
      <c r="CA32" s="535">
        <v>2022</v>
      </c>
      <c r="CB32" s="579">
        <f>'Recycling - Case 1'!CB102</f>
        <v>0.10687532365207342</v>
      </c>
      <c r="CC32" s="100">
        <f>'Recycling - Case 1'!CC102</f>
        <v>0.2235747660326316</v>
      </c>
      <c r="CD32" s="100">
        <f>'Recycling - Case 1'!CD102</f>
        <v>0.10687532365207342</v>
      </c>
      <c r="CE32" s="471">
        <f>'Recycling - Case 1'!CE102</f>
        <v>0.2235747660326316</v>
      </c>
      <c r="CF32" s="579">
        <f>'Recycling - Case 2'!CB102</f>
        <v>0.1603010975891157</v>
      </c>
      <c r="CG32" s="100">
        <f>'Recycling - Case 2'!CC102</f>
        <v>0.28706558067926824</v>
      </c>
      <c r="CH32" s="100">
        <f>'Recycling - Case 2'!CD102</f>
        <v>0.1603010975891157</v>
      </c>
      <c r="CI32" s="471">
        <f>'Recycling - Case 2'!CE102</f>
        <v>0.28706558067926824</v>
      </c>
      <c r="CJ32" s="579">
        <f>'Recycling - Case 3'!CB102</f>
        <v>0.1603010975891157</v>
      </c>
      <c r="CK32" s="100">
        <f>'Recycling - Case 3'!CC102</f>
        <v>0.28706558067926824</v>
      </c>
      <c r="CL32" s="100">
        <f>'Recycling - Case 3'!CD102</f>
        <v>0.1603010975891157</v>
      </c>
      <c r="CM32" s="471">
        <f>'Recycling - Case 3'!CE102</f>
        <v>0.28706558067926824</v>
      </c>
    </row>
    <row r="33" spans="1:91">
      <c r="A33">
        <f>'Input data'!A122</f>
        <v>2022</v>
      </c>
      <c r="C33" s="116">
        <f>'4A SWD Case 1'!BG92</f>
        <v>739.2196613267846</v>
      </c>
      <c r="D33" s="3">
        <f>'4B Biological treatment '!T86</f>
        <v>0.61549450236216208</v>
      </c>
      <c r="E33" s="152">
        <f>'4B Biological treatment '!U86</f>
        <v>27.697252606297287</v>
      </c>
      <c r="F33" s="152">
        <f>'4B Biological treatment '!W86</f>
        <v>1.6618351563778373</v>
      </c>
      <c r="G33" s="688">
        <f>'4C2 Open-burning '!R93</f>
        <v>29.596158430445612</v>
      </c>
      <c r="H33" s="688">
        <f>'4C2 Open-burning '!Z93</f>
        <v>9.9582012144275875</v>
      </c>
      <c r="I33" s="688">
        <f>'4C2 Open-burning '!AH93</f>
        <v>0.13863496847929035</v>
      </c>
      <c r="J33" s="93">
        <f>'4D Wastewater treatment and dis'!AV130</f>
        <v>149.57939243953086</v>
      </c>
      <c r="K33" s="3">
        <f>'4D Wastewater treatment and dis'!AW130</f>
        <v>3.0738670955972056</v>
      </c>
      <c r="L33" s="465">
        <f t="shared" si="69"/>
        <v>15523.612887862477</v>
      </c>
      <c r="M33" s="688">
        <f t="shared" si="70"/>
        <v>12.925384549605404</v>
      </c>
      <c r="N33" s="465">
        <f t="shared" si="71"/>
        <v>1096.8112032093727</v>
      </c>
      <c r="O33" s="464">
        <f t="shared" si="72"/>
        <v>281.69522416200493</v>
      </c>
      <c r="P33" s="465">
        <f t="shared" si="73"/>
        <v>4094.066040865282</v>
      </c>
      <c r="Q33" s="465">
        <f t="shared" si="74"/>
        <v>15523.612887862477</v>
      </c>
      <c r="R33" s="467">
        <f t="shared" si="75"/>
        <v>1109.7365877589782</v>
      </c>
      <c r="S33" s="464">
        <f t="shared" si="76"/>
        <v>281.69522416200493</v>
      </c>
      <c r="T33" s="465">
        <f t="shared" si="77"/>
        <v>4094.066040865282</v>
      </c>
      <c r="U33" s="465">
        <f t="shared" si="78"/>
        <v>21009.110740648743</v>
      </c>
      <c r="V33" s="3"/>
      <c r="W33" s="535">
        <f t="shared" si="79"/>
        <v>2023</v>
      </c>
      <c r="X33" s="948">
        <f t="shared" si="80"/>
        <v>15071.834449560849</v>
      </c>
      <c r="Y33" s="465">
        <f t="shared" si="81"/>
        <v>1172.4309566505772</v>
      </c>
      <c r="Z33" s="465">
        <f t="shared" si="82"/>
        <v>274.40921682083996</v>
      </c>
      <c r="AA33" s="465">
        <f t="shared" si="83"/>
        <v>4179.5816704367107</v>
      </c>
      <c r="AB33" s="986">
        <f t="shared" si="22"/>
        <v>20698.256293468978</v>
      </c>
      <c r="AC33" s="1206" t="str">
        <f>IF(OR('Recycling - Case 1'!AC103="No",'Recycling - Case 1'!T143="No"), "No", "Yes")</f>
        <v>Yes</v>
      </c>
      <c r="AD33" s="948">
        <f t="shared" si="84"/>
        <v>15071.834449560849</v>
      </c>
      <c r="AE33" s="465">
        <f t="shared" si="85"/>
        <v>1172.4309566505772</v>
      </c>
      <c r="AF33" s="465">
        <f t="shared" si="86"/>
        <v>274.40921682083996</v>
      </c>
      <c r="AG33" s="465">
        <f t="shared" si="87"/>
        <v>4179.5816704367107</v>
      </c>
      <c r="AH33" s="986">
        <f t="shared" si="60"/>
        <v>20698.256293468978</v>
      </c>
      <c r="AI33" s="1206" t="str">
        <f>IF(OR('Recycling - Case 1'!AI14="No",'Recycling - Case 1'!Z143="No"), "No", "Yes")</f>
        <v>Yes</v>
      </c>
      <c r="AJ33" s="948">
        <f t="shared" si="88"/>
        <v>14861.425689875348</v>
      </c>
      <c r="AK33" s="465">
        <f t="shared" si="89"/>
        <v>1390.8335375771253</v>
      </c>
      <c r="AL33" s="465">
        <f t="shared" si="90"/>
        <v>216.90639640602836</v>
      </c>
      <c r="AM33" s="465">
        <f t="shared" si="91"/>
        <v>4498.0961133518758</v>
      </c>
      <c r="AN33" s="986">
        <f t="shared" si="92"/>
        <v>20967.261737210378</v>
      </c>
      <c r="AO33" s="1201" t="str">
        <f>IF(OR('Recycling - Case 2'!AC103="No",'Recycling - Case 2'!T143="No"), "No", "Yes")</f>
        <v>No</v>
      </c>
      <c r="AP33" s="948">
        <f t="shared" si="93"/>
        <v>14861.425689875348</v>
      </c>
      <c r="AQ33" s="465">
        <f t="shared" si="94"/>
        <v>1390.8335375771253</v>
      </c>
      <c r="AR33" s="465">
        <f t="shared" si="95"/>
        <v>216.90639640602836</v>
      </c>
      <c r="AS33" s="465">
        <f t="shared" si="96"/>
        <v>4498.0961133518758</v>
      </c>
      <c r="AT33" s="986">
        <f t="shared" si="37"/>
        <v>20967.261737210378</v>
      </c>
      <c r="AU33" s="1206" t="str">
        <f>IF(OR('Recycling - Case 2'!AC103="No",'Recycling - Case 2'!T183="No"), "No", "Yes")</f>
        <v>No</v>
      </c>
      <c r="AV33" s="948">
        <f t="shared" si="63"/>
        <v>14861.535476866815</v>
      </c>
      <c r="AW33" s="465">
        <f t="shared" si="64"/>
        <v>844.68259769659028</v>
      </c>
      <c r="AX33" s="465">
        <f t="shared" si="65"/>
        <v>216.90639640602836</v>
      </c>
      <c r="AY33" s="465">
        <f t="shared" si="66"/>
        <v>4498.0961133518758</v>
      </c>
      <c r="AZ33" s="986">
        <f t="shared" si="67"/>
        <v>20421.220584321309</v>
      </c>
      <c r="BA33" s="1206" t="str">
        <f>IF(OR('Recycling - Case 3'!AC103="No",'Recycling - Case 3'!T143="No"), "No", "Yes")</f>
        <v>No</v>
      </c>
      <c r="BB33" s="948">
        <f t="shared" si="97"/>
        <v>14861.535476866815</v>
      </c>
      <c r="BC33" s="465">
        <f t="shared" si="98"/>
        <v>844.68259769659028</v>
      </c>
      <c r="BD33" s="465">
        <f t="shared" si="99"/>
        <v>216.90639640602836</v>
      </c>
      <c r="BE33" s="465">
        <f t="shared" si="100"/>
        <v>4498.0961133518758</v>
      </c>
      <c r="BF33" s="986">
        <f t="shared" si="47"/>
        <v>20421.220584321309</v>
      </c>
      <c r="BG33" s="1206" t="str">
        <f>IF(OR('Recycling - Case 3'!AC103="No",'Recycling - Case 3'!T183="No"), "No", "Yes")</f>
        <v>No</v>
      </c>
      <c r="BH33" s="535">
        <f t="shared" si="48"/>
        <v>2023</v>
      </c>
      <c r="BI33" s="465">
        <f>'Recycling - Case 1'!BV103</f>
        <v>101.51001465601369</v>
      </c>
      <c r="BJ33" s="100">
        <f>'Recycling - Case 1'!BW103</f>
        <v>0.43065103923376968</v>
      </c>
      <c r="BK33" s="986">
        <f>'Recycling - Case 1'!BX103</f>
        <v>49.422822449545563</v>
      </c>
      <c r="BL33" s="948">
        <f>'Recycling - Case 1'!BY103</f>
        <v>101.51001465601369</v>
      </c>
      <c r="BM33" s="100">
        <f>'Recycling - Case 1'!BZ103</f>
        <v>0.43065103923376968</v>
      </c>
      <c r="BN33" s="986">
        <f>'Recycling - Case 1'!CA103</f>
        <v>49.422822449545563</v>
      </c>
      <c r="BO33" s="465">
        <f>'Recycling - Case 2'!BV103</f>
        <v>94.790706690904059</v>
      </c>
      <c r="BP33" s="100">
        <f>'Recycling - Case 2'!BW103</f>
        <v>0.53689154564038388</v>
      </c>
      <c r="BQ33" s="986">
        <f>'Recycling - Case 2'!BX103</f>
        <v>49.422822449545563</v>
      </c>
      <c r="BR33" s="948">
        <f>'Recycling - Case 2'!BY103</f>
        <v>94.790706690904059</v>
      </c>
      <c r="BS33" s="100">
        <f>'Recycling - Case 2'!BZ103</f>
        <v>0.53689154564038388</v>
      </c>
      <c r="BT33" s="986">
        <f>'Recycling - Case 2'!CA103</f>
        <v>49.422822449545563</v>
      </c>
      <c r="BU33" s="465">
        <f>'Recycling - Case 3'!BV103</f>
        <v>94.790706690904059</v>
      </c>
      <c r="BV33" s="100">
        <f>'Recycling - Case 3'!BW103</f>
        <v>0.53689154564038388</v>
      </c>
      <c r="BW33" s="986">
        <f>'Recycling - Case 3'!BX103</f>
        <v>49.422822449545563</v>
      </c>
      <c r="BX33" s="948">
        <f>'Recycling - Case 3'!BY103</f>
        <v>94.790706690904059</v>
      </c>
      <c r="BY33" s="100">
        <f>'Recycling - Case 3'!BZ103</f>
        <v>0.53689154564038388</v>
      </c>
      <c r="BZ33" s="986">
        <f>'Recycling - Case 3'!CA103</f>
        <v>49.422822449545563</v>
      </c>
      <c r="CA33" s="535">
        <v>2023</v>
      </c>
      <c r="CB33" s="579">
        <f>'Recycling - Case 1'!CB103</f>
        <v>0.12235613539063572</v>
      </c>
      <c r="CC33" s="100">
        <f>'Recycling - Case 1'!CC103</f>
        <v>0.24277133849897348</v>
      </c>
      <c r="CD33" s="100">
        <f>'Recycling - Case 1'!CD103</f>
        <v>0.12235613539063572</v>
      </c>
      <c r="CE33" s="471">
        <f>'Recycling - Case 1'!CE103</f>
        <v>0.24277133849897348</v>
      </c>
      <c r="CF33" s="579">
        <f>'Recycling - Case 2'!CB103</f>
        <v>0.17966783027035704</v>
      </c>
      <c r="CG33" s="100">
        <f>'Recycling - Case 2'!CC103</f>
        <v>0.29309262580641682</v>
      </c>
      <c r="CH33" s="100">
        <f>'Recycling - Case 2'!CD103</f>
        <v>0.17966783027035704</v>
      </c>
      <c r="CI33" s="471">
        <f>'Recycling - Case 2'!CE103</f>
        <v>0.29309262580641682</v>
      </c>
      <c r="CJ33" s="579">
        <f>'Recycling - Case 3'!CB103</f>
        <v>0.17966783027035704</v>
      </c>
      <c r="CK33" s="100">
        <f>'Recycling - Case 3'!CC103</f>
        <v>0.29309262580641682</v>
      </c>
      <c r="CL33" s="100">
        <f>'Recycling - Case 3'!CD103</f>
        <v>0.17966783027035704</v>
      </c>
      <c r="CM33" s="471">
        <f>'Recycling - Case 3'!CE103</f>
        <v>0.29309262580641682</v>
      </c>
    </row>
    <row r="34" spans="1:91">
      <c r="A34">
        <f>'Input data'!A123</f>
        <v>2023</v>
      </c>
      <c r="C34" s="116">
        <f>'4A SWD Case 1'!BG93</f>
        <v>717.70640236004044</v>
      </c>
      <c r="D34" s="3">
        <f>'4B Biological treatment '!T87</f>
        <v>0.65026675354995978</v>
      </c>
      <c r="E34" s="152">
        <f>'4B Biological treatment '!U87</f>
        <v>29.262003909748181</v>
      </c>
      <c r="F34" s="152">
        <f>'4B Biological treatment '!W87</f>
        <v>1.7557202345848908</v>
      </c>
      <c r="G34" s="688">
        <f>'4C2 Open-burning '!R94</f>
        <v>28.830657956534516</v>
      </c>
      <c r="H34" s="688">
        <f>'4C2 Open-burning '!Z94</f>
        <v>9.7006337410387218</v>
      </c>
      <c r="I34" s="688">
        <f>'4C2 Open-burning '!AH94</f>
        <v>0.13504919452416869</v>
      </c>
      <c r="J34" s="93">
        <f>'4D Wastewater treatment and dis'!AV131</f>
        <v>153.08620264640646</v>
      </c>
      <c r="K34" s="3">
        <f>'4D Wastewater treatment and dis'!AW131</f>
        <v>3.1121658543941133</v>
      </c>
      <c r="L34" s="465">
        <f t="shared" si="69"/>
        <v>15071.834449560849</v>
      </c>
      <c r="M34" s="688">
        <f t="shared" si="70"/>
        <v>13.655601824549155</v>
      </c>
      <c r="N34" s="465">
        <f t="shared" si="71"/>
        <v>1158.775354826028</v>
      </c>
      <c r="O34" s="464">
        <f t="shared" si="72"/>
        <v>274.40921682083996</v>
      </c>
      <c r="P34" s="465">
        <f t="shared" si="73"/>
        <v>4179.5816704367107</v>
      </c>
      <c r="Q34" s="465">
        <f t="shared" si="74"/>
        <v>15071.834449560849</v>
      </c>
      <c r="R34" s="467">
        <f t="shared" si="75"/>
        <v>1172.4309566505772</v>
      </c>
      <c r="S34" s="464">
        <f t="shared" si="76"/>
        <v>274.40921682083996</v>
      </c>
      <c r="T34" s="465">
        <f t="shared" si="77"/>
        <v>4179.5816704367107</v>
      </c>
      <c r="U34" s="465">
        <f t="shared" si="78"/>
        <v>20698.256293468978</v>
      </c>
      <c r="V34" s="3"/>
      <c r="W34" s="535">
        <f t="shared" si="79"/>
        <v>2024</v>
      </c>
      <c r="X34" s="948">
        <f t="shared" si="80"/>
        <v>14619.093586396721</v>
      </c>
      <c r="Y34" s="465">
        <f t="shared" si="81"/>
        <v>1235.7173962100646</v>
      </c>
      <c r="Z34" s="465">
        <f t="shared" si="82"/>
        <v>267.37284603356454</v>
      </c>
      <c r="AA34" s="465">
        <f t="shared" si="83"/>
        <v>4262.6708621765738</v>
      </c>
      <c r="AB34" s="986">
        <f t="shared" si="22"/>
        <v>20384.854690816923</v>
      </c>
      <c r="AC34" s="1206" t="str">
        <f>IF(OR('Recycling - Case 1'!AC104="No",'Recycling - Case 1'!T144="No"), "No", "Yes")</f>
        <v>Yes</v>
      </c>
      <c r="AD34" s="948">
        <f t="shared" si="84"/>
        <v>14619.093586396721</v>
      </c>
      <c r="AE34" s="465">
        <f t="shared" si="85"/>
        <v>1235.7173962100646</v>
      </c>
      <c r="AF34" s="465">
        <f t="shared" si="86"/>
        <v>267.37284603356454</v>
      </c>
      <c r="AG34" s="465">
        <f t="shared" si="87"/>
        <v>4262.6708621765738</v>
      </c>
      <c r="AH34" s="986">
        <f t="shared" si="60"/>
        <v>20384.854690816923</v>
      </c>
      <c r="AI34" s="1206" t="str">
        <f>IF(OR('Recycling - Case 1'!AI15="No",'Recycling - Case 1'!Z144="No"), "No", "Yes")</f>
        <v>Yes</v>
      </c>
      <c r="AJ34" s="948">
        <f t="shared" si="88"/>
        <v>14305.589455569338</v>
      </c>
      <c r="AK34" s="465">
        <f t="shared" si="89"/>
        <v>1399.5193319049756</v>
      </c>
      <c r="AL34" s="465">
        <f t="shared" si="90"/>
        <v>204.89414946821324</v>
      </c>
      <c r="AM34" s="465">
        <f t="shared" si="91"/>
        <v>4638.5551576717935</v>
      </c>
      <c r="AN34" s="986">
        <f t="shared" si="92"/>
        <v>20548.55809461432</v>
      </c>
      <c r="AO34" s="1201" t="str">
        <f>IF(OR('Recycling - Case 2'!AC104="No",'Recycling - Case 2'!T144="No"), "No", "Yes")</f>
        <v>No</v>
      </c>
      <c r="AP34" s="948">
        <f t="shared" si="93"/>
        <v>14305.589455569338</v>
      </c>
      <c r="AQ34" s="465">
        <f t="shared" si="94"/>
        <v>1399.5193319049756</v>
      </c>
      <c r="AR34" s="465">
        <f t="shared" si="95"/>
        <v>204.89414946821324</v>
      </c>
      <c r="AS34" s="465">
        <f t="shared" si="96"/>
        <v>4638.5551576717935</v>
      </c>
      <c r="AT34" s="986">
        <f t="shared" si="37"/>
        <v>20548.55809461432</v>
      </c>
      <c r="AU34" s="1206" t="str">
        <f>IF(OR('Recycling - Case 2'!AC104="No",'Recycling - Case 2'!T184="No"), "No", "Yes")</f>
        <v>No</v>
      </c>
      <c r="AV34" s="948">
        <f t="shared" si="63"/>
        <v>14305.741721749877</v>
      </c>
      <c r="AW34" s="465">
        <f t="shared" si="64"/>
        <v>849.95766413530146</v>
      </c>
      <c r="AX34" s="465">
        <f t="shared" si="65"/>
        <v>204.89414946821324</v>
      </c>
      <c r="AY34" s="465">
        <f t="shared" si="66"/>
        <v>4638.5551576717935</v>
      </c>
      <c r="AZ34" s="986">
        <f t="shared" si="67"/>
        <v>19999.148693025185</v>
      </c>
      <c r="BA34" s="1206" t="str">
        <f>IF(OR('Recycling - Case 3'!AC104="No",'Recycling - Case 3'!T144="No"), "No", "Yes")</f>
        <v>No</v>
      </c>
      <c r="BB34" s="948">
        <f t="shared" si="97"/>
        <v>14305.741721749877</v>
      </c>
      <c r="BC34" s="465">
        <f t="shared" si="98"/>
        <v>849.95766413530146</v>
      </c>
      <c r="BD34" s="465">
        <f t="shared" si="99"/>
        <v>204.89414946821324</v>
      </c>
      <c r="BE34" s="465">
        <f t="shared" si="100"/>
        <v>4638.5551576717935</v>
      </c>
      <c r="BF34" s="986">
        <f t="shared" si="47"/>
        <v>19999.148693025185</v>
      </c>
      <c r="BG34" s="1206" t="str">
        <f>IF(OR('Recycling - Case 3'!AC104="No",'Recycling - Case 3'!T184="No"), "No", "Yes")</f>
        <v>No</v>
      </c>
      <c r="BH34" s="535">
        <f t="shared" si="48"/>
        <v>2024</v>
      </c>
      <c r="BI34" s="465">
        <f>'Recycling - Case 1'!BV104</f>
        <v>100.02658365273933</v>
      </c>
      <c r="BJ34" s="100">
        <f>'Recycling - Case 1'!BW104</f>
        <v>0.45220781363899443</v>
      </c>
      <c r="BK34" s="986">
        <f>'Recycling - Case 1'!BX104</f>
        <v>49.894033579494405</v>
      </c>
      <c r="BL34" s="948">
        <f>'Recycling - Case 1'!BY104</f>
        <v>100.02658365273933</v>
      </c>
      <c r="BM34" s="100">
        <f>'Recycling - Case 1'!BZ104</f>
        <v>0.45220781363899443</v>
      </c>
      <c r="BN34" s="986">
        <f>'Recycling - Case 1'!CA104</f>
        <v>49.894033579494405</v>
      </c>
      <c r="BO34" s="465">
        <f>'Recycling - Case 2'!BV104</f>
        <v>95.588678713307871</v>
      </c>
      <c r="BP34" s="100">
        <f>'Recycling - Case 2'!BW104</f>
        <v>0.5539882076551309</v>
      </c>
      <c r="BQ34" s="986">
        <f>'Recycling - Case 2'!BX104</f>
        <v>49.894033579494405</v>
      </c>
      <c r="BR34" s="948">
        <f>'Recycling - Case 2'!BY104</f>
        <v>95.588678713307871</v>
      </c>
      <c r="BS34" s="100">
        <f>'Recycling - Case 2'!BZ104</f>
        <v>0.5539882076551309</v>
      </c>
      <c r="BT34" s="986">
        <f>'Recycling - Case 2'!CA104</f>
        <v>49.894033579494405</v>
      </c>
      <c r="BU34" s="465">
        <f>'Recycling - Case 3'!BV104</f>
        <v>95.588678713307857</v>
      </c>
      <c r="BV34" s="100">
        <f>'Recycling - Case 3'!BW104</f>
        <v>0.5539882076551309</v>
      </c>
      <c r="BW34" s="986">
        <f>'Recycling - Case 3'!BX104</f>
        <v>49.894033579494405</v>
      </c>
      <c r="BX34" s="948">
        <f>'Recycling - Case 3'!BY104</f>
        <v>95.588678713307857</v>
      </c>
      <c r="BY34" s="100">
        <f>'Recycling - Case 3'!BZ104</f>
        <v>0.5539882076551309</v>
      </c>
      <c r="BZ34" s="986">
        <f>'Recycling - Case 3'!CA104</f>
        <v>49.894033579494405</v>
      </c>
      <c r="CA34" s="535">
        <v>2024</v>
      </c>
      <c r="CB34" s="579">
        <f>'Recycling - Case 1'!CB104</f>
        <v>0.13605417130436748</v>
      </c>
      <c r="CC34" s="100">
        <f>'Recycling - Case 1'!CC104</f>
        <v>0.2688493159016655</v>
      </c>
      <c r="CD34" s="100">
        <f>'Recycling - Case 1'!CD104</f>
        <v>0.13605417130436748</v>
      </c>
      <c r="CE34" s="471">
        <f>'Recycling - Case 1'!CE104</f>
        <v>0.2688493159016655</v>
      </c>
      <c r="CF34" s="579">
        <f>'Recycling - Case 2'!CB104</f>
        <v>0.19812197402919662</v>
      </c>
      <c r="CG34" s="100">
        <f>'Recycling - Case 2'!CC104</f>
        <v>0.29532905879649052</v>
      </c>
      <c r="CH34" s="100">
        <f>'Recycling - Case 2'!CD104</f>
        <v>0.19812197402919662</v>
      </c>
      <c r="CI34" s="471">
        <f>'Recycling - Case 2'!CE104</f>
        <v>0.29532905879649052</v>
      </c>
      <c r="CJ34" s="579">
        <f>'Recycling - Case 3'!CB104</f>
        <v>0.19812197402919685</v>
      </c>
      <c r="CK34" s="100">
        <f>'Recycling - Case 3'!CC104</f>
        <v>0.29532905879649052</v>
      </c>
      <c r="CL34" s="100">
        <f>'Recycling - Case 3'!CD104</f>
        <v>0.19812197402919685</v>
      </c>
      <c r="CM34" s="471">
        <f>'Recycling - Case 3'!CE104</f>
        <v>0.29532905879649052</v>
      </c>
    </row>
    <row r="35" spans="1:91">
      <c r="A35">
        <f>'Input data'!A124</f>
        <v>2024</v>
      </c>
      <c r="C35" s="116">
        <f>'4A SWD Case 1'!BG94</f>
        <v>696.14731363793908</v>
      </c>
      <c r="D35" s="3">
        <f>'4B Biological treatment '!T88</f>
        <v>0.68536738558517185</v>
      </c>
      <c r="E35" s="152">
        <f>'4B Biological treatment '!U88</f>
        <v>30.841532351332727</v>
      </c>
      <c r="F35" s="152">
        <f>'4B Biological treatment '!W88</f>
        <v>1.8504919410799636</v>
      </c>
      <c r="G35" s="688">
        <f>'4C2 Open-burning '!R95</f>
        <v>28.091385413966311</v>
      </c>
      <c r="H35" s="688">
        <f>'4C2 Open-burning '!Z95</f>
        <v>9.4518911635688543</v>
      </c>
      <c r="I35" s="688">
        <f>'4C2 Open-burning '!AH95</f>
        <v>0.13158627801500727</v>
      </c>
      <c r="J35" s="93">
        <f>'4D Wastewater treatment and dis'!AV132</f>
        <v>156.51317952937083</v>
      </c>
      <c r="K35" s="3">
        <f>'4D Wastewater treatment and dis'!AW132</f>
        <v>3.1480454582573771</v>
      </c>
      <c r="L35" s="465">
        <f t="shared" si="69"/>
        <v>14619.093586396721</v>
      </c>
      <c r="M35" s="688">
        <f t="shared" si="70"/>
        <v>14.392715097288608</v>
      </c>
      <c r="N35" s="465">
        <f t="shared" si="71"/>
        <v>1221.324681112776</v>
      </c>
      <c r="O35" s="464">
        <f t="shared" si="72"/>
        <v>267.37284603356454</v>
      </c>
      <c r="P35" s="465">
        <f t="shared" si="73"/>
        <v>4262.6708621765738</v>
      </c>
      <c r="Q35" s="465">
        <f t="shared" si="74"/>
        <v>14619.093586396721</v>
      </c>
      <c r="R35" s="467">
        <f t="shared" si="75"/>
        <v>1235.7173962100646</v>
      </c>
      <c r="S35" s="464">
        <f t="shared" si="76"/>
        <v>267.37284603356454</v>
      </c>
      <c r="T35" s="465">
        <f t="shared" si="77"/>
        <v>4262.6708621765738</v>
      </c>
      <c r="U35" s="465">
        <f t="shared" si="78"/>
        <v>20384.854690816923</v>
      </c>
      <c r="V35" s="3"/>
      <c r="W35" s="535">
        <f t="shared" si="79"/>
        <v>2025</v>
      </c>
      <c r="X35" s="948">
        <f t="shared" si="80"/>
        <v>14160.854318867994</v>
      </c>
      <c r="Y35" s="465">
        <f t="shared" si="81"/>
        <v>1298.538805430403</v>
      </c>
      <c r="Z35" s="465">
        <f t="shared" si="82"/>
        <v>260.59971458051854</v>
      </c>
      <c r="AA35" s="465">
        <f t="shared" si="83"/>
        <v>4343.120833339507</v>
      </c>
      <c r="AB35" s="986">
        <f t="shared" si="22"/>
        <v>20063.11367221842</v>
      </c>
      <c r="AC35" s="1206" t="str">
        <f>IF(OR('Recycling - Case 1'!AC105="No",'Recycling - Case 1'!T145="No"), "No", "Yes")</f>
        <v>Yes</v>
      </c>
      <c r="AD35" s="948">
        <f t="shared" si="84"/>
        <v>14160.854318867994</v>
      </c>
      <c r="AE35" s="465">
        <f t="shared" si="85"/>
        <v>1298.538805430403</v>
      </c>
      <c r="AF35" s="465">
        <f t="shared" si="86"/>
        <v>260.59971458051854</v>
      </c>
      <c r="AG35" s="465">
        <f t="shared" si="87"/>
        <v>4343.120833339507</v>
      </c>
      <c r="AH35" s="986">
        <f t="shared" si="60"/>
        <v>20063.11367221842</v>
      </c>
      <c r="AI35" s="1206" t="str">
        <f>IF(OR('Recycling - Case 1'!AI16="No",'Recycling - Case 1'!Z145="No"), "No", "Yes")</f>
        <v>Yes</v>
      </c>
      <c r="AJ35" s="948">
        <f t="shared" si="88"/>
        <v>13771.649663797678</v>
      </c>
      <c r="AK35" s="465">
        <f t="shared" si="89"/>
        <v>1407.7400958936769</v>
      </c>
      <c r="AL35" s="465">
        <f t="shared" si="90"/>
        <v>192.73543627799813</v>
      </c>
      <c r="AM35" s="465">
        <f t="shared" si="91"/>
        <v>4777.2556694816303</v>
      </c>
      <c r="AN35" s="986">
        <f t="shared" si="92"/>
        <v>20149.380865450985</v>
      </c>
      <c r="AO35" s="1201" t="str">
        <f>IF(OR('Recycling - Case 2'!AC105="No",'Recycling - Case 2'!T145="No"), "No", "Yes")</f>
        <v>No</v>
      </c>
      <c r="AP35" s="948">
        <f t="shared" si="93"/>
        <v>13771.649663797678</v>
      </c>
      <c r="AQ35" s="465">
        <f t="shared" si="94"/>
        <v>1407.7400958936769</v>
      </c>
      <c r="AR35" s="465">
        <f t="shared" si="95"/>
        <v>192.73543627799813</v>
      </c>
      <c r="AS35" s="465">
        <f t="shared" si="96"/>
        <v>4777.2556694816303</v>
      </c>
      <c r="AT35" s="986">
        <f t="shared" si="37"/>
        <v>20149.380865450985</v>
      </c>
      <c r="AU35" s="1206" t="str">
        <f>IF(OR('Recycling - Case 2'!AC105="No",'Recycling - Case 2'!T185="No"), "No", "Yes")</f>
        <v>No</v>
      </c>
      <c r="AV35" s="948">
        <f t="shared" si="63"/>
        <v>13771.850738171388</v>
      </c>
      <c r="AW35" s="465">
        <f t="shared" si="64"/>
        <v>854.95030782228321</v>
      </c>
      <c r="AX35" s="465">
        <f t="shared" si="65"/>
        <v>192.73543627799813</v>
      </c>
      <c r="AY35" s="465">
        <f t="shared" si="66"/>
        <v>4777.2556694816303</v>
      </c>
      <c r="AZ35" s="986">
        <f t="shared" si="67"/>
        <v>19596.7921517533</v>
      </c>
      <c r="BA35" s="1206" t="str">
        <f>IF(OR('Recycling - Case 3'!AC105="No",'Recycling - Case 3'!T145="No"), "No", "Yes")</f>
        <v>No</v>
      </c>
      <c r="BB35" s="948">
        <f t="shared" si="97"/>
        <v>13771.850738171388</v>
      </c>
      <c r="BC35" s="465">
        <f t="shared" si="98"/>
        <v>854.95030782228321</v>
      </c>
      <c r="BD35" s="465">
        <f t="shared" si="99"/>
        <v>192.73543627799813</v>
      </c>
      <c r="BE35" s="465">
        <f t="shared" si="100"/>
        <v>4777.2556694816303</v>
      </c>
      <c r="BF35" s="986">
        <f t="shared" si="47"/>
        <v>19596.7921517533</v>
      </c>
      <c r="BG35" s="1206" t="str">
        <f>IF(OR('Recycling - Case 3'!AC105="No",'Recycling - Case 3'!T185="No"), "No", "Yes")</f>
        <v>No</v>
      </c>
      <c r="BH35" s="535">
        <f t="shared" si="48"/>
        <v>2025</v>
      </c>
      <c r="BI35" s="465">
        <f>'Recycling - Case 1'!BV105</f>
        <v>98.601248566647257</v>
      </c>
      <c r="BJ35" s="100">
        <f>'Recycling - Case 1'!BW105</f>
        <v>0.47314306458919425</v>
      </c>
      <c r="BK35" s="986">
        <f>'Recycling - Case 1'!BX105</f>
        <v>49.409698226927205</v>
      </c>
      <c r="BL35" s="948">
        <f>'Recycling - Case 1'!BY105</f>
        <v>98.601248566647257</v>
      </c>
      <c r="BM35" s="100">
        <f>'Recycling - Case 1'!BZ105</f>
        <v>0.47314306458919425</v>
      </c>
      <c r="BN35" s="986">
        <f>'Recycling - Case 1'!CA105</f>
        <v>49.409698226927205</v>
      </c>
      <c r="BO35" s="465">
        <f>'Recycling - Case 2'!BV105</f>
        <v>95.395398062643622</v>
      </c>
      <c r="BP35" s="100">
        <f>'Recycling - Case 2'!BW105</f>
        <v>0.57391312272489814</v>
      </c>
      <c r="BQ35" s="986">
        <f>'Recycling - Case 2'!BX105</f>
        <v>49.409698226927205</v>
      </c>
      <c r="BR35" s="948">
        <f>'Recycling - Case 2'!BY105</f>
        <v>95.395398062643622</v>
      </c>
      <c r="BS35" s="100">
        <f>'Recycling - Case 2'!BZ105</f>
        <v>0.57391312272489814</v>
      </c>
      <c r="BT35" s="986">
        <f>'Recycling - Case 2'!CA105</f>
        <v>49.409698226927205</v>
      </c>
      <c r="BU35" s="465">
        <f>'Recycling - Case 3'!BV105</f>
        <v>95.395398062643622</v>
      </c>
      <c r="BV35" s="100">
        <f>'Recycling - Case 3'!BW105</f>
        <v>0.57391312272489814</v>
      </c>
      <c r="BW35" s="986">
        <f>'Recycling - Case 3'!BX105</f>
        <v>49.409698226927205</v>
      </c>
      <c r="BX35" s="948">
        <f>'Recycling - Case 3'!BY105</f>
        <v>95.395398062643622</v>
      </c>
      <c r="BY35" s="100">
        <f>'Recycling - Case 3'!BZ105</f>
        <v>0.57391312272489814</v>
      </c>
      <c r="BZ35" s="986">
        <f>'Recycling - Case 3'!CA105</f>
        <v>49.409698226927205</v>
      </c>
      <c r="CA35" s="535">
        <v>2025</v>
      </c>
      <c r="CB35" s="579">
        <f>'Recycling - Case 1'!CB105</f>
        <v>0.14808342100012861</v>
      </c>
      <c r="CC35" s="100">
        <f>'Recycling - Case 1'!CC105</f>
        <v>0.28685643150106899</v>
      </c>
      <c r="CD35" s="100">
        <f>'Recycling - Case 1'!CD105</f>
        <v>0.14808342100012861</v>
      </c>
      <c r="CE35" s="471">
        <f>'Recycling - Case 1'!CE105</f>
        <v>0.28685643150106899</v>
      </c>
      <c r="CF35" s="579">
        <f>'Recycling - Case 2'!CB105</f>
        <v>0.2157382646789352</v>
      </c>
      <c r="CG35" s="100">
        <f>'Recycling - Case 2'!CC105</f>
        <v>0.29997941102562931</v>
      </c>
      <c r="CH35" s="100">
        <f>'Recycling - Case 2'!CD105</f>
        <v>0.2157382646789352</v>
      </c>
      <c r="CI35" s="471">
        <f>'Recycling - Case 2'!CE105</f>
        <v>0.29997941102562931</v>
      </c>
      <c r="CJ35" s="579">
        <f>'Recycling - Case 3'!CB105</f>
        <v>0.2157382646789352</v>
      </c>
      <c r="CK35" s="100">
        <f>'Recycling - Case 3'!CC105</f>
        <v>0.29997941102562931</v>
      </c>
      <c r="CL35" s="100">
        <f>'Recycling - Case 3'!CD105</f>
        <v>0.2157382646789352</v>
      </c>
      <c r="CM35" s="471">
        <f>'Recycling - Case 3'!CE105</f>
        <v>0.29997941102562931</v>
      </c>
    </row>
    <row r="36" spans="1:91">
      <c r="A36">
        <f>'Input data'!A125</f>
        <v>2025</v>
      </c>
      <c r="C36" s="116">
        <f>'4A SWD Case 1'!BG95</f>
        <v>674.32639613657113</v>
      </c>
      <c r="D36" s="3">
        <f>'4B Biological treatment '!T89</f>
        <v>0.72021009729916985</v>
      </c>
      <c r="E36" s="152">
        <f>'4B Biological treatment '!U89</f>
        <v>32.409454378462641</v>
      </c>
      <c r="F36" s="152">
        <f>'4B Biological treatment '!W89</f>
        <v>1.9445672627077581</v>
      </c>
      <c r="G36" s="688">
        <f>'4C2 Open-burning '!R96</f>
        <v>27.379769971599782</v>
      </c>
      <c r="H36" s="688">
        <f>'4C2 Open-burning '!Z96</f>
        <v>9.2124543535844214</v>
      </c>
      <c r="I36" s="688">
        <f>'4C2 Open-burning '!AH96</f>
        <v>0.12825291349563189</v>
      </c>
      <c r="J36" s="93">
        <f>'4D Wastewater treatment and dis'!AV133</f>
        <v>159.85162136106766</v>
      </c>
      <c r="K36" s="3">
        <f>'4D Wastewater treatment and dis'!AW133</f>
        <v>3.1814089830873744</v>
      </c>
      <c r="L36" s="465">
        <f t="shared" si="69"/>
        <v>14160.854318867994</v>
      </c>
      <c r="M36" s="688">
        <f t="shared" si="70"/>
        <v>15.124412043282566</v>
      </c>
      <c r="N36" s="465">
        <f t="shared" si="71"/>
        <v>1283.4143933871205</v>
      </c>
      <c r="O36" s="464">
        <f t="shared" si="72"/>
        <v>260.59971458051854</v>
      </c>
      <c r="P36" s="465">
        <f t="shared" si="73"/>
        <v>4343.120833339507</v>
      </c>
      <c r="Q36" s="465">
        <f t="shared" si="74"/>
        <v>14160.854318867994</v>
      </c>
      <c r="R36" s="467">
        <f t="shared" si="75"/>
        <v>1298.538805430403</v>
      </c>
      <c r="S36" s="464">
        <f t="shared" si="76"/>
        <v>260.59971458051854</v>
      </c>
      <c r="T36" s="465">
        <f t="shared" si="77"/>
        <v>4343.120833339507</v>
      </c>
      <c r="U36" s="465">
        <f t="shared" si="78"/>
        <v>20063.11367221842</v>
      </c>
      <c r="V36" s="3"/>
      <c r="W36" s="535">
        <f t="shared" si="79"/>
        <v>2026</v>
      </c>
      <c r="X36" s="948">
        <f t="shared" si="80"/>
        <v>13704.071299465584</v>
      </c>
      <c r="Y36" s="465">
        <f t="shared" si="81"/>
        <v>1360.2842928542614</v>
      </c>
      <c r="Z36" s="465">
        <f t="shared" si="82"/>
        <v>254.06145258870976</v>
      </c>
      <c r="AA36" s="465">
        <f t="shared" si="83"/>
        <v>4423.3381931559124</v>
      </c>
      <c r="AB36" s="986">
        <f t="shared" si="22"/>
        <v>19741.75523806447</v>
      </c>
      <c r="AC36" s="1206" t="str">
        <f>IF(OR('Recycling - Case 1'!AC106="No",'Recycling - Case 1'!T146="No"), "No", "Yes")</f>
        <v>Yes</v>
      </c>
      <c r="AD36" s="948">
        <f t="shared" si="84"/>
        <v>13704.071299465584</v>
      </c>
      <c r="AE36" s="465">
        <f t="shared" si="85"/>
        <v>1360.2842928542614</v>
      </c>
      <c r="AF36" s="465">
        <f t="shared" si="86"/>
        <v>254.06145258870976</v>
      </c>
      <c r="AG36" s="465">
        <f t="shared" si="87"/>
        <v>4423.3381931559124</v>
      </c>
      <c r="AH36" s="986">
        <f t="shared" si="60"/>
        <v>19741.75523806447</v>
      </c>
      <c r="AI36" s="1206" t="str">
        <f>IF(OR('Recycling - Case 1'!AI17="No",'Recycling - Case 1'!Z146="No"), "No", "Yes")</f>
        <v>Yes</v>
      </c>
      <c r="AJ36" s="948">
        <f t="shared" si="88"/>
        <v>13257.934482378099</v>
      </c>
      <c r="AK36" s="465">
        <f t="shared" si="89"/>
        <v>1414.8849380858983</v>
      </c>
      <c r="AL36" s="465">
        <f t="shared" si="90"/>
        <v>180.37222914300256</v>
      </c>
      <c r="AM36" s="465">
        <f t="shared" si="91"/>
        <v>4916.7532922564824</v>
      </c>
      <c r="AN36" s="986">
        <f t="shared" si="92"/>
        <v>19769.944941863483</v>
      </c>
      <c r="AO36" s="1201" t="str">
        <f>IF(OR('Recycling - Case 2'!AC106="No",'Recycling - Case 2'!T146="No"), "No", "Yes")</f>
        <v>No</v>
      </c>
      <c r="AP36" s="948">
        <f t="shared" si="93"/>
        <v>13257.934482378099</v>
      </c>
      <c r="AQ36" s="465">
        <f t="shared" si="94"/>
        <v>1414.8849380858983</v>
      </c>
      <c r="AR36" s="465">
        <f t="shared" si="95"/>
        <v>180.37222914300256</v>
      </c>
      <c r="AS36" s="465">
        <f t="shared" si="96"/>
        <v>4916.7532922564824</v>
      </c>
      <c r="AT36" s="986">
        <f t="shared" si="37"/>
        <v>19769.944941863483</v>
      </c>
      <c r="AU36" s="1206" t="str">
        <f>IF(OR('Recycling - Case 2'!AC106="No",'Recycling - Case 2'!T186="No"), "No", "Yes")</f>
        <v>No</v>
      </c>
      <c r="AV36" s="948">
        <f t="shared" si="63"/>
        <v>13258.190460508884</v>
      </c>
      <c r="AW36" s="465">
        <f t="shared" si="64"/>
        <v>859.28952146647725</v>
      </c>
      <c r="AX36" s="465">
        <f t="shared" si="65"/>
        <v>180.37222914300258</v>
      </c>
      <c r="AY36" s="465">
        <f t="shared" si="66"/>
        <v>4916.7532922564824</v>
      </c>
      <c r="AZ36" s="986">
        <f t="shared" si="67"/>
        <v>19214.605503374845</v>
      </c>
      <c r="BA36" s="1206" t="str">
        <f>IF(OR('Recycling - Case 3'!AC106="No",'Recycling - Case 3'!T146="No"), "No", "Yes")</f>
        <v>No</v>
      </c>
      <c r="BB36" s="948">
        <f t="shared" si="97"/>
        <v>13258.190460508884</v>
      </c>
      <c r="BC36" s="465">
        <f t="shared" si="98"/>
        <v>859.28952146647725</v>
      </c>
      <c r="BD36" s="465">
        <f t="shared" si="99"/>
        <v>180.37222914300258</v>
      </c>
      <c r="BE36" s="465">
        <f t="shared" si="100"/>
        <v>4916.7532922564824</v>
      </c>
      <c r="BF36" s="986">
        <f t="shared" si="47"/>
        <v>19214.605503374845</v>
      </c>
      <c r="BG36" s="1206" t="str">
        <f>IF(OR('Recycling - Case 3'!AC106="No",'Recycling - Case 3'!T186="No"), "No", "Yes")</f>
        <v>No</v>
      </c>
      <c r="BH36" s="535">
        <f t="shared" si="48"/>
        <v>2026</v>
      </c>
      <c r="BI36" s="465">
        <f>'Recycling - Case 1'!BV106</f>
        <v>97.109666219370922</v>
      </c>
      <c r="BJ36" s="100">
        <f>'Recycling - Case 1'!BW106</f>
        <v>0.49282656142872167</v>
      </c>
      <c r="BK36" s="986">
        <f>'Recycling - Case 1'!BX106</f>
        <v>47.599010514277694</v>
      </c>
      <c r="BL36" s="948">
        <f>'Recycling - Case 1'!BY106</f>
        <v>97.109666219370922</v>
      </c>
      <c r="BM36" s="100">
        <f>'Recycling - Case 1'!BZ106</f>
        <v>0.49282656142872167</v>
      </c>
      <c r="BN36" s="986">
        <f>'Recycling - Case 1'!CA106</f>
        <v>47.599010514277694</v>
      </c>
      <c r="BO36" s="465">
        <f>'Recycling - Case 2'!BV106</f>
        <v>93.80407274357124</v>
      </c>
      <c r="BP36" s="100">
        <f>'Recycling - Case 2'!BW106</f>
        <v>0.59755415715461579</v>
      </c>
      <c r="BQ36" s="986">
        <f>'Recycling - Case 2'!BX106</f>
        <v>47.599010514277694</v>
      </c>
      <c r="BR36" s="948">
        <f>'Recycling - Case 2'!BY106</f>
        <v>93.80407274357124</v>
      </c>
      <c r="BS36" s="100">
        <f>'Recycling - Case 2'!BZ106</f>
        <v>0.59755415715461579</v>
      </c>
      <c r="BT36" s="986">
        <f>'Recycling - Case 2'!CA106</f>
        <v>47.599010514277694</v>
      </c>
      <c r="BU36" s="465">
        <f>'Recycling - Case 3'!BV106</f>
        <v>93.80407274357124</v>
      </c>
      <c r="BV36" s="100">
        <f>'Recycling - Case 3'!BW106</f>
        <v>0.59755415715461579</v>
      </c>
      <c r="BW36" s="986">
        <f>'Recycling - Case 3'!BX106</f>
        <v>47.599010514277694</v>
      </c>
      <c r="BX36" s="948">
        <f>'Recycling - Case 3'!BY106</f>
        <v>93.80407274357124</v>
      </c>
      <c r="BY36" s="100">
        <f>'Recycling - Case 3'!BZ106</f>
        <v>0.59755415715461579</v>
      </c>
      <c r="BZ36" s="986">
        <f>'Recycling - Case 3'!CA106</f>
        <v>47.599010514277694</v>
      </c>
      <c r="CA36" s="535">
        <v>2026</v>
      </c>
      <c r="CB36" s="579">
        <f>'Recycling - Case 1'!CB106</f>
        <v>0.15889496532328184</v>
      </c>
      <c r="CC36" s="100">
        <f>'Recycling - Case 1'!CC106</f>
        <v>0.29560628104642461</v>
      </c>
      <c r="CD36" s="100">
        <f>'Recycling - Case 1'!CD106</f>
        <v>0.15889496532328184</v>
      </c>
      <c r="CE36" s="471">
        <f>'Recycling - Case 1'!CE106</f>
        <v>0.29560628104642461</v>
      </c>
      <c r="CF36" s="579">
        <f>'Recycling - Case 2'!CB106</f>
        <v>0.23286991932417733</v>
      </c>
      <c r="CG36" s="100">
        <f>'Recycling - Case 2'!CC106</f>
        <v>0.30796773866479143</v>
      </c>
      <c r="CH36" s="100">
        <f>'Recycling - Case 2'!CD106</f>
        <v>0.23286991932417733</v>
      </c>
      <c r="CI36" s="471">
        <f>'Recycling - Case 2'!CE106</f>
        <v>0.30796773866479143</v>
      </c>
      <c r="CJ36" s="579">
        <f>'Recycling - Case 3'!CB106</f>
        <v>0.23286991932417733</v>
      </c>
      <c r="CK36" s="100">
        <f>'Recycling - Case 3'!CC106</f>
        <v>0.30796773866479143</v>
      </c>
      <c r="CL36" s="100">
        <f>'Recycling - Case 3'!CD106</f>
        <v>0.23286991932417733</v>
      </c>
      <c r="CM36" s="471">
        <f>'Recycling - Case 3'!CE106</f>
        <v>0.30796773866479143</v>
      </c>
    </row>
    <row r="37" spans="1:91">
      <c r="A37">
        <f>'Input data'!A126</f>
        <v>2026</v>
      </c>
      <c r="C37" s="116">
        <f>'4A SWD Case 1'!BG96</f>
        <v>652.57482378407542</v>
      </c>
      <c r="D37" s="3">
        <f>'4B Biological treatment '!T90</f>
        <v>0.7544560692480653</v>
      </c>
      <c r="E37" s="152">
        <f>'4B Biological treatment '!U90</f>
        <v>33.950523116162927</v>
      </c>
      <c r="F37" s="152">
        <f>'4B Biological treatment '!W90</f>
        <v>2.0370313869697756</v>
      </c>
      <c r="G37" s="688">
        <f>'4C2 Open-burning '!R97</f>
        <v>26.692830963865504</v>
      </c>
      <c r="H37" s="688">
        <f>'4C2 Open-burning '!Z97</f>
        <v>8.9813204083754989</v>
      </c>
      <c r="I37" s="688">
        <f>'4C2 Open-burning '!AH97</f>
        <v>0.12503513886760889</v>
      </c>
      <c r="J37" s="93">
        <f>'4D Wastewater treatment and dis'!AV134</f>
        <v>163.18941706216847</v>
      </c>
      <c r="K37" s="3">
        <f>'4D Wastewater treatment and dis'!AW134</f>
        <v>3.2140659188721759</v>
      </c>
      <c r="L37" s="465">
        <f t="shared" si="69"/>
        <v>13704.071299465584</v>
      </c>
      <c r="M37" s="688">
        <f t="shared" si="70"/>
        <v>15.84357745420937</v>
      </c>
      <c r="N37" s="465">
        <f t="shared" si="71"/>
        <v>1344.4407154000519</v>
      </c>
      <c r="O37" s="464">
        <f t="shared" si="72"/>
        <v>254.06145258870976</v>
      </c>
      <c r="P37" s="465">
        <f t="shared" si="73"/>
        <v>4423.3381931559124</v>
      </c>
      <c r="Q37" s="465">
        <f t="shared" si="74"/>
        <v>13704.071299465584</v>
      </c>
      <c r="R37" s="467">
        <f t="shared" si="75"/>
        <v>1360.2842928542614</v>
      </c>
      <c r="S37" s="464">
        <f t="shared" si="76"/>
        <v>254.06145258870976</v>
      </c>
      <c r="T37" s="465">
        <f t="shared" si="77"/>
        <v>4423.3381931559124</v>
      </c>
      <c r="U37" s="465">
        <f t="shared" si="78"/>
        <v>19741.75523806447</v>
      </c>
      <c r="V37" s="3"/>
      <c r="W37" s="535">
        <f t="shared" si="79"/>
        <v>2027</v>
      </c>
      <c r="X37" s="948">
        <f t="shared" si="80"/>
        <v>13256.170111697584</v>
      </c>
      <c r="Y37" s="465">
        <f t="shared" si="81"/>
        <v>1421.978807306712</v>
      </c>
      <c r="Z37" s="465">
        <f t="shared" si="82"/>
        <v>247.75826929213909</v>
      </c>
      <c r="AA37" s="465">
        <f t="shared" si="83"/>
        <v>4503.2588541054283</v>
      </c>
      <c r="AB37" s="986">
        <f t="shared" si="22"/>
        <v>19429.166042401863</v>
      </c>
      <c r="AC37" s="1206" t="str">
        <f>IF(OR('Recycling - Case 1'!AC107="No",'Recycling - Case 1'!T147="No"), "No", "Yes")</f>
        <v>Yes</v>
      </c>
      <c r="AD37" s="948">
        <f t="shared" si="84"/>
        <v>13256.170111697584</v>
      </c>
      <c r="AE37" s="465">
        <f t="shared" si="85"/>
        <v>1421.978807306712</v>
      </c>
      <c r="AF37" s="465">
        <f t="shared" si="86"/>
        <v>247.75826929213909</v>
      </c>
      <c r="AG37" s="465">
        <f t="shared" si="87"/>
        <v>4503.2588541054283</v>
      </c>
      <c r="AH37" s="986">
        <f t="shared" si="60"/>
        <v>19429.166042401863</v>
      </c>
      <c r="AI37" s="1206" t="str">
        <f>IF(OR('Recycling - Case 1'!AI18="No",'Recycling - Case 1'!Z147="No"), "No", "Yes")</f>
        <v>Yes</v>
      </c>
      <c r="AJ37" s="948">
        <f t="shared" si="88"/>
        <v>12762.876999017766</v>
      </c>
      <c r="AK37" s="465">
        <f t="shared" si="89"/>
        <v>1421.978807306712</v>
      </c>
      <c r="AL37" s="465">
        <f t="shared" si="90"/>
        <v>167.79191934062044</v>
      </c>
      <c r="AM37" s="465">
        <f t="shared" si="91"/>
        <v>5056.9427905821094</v>
      </c>
      <c r="AN37" s="986">
        <f t="shared" si="92"/>
        <v>19409.590516247208</v>
      </c>
      <c r="AO37" s="1201" t="str">
        <f>IF(OR('Recycling - Case 2'!AC107="No",'Recycling - Case 2'!T147="No"), "No", "Yes")</f>
        <v>No</v>
      </c>
      <c r="AP37" s="948">
        <f t="shared" si="93"/>
        <v>12762.876999017766</v>
      </c>
      <c r="AQ37" s="465">
        <f t="shared" si="94"/>
        <v>1421.978807306712</v>
      </c>
      <c r="AR37" s="465">
        <f t="shared" si="95"/>
        <v>167.79191934062044</v>
      </c>
      <c r="AS37" s="465">
        <f t="shared" si="96"/>
        <v>5056.9427905821094</v>
      </c>
      <c r="AT37" s="986">
        <f t="shared" si="37"/>
        <v>19409.590516247208</v>
      </c>
      <c r="AU37" s="1206" t="str">
        <f>IF(OR('Recycling - Case 2'!AC107="No",'Recycling - Case 2'!T187="No"), "No", "Yes")</f>
        <v>No</v>
      </c>
      <c r="AV37" s="948">
        <f t="shared" si="63"/>
        <v>12763.193779491556</v>
      </c>
      <c r="AW37" s="465">
        <f t="shared" si="64"/>
        <v>863.59777814800327</v>
      </c>
      <c r="AX37" s="465">
        <f t="shared" si="65"/>
        <v>167.79191934062044</v>
      </c>
      <c r="AY37" s="465">
        <f t="shared" si="66"/>
        <v>5056.9427905821094</v>
      </c>
      <c r="AZ37" s="986">
        <f t="shared" si="67"/>
        <v>18851.526267562287</v>
      </c>
      <c r="BA37" s="1206" t="str">
        <f>IF(OR('Recycling - Case 3'!AC107="No",'Recycling - Case 3'!T147="No"), "No", "Yes")</f>
        <v>No</v>
      </c>
      <c r="BB37" s="948">
        <f t="shared" si="97"/>
        <v>12763.193779491556</v>
      </c>
      <c r="BC37" s="465">
        <f t="shared" si="98"/>
        <v>863.59777814800327</v>
      </c>
      <c r="BD37" s="465">
        <f t="shared" si="99"/>
        <v>167.79191934062044</v>
      </c>
      <c r="BE37" s="465">
        <f t="shared" si="100"/>
        <v>5056.9427905821094</v>
      </c>
      <c r="BF37" s="986">
        <f t="shared" si="47"/>
        <v>18851.526267562287</v>
      </c>
      <c r="BG37" s="1206" t="str">
        <f>IF(OR('Recycling - Case 3'!AC107="No",'Recycling - Case 3'!T187="No"), "No", "Yes")</f>
        <v>No</v>
      </c>
      <c r="BH37" s="535">
        <f t="shared" si="48"/>
        <v>2027</v>
      </c>
      <c r="BI37" s="465">
        <f>'Recycling - Case 1'!BV107</f>
        <v>95.887580949182947</v>
      </c>
      <c r="BJ37" s="100">
        <f>'Recycling - Case 1'!BW107</f>
        <v>0.51303197439720827</v>
      </c>
      <c r="BK37" s="986">
        <f>'Recycling - Case 1'!BX107</f>
        <v>46.599596269564167</v>
      </c>
      <c r="BL37" s="948">
        <f>'Recycling - Case 1'!BY107</f>
        <v>95.887580949182947</v>
      </c>
      <c r="BM37" s="100">
        <f>'Recycling - Case 1'!BZ107</f>
        <v>0.51303197439720827</v>
      </c>
      <c r="BN37" s="986">
        <f>'Recycling - Case 1'!CA107</f>
        <v>46.599596269564167</v>
      </c>
      <c r="BO37" s="465">
        <f>'Recycling - Case 2'!BV107</f>
        <v>93.019078292560408</v>
      </c>
      <c r="BP37" s="100">
        <f>'Recycling - Case 2'!BW107</f>
        <v>0.61836000260903046</v>
      </c>
      <c r="BQ37" s="986">
        <f>'Recycling - Case 2'!BX107</f>
        <v>46.599596269564167</v>
      </c>
      <c r="BR37" s="948">
        <f>'Recycling - Case 2'!BY107</f>
        <v>93.019078292560408</v>
      </c>
      <c r="BS37" s="100">
        <f>'Recycling - Case 2'!BZ107</f>
        <v>0.61836000260903046</v>
      </c>
      <c r="BT37" s="986">
        <f>'Recycling - Case 2'!CA107</f>
        <v>46.599596269564167</v>
      </c>
      <c r="BU37" s="465">
        <f>'Recycling - Case 3'!BV107</f>
        <v>93.019078292560408</v>
      </c>
      <c r="BV37" s="100">
        <f>'Recycling - Case 3'!BW107</f>
        <v>0.61836000260903046</v>
      </c>
      <c r="BW37" s="986">
        <f>'Recycling - Case 3'!BX107</f>
        <v>46.599596269564167</v>
      </c>
      <c r="BX37" s="948">
        <f>'Recycling - Case 3'!BY107</f>
        <v>93.019078292560408</v>
      </c>
      <c r="BY37" s="100">
        <f>'Recycling - Case 3'!BZ107</f>
        <v>0.61836000260903046</v>
      </c>
      <c r="BZ37" s="986">
        <f>'Recycling - Case 3'!CA107</f>
        <v>46.599596269564167</v>
      </c>
      <c r="CA37" s="535">
        <v>2027</v>
      </c>
      <c r="CB37" s="579">
        <f>'Recycling - Case 1'!CB107</f>
        <v>0.16856684788723708</v>
      </c>
      <c r="CC37" s="100">
        <f>'Recycling - Case 1'!CC107</f>
        <v>0.30740339267198702</v>
      </c>
      <c r="CD37" s="100">
        <f>'Recycling - Case 1'!CD107</f>
        <v>0.16856684788723708</v>
      </c>
      <c r="CE37" s="471">
        <f>'Recycling - Case 1'!CE107</f>
        <v>0.30740339267198702</v>
      </c>
      <c r="CF37" s="579">
        <f>'Recycling - Case 2'!CB107</f>
        <v>0.24954577664502264</v>
      </c>
      <c r="CG37" s="100">
        <f>'Recycling - Case 2'!CC107</f>
        <v>0.31361903577815242</v>
      </c>
      <c r="CH37" s="100">
        <f>'Recycling - Case 2'!CD107</f>
        <v>0.24954577664502264</v>
      </c>
      <c r="CI37" s="471">
        <f>'Recycling - Case 2'!CE107</f>
        <v>0.31361903577815242</v>
      </c>
      <c r="CJ37" s="579">
        <f>'Recycling - Case 3'!CB107</f>
        <v>0.24954577664502264</v>
      </c>
      <c r="CK37" s="100">
        <f>'Recycling - Case 3'!CC107</f>
        <v>0.31361903577815242</v>
      </c>
      <c r="CL37" s="100">
        <f>'Recycling - Case 3'!CD107</f>
        <v>0.24954577664502264</v>
      </c>
      <c r="CM37" s="471">
        <f>'Recycling - Case 3'!CE107</f>
        <v>0.31361903577815242</v>
      </c>
    </row>
    <row r="38" spans="1:91">
      <c r="A38">
        <f>'Input data'!A127</f>
        <v>2027</v>
      </c>
      <c r="C38" s="116">
        <f>'4A SWD Case 1'!BG97</f>
        <v>631.24619579512307</v>
      </c>
      <c r="D38" s="3">
        <f>'4B Biological treatment '!T91</f>
        <v>0.78867376999817651</v>
      </c>
      <c r="E38" s="152">
        <f>'4B Biological treatment '!U91</f>
        <v>35.490319649917943</v>
      </c>
      <c r="F38" s="152">
        <f>'4B Biological treatment '!W91</f>
        <v>2.1294191789950765</v>
      </c>
      <c r="G38" s="688">
        <f>'4C2 Open-burning '!R98</f>
        <v>26.03059037382214</v>
      </c>
      <c r="H38" s="688">
        <f>'4C2 Open-burning '!Z98</f>
        <v>8.7584967245683103</v>
      </c>
      <c r="I38" s="688">
        <f>'4C2 Open-burning '!AH98</f>
        <v>0.1219330571044594</v>
      </c>
      <c r="J38" s="93">
        <f>'4D Wastewater treatment and dis'!AV135</f>
        <v>166.52394668963149</v>
      </c>
      <c r="K38" s="3">
        <f>'4D Wastewater treatment and dis'!AW135</f>
        <v>3.2459870116876344</v>
      </c>
      <c r="L38" s="465">
        <f t="shared" si="69"/>
        <v>13256.170111697584</v>
      </c>
      <c r="M38" s="688">
        <f t="shared" si="70"/>
        <v>16.562149169961707</v>
      </c>
      <c r="N38" s="465">
        <f t="shared" si="71"/>
        <v>1405.4166581367504</v>
      </c>
      <c r="O38" s="464">
        <f t="shared" si="72"/>
        <v>247.75826929213909</v>
      </c>
      <c r="P38" s="465">
        <f t="shared" si="73"/>
        <v>4503.2588541054283</v>
      </c>
      <c r="Q38" s="465">
        <f t="shared" si="74"/>
        <v>13256.170111697584</v>
      </c>
      <c r="R38" s="467">
        <f t="shared" si="75"/>
        <v>1421.978807306712</v>
      </c>
      <c r="S38" s="464">
        <f t="shared" si="76"/>
        <v>247.75826929213909</v>
      </c>
      <c r="T38" s="465">
        <f t="shared" si="77"/>
        <v>4503.2588541054283</v>
      </c>
      <c r="U38" s="465">
        <f t="shared" si="78"/>
        <v>19429.166042401863</v>
      </c>
      <c r="V38" s="3"/>
      <c r="W38" s="535">
        <f t="shared" si="79"/>
        <v>2028</v>
      </c>
      <c r="X38" s="948">
        <f t="shared" si="80"/>
        <v>12814.599787509567</v>
      </c>
      <c r="Y38" s="465">
        <f t="shared" si="81"/>
        <v>1429.2295164395491</v>
      </c>
      <c r="Z38" s="465">
        <f t="shared" si="82"/>
        <v>234.19480569358143</v>
      </c>
      <c r="AA38" s="465">
        <f t="shared" si="83"/>
        <v>4582.8180264451748</v>
      </c>
      <c r="AB38" s="986">
        <f t="shared" si="22"/>
        <v>19060.842136087871</v>
      </c>
      <c r="AC38" s="1206" t="str">
        <f>IF(OR('Recycling - Case 1'!AC108="No",'Recycling - Case 1'!T148="No"), "No", "Yes")</f>
        <v>Yes</v>
      </c>
      <c r="AD38" s="948">
        <f t="shared" si="84"/>
        <v>12814.599787509567</v>
      </c>
      <c r="AE38" s="465">
        <f t="shared" si="85"/>
        <v>1429.2295164395491</v>
      </c>
      <c r="AF38" s="465">
        <f t="shared" si="86"/>
        <v>234.19480569358143</v>
      </c>
      <c r="AG38" s="465">
        <f t="shared" si="87"/>
        <v>4582.8180264451748</v>
      </c>
      <c r="AH38" s="986">
        <f t="shared" si="60"/>
        <v>19060.842136087871</v>
      </c>
      <c r="AI38" s="1206" t="str">
        <f>IF(OR('Recycling - Case 1'!AI19="No",'Recycling - Case 1'!Z148="No"), "No", "Yes")</f>
        <v>Yes</v>
      </c>
      <c r="AJ38" s="948">
        <f t="shared" si="88"/>
        <v>12284.97829365596</v>
      </c>
      <c r="AK38" s="465">
        <f t="shared" si="89"/>
        <v>1429.2295164395491</v>
      </c>
      <c r="AL38" s="465">
        <f t="shared" si="90"/>
        <v>154.98142086277571</v>
      </c>
      <c r="AM38" s="465">
        <f t="shared" si="91"/>
        <v>5197.7163106848438</v>
      </c>
      <c r="AN38" s="986">
        <f t="shared" si="92"/>
        <v>19066.905541643129</v>
      </c>
      <c r="AO38" s="1201" t="str">
        <f>IF(OR('Recycling - Case 2'!AC108="No",'Recycling - Case 2'!T148="No"), "No", "Yes")</f>
        <v>No</v>
      </c>
      <c r="AP38" s="948">
        <f t="shared" si="93"/>
        <v>12284.97829365596</v>
      </c>
      <c r="AQ38" s="465">
        <f t="shared" si="94"/>
        <v>1429.2295164395491</v>
      </c>
      <c r="AR38" s="465">
        <f t="shared" si="95"/>
        <v>154.98142086277571</v>
      </c>
      <c r="AS38" s="465">
        <f t="shared" si="96"/>
        <v>5197.7163106848438</v>
      </c>
      <c r="AT38" s="986">
        <f t="shared" si="37"/>
        <v>19066.905541643129</v>
      </c>
      <c r="AU38" s="1206" t="str">
        <f>IF(OR('Recycling - Case 2'!AC108="No",'Recycling - Case 2'!T188="No"), "No", "Yes")</f>
        <v>No</v>
      </c>
      <c r="AV38" s="948">
        <f t="shared" si="63"/>
        <v>12285.361583238118</v>
      </c>
      <c r="AW38" s="465">
        <f t="shared" si="64"/>
        <v>868.0012870223552</v>
      </c>
      <c r="AX38" s="465">
        <f t="shared" si="65"/>
        <v>154.98142086277571</v>
      </c>
      <c r="AY38" s="465">
        <f t="shared" si="66"/>
        <v>5197.7163106848438</v>
      </c>
      <c r="AZ38" s="986">
        <f t="shared" si="67"/>
        <v>18506.060601808094</v>
      </c>
      <c r="BA38" s="1206" t="str">
        <f>IF(OR('Recycling - Case 3'!AC108="No",'Recycling - Case 3'!T148="No"), "No", "Yes")</f>
        <v>No</v>
      </c>
      <c r="BB38" s="948">
        <f t="shared" si="97"/>
        <v>12285.361583238118</v>
      </c>
      <c r="BC38" s="465">
        <f t="shared" si="98"/>
        <v>868.0012870223552</v>
      </c>
      <c r="BD38" s="465">
        <f t="shared" si="99"/>
        <v>154.98142086277571</v>
      </c>
      <c r="BE38" s="465">
        <f t="shared" si="100"/>
        <v>5197.7163106848438</v>
      </c>
      <c r="BF38" s="986">
        <f t="shared" si="47"/>
        <v>18506.060601808094</v>
      </c>
      <c r="BG38" s="1206" t="str">
        <f>IF(OR('Recycling - Case 3'!AC108="No",'Recycling - Case 3'!T188="No"), "No", "Yes")</f>
        <v>No</v>
      </c>
      <c r="BH38" s="535">
        <f t="shared" si="48"/>
        <v>2028</v>
      </c>
      <c r="BI38" s="465">
        <f>'Recycling - Case 1'!BV108</f>
        <v>94.345524547893817</v>
      </c>
      <c r="BJ38" s="100">
        <f>'Recycling - Case 1'!BW108</f>
        <v>0.53077045270477707</v>
      </c>
      <c r="BK38" s="986">
        <f>'Recycling - Case 1'!BX108</f>
        <v>45.314646034956603</v>
      </c>
      <c r="BL38" s="948">
        <f>'Recycling - Case 1'!BY108</f>
        <v>94.345524547893817</v>
      </c>
      <c r="BM38" s="100">
        <f>'Recycling - Case 1'!BZ108</f>
        <v>0.53077045270477707</v>
      </c>
      <c r="BN38" s="986">
        <f>'Recycling - Case 1'!CA108</f>
        <v>45.314646034956603</v>
      </c>
      <c r="BO38" s="465">
        <f>'Recycling - Case 2'!BV108</f>
        <v>91.956918602423812</v>
      </c>
      <c r="BP38" s="100">
        <f>'Recycling - Case 2'!BW108</f>
        <v>0.6398923243030854</v>
      </c>
      <c r="BQ38" s="986">
        <f>'Recycling - Case 2'!BX108</f>
        <v>45.314646034956603</v>
      </c>
      <c r="BR38" s="948">
        <f>'Recycling - Case 2'!BY108</f>
        <v>91.956918602423812</v>
      </c>
      <c r="BS38" s="100">
        <f>'Recycling - Case 2'!BZ108</f>
        <v>0.6398923243030854</v>
      </c>
      <c r="BT38" s="986">
        <f>'Recycling - Case 2'!CA108</f>
        <v>45.314646034956603</v>
      </c>
      <c r="BU38" s="465">
        <f>'Recycling - Case 3'!BV108</f>
        <v>91.956918602423812</v>
      </c>
      <c r="BV38" s="100">
        <f>'Recycling - Case 3'!BW108</f>
        <v>0.6398923243030854</v>
      </c>
      <c r="BW38" s="986">
        <f>'Recycling - Case 3'!BX108</f>
        <v>45.314646034956603</v>
      </c>
      <c r="BX38" s="948">
        <f>'Recycling - Case 3'!BY108</f>
        <v>91.956918602423812</v>
      </c>
      <c r="BY38" s="100">
        <f>'Recycling - Case 3'!BZ108</f>
        <v>0.6398923243030854</v>
      </c>
      <c r="BZ38" s="986">
        <f>'Recycling - Case 3'!CA108</f>
        <v>45.314646034956603</v>
      </c>
      <c r="CA38" s="535">
        <v>2028</v>
      </c>
      <c r="CB38" s="579">
        <f>'Recycling - Case 1'!CB108</f>
        <v>0.19063567265852388</v>
      </c>
      <c r="CC38" s="100">
        <f>'Recycling - Case 1'!CC108</f>
        <v>0.31718633081419723</v>
      </c>
      <c r="CD38" s="100">
        <f>'Recycling - Case 1'!CD108</f>
        <v>0.19063567265852388</v>
      </c>
      <c r="CE38" s="471">
        <f>'Recycling - Case 1'!CE108</f>
        <v>0.31718633081419723</v>
      </c>
      <c r="CF38" s="579">
        <f>'Recycling - Case 2'!CB108</f>
        <v>0.26579388990510533</v>
      </c>
      <c r="CG38" s="100">
        <f>'Recycling - Case 2'!CC108</f>
        <v>0.32018308815120211</v>
      </c>
      <c r="CH38" s="100">
        <f>'Recycling - Case 2'!CD108</f>
        <v>0.26579388990510533</v>
      </c>
      <c r="CI38" s="471">
        <f>'Recycling - Case 2'!CE108</f>
        <v>0.32018308815120211</v>
      </c>
      <c r="CJ38" s="579">
        <f>'Recycling - Case 3'!CB108</f>
        <v>0.26579388990510533</v>
      </c>
      <c r="CK38" s="100">
        <f>'Recycling - Case 3'!CC108</f>
        <v>0.32018308815120211</v>
      </c>
      <c r="CL38" s="100">
        <f>'Recycling - Case 3'!CD108</f>
        <v>0.26579388990510533</v>
      </c>
      <c r="CM38" s="471">
        <f>'Recycling - Case 3'!CE108</f>
        <v>0.32018308815120211</v>
      </c>
    </row>
    <row r="39" spans="1:91">
      <c r="A39">
        <f>'Input data'!A128</f>
        <v>2028</v>
      </c>
      <c r="C39" s="116">
        <f>'4A SWD Case 1'!BG98</f>
        <v>610.21903750045556</v>
      </c>
      <c r="D39" s="3">
        <f>'4B Biological treatment '!T92</f>
        <v>0.79269523928982233</v>
      </c>
      <c r="E39" s="152">
        <f>'4B Biological treatment '!U92</f>
        <v>35.671285768041997</v>
      </c>
      <c r="F39" s="152">
        <f>'4B Biological treatment '!W92</f>
        <v>2.1402771460825196</v>
      </c>
      <c r="G39" s="688">
        <f>'4C2 Open-burning '!R99</f>
        <v>24.605552307512465</v>
      </c>
      <c r="H39" s="688">
        <f>'4C2 Open-burning '!Z99</f>
        <v>8.2790150433264493</v>
      </c>
      <c r="I39" s="688">
        <f>'4C2 Open-burning '!AH99</f>
        <v>0.11525786282649525</v>
      </c>
      <c r="J39" s="93">
        <f>'4D Wastewater treatment and dis'!AV136</f>
        <v>169.85255057850929</v>
      </c>
      <c r="K39" s="3">
        <f>'4D Wastewater treatment and dis'!AW136</f>
        <v>3.277143433214452</v>
      </c>
      <c r="L39" s="465">
        <f t="shared" si="69"/>
        <v>12814.599787509567</v>
      </c>
      <c r="M39" s="688">
        <f t="shared" si="70"/>
        <v>16.646600025086268</v>
      </c>
      <c r="N39" s="465">
        <f t="shared" si="71"/>
        <v>1412.5829164144629</v>
      </c>
      <c r="O39" s="464">
        <f t="shared" si="72"/>
        <v>234.19480569358143</v>
      </c>
      <c r="P39" s="465">
        <f t="shared" si="73"/>
        <v>4582.8180264451748</v>
      </c>
      <c r="Q39" s="465">
        <f t="shared" si="74"/>
        <v>12814.599787509567</v>
      </c>
      <c r="R39" s="467">
        <f t="shared" si="75"/>
        <v>1429.2295164395491</v>
      </c>
      <c r="S39" s="464">
        <f t="shared" si="76"/>
        <v>234.19480569358143</v>
      </c>
      <c r="T39" s="465">
        <f t="shared" si="77"/>
        <v>4582.8180264451748</v>
      </c>
      <c r="U39" s="465">
        <f t="shared" si="78"/>
        <v>19060.842136087871</v>
      </c>
      <c r="V39" s="3"/>
      <c r="W39" s="535">
        <f t="shared" si="79"/>
        <v>2029</v>
      </c>
      <c r="X39" s="948">
        <f t="shared" si="80"/>
        <v>12385.888664631604</v>
      </c>
      <c r="Y39" s="465">
        <f t="shared" si="81"/>
        <v>1438.8610554369002</v>
      </c>
      <c r="Z39" s="465">
        <f t="shared" si="82"/>
        <v>221.40446963991948</v>
      </c>
      <c r="AA39" s="465">
        <f t="shared" si="83"/>
        <v>4661.9503023252364</v>
      </c>
      <c r="AB39" s="986">
        <f t="shared" si="22"/>
        <v>18708.104492033661</v>
      </c>
      <c r="AC39" s="1206" t="str">
        <f>IF(OR('Recycling - Case 1'!AC109="No",'Recycling - Case 1'!T149="No"), "No", "Yes")</f>
        <v>No</v>
      </c>
      <c r="AD39" s="948">
        <f t="shared" si="84"/>
        <v>12385.888664631604</v>
      </c>
      <c r="AE39" s="465">
        <f t="shared" si="85"/>
        <v>1438.8610554369002</v>
      </c>
      <c r="AF39" s="465">
        <f t="shared" si="86"/>
        <v>221.40446963991948</v>
      </c>
      <c r="AG39" s="465">
        <f t="shared" si="87"/>
        <v>4661.9503023252364</v>
      </c>
      <c r="AH39" s="986">
        <f t="shared" si="60"/>
        <v>18708.104492033661</v>
      </c>
      <c r="AI39" s="1206" t="str">
        <f>IF(OR('Recycling - Case 1'!AI20="No",'Recycling - Case 1'!Z149="No"), "No", "Yes")</f>
        <v>Yes</v>
      </c>
      <c r="AJ39" s="948">
        <f t="shared" si="88"/>
        <v>11822.80391001852</v>
      </c>
      <c r="AK39" s="465">
        <f t="shared" si="89"/>
        <v>1438.8610554369002</v>
      </c>
      <c r="AL39" s="465">
        <f t="shared" si="90"/>
        <v>141.92712101168402</v>
      </c>
      <c r="AM39" s="465">
        <f t="shared" si="91"/>
        <v>5338.9635096347838</v>
      </c>
      <c r="AN39" s="986">
        <f t="shared" si="92"/>
        <v>18742.555596101887</v>
      </c>
      <c r="AO39" s="1201" t="str">
        <f>IF(OR('Recycling - Case 2'!AC109="No",'Recycling - Case 2'!T149="No"), "No", "Yes")</f>
        <v>No</v>
      </c>
      <c r="AP39" s="948">
        <f t="shared" si="93"/>
        <v>11822.80391001852</v>
      </c>
      <c r="AQ39" s="465">
        <f t="shared" si="94"/>
        <v>1438.8610554369002</v>
      </c>
      <c r="AR39" s="465">
        <f t="shared" si="95"/>
        <v>141.92712101168402</v>
      </c>
      <c r="AS39" s="465">
        <f t="shared" si="96"/>
        <v>5338.9635096347838</v>
      </c>
      <c r="AT39" s="986">
        <f t="shared" si="37"/>
        <v>18742.555596101887</v>
      </c>
      <c r="AU39" s="1206" t="str">
        <f>IF(OR('Recycling - Case 2'!AC109="No",'Recycling - Case 2'!T189="No"), "No", "Yes")</f>
        <v>No</v>
      </c>
      <c r="AV39" s="948">
        <f t="shared" si="63"/>
        <v>11823.25922821687</v>
      </c>
      <c r="AW39" s="465">
        <f t="shared" si="64"/>
        <v>873.85072418380787</v>
      </c>
      <c r="AX39" s="465">
        <f t="shared" si="65"/>
        <v>141.92712101168399</v>
      </c>
      <c r="AY39" s="465">
        <f t="shared" si="66"/>
        <v>5338.9635096347838</v>
      </c>
      <c r="AZ39" s="986">
        <f t="shared" si="67"/>
        <v>18178.000583047145</v>
      </c>
      <c r="BA39" s="1206" t="str">
        <f>IF(OR('Recycling - Case 3'!AC109="No",'Recycling - Case 3'!T149="No"), "No", "Yes")</f>
        <v>No</v>
      </c>
      <c r="BB39" s="948">
        <f t="shared" si="97"/>
        <v>11823.25922821687</v>
      </c>
      <c r="BC39" s="465">
        <f t="shared" si="98"/>
        <v>873.85072418380787</v>
      </c>
      <c r="BD39" s="465">
        <f t="shared" si="99"/>
        <v>141.92712101168399</v>
      </c>
      <c r="BE39" s="465">
        <f t="shared" si="100"/>
        <v>5338.9635096347838</v>
      </c>
      <c r="BF39" s="986">
        <f t="shared" si="47"/>
        <v>18178.000583047145</v>
      </c>
      <c r="BG39" s="1206" t="str">
        <f>IF(OR('Recycling - Case 3'!AC109="No",'Recycling - Case 3'!T189="No"), "No", "Yes")</f>
        <v>No</v>
      </c>
      <c r="BH39" s="535">
        <f t="shared" si="48"/>
        <v>2029</v>
      </c>
      <c r="BI39" s="465">
        <f>'Recycling - Case 1'!BV109</f>
        <v>93.497095528842735</v>
      </c>
      <c r="BJ39" s="100">
        <f>'Recycling - Case 1'!BW109</f>
        <v>0.54795248229254334</v>
      </c>
      <c r="BK39" s="986">
        <f>'Recycling - Case 1'!BX109</f>
        <v>44.520340557958427</v>
      </c>
      <c r="BL39" s="948">
        <f>'Recycling - Case 1'!BY109</f>
        <v>93.497095528842735</v>
      </c>
      <c r="BM39" s="100">
        <f>'Recycling - Case 1'!BZ109</f>
        <v>0.54795248229254334</v>
      </c>
      <c r="BN39" s="986">
        <f>'Recycling - Case 1'!CA109</f>
        <v>44.520340557958427</v>
      </c>
      <c r="BO39" s="465">
        <f>'Recycling - Case 2'!BV109</f>
        <v>91.538909395017598</v>
      </c>
      <c r="BP39" s="100">
        <f>'Recycling - Case 2'!BW109</f>
        <v>0.66022043131359209</v>
      </c>
      <c r="BQ39" s="986">
        <f>'Recycling - Case 2'!BX109</f>
        <v>44.520340557958427</v>
      </c>
      <c r="BR39" s="948">
        <f>'Recycling - Case 2'!BY109</f>
        <v>91.538909395017598</v>
      </c>
      <c r="BS39" s="100">
        <f>'Recycling - Case 2'!BZ109</f>
        <v>0.66022043131359209</v>
      </c>
      <c r="BT39" s="986">
        <f>'Recycling - Case 2'!CA109</f>
        <v>44.520340557958427</v>
      </c>
      <c r="BU39" s="465">
        <f>'Recycling - Case 3'!BV109</f>
        <v>91.538909395017598</v>
      </c>
      <c r="BV39" s="100">
        <f>'Recycling - Case 3'!BW109</f>
        <v>0.66022043131359209</v>
      </c>
      <c r="BW39" s="986">
        <f>'Recycling - Case 3'!BX109</f>
        <v>44.520340557958427</v>
      </c>
      <c r="BX39" s="948">
        <f>'Recycling - Case 3'!BY109</f>
        <v>91.538909395017598</v>
      </c>
      <c r="BY39" s="100">
        <f>'Recycling - Case 3'!BZ109</f>
        <v>0.66022043131359209</v>
      </c>
      <c r="BZ39" s="986">
        <f>'Recycling - Case 3'!CA109</f>
        <v>44.520340557958427</v>
      </c>
      <c r="CA39" s="535">
        <v>2029</v>
      </c>
      <c r="CB39" s="579">
        <f>'Recycling - Case 1'!CB109</f>
        <v>0.21128048553023682</v>
      </c>
      <c r="CC39" s="100">
        <f>'Recycling - Case 1'!CC109</f>
        <v>0.32610844737555411</v>
      </c>
      <c r="CD39" s="100">
        <f>'Recycling - Case 1'!CD109</f>
        <v>0.21128048553023682</v>
      </c>
      <c r="CE39" s="471">
        <f>'Recycling - Case 1'!CE109</f>
        <v>0.32610844737555411</v>
      </c>
      <c r="CF39" s="579">
        <f>'Recycling - Case 2'!CB109</f>
        <v>0.28164159769015185</v>
      </c>
      <c r="CG39" s="100">
        <f>'Recycling - Case 2'!CC109</f>
        <v>0.32610844737555411</v>
      </c>
      <c r="CH39" s="100">
        <f>'Recycling - Case 2'!CD109</f>
        <v>0.28164159769015185</v>
      </c>
      <c r="CI39" s="471">
        <f>'Recycling - Case 2'!CE109</f>
        <v>0.32610844737555411</v>
      </c>
      <c r="CJ39" s="579">
        <f>'Recycling - Case 3'!CB109</f>
        <v>0.28164159769015185</v>
      </c>
      <c r="CK39" s="100">
        <f>'Recycling - Case 3'!CC109</f>
        <v>0.32610844737555411</v>
      </c>
      <c r="CL39" s="100">
        <f>'Recycling - Case 3'!CD109</f>
        <v>0.28164159769015185</v>
      </c>
      <c r="CM39" s="471">
        <f>'Recycling - Case 3'!CE109</f>
        <v>0.32610844737555411</v>
      </c>
    </row>
    <row r="40" spans="1:91">
      <c r="A40">
        <f>'Input data'!A129</f>
        <v>2029</v>
      </c>
      <c r="C40" s="116">
        <f>'4A SWD Case 1'!BG99</f>
        <v>589.80422212531448</v>
      </c>
      <c r="D40" s="3">
        <f>'4B Biological treatment '!T93</f>
        <v>0.79803719103544102</v>
      </c>
      <c r="E40" s="152">
        <f>'4B Biological treatment '!U93</f>
        <v>35.911673596594845</v>
      </c>
      <c r="F40" s="152">
        <f>'4B Biological treatment '!W93</f>
        <v>2.1547004157956904</v>
      </c>
      <c r="G40" s="688">
        <f>'4C2 Open-burning '!R100</f>
        <v>23.261742474211513</v>
      </c>
      <c r="H40" s="688">
        <f>'4C2 Open-burning '!Z100</f>
        <v>7.826864175659404</v>
      </c>
      <c r="I40" s="688">
        <f>'4C2 Open-burning '!AH100</f>
        <v>0.10896315960277578</v>
      </c>
      <c r="J40" s="93">
        <f>'4D Wastewater treatment and dis'!AV137</f>
        <v>173.17253271360184</v>
      </c>
      <c r="K40" s="3">
        <f>'4D Wastewater treatment and dis'!AW137</f>
        <v>3.307506823676122</v>
      </c>
      <c r="L40" s="465">
        <f t="shared" si="69"/>
        <v>12385.888664631604</v>
      </c>
      <c r="M40" s="688">
        <f t="shared" si="70"/>
        <v>16.758781011744261</v>
      </c>
      <c r="N40" s="465">
        <f t="shared" si="71"/>
        <v>1422.1022744251559</v>
      </c>
      <c r="O40" s="464">
        <f t="shared" si="72"/>
        <v>221.40446963991948</v>
      </c>
      <c r="P40" s="465">
        <f t="shared" si="73"/>
        <v>4661.9503023252364</v>
      </c>
      <c r="Q40" s="465">
        <f t="shared" si="74"/>
        <v>12385.888664631604</v>
      </c>
      <c r="R40" s="467">
        <f t="shared" si="75"/>
        <v>1438.8610554369002</v>
      </c>
      <c r="S40" s="464">
        <f t="shared" si="76"/>
        <v>221.40446963991948</v>
      </c>
      <c r="T40" s="465">
        <f t="shared" si="77"/>
        <v>4661.9503023252364</v>
      </c>
      <c r="U40" s="465">
        <f t="shared" si="78"/>
        <v>18708.104492033661</v>
      </c>
      <c r="V40" s="3"/>
      <c r="W40" s="535">
        <f t="shared" si="79"/>
        <v>2030</v>
      </c>
      <c r="X40" s="948">
        <f t="shared" si="80"/>
        <v>11969.72936333349</v>
      </c>
      <c r="Y40" s="465">
        <f t="shared" si="81"/>
        <v>1447.5256763766272</v>
      </c>
      <c r="Z40" s="465">
        <f t="shared" si="82"/>
        <v>209.34072657571596</v>
      </c>
      <c r="AA40" s="465">
        <f t="shared" si="83"/>
        <v>4740.5897422979515</v>
      </c>
      <c r="AB40" s="986">
        <f t="shared" si="22"/>
        <v>18367.185508583785</v>
      </c>
      <c r="AC40" s="1206" t="str">
        <f>IF(OR('Recycling - Case 1'!AC110="No",'Recycling - Case 1'!T150="No"), "No", "Yes")</f>
        <v>Yes</v>
      </c>
      <c r="AD40" s="948">
        <f t="shared" si="84"/>
        <v>11969.72936333349</v>
      </c>
      <c r="AE40" s="465">
        <f t="shared" si="85"/>
        <v>1447.5256763766272</v>
      </c>
      <c r="AF40" s="465">
        <f t="shared" si="86"/>
        <v>209.34072657571596</v>
      </c>
      <c r="AG40" s="465">
        <f t="shared" si="87"/>
        <v>4740.5897422979515</v>
      </c>
      <c r="AH40" s="986">
        <f t="shared" si="60"/>
        <v>18367.185508583785</v>
      </c>
      <c r="AI40" s="1206" t="str">
        <f>IF(OR('Recycling - Case 1'!AI21="No",'Recycling - Case 1'!Z150="No"), "No", "Yes")</f>
        <v>Yes</v>
      </c>
      <c r="AJ40" s="948">
        <f t="shared" si="88"/>
        <v>11374.980473057714</v>
      </c>
      <c r="AK40" s="465">
        <f t="shared" si="89"/>
        <v>1447.5256763766272</v>
      </c>
      <c r="AL40" s="465">
        <f t="shared" si="90"/>
        <v>128.6148276326544</v>
      </c>
      <c r="AM40" s="465">
        <f t="shared" si="91"/>
        <v>5480.5716912650823</v>
      </c>
      <c r="AN40" s="986">
        <f t="shared" si="92"/>
        <v>18431.692668332078</v>
      </c>
      <c r="AO40" s="1201" t="str">
        <f>IF(OR('Recycling - Case 2'!AC110="No",'Recycling - Case 2'!T150="No"), "No", "Yes")</f>
        <v>No</v>
      </c>
      <c r="AP40" s="948">
        <f t="shared" si="93"/>
        <v>11374.980473057714</v>
      </c>
      <c r="AQ40" s="465">
        <f t="shared" si="94"/>
        <v>1447.5256763766272</v>
      </c>
      <c r="AR40" s="465">
        <f t="shared" si="95"/>
        <v>128.6148276326544</v>
      </c>
      <c r="AS40" s="465">
        <f t="shared" si="96"/>
        <v>5480.5716912650823</v>
      </c>
      <c r="AT40" s="986">
        <f t="shared" si="37"/>
        <v>18431.692668332078</v>
      </c>
      <c r="AU40" s="1206" t="str">
        <f>IF(OR('Recycling - Case 2'!AC110="No",'Recycling - Case 2'!T190="No"), "No", "Yes")</f>
        <v>No</v>
      </c>
      <c r="AV40" s="948">
        <f t="shared" si="63"/>
        <v>11375.513156132769</v>
      </c>
      <c r="AW40" s="465">
        <f t="shared" si="64"/>
        <v>879.11293157648731</v>
      </c>
      <c r="AX40" s="465">
        <f t="shared" si="65"/>
        <v>128.6148276326544</v>
      </c>
      <c r="AY40" s="465">
        <f t="shared" si="66"/>
        <v>5480.5716912650823</v>
      </c>
      <c r="AZ40" s="986">
        <f t="shared" si="67"/>
        <v>17863.812606606993</v>
      </c>
      <c r="BA40" s="1206" t="str">
        <f>IF(OR('Recycling - Case 3'!AC110="No",'Recycling - Case 3'!T150="No"), "No", "Yes")</f>
        <v>No</v>
      </c>
      <c r="BB40" s="948">
        <f t="shared" si="97"/>
        <v>11375.513156132769</v>
      </c>
      <c r="BC40" s="465">
        <f t="shared" si="98"/>
        <v>879.11293157648731</v>
      </c>
      <c r="BD40" s="465">
        <f t="shared" si="99"/>
        <v>128.6148276326544</v>
      </c>
      <c r="BE40" s="465">
        <f t="shared" si="100"/>
        <v>5480.5716912650823</v>
      </c>
      <c r="BF40" s="986">
        <f t="shared" si="47"/>
        <v>17863.812606606993</v>
      </c>
      <c r="BG40" s="1206" t="str">
        <f>IF(OR('Recycling - Case 3'!AC110="No",'Recycling - Case 3'!T190="No"), "No", "Yes")</f>
        <v>No</v>
      </c>
      <c r="BH40" s="535">
        <f t="shared" si="48"/>
        <v>2030</v>
      </c>
      <c r="BI40" s="465">
        <f>'Recycling - Case 1'!BV110</f>
        <v>91.668342730936189</v>
      </c>
      <c r="BJ40" s="100">
        <f>'Recycling - Case 1'!BW110</f>
        <v>0.56591481061695725</v>
      </c>
      <c r="BK40" s="986">
        <f>'Recycling - Case 1'!BX110</f>
        <v>41.25779411484752</v>
      </c>
      <c r="BL40" s="948">
        <f>'Recycling - Case 1'!BY110</f>
        <v>91.668342730936189</v>
      </c>
      <c r="BM40" s="100">
        <f>'Recycling - Case 1'!BZ110</f>
        <v>0.56591481061695725</v>
      </c>
      <c r="BN40" s="986">
        <f>'Recycling - Case 1'!CA110</f>
        <v>41.25779411484752</v>
      </c>
      <c r="BO40" s="465">
        <f>'Recycling - Case 2'!BV110</f>
        <v>88.586979917577395</v>
      </c>
      <c r="BP40" s="100">
        <f>'Recycling - Case 2'!BW110</f>
        <v>0.68785339922473643</v>
      </c>
      <c r="BQ40" s="986">
        <f>'Recycling - Case 2'!BX110</f>
        <v>41.25779411484752</v>
      </c>
      <c r="BR40" s="948">
        <f>'Recycling - Case 2'!BY110</f>
        <v>88.586979917577395</v>
      </c>
      <c r="BS40" s="100">
        <f>'Recycling - Case 2'!BZ110</f>
        <v>0.68785339922473643</v>
      </c>
      <c r="BT40" s="986">
        <f>'Recycling - Case 2'!CA110</f>
        <v>41.25779411484752</v>
      </c>
      <c r="BU40" s="465">
        <f>'Recycling - Case 3'!BV110</f>
        <v>88.586979917577395</v>
      </c>
      <c r="BV40" s="100">
        <f>'Recycling - Case 3'!BW110</f>
        <v>0.68785339922473643</v>
      </c>
      <c r="BW40" s="986">
        <f>'Recycling - Case 3'!BX110</f>
        <v>41.25779411484752</v>
      </c>
      <c r="BX40" s="948">
        <f>'Recycling - Case 3'!BY110</f>
        <v>88.586979917577395</v>
      </c>
      <c r="BY40" s="100">
        <f>'Recycling - Case 3'!BZ110</f>
        <v>0.68785339922473643</v>
      </c>
      <c r="BZ40" s="986">
        <f>'Recycling - Case 3'!CA110</f>
        <v>41.25779411484752</v>
      </c>
      <c r="CA40" s="535">
        <v>2030</v>
      </c>
      <c r="CB40" s="579">
        <f>'Recycling - Case 1'!CB110</f>
        <v>0.23059835949924212</v>
      </c>
      <c r="CC40" s="100">
        <f>'Recycling - Case 1'!CC110</f>
        <v>0.32783139595417787</v>
      </c>
      <c r="CD40" s="100">
        <f>'Recycling - Case 1'!CD110</f>
        <v>0.23059835949924212</v>
      </c>
      <c r="CE40" s="471">
        <f>'Recycling - Case 1'!CE110</f>
        <v>0.32783139595417787</v>
      </c>
      <c r="CF40" s="579">
        <f>'Recycling - Case 2'!CB110</f>
        <v>0.29711559328224646</v>
      </c>
      <c r="CG40" s="100">
        <f>'Recycling - Case 2'!CC110</f>
        <v>0.33947437568196359</v>
      </c>
      <c r="CH40" s="100">
        <f>'Recycling - Case 2'!CD110</f>
        <v>0.29711559328224646</v>
      </c>
      <c r="CI40" s="471">
        <f>'Recycling - Case 2'!CE110</f>
        <v>0.33947437568196359</v>
      </c>
      <c r="CJ40" s="579">
        <f>'Recycling - Case 3'!CB110</f>
        <v>0.29711559328224646</v>
      </c>
      <c r="CK40" s="100">
        <f>'Recycling - Case 3'!CC110</f>
        <v>0.33947437568196359</v>
      </c>
      <c r="CL40" s="100">
        <f>'Recycling - Case 3'!CD110</f>
        <v>0.29711559328224646</v>
      </c>
      <c r="CM40" s="471">
        <f>'Recycling - Case 3'!CE110</f>
        <v>0.33947437568196359</v>
      </c>
    </row>
    <row r="41" spans="1:91">
      <c r="A41">
        <f>'Input data'!A130</f>
        <v>2030</v>
      </c>
      <c r="C41" s="116">
        <f>'4A SWD Case 1'!BG100</f>
        <v>569.98711253968997</v>
      </c>
      <c r="D41" s="3">
        <f>'4B Biological treatment '!T94</f>
        <v>0.80284285988720328</v>
      </c>
      <c r="E41" s="152">
        <f>'4B Biological treatment '!U94</f>
        <v>36.127928694924137</v>
      </c>
      <c r="F41" s="152">
        <f>'4B Biological treatment '!W94</f>
        <v>2.1676757216954483</v>
      </c>
      <c r="G41" s="688">
        <f>'4C2 Open-burning '!R101</f>
        <v>21.994271745680376</v>
      </c>
      <c r="H41" s="688">
        <f>'4C2 Open-burning '!Z101</f>
        <v>7.4003990795972694</v>
      </c>
      <c r="I41" s="688">
        <f>'4C2 Open-burning '!AH101</f>
        <v>0.10302604567255781</v>
      </c>
      <c r="J41" s="93">
        <f>'4D Wastewater treatment and dis'!AV138</f>
        <v>176.4811642199079</v>
      </c>
      <c r="K41" s="3">
        <f>'4D Wastewater treatment and dis'!AW138</f>
        <v>3.337049334451244</v>
      </c>
      <c r="L41" s="465">
        <f t="shared" si="69"/>
        <v>11969.72936333349</v>
      </c>
      <c r="M41" s="688">
        <f t="shared" si="70"/>
        <v>16.859700057631269</v>
      </c>
      <c r="N41" s="465">
        <f t="shared" si="71"/>
        <v>1430.6659763189959</v>
      </c>
      <c r="O41" s="464">
        <f t="shared" si="72"/>
        <v>209.34072657571596</v>
      </c>
      <c r="P41" s="465">
        <f t="shared" si="73"/>
        <v>4740.5897422979515</v>
      </c>
      <c r="Q41" s="465">
        <f t="shared" si="74"/>
        <v>11969.72936333349</v>
      </c>
      <c r="R41" s="467">
        <f t="shared" si="75"/>
        <v>1447.5256763766272</v>
      </c>
      <c r="S41" s="464">
        <f t="shared" si="76"/>
        <v>209.34072657571596</v>
      </c>
      <c r="T41" s="465">
        <f t="shared" si="77"/>
        <v>4740.5897422979515</v>
      </c>
      <c r="U41" s="465">
        <f t="shared" si="78"/>
        <v>18367.185508583785</v>
      </c>
      <c r="V41" s="3"/>
      <c r="W41" s="535">
        <f t="shared" si="79"/>
        <v>2031</v>
      </c>
      <c r="X41" s="948">
        <f t="shared" si="80"/>
        <v>11573.189023892492</v>
      </c>
      <c r="Y41" s="465">
        <f t="shared" si="81"/>
        <v>1457.782222423391</v>
      </c>
      <c r="Z41" s="465">
        <f t="shared" si="82"/>
        <v>198.91143530377943</v>
      </c>
      <c r="AA41" s="465">
        <f t="shared" si="83"/>
        <v>4819.0093884169537</v>
      </c>
      <c r="AB41" s="986">
        <f t="shared" si="22"/>
        <v>18048.892070036618</v>
      </c>
      <c r="AC41" s="1206" t="str">
        <f>IF(OR('Recycling - Case 1'!AC111="No",'Recycling - Case 1'!T151="No"), "No", "Yes")</f>
        <v>Yes</v>
      </c>
      <c r="AD41" s="948">
        <f t="shared" si="84"/>
        <v>11573.189023892492</v>
      </c>
      <c r="AE41" s="465">
        <f t="shared" si="85"/>
        <v>1457.782222423391</v>
      </c>
      <c r="AF41" s="465">
        <f t="shared" si="86"/>
        <v>198.91143530377943</v>
      </c>
      <c r="AG41" s="465">
        <f t="shared" si="87"/>
        <v>4819.0093884169537</v>
      </c>
      <c r="AH41" s="986">
        <f t="shared" si="60"/>
        <v>18048.892070036618</v>
      </c>
      <c r="AI41" s="1206" t="str">
        <f>IF(OR('Recycling - Case 1'!AI22="No",'Recycling - Case 1'!Z151="No"), "No", "Yes")</f>
        <v>Yes</v>
      </c>
      <c r="AJ41" s="948">
        <f t="shared" si="88"/>
        <v>10940.192444029699</v>
      </c>
      <c r="AK41" s="465">
        <f t="shared" si="89"/>
        <v>1457.782222423391</v>
      </c>
      <c r="AL41" s="465">
        <f t="shared" si="90"/>
        <v>113.42577376727571</v>
      </c>
      <c r="AM41" s="465">
        <f t="shared" si="91"/>
        <v>5528.0869325500698</v>
      </c>
      <c r="AN41" s="986">
        <f t="shared" si="92"/>
        <v>18039.487372770436</v>
      </c>
      <c r="AO41" s="1201" t="str">
        <f>IF(OR('Recycling - Case 2'!AC111="No",'Recycling - Case 2'!T151="No"), "No", "Yes")</f>
        <v>No</v>
      </c>
      <c r="AP41" s="948">
        <f t="shared" si="93"/>
        <v>10940.192444029699</v>
      </c>
      <c r="AQ41" s="465">
        <f t="shared" si="94"/>
        <v>1457.782222423391</v>
      </c>
      <c r="AR41" s="465">
        <f t="shared" si="95"/>
        <v>113.42577376727571</v>
      </c>
      <c r="AS41" s="465">
        <f t="shared" si="96"/>
        <v>5528.0869325500698</v>
      </c>
      <c r="AT41" s="986">
        <f t="shared" si="37"/>
        <v>18039.487372770436</v>
      </c>
      <c r="AU41" s="1206" t="str">
        <f>IF(OR('Recycling - Case 2'!AC111="No",'Recycling - Case 2'!T191="No"), "No", "Yes")</f>
        <v>No</v>
      </c>
      <c r="AV41" s="948">
        <f t="shared" si="63"/>
        <v>10940.807648491811</v>
      </c>
      <c r="AW41" s="465">
        <f t="shared" si="64"/>
        <v>885.34194872635214</v>
      </c>
      <c r="AX41" s="465">
        <f t="shared" si="65"/>
        <v>113.42577376727571</v>
      </c>
      <c r="AY41" s="465">
        <f t="shared" si="66"/>
        <v>5528.0869325500698</v>
      </c>
      <c r="AZ41" s="986">
        <f t="shared" si="67"/>
        <v>17467.662303535508</v>
      </c>
      <c r="BA41" s="1206" t="str">
        <f>IF(OR('Recycling - Case 3'!AC111="No",'Recycling - Case 3'!T151="No"), "No", "Yes")</f>
        <v>No</v>
      </c>
      <c r="BB41" s="948">
        <f t="shared" si="97"/>
        <v>10940.807648491811</v>
      </c>
      <c r="BC41" s="465">
        <f t="shared" si="98"/>
        <v>885.34194872635214</v>
      </c>
      <c r="BD41" s="465">
        <f t="shared" si="99"/>
        <v>113.42577376727571</v>
      </c>
      <c r="BE41" s="465">
        <f t="shared" si="100"/>
        <v>5528.0869325500698</v>
      </c>
      <c r="BF41" s="986">
        <f t="shared" si="47"/>
        <v>17467.662303535508</v>
      </c>
      <c r="BG41" s="1206" t="str">
        <f>IF(OR('Recycling - Case 3'!AC111="No",'Recycling - Case 3'!T191="No"), "No", "Yes")</f>
        <v>No</v>
      </c>
      <c r="BH41" s="535">
        <f t="shared" si="48"/>
        <v>2031</v>
      </c>
      <c r="BI41" s="465">
        <f>'Recycling - Case 1'!BV111</f>
        <v>90.399623350720134</v>
      </c>
      <c r="BJ41" s="100">
        <f>'Recycling - Case 1'!BW111</f>
        <v>0.57600453005111729</v>
      </c>
      <c r="BK41" s="986">
        <f>'Recycling - Case 1'!BX111</f>
        <v>39.014257111139436</v>
      </c>
      <c r="BL41" s="948">
        <f>'Recycling - Case 1'!BY111</f>
        <v>90.399623350720134</v>
      </c>
      <c r="BM41" s="100">
        <f>'Recycling - Case 1'!BZ111</f>
        <v>0.57600453005111729</v>
      </c>
      <c r="BN41" s="986">
        <f>'Recycling - Case 1'!CA111</f>
        <v>39.014257111139436</v>
      </c>
      <c r="BO41" s="465">
        <f>'Recycling - Case 2'!BV111</f>
        <v>86.622143824658352</v>
      </c>
      <c r="BP41" s="100">
        <f>'Recycling - Case 2'!BW111</f>
        <v>0.70017272303827005</v>
      </c>
      <c r="BQ41" s="986">
        <f>'Recycling - Case 2'!BX111</f>
        <v>39.014257111139436</v>
      </c>
      <c r="BR41" s="948">
        <f>'Recycling - Case 2'!BY111</f>
        <v>86.622143824658352</v>
      </c>
      <c r="BS41" s="100">
        <f>'Recycling - Case 2'!BZ111</f>
        <v>0.70017272303827005</v>
      </c>
      <c r="BT41" s="986">
        <f>'Recycling - Case 2'!CA111</f>
        <v>39.014257111139436</v>
      </c>
      <c r="BU41" s="465">
        <f>'Recycling - Case 3'!BV111</f>
        <v>86.622143824658352</v>
      </c>
      <c r="BV41" s="100">
        <f>'Recycling - Case 3'!BW111</f>
        <v>0.70017272303827005</v>
      </c>
      <c r="BW41" s="986">
        <f>'Recycling - Case 3'!BX111</f>
        <v>39.014257111139436</v>
      </c>
      <c r="BX41" s="948">
        <f>'Recycling - Case 3'!BY111</f>
        <v>86.622143824658352</v>
      </c>
      <c r="BY41" s="100">
        <f>'Recycling - Case 3'!BZ111</f>
        <v>0.70017272303827005</v>
      </c>
      <c r="BZ41" s="986">
        <f>'Recycling - Case 3'!CA111</f>
        <v>39.014257111139436</v>
      </c>
      <c r="CA41" s="535">
        <v>2031</v>
      </c>
      <c r="CB41" s="579">
        <f>'Recycling - Case 1'!CB111</f>
        <v>0.24750785810203735</v>
      </c>
      <c r="CC41" s="100">
        <f>'Recycling - Case 1'!CC111</f>
        <v>0.33291753108416278</v>
      </c>
      <c r="CD41" s="100">
        <f>'Recycling - Case 1'!CD111</f>
        <v>0.24750785810203735</v>
      </c>
      <c r="CE41" s="471">
        <f>'Recycling - Case 1'!CE111</f>
        <v>0.33291753108416278</v>
      </c>
      <c r="CF41" s="579">
        <f>'Recycling - Case 2'!CB111</f>
        <v>0.31699518009206651</v>
      </c>
      <c r="CG41" s="100">
        <f>'Recycling - Case 2'!CC111</f>
        <v>0.35038871214637335</v>
      </c>
      <c r="CH41" s="100">
        <f>'Recycling - Case 2'!CD111</f>
        <v>0.31699518009206651</v>
      </c>
      <c r="CI41" s="471">
        <f>'Recycling - Case 2'!CE111</f>
        <v>0.35038871214637335</v>
      </c>
      <c r="CJ41" s="579">
        <f>'Recycling - Case 3'!CB111</f>
        <v>0.31699518009206651</v>
      </c>
      <c r="CK41" s="100">
        <f>'Recycling - Case 3'!CC111</f>
        <v>0.35038871214637335</v>
      </c>
      <c r="CL41" s="100">
        <f>'Recycling - Case 3'!CD111</f>
        <v>0.31699518009206651</v>
      </c>
      <c r="CM41" s="471">
        <f>'Recycling - Case 3'!CE111</f>
        <v>0.35038871214637335</v>
      </c>
    </row>
    <row r="42" spans="1:91">
      <c r="A42">
        <f>'Input data'!A131</f>
        <v>2031</v>
      </c>
      <c r="C42" s="116">
        <f>'4A SWD Case 1'!BG101</f>
        <v>551.10423923297583</v>
      </c>
      <c r="D42" s="3">
        <f>'4B Biological treatment '!T95</f>
        <v>0.80853146002406595</v>
      </c>
      <c r="E42" s="152">
        <f>'4B Biological treatment '!U95</f>
        <v>36.383915701082962</v>
      </c>
      <c r="F42" s="152">
        <f>'4B Biological treatment '!W95</f>
        <v>2.1830349420649782</v>
      </c>
      <c r="G42" s="688">
        <f>'4C2 Open-burning '!R102</f>
        <v>20.898523822655662</v>
      </c>
      <c r="H42" s="688">
        <f>'4C2 Open-burning '!Z102</f>
        <v>7.0317134502303738</v>
      </c>
      <c r="I42" s="688">
        <f>'4C2 Open-burning '!AH102</f>
        <v>9.7893319439631893E-2</v>
      </c>
      <c r="J42" s="93">
        <f>'4D Wastewater treatment and dis'!AV139</f>
        <v>179.78835026220057</v>
      </c>
      <c r="K42" s="3">
        <f>'4D Wastewater treatment and dis'!AW139</f>
        <v>3.3659807513249738</v>
      </c>
      <c r="L42" s="465">
        <f t="shared" si="69"/>
        <v>11573.189023892492</v>
      </c>
      <c r="M42" s="688">
        <f t="shared" si="70"/>
        <v>16.979160660505386</v>
      </c>
      <c r="N42" s="465">
        <f t="shared" si="71"/>
        <v>1440.8030617628856</v>
      </c>
      <c r="O42" s="464">
        <f t="shared" si="72"/>
        <v>198.91143530377943</v>
      </c>
      <c r="P42" s="465">
        <f t="shared" si="73"/>
        <v>4819.0093884169537</v>
      </c>
      <c r="Q42" s="465">
        <f t="shared" si="74"/>
        <v>11573.189023892492</v>
      </c>
      <c r="R42" s="467">
        <f t="shared" si="75"/>
        <v>1457.782222423391</v>
      </c>
      <c r="S42" s="464">
        <f t="shared" si="76"/>
        <v>198.91143530377943</v>
      </c>
      <c r="T42" s="465">
        <f t="shared" si="77"/>
        <v>4819.0093884169537</v>
      </c>
      <c r="U42" s="465">
        <f t="shared" si="78"/>
        <v>18048.892070036618</v>
      </c>
      <c r="V42" s="3"/>
      <c r="W42" s="535">
        <f t="shared" si="79"/>
        <v>2032</v>
      </c>
      <c r="X42" s="948">
        <f t="shared" si="80"/>
        <v>11192.704747093738</v>
      </c>
      <c r="Y42" s="465">
        <f t="shared" si="81"/>
        <v>1468.5147776031451</v>
      </c>
      <c r="Z42" s="465">
        <f t="shared" si="82"/>
        <v>188.55488170905181</v>
      </c>
      <c r="AA42" s="465">
        <f t="shared" si="83"/>
        <v>4897.1591504521057</v>
      </c>
      <c r="AB42" s="986">
        <f t="shared" si="22"/>
        <v>17746.933556858039</v>
      </c>
      <c r="AC42" s="1206" t="str">
        <f>IF(OR('Recycling - Case 1'!AC112="No",'Recycling - Case 1'!T152="No"), "No", "Yes")</f>
        <v>Yes</v>
      </c>
      <c r="AD42" s="948">
        <f t="shared" si="84"/>
        <v>11192.704747093738</v>
      </c>
      <c r="AE42" s="465">
        <f t="shared" si="85"/>
        <v>1468.5147776031451</v>
      </c>
      <c r="AF42" s="465">
        <f t="shared" si="86"/>
        <v>188.55488170905181</v>
      </c>
      <c r="AG42" s="465">
        <f t="shared" si="87"/>
        <v>4897.1591504521057</v>
      </c>
      <c r="AH42" s="986">
        <f t="shared" si="60"/>
        <v>17746.933556858039</v>
      </c>
      <c r="AI42" s="1206" t="str">
        <f>IF(OR('Recycling - Case 1'!AI23="No",'Recycling - Case 1'!Z152="No"), "No", "Yes")</f>
        <v>Yes</v>
      </c>
      <c r="AJ42" s="948">
        <f t="shared" si="88"/>
        <v>10514.599844974562</v>
      </c>
      <c r="AK42" s="465">
        <f t="shared" si="89"/>
        <v>1468.5147776031451</v>
      </c>
      <c r="AL42" s="465">
        <f t="shared" si="90"/>
        <v>98.341110038483521</v>
      </c>
      <c r="AM42" s="465">
        <f t="shared" si="91"/>
        <v>5574.564668399451</v>
      </c>
      <c r="AN42" s="986">
        <f t="shared" si="92"/>
        <v>17656.020401015641</v>
      </c>
      <c r="AO42" s="1201" t="str">
        <f>IF(OR('Recycling - Case 2'!AC112="No",'Recycling - Case 2'!T152="No"), "No", "Yes")</f>
        <v>No</v>
      </c>
      <c r="AP42" s="948">
        <f t="shared" si="93"/>
        <v>10514.599844974562</v>
      </c>
      <c r="AQ42" s="465">
        <f t="shared" si="94"/>
        <v>1468.5147776031451</v>
      </c>
      <c r="AR42" s="465">
        <f t="shared" si="95"/>
        <v>98.341110038483521</v>
      </c>
      <c r="AS42" s="465">
        <f t="shared" si="96"/>
        <v>5574.564668399451</v>
      </c>
      <c r="AT42" s="986">
        <f t="shared" si="37"/>
        <v>17656.020401015641</v>
      </c>
      <c r="AU42" s="1206" t="str">
        <f>IF(OR('Recycling - Case 2'!AC112="No",'Recycling - Case 2'!T192="No"), "No", "Yes")</f>
        <v>No</v>
      </c>
      <c r="AV42" s="948">
        <f t="shared" si="63"/>
        <v>10515.293749537923</v>
      </c>
      <c r="AW42" s="465">
        <f t="shared" si="64"/>
        <v>891.86005628144426</v>
      </c>
      <c r="AX42" s="465">
        <f t="shared" si="65"/>
        <v>98.341110038483521</v>
      </c>
      <c r="AY42" s="465">
        <f t="shared" si="66"/>
        <v>5574.564668399451</v>
      </c>
      <c r="AZ42" s="986">
        <f t="shared" si="67"/>
        <v>17080.059584257302</v>
      </c>
      <c r="BA42" s="1206" t="str">
        <f>IF(OR('Recycling - Case 3'!AC112="No",'Recycling - Case 3'!T152="No"), "No", "Yes")</f>
        <v>No</v>
      </c>
      <c r="BB42" s="948">
        <f t="shared" si="97"/>
        <v>10515.293749537923</v>
      </c>
      <c r="BC42" s="465">
        <f t="shared" si="98"/>
        <v>891.86005628144426</v>
      </c>
      <c r="BD42" s="465">
        <f t="shared" si="99"/>
        <v>98.341110038483521</v>
      </c>
      <c r="BE42" s="465">
        <f t="shared" si="100"/>
        <v>5574.564668399451</v>
      </c>
      <c r="BF42" s="986">
        <f t="shared" si="47"/>
        <v>17080.059584257302</v>
      </c>
      <c r="BG42" s="1206" t="str">
        <f>IF(OR('Recycling - Case 3'!AC112="No",'Recycling - Case 3'!T192="No"), "No", "Yes")</f>
        <v>No</v>
      </c>
      <c r="BH42" s="535">
        <f t="shared" si="48"/>
        <v>2032</v>
      </c>
      <c r="BI42" s="465">
        <f>'Recycling - Case 1'!BV112</f>
        <v>89.116085106183661</v>
      </c>
      <c r="BJ42" s="100">
        <f>'Recycling - Case 1'!BW112</f>
        <v>0.58584127457656199</v>
      </c>
      <c r="BK42" s="986">
        <f>'Recycling - Case 1'!BX112</f>
        <v>36.334930676977528</v>
      </c>
      <c r="BL42" s="948">
        <f>'Recycling - Case 1'!BY112</f>
        <v>89.116085106183661</v>
      </c>
      <c r="BM42" s="100">
        <f>'Recycling - Case 1'!BZ112</f>
        <v>0.58584127457656199</v>
      </c>
      <c r="BN42" s="986">
        <f>'Recycling - Case 1'!CA112</f>
        <v>36.334930676977528</v>
      </c>
      <c r="BO42" s="465">
        <f>'Recycling - Case 2'!BV112</f>
        <v>84.251840409453891</v>
      </c>
      <c r="BP42" s="100">
        <f>'Recycling - Case 2'!BW112</f>
        <v>0.71478647130084183</v>
      </c>
      <c r="BQ42" s="986">
        <f>'Recycling - Case 2'!BX112</f>
        <v>36.334930676977528</v>
      </c>
      <c r="BR42" s="948">
        <f>'Recycling - Case 2'!BY112</f>
        <v>84.251840409453891</v>
      </c>
      <c r="BS42" s="100">
        <f>'Recycling - Case 2'!BZ112</f>
        <v>0.71478647130084183</v>
      </c>
      <c r="BT42" s="986">
        <f>'Recycling - Case 2'!CA112</f>
        <v>36.334930676977528</v>
      </c>
      <c r="BU42" s="465">
        <f>'Recycling - Case 3'!BV112</f>
        <v>84.251840409453891</v>
      </c>
      <c r="BV42" s="100">
        <f>'Recycling - Case 3'!BW112</f>
        <v>0.71478647130084183</v>
      </c>
      <c r="BW42" s="986">
        <f>'Recycling - Case 3'!BX112</f>
        <v>36.334930676977528</v>
      </c>
      <c r="BX42" s="948">
        <f>'Recycling - Case 3'!BY112</f>
        <v>84.251840409453891</v>
      </c>
      <c r="BY42" s="100">
        <f>'Recycling - Case 3'!BZ112</f>
        <v>0.71478647130084183</v>
      </c>
      <c r="BZ42" s="986">
        <f>'Recycling - Case 3'!CA112</f>
        <v>36.334930676977528</v>
      </c>
      <c r="CA42" s="535">
        <v>2032</v>
      </c>
      <c r="CB42" s="579">
        <f>'Recycling - Case 1'!CB112</f>
        <v>0.26402012717207901</v>
      </c>
      <c r="CC42" s="100">
        <f>'Recycling - Case 1'!CC112</f>
        <v>0.33586475304818963</v>
      </c>
      <c r="CD42" s="100">
        <f>'Recycling - Case 1'!CD112</f>
        <v>0.26402012717207901</v>
      </c>
      <c r="CE42" s="471">
        <f>'Recycling - Case 1'!CE112</f>
        <v>0.33586475304818963</v>
      </c>
      <c r="CF42" s="579">
        <f>'Recycling - Case 2'!CB112</f>
        <v>0.33644054339812191</v>
      </c>
      <c r="CG42" s="100">
        <f>'Recycling - Case 2'!CC112</f>
        <v>0.36313265841080156</v>
      </c>
      <c r="CH42" s="100">
        <f>'Recycling - Case 2'!CD112</f>
        <v>0.33644054339812191</v>
      </c>
      <c r="CI42" s="471">
        <f>'Recycling - Case 2'!CE112</f>
        <v>0.36313265841080156</v>
      </c>
      <c r="CJ42" s="579">
        <f>'Recycling - Case 3'!CB112</f>
        <v>0.33644054339812191</v>
      </c>
      <c r="CK42" s="100">
        <f>'Recycling - Case 3'!CC112</f>
        <v>0.36313265841080156</v>
      </c>
      <c r="CL42" s="100">
        <f>'Recycling - Case 3'!CD112</f>
        <v>0.33644054339812191</v>
      </c>
      <c r="CM42" s="471">
        <f>'Recycling - Case 3'!CE112</f>
        <v>0.36313265841080156</v>
      </c>
    </row>
    <row r="43" spans="1:91">
      <c r="A43">
        <f>'Input data'!A132</f>
        <v>2032</v>
      </c>
      <c r="C43" s="116">
        <f>'4A SWD Case 1'!BG102</f>
        <v>532.98594033779705</v>
      </c>
      <c r="D43" s="3">
        <f>'4B Biological treatment '!T96</f>
        <v>0.81448406966341946</v>
      </c>
      <c r="E43" s="152">
        <f>'4B Biological treatment '!U96</f>
        <v>36.651783134853872</v>
      </c>
      <c r="F43" s="152">
        <f>'4B Biological treatment '!W96</f>
        <v>2.1991069880912324</v>
      </c>
      <c r="G43" s="688">
        <f>'4C2 Open-burning '!R103</f>
        <v>19.810418044878325</v>
      </c>
      <c r="H43" s="688">
        <f>'4C2 Open-burning '!Z103</f>
        <v>6.665599168772097</v>
      </c>
      <c r="I43" s="688">
        <f>'4C2 Open-burning '!AH103</f>
        <v>9.2796390709546595E-2</v>
      </c>
      <c r="J43" s="93">
        <f>'4D Wastewater treatment and dis'!AV140</f>
        <v>183.09201012599974</v>
      </c>
      <c r="K43" s="3">
        <f>'4D Wastewater treatment and dis'!AW140</f>
        <v>3.3942804445358443</v>
      </c>
      <c r="L43" s="465">
        <f t="shared" si="69"/>
        <v>11192.704747093738</v>
      </c>
      <c r="M43" s="688">
        <f t="shared" si="70"/>
        <v>17.10416546293181</v>
      </c>
      <c r="N43" s="465">
        <f t="shared" si="71"/>
        <v>1451.4106121402133</v>
      </c>
      <c r="O43" s="464">
        <f t="shared" si="72"/>
        <v>188.55488170905181</v>
      </c>
      <c r="P43" s="465">
        <f t="shared" si="73"/>
        <v>4897.1591504521057</v>
      </c>
      <c r="Q43" s="465">
        <f t="shared" si="74"/>
        <v>11192.704747093738</v>
      </c>
      <c r="R43" s="467">
        <f t="shared" si="75"/>
        <v>1468.5147776031451</v>
      </c>
      <c r="S43" s="464">
        <f t="shared" si="76"/>
        <v>188.55488170905181</v>
      </c>
      <c r="T43" s="465">
        <f t="shared" si="77"/>
        <v>4897.1591504521057</v>
      </c>
      <c r="U43" s="465">
        <f t="shared" si="78"/>
        <v>17746.933556858039</v>
      </c>
      <c r="V43" s="3"/>
      <c r="W43" s="535">
        <f t="shared" si="79"/>
        <v>2033</v>
      </c>
      <c r="X43" s="948">
        <f t="shared" si="80"/>
        <v>10829.333961461929</v>
      </c>
      <c r="Y43" s="465">
        <f t="shared" si="81"/>
        <v>1481.1372537227801</v>
      </c>
      <c r="Z43" s="465">
        <f t="shared" si="82"/>
        <v>178.26707342825517</v>
      </c>
      <c r="AA43" s="465">
        <f t="shared" si="83"/>
        <v>4974.9884777949756</v>
      </c>
      <c r="AB43" s="986">
        <f t="shared" si="22"/>
        <v>17463.726766407941</v>
      </c>
      <c r="AC43" s="1206" t="str">
        <f>IF(OR('Recycling - Case 1'!AC113="No",'Recycling - Case 1'!T153="No"), "No", "Yes")</f>
        <v>Yes</v>
      </c>
      <c r="AD43" s="948">
        <f t="shared" si="84"/>
        <v>10829.333961461929</v>
      </c>
      <c r="AE43" s="465">
        <f t="shared" si="85"/>
        <v>1481.1372537227801</v>
      </c>
      <c r="AF43" s="465">
        <f t="shared" si="86"/>
        <v>178.26707342825517</v>
      </c>
      <c r="AG43" s="465">
        <f t="shared" si="87"/>
        <v>4974.9884777949756</v>
      </c>
      <c r="AH43" s="986">
        <f t="shared" si="60"/>
        <v>17463.726766407941</v>
      </c>
      <c r="AI43" s="1206" t="str">
        <f>IF(OR('Recycling - Case 1'!AI24="No",'Recycling - Case 1'!Z153="No"), "No", "Yes")</f>
        <v>Yes</v>
      </c>
      <c r="AJ43" s="948">
        <f t="shared" si="88"/>
        <v>10097.696481443059</v>
      </c>
      <c r="AK43" s="465">
        <f t="shared" si="89"/>
        <v>1481.1372537227801</v>
      </c>
      <c r="AL43" s="465">
        <f t="shared" si="90"/>
        <v>98.064028567910043</v>
      </c>
      <c r="AM43" s="465">
        <f t="shared" si="91"/>
        <v>5619.9715311876926</v>
      </c>
      <c r="AN43" s="986">
        <f t="shared" si="92"/>
        <v>17296.869294921442</v>
      </c>
      <c r="AO43" s="1201" t="str">
        <f>IF(OR('Recycling - Case 2'!AC113="No",'Recycling - Case 2'!T153="No"), "No", "Yes")</f>
        <v>No</v>
      </c>
      <c r="AP43" s="948">
        <f t="shared" si="93"/>
        <v>10097.696481443059</v>
      </c>
      <c r="AQ43" s="465">
        <f t="shared" si="94"/>
        <v>1481.1372537227801</v>
      </c>
      <c r="AR43" s="465">
        <f t="shared" si="95"/>
        <v>98.064028567910043</v>
      </c>
      <c r="AS43" s="465">
        <f t="shared" si="96"/>
        <v>5619.9715311876926</v>
      </c>
      <c r="AT43" s="986">
        <f t="shared" si="37"/>
        <v>17296.869294921442</v>
      </c>
      <c r="AU43" s="1206" t="str">
        <f>IF(OR('Recycling - Case 2'!AC113="No",'Recycling - Case 2'!T193="No"), "No", "Yes")</f>
        <v>No</v>
      </c>
      <c r="AV43" s="948">
        <f t="shared" si="63"/>
        <v>10098.465465861951</v>
      </c>
      <c r="AW43" s="465">
        <f t="shared" si="64"/>
        <v>899.52595276009117</v>
      </c>
      <c r="AX43" s="465">
        <f t="shared" si="65"/>
        <v>98.064028567910043</v>
      </c>
      <c r="AY43" s="465">
        <f t="shared" si="66"/>
        <v>5619.9715311876926</v>
      </c>
      <c r="AZ43" s="986">
        <f t="shared" si="67"/>
        <v>16716.026978377646</v>
      </c>
      <c r="BA43" s="1206" t="str">
        <f>IF(OR('Recycling - Case 3'!AC113="No",'Recycling - Case 3'!T153="No"), "No", "Yes")</f>
        <v>No</v>
      </c>
      <c r="BB43" s="948">
        <f t="shared" si="97"/>
        <v>10098.465465861951</v>
      </c>
      <c r="BC43" s="465">
        <f t="shared" si="98"/>
        <v>899.52595276009117</v>
      </c>
      <c r="BD43" s="465">
        <f t="shared" si="99"/>
        <v>98.064028567910043</v>
      </c>
      <c r="BE43" s="465">
        <f t="shared" si="100"/>
        <v>5619.9715311876926</v>
      </c>
      <c r="BF43" s="986">
        <f t="shared" si="47"/>
        <v>16716.026978377646</v>
      </c>
      <c r="BG43" s="1206" t="str">
        <f>IF(OR('Recycling - Case 3'!AC113="No",'Recycling - Case 3'!T193="No"), "No", "Yes")</f>
        <v>No</v>
      </c>
      <c r="BH43" s="535">
        <f t="shared" si="48"/>
        <v>2033</v>
      </c>
      <c r="BI43" s="465">
        <f>'Recycling - Case 1'!BV113</f>
        <v>88.369052765934953</v>
      </c>
      <c r="BJ43" s="100">
        <f>'Recycling - Case 1'!BW113</f>
        <v>0.59795972641978867</v>
      </c>
      <c r="BK43" s="986">
        <f>'Recycling - Case 1'!BX113</f>
        <v>35.521966003645026</v>
      </c>
      <c r="BL43" s="948">
        <f>'Recycling - Case 1'!BY113</f>
        <v>88.369052765934953</v>
      </c>
      <c r="BM43" s="100">
        <f>'Recycling - Case 1'!BZ113</f>
        <v>0.59795972641978867</v>
      </c>
      <c r="BN43" s="986">
        <f>'Recycling - Case 1'!CA113</f>
        <v>35.521966003645026</v>
      </c>
      <c r="BO43" s="465">
        <f>'Recycling - Case 2'!BV113</f>
        <v>84.338210155690433</v>
      </c>
      <c r="BP43" s="100">
        <f>'Recycling - Case 2'!BW113</f>
        <v>0.72086215897728811</v>
      </c>
      <c r="BQ43" s="986">
        <f>'Recycling - Case 2'!BX113</f>
        <v>35.521966003645026</v>
      </c>
      <c r="BR43" s="948">
        <f>'Recycling - Case 2'!BY113</f>
        <v>84.338210155690433</v>
      </c>
      <c r="BS43" s="100">
        <f>'Recycling - Case 2'!BZ113</f>
        <v>0.72086215897728811</v>
      </c>
      <c r="BT43" s="986">
        <f>'Recycling - Case 2'!CA113</f>
        <v>35.521966003645026</v>
      </c>
      <c r="BU43" s="465">
        <f>'Recycling - Case 3'!BV113</f>
        <v>84.338210155690433</v>
      </c>
      <c r="BV43" s="100">
        <f>'Recycling - Case 3'!BW113</f>
        <v>0.72086215897728811</v>
      </c>
      <c r="BW43" s="986">
        <f>'Recycling - Case 3'!BX113</f>
        <v>35.521966003645026</v>
      </c>
      <c r="BX43" s="948">
        <f>'Recycling - Case 3'!BY113</f>
        <v>84.338210155690433</v>
      </c>
      <c r="BY43" s="100">
        <f>'Recycling - Case 3'!BZ113</f>
        <v>0.72086215897728811</v>
      </c>
      <c r="BZ43" s="986">
        <f>'Recycling - Case 3'!CA113</f>
        <v>35.521966003645026</v>
      </c>
      <c r="CA43" s="535">
        <v>2033</v>
      </c>
      <c r="CB43" s="579">
        <f>'Recycling - Case 1'!CB113</f>
        <v>0.28015277736755673</v>
      </c>
      <c r="CC43" s="100">
        <f>'Recycling - Case 1'!CC113</f>
        <v>0.34744070215465861</v>
      </c>
      <c r="CD43" s="100">
        <f>'Recycling - Case 1'!CD113</f>
        <v>0.28015277736755673</v>
      </c>
      <c r="CE43" s="471">
        <f>'Recycling - Case 1'!CE113</f>
        <v>0.34744070215465861</v>
      </c>
      <c r="CF43" s="579">
        <f>'Recycling - Case 2'!CB113</f>
        <v>0.33923160487106796</v>
      </c>
      <c r="CG43" s="100">
        <f>'Recycling - Case 2'!CC113</f>
        <v>0.36991646811125578</v>
      </c>
      <c r="CH43" s="100">
        <f>'Recycling - Case 2'!CD113</f>
        <v>0.33923160487106796</v>
      </c>
      <c r="CI43" s="471">
        <f>'Recycling - Case 2'!CE113</f>
        <v>0.36991646811125578</v>
      </c>
      <c r="CJ43" s="579">
        <f>'Recycling - Case 3'!CB113</f>
        <v>0.33923160487106796</v>
      </c>
      <c r="CK43" s="100">
        <f>'Recycling - Case 3'!CC113</f>
        <v>0.36991646811125578</v>
      </c>
      <c r="CL43" s="100">
        <f>'Recycling - Case 3'!CD113</f>
        <v>0.33923160487106796</v>
      </c>
      <c r="CM43" s="471">
        <f>'Recycling - Case 3'!CE113</f>
        <v>0.36991646811125578</v>
      </c>
    </row>
    <row r="44" spans="1:91">
      <c r="A44">
        <f>'Input data'!A133</f>
        <v>2033</v>
      </c>
      <c r="C44" s="116">
        <f>'4A SWD Case 1'!BG103</f>
        <v>515.68256959342523</v>
      </c>
      <c r="D44" s="3">
        <f>'4B Biological treatment '!T97</f>
        <v>0.82148488836538025</v>
      </c>
      <c r="E44" s="152">
        <f>'4B Biological treatment '!U97</f>
        <v>36.966819976442103</v>
      </c>
      <c r="F44" s="152">
        <f>'4B Biological treatment '!W97</f>
        <v>2.2180091985865262</v>
      </c>
      <c r="G44" s="688">
        <f>'4C2 Open-burning '!R104</f>
        <v>18.729534956830655</v>
      </c>
      <c r="H44" s="688">
        <f>'4C2 Open-burning '!Z104</f>
        <v>6.301915101282515</v>
      </c>
      <c r="I44" s="688">
        <f>'4C2 Open-burning '!AH104</f>
        <v>8.7733294659650546E-2</v>
      </c>
      <c r="J44" s="93">
        <f>'4D Wastewater treatment and dis'!AV141</f>
        <v>186.39003655881149</v>
      </c>
      <c r="K44" s="3">
        <f>'4D Wastewater treatment and dis'!AW141</f>
        <v>3.4219280969675285</v>
      </c>
      <c r="L44" s="465">
        <f t="shared" si="69"/>
        <v>10829.333961461929</v>
      </c>
      <c r="M44" s="688">
        <f t="shared" si="70"/>
        <v>17.251182655672984</v>
      </c>
      <c r="N44" s="465">
        <f t="shared" si="71"/>
        <v>1463.8860710671072</v>
      </c>
      <c r="O44" s="464">
        <f t="shared" si="72"/>
        <v>178.26707342825517</v>
      </c>
      <c r="P44" s="465">
        <f t="shared" si="73"/>
        <v>4974.9884777949756</v>
      </c>
      <c r="Q44" s="465">
        <f t="shared" si="74"/>
        <v>10829.333961461929</v>
      </c>
      <c r="R44" s="467">
        <f t="shared" si="75"/>
        <v>1481.1372537227801</v>
      </c>
      <c r="S44" s="464">
        <f t="shared" si="76"/>
        <v>178.26707342825517</v>
      </c>
      <c r="T44" s="465">
        <f t="shared" si="77"/>
        <v>4974.9884777949756</v>
      </c>
      <c r="U44" s="465">
        <f t="shared" si="78"/>
        <v>17463.726766407941</v>
      </c>
      <c r="V44" s="3"/>
      <c r="W44" s="535">
        <f t="shared" si="79"/>
        <v>2034</v>
      </c>
      <c r="X44" s="948">
        <f t="shared" si="80"/>
        <v>10474.86986554718</v>
      </c>
      <c r="Y44" s="465">
        <f t="shared" si="81"/>
        <v>1494.902308601505</v>
      </c>
      <c r="Z44" s="465">
        <f t="shared" si="82"/>
        <v>168.04419846686227</v>
      </c>
      <c r="AA44" s="465">
        <f t="shared" si="83"/>
        <v>5052.4464120973771</v>
      </c>
      <c r="AB44" s="986">
        <f t="shared" si="22"/>
        <v>17190.262784712926</v>
      </c>
      <c r="AC44" s="1206" t="str">
        <f>IF(OR('Recycling - Case 1'!AC114="No",'Recycling - Case 1'!T154="No"), "No", "Yes")</f>
        <v>Yes</v>
      </c>
      <c r="AD44" s="948">
        <f t="shared" si="84"/>
        <v>10474.86986554718</v>
      </c>
      <c r="AE44" s="465">
        <f t="shared" si="85"/>
        <v>1494.902308601505</v>
      </c>
      <c r="AF44" s="465">
        <f t="shared" si="86"/>
        <v>168.04419846686227</v>
      </c>
      <c r="AG44" s="465">
        <f t="shared" si="87"/>
        <v>5052.4464120973771</v>
      </c>
      <c r="AH44" s="986">
        <f t="shared" si="60"/>
        <v>17190.262784712926</v>
      </c>
      <c r="AI44" s="1206" t="str">
        <f>IF(OR('Recycling - Case 1'!AI25="No",'Recycling - Case 1'!Z154="No"), "No", "Yes")</f>
        <v>Yes</v>
      </c>
      <c r="AJ44" s="948">
        <f t="shared" si="88"/>
        <v>9701.3550844136062</v>
      </c>
      <c r="AK44" s="465">
        <f t="shared" si="89"/>
        <v>1494.902308601505</v>
      </c>
      <c r="AL44" s="465">
        <f t="shared" si="90"/>
        <v>97.799429259916053</v>
      </c>
      <c r="AM44" s="465">
        <f t="shared" si="91"/>
        <v>5664.2747063410307</v>
      </c>
      <c r="AN44" s="986">
        <f t="shared" si="92"/>
        <v>16958.331528616058</v>
      </c>
      <c r="AO44" s="1201" t="str">
        <f>IF(OR('Recycling - Case 2'!AC114="No",'Recycling - Case 2'!T154="No"), "No", "Yes")</f>
        <v>No</v>
      </c>
      <c r="AP44" s="948">
        <f t="shared" si="93"/>
        <v>9701.3550844136062</v>
      </c>
      <c r="AQ44" s="465">
        <f t="shared" si="94"/>
        <v>1494.902308601505</v>
      </c>
      <c r="AR44" s="465">
        <f t="shared" si="95"/>
        <v>97.799429259916053</v>
      </c>
      <c r="AS44" s="465">
        <f t="shared" si="96"/>
        <v>5664.2747063410307</v>
      </c>
      <c r="AT44" s="986">
        <f t="shared" si="37"/>
        <v>16958.331528616058</v>
      </c>
      <c r="AU44" s="1206" t="str">
        <f>IF(OR('Recycling - Case 2'!AC114="No",'Recycling - Case 2'!T194="No"), "No", "Yes")</f>
        <v>No</v>
      </c>
      <c r="AV44" s="948">
        <f t="shared" si="63"/>
        <v>9702.1957170834539</v>
      </c>
      <c r="AW44" s="465">
        <f t="shared" si="64"/>
        <v>907.88576146347657</v>
      </c>
      <c r="AX44" s="465">
        <f t="shared" si="65"/>
        <v>97.799429259916053</v>
      </c>
      <c r="AY44" s="465">
        <f t="shared" si="66"/>
        <v>5664.2747063410307</v>
      </c>
      <c r="AZ44" s="986">
        <f t="shared" si="67"/>
        <v>16372.155614147876</v>
      </c>
      <c r="BA44" s="1206" t="str">
        <f>IF(OR('Recycling - Case 3'!AC114="No",'Recycling - Case 3'!T154="No"), "No", "Yes")</f>
        <v>No</v>
      </c>
      <c r="BB44" s="948">
        <f t="shared" si="97"/>
        <v>9702.1957170834539</v>
      </c>
      <c r="BC44" s="465">
        <f t="shared" si="98"/>
        <v>907.88576146347657</v>
      </c>
      <c r="BD44" s="465">
        <f t="shared" si="99"/>
        <v>97.799429259916053</v>
      </c>
      <c r="BE44" s="465">
        <f t="shared" si="100"/>
        <v>5664.2747063410307</v>
      </c>
      <c r="BF44" s="986">
        <f t="shared" si="47"/>
        <v>16372.155614147876</v>
      </c>
      <c r="BG44" s="1206" t="str">
        <f>IF(OR('Recycling - Case 3'!AC114="No",'Recycling - Case 3'!T194="No"), "No", "Yes")</f>
        <v>No</v>
      </c>
      <c r="BH44" s="535">
        <f t="shared" si="48"/>
        <v>2034</v>
      </c>
      <c r="BI44" s="465">
        <f>'Recycling - Case 1'!BV114</f>
        <v>87.223629761411757</v>
      </c>
      <c r="BJ44" s="100">
        <f>'Recycling - Case 1'!BW114</f>
        <v>0.60805630116404441</v>
      </c>
      <c r="BK44" s="986">
        <f>'Recycling - Case 1'!BX114</f>
        <v>32.152713476250632</v>
      </c>
      <c r="BL44" s="948">
        <f>'Recycling - Case 1'!BY114</f>
        <v>87.223629761411757</v>
      </c>
      <c r="BM44" s="100">
        <f>'Recycling - Case 1'!BZ114</f>
        <v>0.60805630116404441</v>
      </c>
      <c r="BN44" s="986">
        <f>'Recycling - Case 1'!CA114</f>
        <v>32.152713476250632</v>
      </c>
      <c r="BO44" s="465">
        <f>'Recycling - Case 2'!BV114</f>
        <v>81.94125368542737</v>
      </c>
      <c r="BP44" s="100">
        <f>'Recycling - Case 2'!BW114</f>
        <v>0.73736752350947032</v>
      </c>
      <c r="BQ44" s="986">
        <f>'Recycling - Case 2'!BX114</f>
        <v>32.152713476250632</v>
      </c>
      <c r="BR44" s="948">
        <f>'Recycling - Case 2'!BY114</f>
        <v>81.94125368542737</v>
      </c>
      <c r="BS44" s="100">
        <f>'Recycling - Case 2'!BZ114</f>
        <v>0.73736752350947032</v>
      </c>
      <c r="BT44" s="986">
        <f>'Recycling - Case 2'!CA114</f>
        <v>32.152713476250632</v>
      </c>
      <c r="BU44" s="465">
        <f>'Recycling - Case 3'!BV114</f>
        <v>81.94125368542737</v>
      </c>
      <c r="BV44" s="100">
        <f>'Recycling - Case 3'!BW114</f>
        <v>0.73736752350947032</v>
      </c>
      <c r="BW44" s="986">
        <f>'Recycling - Case 3'!BX114</f>
        <v>32.152713476250632</v>
      </c>
      <c r="BX44" s="948">
        <f>'Recycling - Case 3'!BY114</f>
        <v>81.94125368542737</v>
      </c>
      <c r="BY44" s="100">
        <f>'Recycling - Case 3'!BZ114</f>
        <v>0.73736752350947032</v>
      </c>
      <c r="BZ44" s="986">
        <f>'Recycling - Case 3'!CA114</f>
        <v>32.152713476250632</v>
      </c>
      <c r="CA44" s="535">
        <v>2034</v>
      </c>
      <c r="CB44" s="579">
        <f>'Recycling - Case 1'!CB114</f>
        <v>0.29592278784212256</v>
      </c>
      <c r="CC44" s="100">
        <f>'Recycling - Case 1'!CC114</f>
        <v>0.34773962307081219</v>
      </c>
      <c r="CD44" s="100">
        <f>'Recycling - Case 1'!CD114</f>
        <v>0.29592278784212256</v>
      </c>
      <c r="CE44" s="471">
        <f>'Recycling - Case 1'!CE114</f>
        <v>0.34773962307081219</v>
      </c>
      <c r="CF44" s="579">
        <f>'Recycling - Case 2'!CB114</f>
        <v>0.34190989992674348</v>
      </c>
      <c r="CG44" s="100">
        <f>'Recycling - Case 2'!CC114</f>
        <v>0.38629272789697089</v>
      </c>
      <c r="CH44" s="100">
        <f>'Recycling - Case 2'!CD114</f>
        <v>0.34190989992674348</v>
      </c>
      <c r="CI44" s="471">
        <f>'Recycling - Case 2'!CE114</f>
        <v>0.38629272789697089</v>
      </c>
      <c r="CJ44" s="579">
        <f>'Recycling - Case 3'!CB114</f>
        <v>0.34190989992674348</v>
      </c>
      <c r="CK44" s="100">
        <f>'Recycling - Case 3'!CC114</f>
        <v>0.38629272789697089</v>
      </c>
      <c r="CL44" s="100">
        <f>'Recycling - Case 3'!CD114</f>
        <v>0.34190989992674348</v>
      </c>
      <c r="CM44" s="471">
        <f>'Recycling - Case 3'!CE114</f>
        <v>0.38629272789697089</v>
      </c>
    </row>
    <row r="45" spans="1:91">
      <c r="A45">
        <f>'Input data'!A134</f>
        <v>2034</v>
      </c>
      <c r="C45" s="116">
        <f>'4A SWD Case 1'!BG104</f>
        <v>498.80332693081812</v>
      </c>
      <c r="D45" s="3">
        <f>'4B Biological treatment '!T98</f>
        <v>0.82911941686162249</v>
      </c>
      <c r="E45" s="152">
        <f>'4B Biological treatment '!U98</f>
        <v>37.310373758773004</v>
      </c>
      <c r="F45" s="152">
        <f>'4B Biological treatment '!W98</f>
        <v>2.2386224255263802</v>
      </c>
      <c r="G45" s="688">
        <f>'4C2 Open-burning '!R105</f>
        <v>17.655474053341521</v>
      </c>
      <c r="H45" s="688">
        <f>'4C2 Open-burning '!Z105</f>
        <v>5.9405264900331556</v>
      </c>
      <c r="I45" s="688">
        <f>'4C2 Open-burning '!AH105</f>
        <v>8.2702155234917696E-2</v>
      </c>
      <c r="J45" s="93">
        <f>'4D Wastewater treatment and dis'!AV142</f>
        <v>189.68029792094978</v>
      </c>
      <c r="K45" s="3">
        <f>'4D Wastewater treatment and dis'!AW142</f>
        <v>3.4489037282497814</v>
      </c>
      <c r="L45" s="465">
        <f t="shared" si="69"/>
        <v>10474.86986554718</v>
      </c>
      <c r="M45" s="688">
        <f t="shared" si="70"/>
        <v>17.411507754094071</v>
      </c>
      <c r="N45" s="465">
        <f t="shared" si="71"/>
        <v>1477.4908008474108</v>
      </c>
      <c r="O45" s="464">
        <f t="shared" si="72"/>
        <v>168.04419846686227</v>
      </c>
      <c r="P45" s="465">
        <f t="shared" si="73"/>
        <v>5052.4464120973771</v>
      </c>
      <c r="Q45" s="465">
        <f t="shared" si="74"/>
        <v>10474.86986554718</v>
      </c>
      <c r="R45" s="467">
        <f t="shared" si="75"/>
        <v>1494.902308601505</v>
      </c>
      <c r="S45" s="464">
        <f t="shared" si="76"/>
        <v>168.04419846686227</v>
      </c>
      <c r="T45" s="465">
        <f t="shared" si="77"/>
        <v>5052.4464120973771</v>
      </c>
      <c r="U45" s="465">
        <f t="shared" si="78"/>
        <v>17190.262784712926</v>
      </c>
      <c r="V45" s="3"/>
      <c r="W45" s="535">
        <f t="shared" si="79"/>
        <v>2035</v>
      </c>
      <c r="X45" s="948">
        <f t="shared" si="80"/>
        <v>10139.290093474539</v>
      </c>
      <c r="Y45" s="465">
        <f t="shared" si="81"/>
        <v>1505.8873760396166</v>
      </c>
      <c r="Z45" s="465">
        <f t="shared" si="82"/>
        <v>157.88261292997831</v>
      </c>
      <c r="AA45" s="465">
        <f t="shared" si="83"/>
        <v>5129.4816411793363</v>
      </c>
      <c r="AB45" s="986">
        <f t="shared" si="22"/>
        <v>16932.541723623472</v>
      </c>
      <c r="AC45" s="1206" t="str">
        <f>IF(OR('Recycling - Case 1'!AC115="No",'Recycling - Case 1'!T155="No"), "No", "Yes")</f>
        <v>Yes</v>
      </c>
      <c r="AD45" s="948">
        <f t="shared" si="84"/>
        <v>10139.290093474539</v>
      </c>
      <c r="AE45" s="465">
        <f t="shared" si="85"/>
        <v>1505.8873760396166</v>
      </c>
      <c r="AF45" s="465">
        <f t="shared" si="86"/>
        <v>157.88261292997831</v>
      </c>
      <c r="AG45" s="465">
        <f t="shared" si="87"/>
        <v>5129.4816411793363</v>
      </c>
      <c r="AH45" s="986">
        <f t="shared" si="60"/>
        <v>16932.541723623472</v>
      </c>
      <c r="AI45" s="1206" t="str">
        <f>IF(OR('Recycling - Case 1'!AI26="No",'Recycling - Case 1'!Z155="No"), "No", "Yes")</f>
        <v>Yes</v>
      </c>
      <c r="AJ45" s="948">
        <f t="shared" si="88"/>
        <v>9324.5645292828121</v>
      </c>
      <c r="AK45" s="465">
        <f t="shared" si="89"/>
        <v>1505.8873760396166</v>
      </c>
      <c r="AL45" s="465">
        <f t="shared" si="90"/>
        <v>97.546904040278406</v>
      </c>
      <c r="AM45" s="465">
        <f t="shared" si="91"/>
        <v>5707.4419715478889</v>
      </c>
      <c r="AN45" s="986">
        <f t="shared" si="92"/>
        <v>16635.440780910598</v>
      </c>
      <c r="AO45" s="1201" t="str">
        <f>IF(OR('Recycling - Case 2'!AC115="No",'Recycling - Case 2'!T155="No"), "No", "Yes")</f>
        <v>No</v>
      </c>
      <c r="AP45" s="948">
        <f t="shared" si="93"/>
        <v>9324.5645292828121</v>
      </c>
      <c r="AQ45" s="465">
        <f t="shared" si="94"/>
        <v>1505.8873760396166</v>
      </c>
      <c r="AR45" s="465">
        <f t="shared" si="95"/>
        <v>97.546904040278406</v>
      </c>
      <c r="AS45" s="465">
        <f t="shared" si="96"/>
        <v>5707.4419715478889</v>
      </c>
      <c r="AT45" s="986">
        <f t="shared" si="37"/>
        <v>16635.440780910598</v>
      </c>
      <c r="AU45" s="1206" t="str">
        <f>IF(OR('Recycling - Case 2'!AC115="No",'Recycling - Case 2'!T195="No"), "No", "Yes")</f>
        <v>No</v>
      </c>
      <c r="AV45" s="948">
        <f t="shared" si="63"/>
        <v>9325.4735555747502</v>
      </c>
      <c r="AW45" s="465">
        <f t="shared" si="64"/>
        <v>914.55722504901848</v>
      </c>
      <c r="AX45" s="465">
        <f t="shared" si="65"/>
        <v>97.546904040278406</v>
      </c>
      <c r="AY45" s="465">
        <f t="shared" si="66"/>
        <v>5707.4419715478889</v>
      </c>
      <c r="AZ45" s="986">
        <f t="shared" si="67"/>
        <v>16045.019656211936</v>
      </c>
      <c r="BA45" s="1206" t="str">
        <f>IF(OR('Recycling - Case 3'!AC115="No",'Recycling - Case 3'!T155="No"), "No", "Yes")</f>
        <v>No</v>
      </c>
      <c r="BB45" s="948">
        <f t="shared" si="97"/>
        <v>9325.4735555747502</v>
      </c>
      <c r="BC45" s="465">
        <f t="shared" si="98"/>
        <v>914.55722504901848</v>
      </c>
      <c r="BD45" s="465">
        <f t="shared" si="99"/>
        <v>97.546904040278406</v>
      </c>
      <c r="BE45" s="465">
        <f t="shared" si="100"/>
        <v>5707.4419715478889</v>
      </c>
      <c r="BF45" s="986">
        <f t="shared" si="47"/>
        <v>16045.019656211936</v>
      </c>
      <c r="BG45" s="1206" t="str">
        <f>IF(OR('Recycling - Case 3'!AC115="No",'Recycling - Case 3'!T195="No"), "No", "Yes")</f>
        <v>No</v>
      </c>
      <c r="BH45" s="535">
        <f t="shared" si="48"/>
        <v>2035</v>
      </c>
      <c r="BI45" s="465">
        <f>'Recycling - Case 1'!BV115</f>
        <v>85.132425469599923</v>
      </c>
      <c r="BJ45" s="100">
        <f>'Recycling - Case 1'!BW115</f>
        <v>0.6137390061107314</v>
      </c>
      <c r="BK45" s="986">
        <f>'Recycling - Case 1'!BX115</f>
        <v>24.779864252695084</v>
      </c>
      <c r="BL45" s="948">
        <f>'Recycling - Case 1'!BY115</f>
        <v>85.132425469599923</v>
      </c>
      <c r="BM45" s="100">
        <f>'Recycling - Case 1'!BZ115</f>
        <v>0.6137390061107314</v>
      </c>
      <c r="BN45" s="986">
        <f>'Recycling - Case 1'!CA115</f>
        <v>24.779864252695084</v>
      </c>
      <c r="BO45" s="465">
        <f>'Recycling - Case 2'!BV115</f>
        <v>75.357124308723471</v>
      </c>
      <c r="BP45" s="100">
        <f>'Recycling - Case 2'!BW115</f>
        <v>0.77312397460965654</v>
      </c>
      <c r="BQ45" s="986">
        <f>'Recycling - Case 2'!BX115</f>
        <v>24.779864252695084</v>
      </c>
      <c r="BR45" s="948">
        <f>'Recycling - Case 2'!BY115</f>
        <v>75.357124308723471</v>
      </c>
      <c r="BS45" s="100">
        <f>'Recycling - Case 2'!BZ115</f>
        <v>0.77312397460965654</v>
      </c>
      <c r="BT45" s="986">
        <f>'Recycling - Case 2'!CA115</f>
        <v>24.779864252695084</v>
      </c>
      <c r="BU45" s="465">
        <f>'Recycling - Case 3'!BV115</f>
        <v>75.357124308723471</v>
      </c>
      <c r="BV45" s="100">
        <f>'Recycling - Case 3'!BW115</f>
        <v>0.77312397460965654</v>
      </c>
      <c r="BW45" s="986">
        <f>'Recycling - Case 3'!BX115</f>
        <v>24.779864252695084</v>
      </c>
      <c r="BX45" s="948">
        <f>'Recycling - Case 3'!BY115</f>
        <v>75.357124308723471</v>
      </c>
      <c r="BY45" s="100">
        <f>'Recycling - Case 3'!BZ115</f>
        <v>0.77312397460965654</v>
      </c>
      <c r="BZ45" s="986">
        <f>'Recycling - Case 3'!CA115</f>
        <v>24.779864252695084</v>
      </c>
      <c r="CA45" s="535">
        <v>2035</v>
      </c>
      <c r="CB45" s="579">
        <f>'Recycling - Case 1'!CB115</f>
        <v>0.31134654118157257</v>
      </c>
      <c r="CC45" s="100">
        <f>'Recycling - Case 1'!CC115</f>
        <v>0.32795043799057078</v>
      </c>
      <c r="CD45" s="100">
        <f>'Recycling - Case 1'!CD115</f>
        <v>0.31134654118157257</v>
      </c>
      <c r="CE45" s="471">
        <f>'Recycling - Case 1'!CE115</f>
        <v>0.32795043799057078</v>
      </c>
      <c r="CF45" s="579">
        <f>'Recycling - Case 2'!CB115</f>
        <v>0.34447789085286562</v>
      </c>
      <c r="CG45" s="100">
        <f>'Recycling - Case 2'!CC115</f>
        <v>0.41900945651695554</v>
      </c>
      <c r="CH45" s="100">
        <f>'Recycling - Case 2'!CD115</f>
        <v>0.34447789085286562</v>
      </c>
      <c r="CI45" s="471">
        <f>'Recycling - Case 2'!CE115</f>
        <v>0.41900945651695554</v>
      </c>
      <c r="CJ45" s="579">
        <f>'Recycling - Case 3'!CB115</f>
        <v>0.34447789085286562</v>
      </c>
      <c r="CK45" s="100">
        <f>'Recycling - Case 3'!CC115</f>
        <v>0.41900945651695554</v>
      </c>
      <c r="CL45" s="100">
        <f>'Recycling - Case 3'!CD115</f>
        <v>0.34447789085286562</v>
      </c>
      <c r="CM45" s="471">
        <f>'Recycling - Case 3'!CE115</f>
        <v>0.41900945651695554</v>
      </c>
    </row>
    <row r="46" spans="1:91">
      <c r="A46">
        <f>'Input data'!A135</f>
        <v>2035</v>
      </c>
      <c r="C46" s="116">
        <f>'4A SWD Case 1'!BG105</f>
        <v>482.82333778450192</v>
      </c>
      <c r="D46" s="3">
        <f>'4B Biological treatment '!T99</f>
        <v>0.83521207767033656</v>
      </c>
      <c r="E46" s="152">
        <f>'4B Biological treatment '!U99</f>
        <v>37.584543495165143</v>
      </c>
      <c r="F46" s="152">
        <f>'4B Biological treatment '!W99</f>
        <v>2.2550726097099085</v>
      </c>
      <c r="G46" s="688">
        <f>'4C2 Open-burning '!R106</f>
        <v>16.587852490537948</v>
      </c>
      <c r="H46" s="688">
        <f>'4C2 Open-burning '!Z106</f>
        <v>5.5813045197816757</v>
      </c>
      <c r="I46" s="688">
        <f>'4C2 Open-burning '!AH106</f>
        <v>7.77011791097586E-2</v>
      </c>
      <c r="J46" s="93">
        <f>'4D Wastewater treatment and dis'!AV143</f>
        <v>192.96064040014554</v>
      </c>
      <c r="K46" s="3">
        <f>'4D Wastewater treatment and dis'!AW143</f>
        <v>3.4751877186331606</v>
      </c>
      <c r="L46" s="465">
        <f t="shared" si="69"/>
        <v>10139.290093474539</v>
      </c>
      <c r="M46" s="688">
        <f t="shared" si="70"/>
        <v>17.539453631077066</v>
      </c>
      <c r="N46" s="465">
        <f t="shared" si="71"/>
        <v>1488.3479224085395</v>
      </c>
      <c r="O46" s="464">
        <f t="shared" si="72"/>
        <v>157.88261292997831</v>
      </c>
      <c r="P46" s="465">
        <f t="shared" si="73"/>
        <v>5129.4816411793363</v>
      </c>
      <c r="Q46" s="465">
        <f t="shared" si="74"/>
        <v>10139.290093474539</v>
      </c>
      <c r="R46" s="467">
        <f t="shared" si="75"/>
        <v>1505.8873760396166</v>
      </c>
      <c r="S46" s="464">
        <f t="shared" si="76"/>
        <v>157.88261292997831</v>
      </c>
      <c r="T46" s="465">
        <f t="shared" si="77"/>
        <v>5129.4816411793363</v>
      </c>
      <c r="U46" s="465">
        <f t="shared" si="78"/>
        <v>16932.541723623472</v>
      </c>
      <c r="V46" s="3"/>
      <c r="W46" s="535">
        <f t="shared" si="79"/>
        <v>2036</v>
      </c>
      <c r="X46" s="948">
        <f t="shared" si="80"/>
        <v>9838.2631212810011</v>
      </c>
      <c r="Y46" s="465">
        <f t="shared" si="81"/>
        <v>1516.8865590698106</v>
      </c>
      <c r="Z46" s="465">
        <f t="shared" si="82"/>
        <v>147.77800293189182</v>
      </c>
      <c r="AA46" s="465">
        <f t="shared" si="83"/>
        <v>5206.1448511865874</v>
      </c>
      <c r="AB46" s="986">
        <f t="shared" si="22"/>
        <v>16709.072534469291</v>
      </c>
      <c r="AC46" s="1206" t="str">
        <f>IF(OR('Recycling - Case 1'!AC116="No",'Recycling - Case 1'!T156="No"), "No", "Yes")</f>
        <v>Yes</v>
      </c>
      <c r="AD46" s="948">
        <f t="shared" si="84"/>
        <v>9838.2631212810011</v>
      </c>
      <c r="AE46" s="465">
        <f t="shared" si="85"/>
        <v>1516.8865590698106</v>
      </c>
      <c r="AF46" s="465">
        <f t="shared" si="86"/>
        <v>147.77800293189182</v>
      </c>
      <c r="AG46" s="465">
        <f t="shared" si="87"/>
        <v>5206.1448511865874</v>
      </c>
      <c r="AH46" s="986">
        <f t="shared" si="60"/>
        <v>16709.072534469291</v>
      </c>
      <c r="AI46" s="1206" t="str">
        <f>IF(OR('Recycling - Case 1'!AI27="No",'Recycling - Case 1'!Z156="No"), "No", "Yes")</f>
        <v>Yes</v>
      </c>
      <c r="AJ46" s="948">
        <f t="shared" si="88"/>
        <v>8966.3630776495374</v>
      </c>
      <c r="AK46" s="465">
        <f t="shared" si="89"/>
        <v>1516.8865590698106</v>
      </c>
      <c r="AL46" s="465">
        <f t="shared" si="90"/>
        <v>97.305427719784788</v>
      </c>
      <c r="AM46" s="465">
        <f t="shared" si="91"/>
        <v>5749.55471020798</v>
      </c>
      <c r="AN46" s="986">
        <f t="shared" si="92"/>
        <v>16330.109774647113</v>
      </c>
      <c r="AO46" s="1201" t="str">
        <f>IF(OR('Recycling - Case 2'!AC116="No",'Recycling - Case 2'!T156="No"), "No", "Yes")</f>
        <v>Yes</v>
      </c>
      <c r="AP46" s="948">
        <f t="shared" si="93"/>
        <v>8966.3630776495374</v>
      </c>
      <c r="AQ46" s="465">
        <f t="shared" si="94"/>
        <v>1516.8865590698106</v>
      </c>
      <c r="AR46" s="465">
        <f t="shared" si="95"/>
        <v>97.305427719784788</v>
      </c>
      <c r="AS46" s="465">
        <f t="shared" si="96"/>
        <v>5749.55471020798</v>
      </c>
      <c r="AT46" s="986">
        <f t="shared" si="37"/>
        <v>16330.109774647113</v>
      </c>
      <c r="AU46" s="1206" t="str">
        <f>IF(OR('Recycling - Case 2'!AC116="No",'Recycling - Case 2'!T196="No"), "No", "Yes")</f>
        <v>Yes</v>
      </c>
      <c r="AV46" s="948">
        <f t="shared" si="63"/>
        <v>8967.3374089365825</v>
      </c>
      <c r="AW46" s="465">
        <f t="shared" si="64"/>
        <v>921.23726133191497</v>
      </c>
      <c r="AX46" s="465">
        <f t="shared" si="65"/>
        <v>97.305427719784788</v>
      </c>
      <c r="AY46" s="465">
        <f t="shared" si="66"/>
        <v>5749.55471020798</v>
      </c>
      <c r="AZ46" s="986">
        <f t="shared" si="67"/>
        <v>15735.434808196262</v>
      </c>
      <c r="BA46" s="1206" t="str">
        <f>IF(OR('Recycling - Case 3'!AC116="No",'Recycling - Case 3'!T156="No"), "No", "Yes")</f>
        <v>Yes</v>
      </c>
      <c r="BB46" s="948">
        <f t="shared" si="97"/>
        <v>8967.3374089365825</v>
      </c>
      <c r="BC46" s="465">
        <f t="shared" si="98"/>
        <v>921.23726133191497</v>
      </c>
      <c r="BD46" s="465">
        <f t="shared" si="99"/>
        <v>97.305427719784788</v>
      </c>
      <c r="BE46" s="465">
        <f t="shared" si="100"/>
        <v>5749.55471020798</v>
      </c>
      <c r="BF46" s="986">
        <f t="shared" si="47"/>
        <v>15735.434808196262</v>
      </c>
      <c r="BG46" s="1206" t="str">
        <f>IF(OR('Recycling - Case 3'!AC116="No",'Recycling - Case 3'!T196="No"), "No", "Yes")</f>
        <v>Yes</v>
      </c>
      <c r="BH46" s="535">
        <f t="shared" si="48"/>
        <v>2036</v>
      </c>
      <c r="BI46" s="465">
        <f>'Recycling - Case 1'!BV116</f>
        <v>81.907793040847878</v>
      </c>
      <c r="BJ46" s="100">
        <f>'Recycling - Case 1'!BW116</f>
        <v>0.61400076987134833</v>
      </c>
      <c r="BK46" s="986">
        <f>'Recycling - Case 1'!BX116</f>
        <v>11.557949273739366</v>
      </c>
      <c r="BL46" s="948">
        <f>'Recycling - Case 1'!BY116</f>
        <v>81.907793040847878</v>
      </c>
      <c r="BM46" s="100">
        <f>'Recycling - Case 1'!BZ116</f>
        <v>0.61400076987134833</v>
      </c>
      <c r="BN46" s="986">
        <f>'Recycling - Case 1'!CA116</f>
        <v>11.557949273739366</v>
      </c>
      <c r="BO46" s="465">
        <f>'Recycling - Case 2'!BV116</f>
        <v>69.676347383600515</v>
      </c>
      <c r="BP46" s="100">
        <f>'Recycling - Case 2'!BW116</f>
        <v>0.77156167675830989</v>
      </c>
      <c r="BQ46" s="986">
        <f>'Recycling - Case 2'!BX116</f>
        <v>11.557949273739366</v>
      </c>
      <c r="BR46" s="948">
        <f>'Recycling - Case 2'!BY116</f>
        <v>69.676347383600515</v>
      </c>
      <c r="BS46" s="100">
        <f>'Recycling - Case 2'!BZ116</f>
        <v>0.77156167675830989</v>
      </c>
      <c r="BT46" s="986">
        <f>'Recycling - Case 2'!CA116</f>
        <v>11.557949273739366</v>
      </c>
      <c r="BU46" s="465">
        <f>'Recycling - Case 3'!BV116</f>
        <v>69.676347383600515</v>
      </c>
      <c r="BV46" s="100">
        <f>'Recycling - Case 3'!BW116</f>
        <v>0.77156167675830989</v>
      </c>
      <c r="BW46" s="986">
        <f>'Recycling - Case 3'!BX116</f>
        <v>11.557949273739366</v>
      </c>
      <c r="BX46" s="948">
        <f>'Recycling - Case 3'!BY116</f>
        <v>69.676347383600515</v>
      </c>
      <c r="BY46" s="100">
        <f>'Recycling - Case 3'!BZ116</f>
        <v>0.77156167675830989</v>
      </c>
      <c r="BZ46" s="986">
        <f>'Recycling - Case 3'!CA116</f>
        <v>11.557949273739366</v>
      </c>
      <c r="CA46" s="535">
        <v>2036</v>
      </c>
      <c r="CB46" s="579">
        <f>'Recycling - Case 1'!CB116</f>
        <v>0.32644795969136542</v>
      </c>
      <c r="CC46" s="100">
        <f>'Recycling - Case 1'!CC116</f>
        <v>0.27132344088504146</v>
      </c>
      <c r="CD46" s="100">
        <f>'Recycling - Case 1'!CD116</f>
        <v>0.32644795969136542</v>
      </c>
      <c r="CE46" s="471">
        <f>'Recycling - Case 1'!CE116</f>
        <v>0.27132344088504146</v>
      </c>
      <c r="CF46" s="579">
        <f>'Recycling - Case 2'!CB116</f>
        <v>0.34694448796127797</v>
      </c>
      <c r="CG46" s="100">
        <f>'Recycling - Case 2'!CC116</f>
        <v>0.40783458287695618</v>
      </c>
      <c r="CH46" s="100">
        <f>'Recycling - Case 2'!CD116</f>
        <v>0.34694448796127797</v>
      </c>
      <c r="CI46" s="471">
        <f>'Recycling - Case 2'!CE116</f>
        <v>0.40783458287695618</v>
      </c>
      <c r="CJ46" s="579">
        <f>'Recycling - Case 3'!CB116</f>
        <v>0.34694448796127797</v>
      </c>
      <c r="CK46" s="100">
        <f>'Recycling - Case 3'!CC116</f>
        <v>0.40783458287695618</v>
      </c>
      <c r="CL46" s="100">
        <f>'Recycling - Case 3'!CD116</f>
        <v>0.34694448796127797</v>
      </c>
      <c r="CM46" s="471">
        <f>'Recycling - Case 3'!CE116</f>
        <v>0.40783458287695618</v>
      </c>
    </row>
    <row r="47" spans="1:91">
      <c r="A47">
        <f>'Input data'!A136</f>
        <v>2036</v>
      </c>
      <c r="C47" s="116">
        <f>'4A SWD Case 1'!BG106</f>
        <v>468.48872006100009</v>
      </c>
      <c r="D47" s="3">
        <f>'4B Biological treatment '!T100</f>
        <v>0.84131256742640637</v>
      </c>
      <c r="E47" s="152">
        <f>'4B Biological treatment '!U100</f>
        <v>37.859065534188282</v>
      </c>
      <c r="F47" s="152">
        <f>'4B Biological treatment '!W100</f>
        <v>2.2715439320512969</v>
      </c>
      <c r="G47" s="688">
        <f>'4C2 Open-burning '!R107</f>
        <v>15.526217032319304</v>
      </c>
      <c r="H47" s="688">
        <f>'4C2 Open-burning '!Z107</f>
        <v>5.2240966904562036</v>
      </c>
      <c r="I47" s="688">
        <f>'4C2 Open-burning '!AH107</f>
        <v>7.2728243225781378E-2</v>
      </c>
      <c r="J47" s="93">
        <f>'4D Wastewater treatment and dis'!AV144</f>
        <v>196.23274612127315</v>
      </c>
      <c r="K47" s="3">
        <f>'4D Wastewater treatment and dis'!AW144</f>
        <v>3.5008296214188772</v>
      </c>
      <c r="L47" s="465">
        <f t="shared" si="69"/>
        <v>9838.2631212810011</v>
      </c>
      <c r="M47" s="688">
        <f t="shared" si="70"/>
        <v>17.667563915954535</v>
      </c>
      <c r="N47" s="465">
        <f t="shared" si="71"/>
        <v>1499.218995153856</v>
      </c>
      <c r="O47" s="464">
        <f t="shared" si="72"/>
        <v>147.77800293189182</v>
      </c>
      <c r="P47" s="465">
        <f t="shared" si="73"/>
        <v>5206.1448511865874</v>
      </c>
      <c r="Q47" s="465">
        <f t="shared" si="74"/>
        <v>9838.2631212810011</v>
      </c>
      <c r="R47" s="467">
        <f t="shared" si="75"/>
        <v>1516.8865590698106</v>
      </c>
      <c r="S47" s="464">
        <f t="shared" si="76"/>
        <v>147.77800293189182</v>
      </c>
      <c r="T47" s="465">
        <f t="shared" si="77"/>
        <v>5206.1448511865874</v>
      </c>
      <c r="U47" s="465">
        <f t="shared" si="78"/>
        <v>16709.072534469291</v>
      </c>
      <c r="V47" s="3"/>
      <c r="W47" s="535">
        <f t="shared" si="79"/>
        <v>2037</v>
      </c>
      <c r="X47" s="948">
        <f t="shared" si="80"/>
        <v>9594.7311699912007</v>
      </c>
      <c r="Y47" s="465">
        <f t="shared" si="81"/>
        <v>1529.7560580508825</v>
      </c>
      <c r="Z47" s="465">
        <f t="shared" si="82"/>
        <v>144.20022485945691</v>
      </c>
      <c r="AA47" s="465">
        <f t="shared" si="83"/>
        <v>5282.3887289902686</v>
      </c>
      <c r="AB47" s="986">
        <f t="shared" si="22"/>
        <v>16551.076181891807</v>
      </c>
      <c r="AC47" s="1206" t="str">
        <f>IF(OR('Recycling - Case 1'!AC117="No",'Recycling - Case 1'!T157="No"), "No", "Yes")</f>
        <v>Yes</v>
      </c>
      <c r="AD47" s="948">
        <f t="shared" si="84"/>
        <v>9594.7311699912007</v>
      </c>
      <c r="AE47" s="465">
        <f t="shared" si="85"/>
        <v>1529.7560580508825</v>
      </c>
      <c r="AF47" s="465">
        <f t="shared" si="86"/>
        <v>144.20022485945691</v>
      </c>
      <c r="AG47" s="465">
        <f t="shared" si="87"/>
        <v>5282.3887289902686</v>
      </c>
      <c r="AH47" s="986">
        <f t="shared" si="60"/>
        <v>16551.076181891807</v>
      </c>
      <c r="AI47" s="1206" t="str">
        <f>IF(OR('Recycling - Case 1'!AI28="No",'Recycling - Case 1'!Z157="No"), "No", "Yes")</f>
        <v>Yes</v>
      </c>
      <c r="AJ47" s="948">
        <f t="shared" si="88"/>
        <v>8660.7959436491019</v>
      </c>
      <c r="AK47" s="465">
        <f t="shared" si="89"/>
        <v>1529.7560580508825</v>
      </c>
      <c r="AL47" s="465">
        <f t="shared" si="90"/>
        <v>97.07466187463389</v>
      </c>
      <c r="AM47" s="465">
        <f t="shared" si="91"/>
        <v>5790.5844692700766</v>
      </c>
      <c r="AN47" s="986">
        <f t="shared" si="92"/>
        <v>16078.211132844695</v>
      </c>
      <c r="AO47" s="1201" t="str">
        <f>IF(OR('Recycling - Case 2'!AC117="No",'Recycling - Case 2'!T157="No"), "No", "Yes")</f>
        <v>Yes</v>
      </c>
      <c r="AP47" s="948">
        <f t="shared" si="93"/>
        <v>8660.7959436491019</v>
      </c>
      <c r="AQ47" s="465">
        <f t="shared" si="94"/>
        <v>1529.7560580508825</v>
      </c>
      <c r="AR47" s="465">
        <f t="shared" si="95"/>
        <v>97.07466187463389</v>
      </c>
      <c r="AS47" s="465">
        <f t="shared" si="96"/>
        <v>5790.5844692700766</v>
      </c>
      <c r="AT47" s="986">
        <f t="shared" si="37"/>
        <v>16078.211132844695</v>
      </c>
      <c r="AU47" s="1206" t="str">
        <f>IF(OR('Recycling - Case 2'!AC117="No",'Recycling - Case 2'!T197="No"), "No", "Yes")</f>
        <v>Yes</v>
      </c>
      <c r="AV47" s="948">
        <f t="shared" si="63"/>
        <v>8661.8326493250061</v>
      </c>
      <c r="AW47" s="465">
        <f t="shared" si="64"/>
        <v>929.05318001426315</v>
      </c>
      <c r="AX47" s="465">
        <f t="shared" si="65"/>
        <v>97.07466187463389</v>
      </c>
      <c r="AY47" s="465">
        <f t="shared" si="66"/>
        <v>5790.5844692700766</v>
      </c>
      <c r="AZ47" s="986">
        <f t="shared" si="67"/>
        <v>15478.544960483981</v>
      </c>
      <c r="BA47" s="1206" t="str">
        <f>IF(OR('Recycling - Case 3'!AC117="No",'Recycling - Case 3'!T157="No"), "No", "Yes")</f>
        <v>Yes</v>
      </c>
      <c r="BB47" s="948">
        <f t="shared" si="97"/>
        <v>8661.8326493250061</v>
      </c>
      <c r="BC47" s="465">
        <f t="shared" si="98"/>
        <v>929.05318001426315</v>
      </c>
      <c r="BD47" s="465">
        <f t="shared" si="99"/>
        <v>97.07466187463389</v>
      </c>
      <c r="BE47" s="465">
        <f t="shared" si="100"/>
        <v>5790.5844692700766</v>
      </c>
      <c r="BF47" s="986">
        <f t="shared" si="47"/>
        <v>15478.544960483981</v>
      </c>
      <c r="BG47" s="1206" t="str">
        <f>IF(OR('Recycling - Case 3'!AC117="No",'Recycling - Case 3'!T197="No"), "No", "Yes")</f>
        <v>Yes</v>
      </c>
      <c r="BH47" s="535">
        <f t="shared" si="48"/>
        <v>2037</v>
      </c>
      <c r="BI47" s="465">
        <f>'Recycling - Case 1'!BV117</f>
        <v>80.709030187327784</v>
      </c>
      <c r="BJ47" s="100">
        <f>'Recycling - Case 1'!BW117</f>
        <v>0.62136094718791557</v>
      </c>
      <c r="BK47" s="986">
        <f>'Recycling - Case 1'!BX117</f>
        <v>6.5145398947081814</v>
      </c>
      <c r="BL47" s="948">
        <f>'Recycling - Case 1'!BY117</f>
        <v>80.709030187327784</v>
      </c>
      <c r="BM47" s="100">
        <f>'Recycling - Case 1'!BZ117</f>
        <v>0.62136094718791557</v>
      </c>
      <c r="BN47" s="986">
        <f>'Recycling - Case 1'!CA117</f>
        <v>6.5145398947081814</v>
      </c>
      <c r="BO47" s="465">
        <f>'Recycling - Case 2'!BV117</f>
        <v>68.567513681280332</v>
      </c>
      <c r="BP47" s="100">
        <f>'Recycling - Case 2'!BW117</f>
        <v>0.76786750588769426</v>
      </c>
      <c r="BQ47" s="986">
        <f>'Recycling - Case 2'!BX117</f>
        <v>6.5145398947081814</v>
      </c>
      <c r="BR47" s="948">
        <f>'Recycling - Case 2'!BY117</f>
        <v>68.567513681280332</v>
      </c>
      <c r="BS47" s="100">
        <f>'Recycling - Case 2'!BZ117</f>
        <v>0.76786750588769426</v>
      </c>
      <c r="BT47" s="986">
        <f>'Recycling - Case 2'!CA117</f>
        <v>6.5145398947081814</v>
      </c>
      <c r="BU47" s="465">
        <f>'Recycling - Case 3'!BV117</f>
        <v>68.567513681280332</v>
      </c>
      <c r="BV47" s="100">
        <f>'Recycling - Case 3'!BW117</f>
        <v>0.76786750588769426</v>
      </c>
      <c r="BW47" s="986">
        <f>'Recycling - Case 3'!BX117</f>
        <v>6.5145398947081814</v>
      </c>
      <c r="BX47" s="948">
        <f>'Recycling - Case 3'!BY117</f>
        <v>68.567513681280332</v>
      </c>
      <c r="BY47" s="100">
        <f>'Recycling - Case 3'!BZ117</f>
        <v>0.76786750588769426</v>
      </c>
      <c r="BZ47" s="986">
        <f>'Recycling - Case 3'!CA117</f>
        <v>6.5145398947081814</v>
      </c>
      <c r="CA47" s="535">
        <v>2037</v>
      </c>
      <c r="CB47" s="579">
        <f>'Recycling - Case 1'!CB117</f>
        <v>0.33336207070624535</v>
      </c>
      <c r="CC47" s="100">
        <f>'Recycling - Case 1'!CC117</f>
        <v>0.25791341466498596</v>
      </c>
      <c r="CD47" s="100">
        <f>'Recycling - Case 1'!CD117</f>
        <v>0.33336207070624535</v>
      </c>
      <c r="CE47" s="471">
        <f>'Recycling - Case 1'!CE117</f>
        <v>0.25791341466498596</v>
      </c>
      <c r="CF47" s="579">
        <f>'Recycling - Case 2'!CB117</f>
        <v>0.34931177329504914</v>
      </c>
      <c r="CG47" s="100">
        <f>'Recycling - Case 2'!CC117</f>
        <v>0.4000221113417517</v>
      </c>
      <c r="CH47" s="100">
        <f>'Recycling - Case 2'!CD117</f>
        <v>0.34931177329504914</v>
      </c>
      <c r="CI47" s="471">
        <f>'Recycling - Case 2'!CE117</f>
        <v>0.4000221113417517</v>
      </c>
      <c r="CJ47" s="579">
        <f>'Recycling - Case 3'!CB117</f>
        <v>0.34931177329504914</v>
      </c>
      <c r="CK47" s="100">
        <f>'Recycling - Case 3'!CC117</f>
        <v>0.4000221113417517</v>
      </c>
      <c r="CL47" s="100">
        <f>'Recycling - Case 3'!CD117</f>
        <v>0.34931177329504914</v>
      </c>
      <c r="CM47" s="471">
        <f>'Recycling - Case 3'!CE117</f>
        <v>0.4000221113417517</v>
      </c>
    </row>
    <row r="48" spans="1:91">
      <c r="A48">
        <f>'Input data'!A137</f>
        <v>2037</v>
      </c>
      <c r="C48" s="116">
        <f>'4A SWD Case 1'!BG107</f>
        <v>456.89196047577144</v>
      </c>
      <c r="D48" s="3">
        <f>'4B Biological treatment '!T101</f>
        <v>0.84845039270708966</v>
      </c>
      <c r="E48" s="152">
        <f>'4B Biological treatment '!U101</f>
        <v>38.180267671819031</v>
      </c>
      <c r="F48" s="152">
        <f>'4B Biological treatment '!W101</f>
        <v>2.2908160603091421</v>
      </c>
      <c r="G48" s="688">
        <f>'4C2 Open-burning '!R108</f>
        <v>15.150319688032559</v>
      </c>
      <c r="H48" s="688">
        <f>'4C2 Open-burning '!Z108</f>
        <v>5.0976187423409618</v>
      </c>
      <c r="I48" s="688">
        <f>'4C2 Open-burning '!AH108</f>
        <v>7.0967456716981181E-2</v>
      </c>
      <c r="J48" s="93">
        <f>'4D Wastewater treatment and dis'!AV145</f>
        <v>199.49461782370096</v>
      </c>
      <c r="K48" s="3">
        <f>'4D Wastewater treatment and dis'!AW145</f>
        <v>3.5258121119114461</v>
      </c>
      <c r="L48" s="465">
        <f t="shared" si="69"/>
        <v>9594.7311699912007</v>
      </c>
      <c r="M48" s="688">
        <f t="shared" si="70"/>
        <v>17.817458246848883</v>
      </c>
      <c r="N48" s="465">
        <f t="shared" si="71"/>
        <v>1511.9385998040336</v>
      </c>
      <c r="O48" s="464">
        <f t="shared" si="72"/>
        <v>144.20022485945691</v>
      </c>
      <c r="P48" s="465">
        <f t="shared" si="73"/>
        <v>5282.3887289902686</v>
      </c>
      <c r="Q48" s="465">
        <f t="shared" si="74"/>
        <v>9594.7311699912007</v>
      </c>
      <c r="R48" s="467">
        <f t="shared" si="75"/>
        <v>1529.7560580508825</v>
      </c>
      <c r="S48" s="464">
        <f t="shared" si="76"/>
        <v>144.20022485945691</v>
      </c>
      <c r="T48" s="465">
        <f t="shared" si="77"/>
        <v>5282.3887289902686</v>
      </c>
      <c r="U48" s="465">
        <f t="shared" si="78"/>
        <v>16551.076181891807</v>
      </c>
      <c r="V48" s="3"/>
      <c r="W48" s="535">
        <f t="shared" si="79"/>
        <v>2038</v>
      </c>
      <c r="X48" s="948">
        <f t="shared" si="80"/>
        <v>9378.3211592299922</v>
      </c>
      <c r="Y48" s="465">
        <f t="shared" si="81"/>
        <v>1542.323640201309</v>
      </c>
      <c r="Z48" s="465">
        <f t="shared" si="82"/>
        <v>137.75416175508605</v>
      </c>
      <c r="AA48" s="465">
        <f t="shared" si="83"/>
        <v>5358.165717599737</v>
      </c>
      <c r="AB48" s="986">
        <f t="shared" si="22"/>
        <v>16416.564678786126</v>
      </c>
      <c r="AC48" s="1206" t="str">
        <f>IF(OR('Recycling - Case 1'!AC118="No",'Recycling - Case 1'!T158="No"), "No", "Yes")</f>
        <v>Yes</v>
      </c>
      <c r="AD48" s="948">
        <f t="shared" si="84"/>
        <v>9378.3211592299922</v>
      </c>
      <c r="AE48" s="465">
        <f t="shared" si="85"/>
        <v>1542.323640201309</v>
      </c>
      <c r="AF48" s="465">
        <f t="shared" si="86"/>
        <v>137.75416175508605</v>
      </c>
      <c r="AG48" s="465">
        <f t="shared" si="87"/>
        <v>5358.165717599737</v>
      </c>
      <c r="AH48" s="986">
        <f t="shared" si="60"/>
        <v>16416.564678786126</v>
      </c>
      <c r="AI48" s="1206" t="str">
        <f>IF(OR('Recycling - Case 1'!AI29="No",'Recycling - Case 1'!Z158="No"), "No", "Yes")</f>
        <v>Yes</v>
      </c>
      <c r="AJ48" s="948">
        <f t="shared" si="88"/>
        <v>8386.4221358699469</v>
      </c>
      <c r="AK48" s="465">
        <f t="shared" si="89"/>
        <v>1542.323640201309</v>
      </c>
      <c r="AL48" s="465">
        <f t="shared" si="90"/>
        <v>96.854287525066866</v>
      </c>
      <c r="AM48" s="465">
        <f t="shared" si="91"/>
        <v>5830.5033663967079</v>
      </c>
      <c r="AN48" s="986">
        <f t="shared" si="92"/>
        <v>15856.103429993032</v>
      </c>
      <c r="AO48" s="1201" t="str">
        <f>IF(OR('Recycling - Case 2'!AC118="No",'Recycling - Case 2'!T158="No"), "No", "Yes")</f>
        <v>Yes</v>
      </c>
      <c r="AP48" s="948">
        <f t="shared" si="93"/>
        <v>8386.4221358699469</v>
      </c>
      <c r="AQ48" s="465">
        <f t="shared" si="94"/>
        <v>1542.323640201309</v>
      </c>
      <c r="AR48" s="465">
        <f t="shared" si="95"/>
        <v>96.854287525066866</v>
      </c>
      <c r="AS48" s="465">
        <f t="shared" si="96"/>
        <v>5830.5033663967079</v>
      </c>
      <c r="AT48" s="986">
        <f t="shared" si="37"/>
        <v>15856.103429993032</v>
      </c>
      <c r="AU48" s="1206" t="str">
        <f>IF(OR('Recycling - Case 2'!AC118="No",'Recycling - Case 2'!T198="No"), "No", "Yes")</f>
        <v>Yes</v>
      </c>
      <c r="AV48" s="948">
        <f t="shared" si="63"/>
        <v>8387.5184335573103</v>
      </c>
      <c r="AW48" s="465">
        <f t="shared" si="64"/>
        <v>936.68573822542078</v>
      </c>
      <c r="AX48" s="465">
        <f t="shared" si="65"/>
        <v>96.854287525066866</v>
      </c>
      <c r="AY48" s="465">
        <f t="shared" si="66"/>
        <v>5830.5033663967079</v>
      </c>
      <c r="AZ48" s="986">
        <f t="shared" si="67"/>
        <v>15251.561825704506</v>
      </c>
      <c r="BA48" s="1206" t="str">
        <f>IF(OR('Recycling - Case 3'!AC118="No",'Recycling - Case 3'!T158="No"), "No", "Yes")</f>
        <v>Yes</v>
      </c>
      <c r="BB48" s="948">
        <f t="shared" si="97"/>
        <v>8387.5184335573103</v>
      </c>
      <c r="BC48" s="465">
        <f t="shared" si="98"/>
        <v>936.68573822542078</v>
      </c>
      <c r="BD48" s="465">
        <f t="shared" si="99"/>
        <v>96.854287525066866</v>
      </c>
      <c r="BE48" s="465">
        <f t="shared" si="100"/>
        <v>5830.5033663967079</v>
      </c>
      <c r="BF48" s="986">
        <f t="shared" si="47"/>
        <v>15251.561825704506</v>
      </c>
      <c r="BG48" s="1206" t="str">
        <f>IF(OR('Recycling - Case 3'!AC118="No",'Recycling - Case 3'!T198="No"), "No", "Yes")</f>
        <v>Yes</v>
      </c>
      <c r="BH48" s="535">
        <f t="shared" si="48"/>
        <v>2038</v>
      </c>
      <c r="BI48" s="465">
        <f>'Recycling - Case 1'!BV118</f>
        <v>80.114258371324183</v>
      </c>
      <c r="BJ48" s="100">
        <f>'Recycling - Case 1'!BW118</f>
        <v>0.63229614293896186</v>
      </c>
      <c r="BK48" s="986">
        <f>'Recycling - Case 1'!BX118</f>
        <v>4.9501602644871108</v>
      </c>
      <c r="BL48" s="948">
        <f>'Recycling - Case 1'!BY118</f>
        <v>80.114258371324183</v>
      </c>
      <c r="BM48" s="100">
        <f>'Recycling - Case 1'!BZ118</f>
        <v>0.63229614293896186</v>
      </c>
      <c r="BN48" s="986">
        <f>'Recycling - Case 1'!CA118</f>
        <v>4.9501602644871108</v>
      </c>
      <c r="BO48" s="465">
        <f>'Recycling - Case 2'!BV118</f>
        <v>68.828773078815559</v>
      </c>
      <c r="BP48" s="100">
        <f>'Recycling - Case 2'!BW118</f>
        <v>0.76874863151070516</v>
      </c>
      <c r="BQ48" s="986">
        <f>'Recycling - Case 2'!BX118</f>
        <v>4.9501602644871108</v>
      </c>
      <c r="BR48" s="948">
        <f>'Recycling - Case 2'!BY118</f>
        <v>68.828773078815559</v>
      </c>
      <c r="BS48" s="100">
        <f>'Recycling - Case 2'!BZ118</f>
        <v>0.76874863151070516</v>
      </c>
      <c r="BT48" s="986">
        <f>'Recycling - Case 2'!CA118</f>
        <v>4.9501602644871108</v>
      </c>
      <c r="BU48" s="465">
        <f>'Recycling - Case 3'!BV118</f>
        <v>68.828773078815559</v>
      </c>
      <c r="BV48" s="100">
        <f>'Recycling - Case 3'!BW118</f>
        <v>0.76874863151070516</v>
      </c>
      <c r="BW48" s="986">
        <f>'Recycling - Case 3'!BX118</f>
        <v>4.9501602644871108</v>
      </c>
      <c r="BX48" s="948">
        <f>'Recycling - Case 3'!BY118</f>
        <v>68.828773078815559</v>
      </c>
      <c r="BY48" s="100">
        <f>'Recycling - Case 3'!BZ118</f>
        <v>0.76874863151070516</v>
      </c>
      <c r="BZ48" s="986">
        <f>'Recycling - Case 3'!CA118</f>
        <v>4.9501602644871108</v>
      </c>
      <c r="CA48" s="535">
        <v>2038</v>
      </c>
      <c r="CB48" s="579">
        <f>'Recycling - Case 1'!CB118</f>
        <v>0.34360140604745293</v>
      </c>
      <c r="CC48" s="100">
        <f>'Recycling - Case 1'!CC118</f>
        <v>0.26634234487689956</v>
      </c>
      <c r="CD48" s="100">
        <f>'Recycling - Case 1'!CD118</f>
        <v>0.34360140604745293</v>
      </c>
      <c r="CE48" s="471">
        <f>'Recycling - Case 1'!CE118</f>
        <v>0.26634234487689956</v>
      </c>
      <c r="CF48" s="579">
        <f>'Recycling - Case 2'!CB118</f>
        <v>0.35158173141266735</v>
      </c>
      <c r="CG48" s="100">
        <f>'Recycling - Case 2'!CC118</f>
        <v>0.40029168986864183</v>
      </c>
      <c r="CH48" s="100">
        <f>'Recycling - Case 2'!CD118</f>
        <v>0.35158173141266735</v>
      </c>
      <c r="CI48" s="471">
        <f>'Recycling - Case 2'!CE118</f>
        <v>0.40029168986864183</v>
      </c>
      <c r="CJ48" s="579">
        <f>'Recycling - Case 3'!CB118</f>
        <v>0.35158173141266735</v>
      </c>
      <c r="CK48" s="100">
        <f>'Recycling - Case 3'!CC118</f>
        <v>0.40029168986864183</v>
      </c>
      <c r="CL48" s="100">
        <f>'Recycling - Case 3'!CD118</f>
        <v>0.35158173141266735</v>
      </c>
      <c r="CM48" s="471">
        <f>'Recycling - Case 3'!CE118</f>
        <v>0.40029168986864183</v>
      </c>
    </row>
    <row r="49" spans="1:91">
      <c r="A49">
        <f>'Input data'!A138</f>
        <v>2038</v>
      </c>
      <c r="C49" s="116">
        <f>'4A SWD Case 1'!BG108</f>
        <v>446.58672186809486</v>
      </c>
      <c r="D49" s="3">
        <f>'4B Biological treatment '!T102</f>
        <v>0.85542076550266744</v>
      </c>
      <c r="E49" s="152">
        <f>'4B Biological treatment '!U102</f>
        <v>38.493934447620028</v>
      </c>
      <c r="F49" s="152">
        <f>'4B Biological treatment '!W102</f>
        <v>2.3096360668572018</v>
      </c>
      <c r="G49" s="688">
        <f>'4C2 Open-burning '!R109</f>
        <v>14.473067507214994</v>
      </c>
      <c r="H49" s="688">
        <f>'4C2 Open-burning '!Z109</f>
        <v>4.8697441178237</v>
      </c>
      <c r="I49" s="688">
        <f>'4C2 Open-burning '!AH109</f>
        <v>6.7795057334107622E-2</v>
      </c>
      <c r="J49" s="93">
        <f>'4D Wastewater treatment and dis'!AV146</f>
        <v>202.74424150456656</v>
      </c>
      <c r="K49" s="3">
        <f>'4D Wastewater treatment and dis'!AW146</f>
        <v>3.5501182129156104</v>
      </c>
      <c r="L49" s="465">
        <f t="shared" si="69"/>
        <v>9378.3211592299922</v>
      </c>
      <c r="M49" s="688">
        <f t="shared" si="70"/>
        <v>17.963836075556017</v>
      </c>
      <c r="N49" s="465">
        <f t="shared" si="71"/>
        <v>1524.359804125753</v>
      </c>
      <c r="O49" s="464">
        <f t="shared" si="72"/>
        <v>137.75416175508605</v>
      </c>
      <c r="P49" s="465">
        <f t="shared" si="73"/>
        <v>5358.165717599737</v>
      </c>
      <c r="Q49" s="465">
        <f t="shared" si="74"/>
        <v>9378.3211592299922</v>
      </c>
      <c r="R49" s="467">
        <f t="shared" si="75"/>
        <v>1542.323640201309</v>
      </c>
      <c r="S49" s="464">
        <f t="shared" si="76"/>
        <v>137.75416175508605</v>
      </c>
      <c r="T49" s="465">
        <f t="shared" si="77"/>
        <v>5358.165717599737</v>
      </c>
      <c r="U49" s="465">
        <f t="shared" si="78"/>
        <v>16416.564678786126</v>
      </c>
      <c r="V49" s="3"/>
      <c r="W49" s="535">
        <f t="shared" si="79"/>
        <v>2039</v>
      </c>
      <c r="X49" s="948">
        <f t="shared" si="80"/>
        <v>9170.8091286868057</v>
      </c>
      <c r="Y49" s="465">
        <f t="shared" si="81"/>
        <v>1555.7930518458707</v>
      </c>
      <c r="Z49" s="465">
        <f t="shared" si="82"/>
        <v>131.34339866131947</v>
      </c>
      <c r="AA49" s="465">
        <f t="shared" si="83"/>
        <v>5433.4280644807559</v>
      </c>
      <c r="AB49" s="986">
        <f t="shared" si="22"/>
        <v>16291.373643674753</v>
      </c>
      <c r="AC49" s="1206" t="str">
        <f>IF(OR('Recycling - Case 1'!AC119="No",'Recycling - Case 1'!T159="No"), "No", "Yes")</f>
        <v>Yes</v>
      </c>
      <c r="AD49" s="948">
        <f t="shared" si="84"/>
        <v>9170.8091286868057</v>
      </c>
      <c r="AE49" s="465">
        <f t="shared" si="85"/>
        <v>1555.7930518458707</v>
      </c>
      <c r="AF49" s="465">
        <f t="shared" si="86"/>
        <v>131.34339866131947</v>
      </c>
      <c r="AG49" s="465">
        <f t="shared" si="87"/>
        <v>5433.4280644807559</v>
      </c>
      <c r="AH49" s="986">
        <f t="shared" si="60"/>
        <v>16291.373643674753</v>
      </c>
      <c r="AI49" s="1206" t="str">
        <f>IF(OR('Recycling - Case 1'!AI30="No",'Recycling - Case 1'!Z159="No"), "No", "Yes")</f>
        <v>Yes</v>
      </c>
      <c r="AJ49" s="948">
        <f t="shared" si="88"/>
        <v>8130.9546129319397</v>
      </c>
      <c r="AK49" s="465">
        <f t="shared" si="89"/>
        <v>1555.7930518458707</v>
      </c>
      <c r="AL49" s="465">
        <f t="shared" si="90"/>
        <v>96.644004088947369</v>
      </c>
      <c r="AM49" s="465">
        <f t="shared" si="91"/>
        <v>5869.2841213486436</v>
      </c>
      <c r="AN49" s="986">
        <f t="shared" si="92"/>
        <v>15652.675790215399</v>
      </c>
      <c r="AO49" s="1201" t="str">
        <f>IF(OR('Recycling - Case 2'!AC119="No",'Recycling - Case 2'!T159="No"), "No", "Yes")</f>
        <v>Yes</v>
      </c>
      <c r="AP49" s="948">
        <f t="shared" si="93"/>
        <v>8130.9546129319397</v>
      </c>
      <c r="AQ49" s="465">
        <f t="shared" si="94"/>
        <v>1555.7930518458707</v>
      </c>
      <c r="AR49" s="465">
        <f t="shared" si="95"/>
        <v>96.644004088947369</v>
      </c>
      <c r="AS49" s="465">
        <f t="shared" si="96"/>
        <v>5869.2841213486436</v>
      </c>
      <c r="AT49" s="986">
        <f t="shared" si="37"/>
        <v>15652.675790215399</v>
      </c>
      <c r="AU49" s="1206" t="str">
        <f>IF(OR('Recycling - Case 2'!AC119="No",'Recycling - Case 2'!T199="No"), "No", "Yes")</f>
        <v>Yes</v>
      </c>
      <c r="AV49" s="948">
        <f t="shared" si="63"/>
        <v>8132.1078592723925</v>
      </c>
      <c r="AW49" s="465">
        <f t="shared" si="64"/>
        <v>944.86599654532904</v>
      </c>
      <c r="AX49" s="465">
        <f t="shared" si="65"/>
        <v>96.644004088947355</v>
      </c>
      <c r="AY49" s="465">
        <f t="shared" si="66"/>
        <v>5869.2841213486436</v>
      </c>
      <c r="AZ49" s="986">
        <f t="shared" si="67"/>
        <v>15042.901981255312</v>
      </c>
      <c r="BA49" s="1206" t="str">
        <f>IF(OR('Recycling - Case 3'!AC119="No",'Recycling - Case 3'!T159="No"), "No", "Yes")</f>
        <v>Yes</v>
      </c>
      <c r="BB49" s="948">
        <f t="shared" si="97"/>
        <v>8132.1078592723925</v>
      </c>
      <c r="BC49" s="465">
        <f t="shared" si="98"/>
        <v>944.86599654532904</v>
      </c>
      <c r="BD49" s="465">
        <f t="shared" si="99"/>
        <v>96.644004088947355</v>
      </c>
      <c r="BE49" s="465">
        <f t="shared" si="100"/>
        <v>5869.2841213486436</v>
      </c>
      <c r="BF49" s="986">
        <f t="shared" si="47"/>
        <v>15042.901981255312</v>
      </c>
      <c r="BG49" s="1206" t="str">
        <f>IF(OR('Recycling - Case 3'!AC119="No",'Recycling - Case 3'!T199="No"), "No", "Yes")</f>
        <v>Yes</v>
      </c>
      <c r="BH49" s="535">
        <f t="shared" si="48"/>
        <v>2039</v>
      </c>
      <c r="BI49" s="465">
        <f>'Recycling - Case 1'!BV119</f>
        <v>79.609905041867577</v>
      </c>
      <c r="BJ49" s="100">
        <f>'Recycling - Case 1'!BW119</f>
        <v>0.64338880951351163</v>
      </c>
      <c r="BK49" s="986">
        <f>'Recycling - Case 1'!BX119</f>
        <v>3.3857806342660397</v>
      </c>
      <c r="BL49" s="948">
        <f>'Recycling - Case 1'!BY119</f>
        <v>79.609905041867577</v>
      </c>
      <c r="BM49" s="100">
        <f>'Recycling - Case 1'!BZ119</f>
        <v>0.64338880951351163</v>
      </c>
      <c r="BN49" s="986">
        <f>'Recycling - Case 1'!CA119</f>
        <v>3.3857806342660397</v>
      </c>
      <c r="BO49" s="465">
        <f>'Recycling - Case 2'!BV119</f>
        <v>69.147172812440928</v>
      </c>
      <c r="BP49" s="100">
        <f>'Recycling - Case 2'!BW119</f>
        <v>0.76981346715231846</v>
      </c>
      <c r="BQ49" s="986">
        <f>'Recycling - Case 2'!BX119</f>
        <v>3.3857806342660397</v>
      </c>
      <c r="BR49" s="948">
        <f>'Recycling - Case 2'!BY119</f>
        <v>69.147172812440928</v>
      </c>
      <c r="BS49" s="100">
        <f>'Recycling - Case 2'!BZ119</f>
        <v>0.76981346715231846</v>
      </c>
      <c r="BT49" s="986">
        <f>'Recycling - Case 2'!CA119</f>
        <v>3.3857806342660397</v>
      </c>
      <c r="BU49" s="465">
        <f>'Recycling - Case 3'!BV119</f>
        <v>69.147172812440928</v>
      </c>
      <c r="BV49" s="100">
        <f>'Recycling - Case 3'!BW119</f>
        <v>0.76981346715231846</v>
      </c>
      <c r="BW49" s="986">
        <f>'Recycling - Case 3'!BX119</f>
        <v>3.3857806342660397</v>
      </c>
      <c r="BX49" s="948">
        <f>'Recycling - Case 3'!BY119</f>
        <v>69.147172812440928</v>
      </c>
      <c r="BY49" s="100">
        <f>'Recycling - Case 3'!BZ119</f>
        <v>0.76981346715231846</v>
      </c>
      <c r="BZ49" s="986">
        <f>'Recycling - Case 3'!CA119</f>
        <v>3.3857806342660397</v>
      </c>
      <c r="CA49" s="535">
        <v>2039</v>
      </c>
      <c r="CB49" s="579">
        <f>'Recycling - Case 1'!CB119</f>
        <v>0.35361867361498778</v>
      </c>
      <c r="CC49" s="100">
        <f>'Recycling - Case 1'!CC119</f>
        <v>0.27480155077307966</v>
      </c>
      <c r="CD49" s="100">
        <f>'Recycling - Case 1'!CD119</f>
        <v>0.35361867361498778</v>
      </c>
      <c r="CE49" s="471">
        <f>'Recycling - Case 1'!CE119</f>
        <v>0.27480155077307966</v>
      </c>
      <c r="CF49" s="579">
        <f>'Recycling - Case 2'!CB119</f>
        <v>0.35375625269174904</v>
      </c>
      <c r="CG49" s="100">
        <f>'Recycling - Case 2'!CC119</f>
        <v>0.4008477870843189</v>
      </c>
      <c r="CH49" s="100">
        <f>'Recycling - Case 2'!CD119</f>
        <v>0.35375625269174904</v>
      </c>
      <c r="CI49" s="471">
        <f>'Recycling - Case 2'!CE119</f>
        <v>0.4008477870843189</v>
      </c>
      <c r="CJ49" s="579">
        <f>'Recycling - Case 3'!CB119</f>
        <v>0.35375625269174904</v>
      </c>
      <c r="CK49" s="100">
        <f>'Recycling - Case 3'!CC119</f>
        <v>0.4008477870843189</v>
      </c>
      <c r="CL49" s="100">
        <f>'Recycling - Case 3'!CD119</f>
        <v>0.35375625269174904</v>
      </c>
      <c r="CM49" s="471">
        <f>'Recycling - Case 3'!CE119</f>
        <v>0.4008477870843189</v>
      </c>
    </row>
    <row r="50" spans="1:91">
      <c r="A50">
        <f>'Input data'!A139</f>
        <v>2039</v>
      </c>
      <c r="C50" s="116">
        <f>'4A SWD Case 1'!BG109</f>
        <v>436.70519660413362</v>
      </c>
      <c r="D50" s="3">
        <f>'4B Biological treatment '!T103</f>
        <v>0.86289132104596267</v>
      </c>
      <c r="E50" s="152">
        <f>'4B Biological treatment '!U103</f>
        <v>38.830109447068317</v>
      </c>
      <c r="F50" s="152">
        <f>'4B Biological treatment '!W103</f>
        <v>2.3298065668240993</v>
      </c>
      <c r="G50" s="688">
        <f>'4C2 Open-burning '!R110</f>
        <v>13.799524103177545</v>
      </c>
      <c r="H50" s="688">
        <f>'4C2 Open-burning '!Z110</f>
        <v>4.6431173831473629</v>
      </c>
      <c r="I50" s="688">
        <f>'4C2 Open-burning '!AH110</f>
        <v>6.4640030684023561E-2</v>
      </c>
      <c r="J50" s="93">
        <f>'4D Wastewater treatment and dis'!AV147</f>
        <v>205.97958843754799</v>
      </c>
      <c r="K50" s="3">
        <f>'4D Wastewater treatment and dis'!AW147</f>
        <v>3.5737313138459617</v>
      </c>
      <c r="L50" s="465">
        <f t="shared" si="69"/>
        <v>9170.8091286868057</v>
      </c>
      <c r="M50" s="688">
        <f t="shared" si="70"/>
        <v>18.120717741965215</v>
      </c>
      <c r="N50" s="465">
        <f t="shared" si="71"/>
        <v>1537.6723341039055</v>
      </c>
      <c r="O50" s="464">
        <f t="shared" si="72"/>
        <v>131.34339866131947</v>
      </c>
      <c r="P50" s="465">
        <f t="shared" si="73"/>
        <v>5433.4280644807559</v>
      </c>
      <c r="Q50" s="465">
        <f t="shared" si="74"/>
        <v>9170.8091286868057</v>
      </c>
      <c r="R50" s="467">
        <f t="shared" si="75"/>
        <v>1555.7930518458707</v>
      </c>
      <c r="S50" s="464">
        <f t="shared" si="76"/>
        <v>131.34339866131947</v>
      </c>
      <c r="T50" s="465">
        <f t="shared" si="77"/>
        <v>5433.4280644807559</v>
      </c>
      <c r="U50" s="465">
        <f t="shared" si="78"/>
        <v>16291.373643674753</v>
      </c>
      <c r="V50" s="3"/>
      <c r="W50" s="535">
        <f t="shared" si="79"/>
        <v>2040</v>
      </c>
      <c r="X50" s="948">
        <f t="shared" si="80"/>
        <v>8971.8741524450215</v>
      </c>
      <c r="Y50" s="465">
        <f t="shared" si="81"/>
        <v>1569.3079470649179</v>
      </c>
      <c r="Z50" s="465">
        <f t="shared" si="82"/>
        <v>124.96603193247478</v>
      </c>
      <c r="AA50" s="465">
        <f t="shared" si="83"/>
        <v>5508.1278706874436</v>
      </c>
      <c r="AB50" s="986">
        <f t="shared" si="22"/>
        <v>16174.276002129856</v>
      </c>
      <c r="AC50" s="1206" t="str">
        <f>IF(OR('Recycling - Case 1'!AC120="No",'Recycling - Case 1'!T160="No"), "No", "Yes")</f>
        <v>Yes</v>
      </c>
      <c r="AD50" s="948">
        <f t="shared" si="84"/>
        <v>8971.8741524450215</v>
      </c>
      <c r="AE50" s="465">
        <f t="shared" si="85"/>
        <v>1569.3079470649179</v>
      </c>
      <c r="AF50" s="465">
        <f t="shared" si="86"/>
        <v>124.96603193247478</v>
      </c>
      <c r="AG50" s="465">
        <f t="shared" si="87"/>
        <v>5508.1278706874436</v>
      </c>
      <c r="AH50" s="986">
        <f t="shared" si="60"/>
        <v>16174.276002129856</v>
      </c>
      <c r="AI50" s="1206" t="str">
        <f>IF(OR('Recycling - Case 1'!AI31="No",'Recycling - Case 1'!Z160="No"), "No", "Yes")</f>
        <v>Yes</v>
      </c>
      <c r="AJ50" s="948">
        <f t="shared" si="88"/>
        <v>7893.5480848191428</v>
      </c>
      <c r="AK50" s="465">
        <f t="shared" si="89"/>
        <v>1569.3079470649179</v>
      </c>
      <c r="AL50" s="465">
        <f t="shared" si="90"/>
        <v>96.44352841369853</v>
      </c>
      <c r="AM50" s="465">
        <f t="shared" si="91"/>
        <v>5906.9000868787916</v>
      </c>
      <c r="AN50" s="986">
        <f t="shared" si="92"/>
        <v>15466.199647176551</v>
      </c>
      <c r="AO50" s="1201" t="str">
        <f>IF(OR('Recycling - Case 2'!AC120="No",'Recycling - Case 2'!T160="No"), "No", "Yes")</f>
        <v>Yes</v>
      </c>
      <c r="AP50" s="948">
        <f t="shared" si="93"/>
        <v>7893.5480848191428</v>
      </c>
      <c r="AQ50" s="465">
        <f t="shared" si="94"/>
        <v>1569.3079470649179</v>
      </c>
      <c r="AR50" s="465">
        <f t="shared" si="95"/>
        <v>96.44352841369853</v>
      </c>
      <c r="AS50" s="465">
        <f t="shared" si="96"/>
        <v>5906.9000868787916</v>
      </c>
      <c r="AT50" s="986">
        <f t="shared" si="37"/>
        <v>15466.199647176551</v>
      </c>
      <c r="AU50" s="1206" t="str">
        <f>IF(OR('Recycling - Case 2'!AC120="No",'Recycling - Case 2'!T200="No"), "No", "Yes")</f>
        <v>Yes</v>
      </c>
      <c r="AV50" s="948">
        <f t="shared" si="63"/>
        <v>7894.7557668123354</v>
      </c>
      <c r="AW50" s="465">
        <f t="shared" si="64"/>
        <v>953.07387800115657</v>
      </c>
      <c r="AX50" s="465">
        <f t="shared" si="65"/>
        <v>96.44352841369853</v>
      </c>
      <c r="AY50" s="465">
        <f t="shared" si="66"/>
        <v>5906.9000868787916</v>
      </c>
      <c r="AZ50" s="986">
        <f t="shared" si="67"/>
        <v>14851.173260105981</v>
      </c>
      <c r="BA50" s="1206" t="str">
        <f>IF(OR('Recycling - Case 3'!AC120="No",'Recycling - Case 3'!T160="No"), "No", "Yes")</f>
        <v>Yes</v>
      </c>
      <c r="BB50" s="948">
        <f t="shared" si="97"/>
        <v>7894.7557668123354</v>
      </c>
      <c r="BC50" s="465">
        <f t="shared" si="98"/>
        <v>953.07387800115657</v>
      </c>
      <c r="BD50" s="465">
        <f t="shared" si="99"/>
        <v>96.44352841369853</v>
      </c>
      <c r="BE50" s="465">
        <f t="shared" si="100"/>
        <v>5906.9000868787916</v>
      </c>
      <c r="BF50" s="986">
        <f t="shared" si="47"/>
        <v>14851.173260105981</v>
      </c>
      <c r="BG50" s="1206" t="str">
        <f>IF(OR('Recycling - Case 3'!AC120="No",'Recycling - Case 3'!T200="No"), "No", "Yes")</f>
        <v>Yes</v>
      </c>
      <c r="BH50" s="535">
        <f t="shared" si="48"/>
        <v>2040</v>
      </c>
      <c r="BI50" s="465">
        <f>'Recycling - Case 1'!BV120</f>
        <v>79.138775890001838</v>
      </c>
      <c r="BJ50" s="100">
        <f>'Recycling - Case 1'!BW120</f>
        <v>0.65436883226899756</v>
      </c>
      <c r="BK50" s="986">
        <f>'Recycling - Case 1'!BX120</f>
        <v>1.8214010040449695</v>
      </c>
      <c r="BL50" s="948">
        <f>'Recycling - Case 1'!BY120</f>
        <v>79.138775890001838</v>
      </c>
      <c r="BM50" s="100">
        <f>'Recycling - Case 1'!BZ120</f>
        <v>0.65436883226899756</v>
      </c>
      <c r="BN50" s="986">
        <f>'Recycling - Case 1'!CA120</f>
        <v>1.8214010040449695</v>
      </c>
      <c r="BO50" s="465">
        <f>'Recycling - Case 2'!BV120</f>
        <v>69.466672609461753</v>
      </c>
      <c r="BP50" s="100">
        <f>'Recycling - Case 2'!BW120</f>
        <v>0.77087216980438333</v>
      </c>
      <c r="BQ50" s="986">
        <f>'Recycling - Case 2'!BX120</f>
        <v>1.8214010040449695</v>
      </c>
      <c r="BR50" s="948">
        <f>'Recycling - Case 2'!BY120</f>
        <v>69.466672609461753</v>
      </c>
      <c r="BS50" s="100">
        <f>'Recycling - Case 2'!BZ120</f>
        <v>0.77087216980438333</v>
      </c>
      <c r="BT50" s="986">
        <f>'Recycling - Case 2'!CA120</f>
        <v>1.8214010040449695</v>
      </c>
      <c r="BU50" s="465">
        <f>'Recycling - Case 3'!BV120</f>
        <v>69.466672609461753</v>
      </c>
      <c r="BV50" s="100">
        <f>'Recycling - Case 3'!BW120</f>
        <v>0.77087216980438333</v>
      </c>
      <c r="BW50" s="986">
        <f>'Recycling - Case 3'!BX120</f>
        <v>1.8214010040449695</v>
      </c>
      <c r="BX50" s="948">
        <f>'Recycling - Case 3'!BY120</f>
        <v>69.466672609461753</v>
      </c>
      <c r="BY50" s="100">
        <f>'Recycling - Case 3'!BZ120</f>
        <v>0.77087216980438333</v>
      </c>
      <c r="BZ50" s="986">
        <f>'Recycling - Case 3'!CA120</f>
        <v>1.8214010040449695</v>
      </c>
      <c r="CA50" s="535">
        <v>2040</v>
      </c>
      <c r="CB50" s="579">
        <f>'Recycling - Case 1'!CB120</f>
        <v>0.3634229726270003</v>
      </c>
      <c r="CC50" s="100">
        <f>'Recycling - Case 1'!CC120</f>
        <v>0.28280497525166504</v>
      </c>
      <c r="CD50" s="100">
        <f>'Recycling - Case 1'!CD120</f>
        <v>0.3634229726270003</v>
      </c>
      <c r="CE50" s="471">
        <f>'Recycling - Case 1'!CE120</f>
        <v>0.28280497525166504</v>
      </c>
      <c r="CF50" s="579">
        <f>'Recycling - Case 2'!CB120</f>
        <v>0.35583713643760551</v>
      </c>
      <c r="CG50" s="100">
        <f>'Recycling - Case 2'!CC120</f>
        <v>0.40141160594196446</v>
      </c>
      <c r="CH50" s="100">
        <f>'Recycling - Case 2'!CD120</f>
        <v>0.35583713643760551</v>
      </c>
      <c r="CI50" s="471">
        <f>'Recycling - Case 2'!CE120</f>
        <v>0.40141160594196446</v>
      </c>
      <c r="CJ50" s="579">
        <f>'Recycling - Case 3'!CB120</f>
        <v>0.35583713643760551</v>
      </c>
      <c r="CK50" s="100">
        <f>'Recycling - Case 3'!CC120</f>
        <v>0.40141160594196446</v>
      </c>
      <c r="CL50" s="100">
        <f>'Recycling - Case 3'!CD120</f>
        <v>0.35583713643760551</v>
      </c>
      <c r="CM50" s="471">
        <f>'Recycling - Case 3'!CE120</f>
        <v>0.40141160594196446</v>
      </c>
    </row>
    <row r="51" spans="1:91">
      <c r="A51">
        <f>'Input data'!A140</f>
        <v>2040</v>
      </c>
      <c r="C51" s="116">
        <f>'4A SWD Case 1'!BG110</f>
        <v>427.23210249738196</v>
      </c>
      <c r="D51" s="3">
        <f>'4B Biological treatment '!T104</f>
        <v>0.87038710319740331</v>
      </c>
      <c r="E51" s="152">
        <f>'4B Biological treatment '!U104</f>
        <v>39.167419643883143</v>
      </c>
      <c r="F51" s="152">
        <f>'4B Biological treatment '!W104</f>
        <v>2.350045178632989</v>
      </c>
      <c r="G51" s="688">
        <f>'4C2 Open-burning '!R111</f>
        <v>13.129489470402261</v>
      </c>
      <c r="H51" s="688">
        <f>'4C2 Open-burning '!Z111</f>
        <v>4.4176712425784057</v>
      </c>
      <c r="I51" s="688">
        <f>'4C2 Open-burning '!AH111</f>
        <v>6.150143989653549E-2</v>
      </c>
      <c r="J51" s="93">
        <f>'4D Wastewater treatment and dis'!AV148</f>
        <v>209.19861723479599</v>
      </c>
      <c r="K51" s="3">
        <f>'4D Wastewater treatment and dis'!AW148</f>
        <v>3.5966351895378317</v>
      </c>
      <c r="L51" s="465">
        <f t="shared" si="69"/>
        <v>8971.8741524450215</v>
      </c>
      <c r="M51" s="688">
        <f t="shared" si="70"/>
        <v>18.278129167145469</v>
      </c>
      <c r="N51" s="465">
        <f t="shared" si="71"/>
        <v>1551.0298178977725</v>
      </c>
      <c r="O51" s="464">
        <f t="shared" si="72"/>
        <v>124.96603193247478</v>
      </c>
      <c r="P51" s="465">
        <f t="shared" si="73"/>
        <v>5508.1278706874436</v>
      </c>
      <c r="Q51" s="465">
        <f t="shared" si="74"/>
        <v>8971.8741524450215</v>
      </c>
      <c r="R51" s="467">
        <f t="shared" si="75"/>
        <v>1569.3079470649179</v>
      </c>
      <c r="S51" s="464">
        <f t="shared" si="76"/>
        <v>124.96603193247478</v>
      </c>
      <c r="T51" s="465">
        <f t="shared" si="77"/>
        <v>5508.1278706874436</v>
      </c>
      <c r="U51" s="465">
        <f t="shared" si="78"/>
        <v>16174.276002129856</v>
      </c>
      <c r="V51" s="3"/>
      <c r="W51" s="535">
        <f t="shared" si="79"/>
        <v>2041</v>
      </c>
      <c r="X51" s="948">
        <f t="shared" si="80"/>
        <v>8781.1498299863051</v>
      </c>
      <c r="Y51" s="465">
        <f t="shared" si="81"/>
        <v>1584.5041661408554</v>
      </c>
      <c r="Z51" s="465">
        <f t="shared" si="82"/>
        <v>118.61956929732267</v>
      </c>
      <c r="AA51" s="465">
        <f t="shared" si="83"/>
        <v>5582.3312023307008</v>
      </c>
      <c r="AB51" s="986">
        <f t="shared" si="22"/>
        <v>16066.604767755185</v>
      </c>
      <c r="AC51" s="1206" t="str">
        <f>IF(OR('Recycling - Case 1'!AC121="No",'Recycling - Case 1'!T161="No"), "No", "Yes")</f>
        <v>Yes</v>
      </c>
      <c r="AD51" s="948">
        <f t="shared" si="84"/>
        <v>8781.1498299863051</v>
      </c>
      <c r="AE51" s="465">
        <f t="shared" si="85"/>
        <v>1584.5041661408554</v>
      </c>
      <c r="AF51" s="465">
        <f t="shared" si="86"/>
        <v>118.61956929732267</v>
      </c>
      <c r="AG51" s="465">
        <f t="shared" si="87"/>
        <v>5582.3312023307008</v>
      </c>
      <c r="AH51" s="986">
        <f t="shared" si="60"/>
        <v>16066.604767755185</v>
      </c>
      <c r="AI51" s="1206" t="str">
        <f>IF(OR('Recycling - Case 1'!AI32="No",'Recycling - Case 1'!Z161="No"), "No", "Yes")</f>
        <v>Yes</v>
      </c>
      <c r="AJ51" s="948">
        <f t="shared" si="88"/>
        <v>7673.3666722032312</v>
      </c>
      <c r="AK51" s="465">
        <f t="shared" si="89"/>
        <v>1584.5041661408554</v>
      </c>
      <c r="AL51" s="465">
        <f t="shared" si="90"/>
        <v>96.251962483404526</v>
      </c>
      <c r="AM51" s="465">
        <f t="shared" si="91"/>
        <v>5943.4467192106313</v>
      </c>
      <c r="AN51" s="986">
        <f t="shared" si="92"/>
        <v>15297.569520038121</v>
      </c>
      <c r="AO51" s="1201" t="str">
        <f>IF(OR('Recycling - Case 2'!AC121="No",'Recycling - Case 2'!T161="No"), "No", "Yes")</f>
        <v>Yes</v>
      </c>
      <c r="AP51" s="948">
        <f t="shared" si="93"/>
        <v>7673.3666722032312</v>
      </c>
      <c r="AQ51" s="465">
        <f t="shared" si="94"/>
        <v>1584.5041661408554</v>
      </c>
      <c r="AR51" s="465">
        <f t="shared" si="95"/>
        <v>96.251962483404526</v>
      </c>
      <c r="AS51" s="465">
        <f t="shared" si="96"/>
        <v>5943.4467192106313</v>
      </c>
      <c r="AT51" s="986">
        <f t="shared" si="37"/>
        <v>15297.569520038121</v>
      </c>
      <c r="AU51" s="1206" t="str">
        <f>IF(OR('Recycling - Case 2'!AC121="No",'Recycling - Case 2'!T201="No"), "No", "Yes")</f>
        <v>Yes</v>
      </c>
      <c r="AV51" s="948">
        <f t="shared" si="63"/>
        <v>7674.6263990633142</v>
      </c>
      <c r="AW51" s="465">
        <f t="shared" si="64"/>
        <v>962.30286296408019</v>
      </c>
      <c r="AX51" s="465">
        <f t="shared" si="65"/>
        <v>96.251962483404526</v>
      </c>
      <c r="AY51" s="465">
        <f t="shared" si="66"/>
        <v>5943.4467192106313</v>
      </c>
      <c r="AZ51" s="986">
        <f t="shared" si="67"/>
        <v>14676.627943721429</v>
      </c>
      <c r="BA51" s="1206" t="str">
        <f>IF(OR('Recycling - Case 3'!AC121="No",'Recycling - Case 3'!T161="No"), "No", "Yes")</f>
        <v>Yes</v>
      </c>
      <c r="BB51" s="948">
        <f t="shared" si="97"/>
        <v>7674.6263990633142</v>
      </c>
      <c r="BC51" s="465">
        <f t="shared" si="98"/>
        <v>962.30286296408019</v>
      </c>
      <c r="BD51" s="465">
        <f t="shared" si="99"/>
        <v>96.251962483404526</v>
      </c>
      <c r="BE51" s="465">
        <f t="shared" si="100"/>
        <v>5943.4467192106313</v>
      </c>
      <c r="BF51" s="986">
        <f t="shared" si="47"/>
        <v>14676.627943721429</v>
      </c>
      <c r="BG51" s="1206" t="str">
        <f>IF(OR('Recycling - Case 3'!AC121="No",'Recycling - Case 3'!T201="No"), "No", "Yes")</f>
        <v>Yes</v>
      </c>
      <c r="BH51" s="535">
        <f t="shared" si="48"/>
        <v>2041</v>
      </c>
      <c r="BI51" s="465">
        <f>'Recycling - Case 1'!BV121</f>
        <v>78.629897691840071</v>
      </c>
      <c r="BJ51" s="100">
        <f>'Recycling - Case 1'!BW121</f>
        <v>0.67083783568875455</v>
      </c>
      <c r="BK51" s="986">
        <f>'Recycling - Case 1'!BX121</f>
        <v>1.6941350775526947</v>
      </c>
      <c r="BL51" s="948">
        <f>'Recycling - Case 1'!BY121</f>
        <v>78.629897691840071</v>
      </c>
      <c r="BM51" s="100">
        <f>'Recycling - Case 1'!BZ121</f>
        <v>0.67083783568875455</v>
      </c>
      <c r="BN51" s="986">
        <f>'Recycling - Case 1'!CA121</f>
        <v>1.6941350775526947</v>
      </c>
      <c r="BO51" s="465">
        <f>'Recycling - Case 2'!BV121</f>
        <v>70.469231276297435</v>
      </c>
      <c r="BP51" s="100">
        <f>'Recycling - Case 2'!BW121</f>
        <v>0.77413194840300614</v>
      </c>
      <c r="BQ51" s="986">
        <f>'Recycling - Case 2'!BX121</f>
        <v>1.6941350775526947</v>
      </c>
      <c r="BR51" s="948">
        <f>'Recycling - Case 2'!BY121</f>
        <v>70.469231276297435</v>
      </c>
      <c r="BS51" s="100">
        <f>'Recycling - Case 2'!BZ121</f>
        <v>0.77413194840300614</v>
      </c>
      <c r="BT51" s="986">
        <f>'Recycling - Case 2'!CA121</f>
        <v>1.6941350775526947</v>
      </c>
      <c r="BU51" s="465">
        <f>'Recycling - Case 3'!BV121</f>
        <v>70.469231276297435</v>
      </c>
      <c r="BV51" s="100">
        <f>'Recycling - Case 3'!BW121</f>
        <v>0.77413194840300614</v>
      </c>
      <c r="BW51" s="986">
        <f>'Recycling - Case 3'!BX121</f>
        <v>1.6941350775526947</v>
      </c>
      <c r="BX51" s="948">
        <f>'Recycling - Case 3'!BY121</f>
        <v>70.469231276297435</v>
      </c>
      <c r="BY51" s="100">
        <f>'Recycling - Case 3'!BZ121</f>
        <v>0.77413194840300614</v>
      </c>
      <c r="BZ51" s="986">
        <f>'Recycling - Case 3'!CA121</f>
        <v>1.6941350775526947</v>
      </c>
      <c r="CA51" s="535">
        <v>2041</v>
      </c>
      <c r="CB51" s="579">
        <f>'Recycling - Case 1'!CB121</f>
        <v>0.37303052026987349</v>
      </c>
      <c r="CC51" s="100">
        <f>'Recycling - Case 1'!CC121</f>
        <v>0.30516874228803825</v>
      </c>
      <c r="CD51" s="100">
        <f>'Recycling - Case 1'!CD121</f>
        <v>0.37303052026987349</v>
      </c>
      <c r="CE51" s="471">
        <f>'Recycling - Case 1'!CE121</f>
        <v>0.30516874228803825</v>
      </c>
      <c r="CF51" s="579">
        <f>'Recycling - Case 2'!CB121</f>
        <v>0.35783268259694956</v>
      </c>
      <c r="CG51" s="100">
        <f>'Recycling - Case 2'!CC121</f>
        <v>0.40580717718292303</v>
      </c>
      <c r="CH51" s="100">
        <f>'Recycling - Case 2'!CD121</f>
        <v>0.35783268259694956</v>
      </c>
      <c r="CI51" s="471">
        <f>'Recycling - Case 2'!CE121</f>
        <v>0.40580717718292303</v>
      </c>
      <c r="CJ51" s="579">
        <f>'Recycling - Case 3'!CB121</f>
        <v>0.35783268259694956</v>
      </c>
      <c r="CK51" s="100">
        <f>'Recycling - Case 3'!CC121</f>
        <v>0.40580717718292303</v>
      </c>
      <c r="CL51" s="100">
        <f>'Recycling - Case 3'!CD121</f>
        <v>0.35783268259694956</v>
      </c>
      <c r="CM51" s="471">
        <f>'Recycling - Case 3'!CE121</f>
        <v>0.40580717718292303</v>
      </c>
    </row>
    <row r="52" spans="1:91">
      <c r="A52">
        <f>'Input data'!A141</f>
        <v>2041</v>
      </c>
      <c r="C52" s="116">
        <f>'4A SWD Case 1'!BG111</f>
        <v>418.14999190410981</v>
      </c>
      <c r="D52" s="3">
        <f>'4B Biological treatment '!T105</f>
        <v>0.8788153999671966</v>
      </c>
      <c r="E52" s="152">
        <f>'4B Biological treatment '!U105</f>
        <v>39.546692998523845</v>
      </c>
      <c r="F52" s="152">
        <f>'4B Biological treatment '!W105</f>
        <v>2.3728015799114308</v>
      </c>
      <c r="G52" s="688">
        <f>'4C2 Open-burning '!R112</f>
        <v>12.462701759742169</v>
      </c>
      <c r="H52" s="688">
        <f>'4C2 Open-burning '!Z112</f>
        <v>4.1933175918954797</v>
      </c>
      <c r="I52" s="688">
        <f>'4C2 Open-burning '!AH112</f>
        <v>5.8378058412178822E-2</v>
      </c>
      <c r="J52" s="93">
        <f>'4D Wastewater treatment and dis'!AV149</f>
        <v>212.40361590924937</v>
      </c>
      <c r="K52" s="3">
        <f>'4D Wastewater treatment and dis'!AW149</f>
        <v>3.6188879620531109</v>
      </c>
      <c r="L52" s="465">
        <f t="shared" si="69"/>
        <v>8781.1498299863051</v>
      </c>
      <c r="M52" s="688">
        <f t="shared" si="70"/>
        <v>18.455123399311127</v>
      </c>
      <c r="N52" s="465">
        <f t="shared" si="71"/>
        <v>1566.0490427415443</v>
      </c>
      <c r="O52" s="464">
        <f t="shared" si="72"/>
        <v>118.61956929732267</v>
      </c>
      <c r="P52" s="465">
        <f t="shared" si="73"/>
        <v>5582.3312023307008</v>
      </c>
      <c r="Q52" s="465">
        <f t="shared" si="74"/>
        <v>8781.1498299863051</v>
      </c>
      <c r="R52" s="467">
        <f t="shared" si="75"/>
        <v>1584.5041661408554</v>
      </c>
      <c r="S52" s="464">
        <f t="shared" si="76"/>
        <v>118.61956929732267</v>
      </c>
      <c r="T52" s="465">
        <f t="shared" si="77"/>
        <v>5582.3312023307008</v>
      </c>
      <c r="U52" s="465">
        <f t="shared" si="78"/>
        <v>16066.604767755185</v>
      </c>
      <c r="V52" s="3"/>
      <c r="W52" s="535">
        <f t="shared" si="79"/>
        <v>2042</v>
      </c>
      <c r="X52" s="948">
        <f t="shared" si="80"/>
        <v>8589.6992547425871</v>
      </c>
      <c r="Y52" s="465">
        <f t="shared" si="81"/>
        <v>1599.9395660826283</v>
      </c>
      <c r="Z52" s="465">
        <f t="shared" si="82"/>
        <v>112.30236727150015</v>
      </c>
      <c r="AA52" s="465">
        <f t="shared" si="83"/>
        <v>5655.9945795987232</v>
      </c>
      <c r="AB52" s="986">
        <f t="shared" si="22"/>
        <v>15957.935767695439</v>
      </c>
      <c r="AC52" s="1206" t="str">
        <f>IF(OR('Recycling - Case 1'!AC122="No",'Recycling - Case 1'!T162="No"), "No", "Yes")</f>
        <v>Yes</v>
      </c>
      <c r="AD52" s="948">
        <f t="shared" si="84"/>
        <v>8589.6992547425871</v>
      </c>
      <c r="AE52" s="465">
        <f t="shared" si="85"/>
        <v>1599.9395660826283</v>
      </c>
      <c r="AF52" s="465">
        <f t="shared" si="86"/>
        <v>112.30236727150015</v>
      </c>
      <c r="AG52" s="465">
        <f t="shared" si="87"/>
        <v>5655.9945795987232</v>
      </c>
      <c r="AH52" s="986">
        <f t="shared" si="60"/>
        <v>15957.935767695439</v>
      </c>
      <c r="AI52" s="1206" t="str">
        <f>IF(OR('Recycling - Case 1'!AI33="No",'Recycling - Case 1'!Z162="No"), "No", "Yes")</f>
        <v>Yes</v>
      </c>
      <c r="AJ52" s="948">
        <f t="shared" si="88"/>
        <v>7465.0297938783306</v>
      </c>
      <c r="AK52" s="465">
        <f t="shared" si="89"/>
        <v>1599.9395660826283</v>
      </c>
      <c r="AL52" s="465">
        <f t="shared" si="90"/>
        <v>96.069073413937716</v>
      </c>
      <c r="AM52" s="465">
        <f t="shared" si="91"/>
        <v>5978.9009497134921</v>
      </c>
      <c r="AN52" s="986">
        <f t="shared" si="92"/>
        <v>15139.939383088387</v>
      </c>
      <c r="AO52" s="1201" t="str">
        <f>IF(OR('Recycling - Case 2'!AC122="No",'Recycling - Case 2'!T162="No"), "No", "Yes")</f>
        <v>Yes</v>
      </c>
      <c r="AP52" s="948">
        <f t="shared" si="93"/>
        <v>7465.0297938783306</v>
      </c>
      <c r="AQ52" s="465">
        <f t="shared" si="94"/>
        <v>1599.9395660826283</v>
      </c>
      <c r="AR52" s="465">
        <f t="shared" si="95"/>
        <v>96.069073413937716</v>
      </c>
      <c r="AS52" s="465">
        <f t="shared" si="96"/>
        <v>5978.9009497134921</v>
      </c>
      <c r="AT52" s="986">
        <f t="shared" si="37"/>
        <v>15139.939383088387</v>
      </c>
      <c r="AU52" s="1206" t="str">
        <f>IF(OR('Recycling - Case 2'!AC122="No",'Recycling - Case 2'!T202="No"), "No", "Yes")</f>
        <v>Yes</v>
      </c>
      <c r="AV52" s="948">
        <f t="shared" si="63"/>
        <v>7466.3392918943282</v>
      </c>
      <c r="AW52" s="465">
        <f t="shared" si="64"/>
        <v>971.67710752106382</v>
      </c>
      <c r="AX52" s="465">
        <f t="shared" si="65"/>
        <v>96.069073413937716</v>
      </c>
      <c r="AY52" s="465">
        <f t="shared" si="66"/>
        <v>5978.9009497134921</v>
      </c>
      <c r="AZ52" s="986">
        <f t="shared" si="67"/>
        <v>14512.986422542821</v>
      </c>
      <c r="BA52" s="1206" t="str">
        <f>IF(OR('Recycling - Case 3'!AC122="No",'Recycling - Case 3'!T162="No"), "No", "Yes")</f>
        <v>Yes</v>
      </c>
      <c r="BB52" s="948">
        <f t="shared" si="97"/>
        <v>7466.3392918943282</v>
      </c>
      <c r="BC52" s="465">
        <f t="shared" si="98"/>
        <v>971.67710752106382</v>
      </c>
      <c r="BD52" s="465">
        <f t="shared" si="99"/>
        <v>96.069073413937716</v>
      </c>
      <c r="BE52" s="465">
        <f t="shared" si="100"/>
        <v>5978.9009497134921</v>
      </c>
      <c r="BF52" s="986">
        <f t="shared" si="47"/>
        <v>14512.986422542821</v>
      </c>
      <c r="BG52" s="1206" t="str">
        <f>IF(OR('Recycling - Case 3'!AC122="No",'Recycling - Case 3'!T202="No"), "No", "Yes")</f>
        <v>Yes</v>
      </c>
      <c r="BH52" s="535">
        <f t="shared" si="48"/>
        <v>2042</v>
      </c>
      <c r="BI52" s="465">
        <f>'Recycling - Case 1'!BV122</f>
        <v>78.206341736930185</v>
      </c>
      <c r="BJ52" s="100">
        <f>'Recycling - Case 1'!BW122</f>
        <v>0.68695506395208727</v>
      </c>
      <c r="BK52" s="986">
        <f>'Recycling - Case 1'!BX122</f>
        <v>1.5668691510604194</v>
      </c>
      <c r="BL52" s="948">
        <f>'Recycling - Case 1'!BY122</f>
        <v>78.206341736930185</v>
      </c>
      <c r="BM52" s="100">
        <f>'Recycling - Case 1'!BZ122</f>
        <v>0.68695506395208727</v>
      </c>
      <c r="BN52" s="986">
        <f>'Recycling - Case 1'!CA122</f>
        <v>1.5668691510604194</v>
      </c>
      <c r="BO52" s="465">
        <f>'Recycling - Case 2'!BV122</f>
        <v>71.485666776292149</v>
      </c>
      <c r="BP52" s="100">
        <f>'Recycling - Case 2'!BW122</f>
        <v>0.77734350557678589</v>
      </c>
      <c r="BQ52" s="986">
        <f>'Recycling - Case 2'!BX122</f>
        <v>1.5668691510604194</v>
      </c>
      <c r="BR52" s="948">
        <f>'Recycling - Case 2'!BY122</f>
        <v>71.485666776292149</v>
      </c>
      <c r="BS52" s="100">
        <f>'Recycling - Case 2'!BZ122</f>
        <v>0.77734350557678589</v>
      </c>
      <c r="BT52" s="986">
        <f>'Recycling - Case 2'!CA122</f>
        <v>1.5668691510604194</v>
      </c>
      <c r="BU52" s="465">
        <f>'Recycling - Case 3'!BV122</f>
        <v>71.485666776292149</v>
      </c>
      <c r="BV52" s="100">
        <f>'Recycling - Case 3'!BW122</f>
        <v>0.77734350557678589</v>
      </c>
      <c r="BW52" s="986">
        <f>'Recycling - Case 3'!BX122</f>
        <v>1.5668691510604194</v>
      </c>
      <c r="BX52" s="948">
        <f>'Recycling - Case 3'!BY122</f>
        <v>71.485666776292149</v>
      </c>
      <c r="BY52" s="100">
        <f>'Recycling - Case 3'!BZ122</f>
        <v>0.77734350557678589</v>
      </c>
      <c r="BZ52" s="986">
        <f>'Recycling - Case 3'!CA122</f>
        <v>1.5668691510604194</v>
      </c>
      <c r="CA52" s="535">
        <v>2042</v>
      </c>
      <c r="CB52" s="579">
        <f>'Recycling - Case 1'!CB122</f>
        <v>0.38244924069111452</v>
      </c>
      <c r="CC52" s="100">
        <f>'Recycling - Case 1'!CC122</f>
        <v>0.32570716173924164</v>
      </c>
      <c r="CD52" s="100">
        <f>'Recycling - Case 1'!CD122</f>
        <v>0.38244924069111452</v>
      </c>
      <c r="CE52" s="471">
        <f>'Recycling - Case 1'!CE122</f>
        <v>0.32570716173924164</v>
      </c>
      <c r="CF52" s="579">
        <f>'Recycling - Case 2'!CB122</f>
        <v>0.35974439441261952</v>
      </c>
      <c r="CG52" s="100">
        <f>'Recycling - Case 2'!CC122</f>
        <v>0.41005065582927047</v>
      </c>
      <c r="CH52" s="100">
        <f>'Recycling - Case 2'!CD122</f>
        <v>0.35974439441261952</v>
      </c>
      <c r="CI52" s="471">
        <f>'Recycling - Case 2'!CE122</f>
        <v>0.41005065582927047</v>
      </c>
      <c r="CJ52" s="579">
        <f>'Recycling - Case 3'!CB122</f>
        <v>0.35974439441261952</v>
      </c>
      <c r="CK52" s="100">
        <f>'Recycling - Case 3'!CC122</f>
        <v>0.41005065582927047</v>
      </c>
      <c r="CL52" s="100">
        <f>'Recycling - Case 3'!CD122</f>
        <v>0.35974439441261952</v>
      </c>
      <c r="CM52" s="471">
        <f>'Recycling - Case 3'!CE122</f>
        <v>0.41005065582927047</v>
      </c>
    </row>
    <row r="53" spans="1:91">
      <c r="A53">
        <f>'Input data'!A142</f>
        <v>2042</v>
      </c>
      <c r="C53" s="116">
        <f>'4A SWD Case 1'!BG112</f>
        <v>409.03329784488511</v>
      </c>
      <c r="D53" s="3">
        <f>'4B Biological treatment '!T106</f>
        <v>0.88737635390051506</v>
      </c>
      <c r="E53" s="152">
        <f>'4B Biological treatment '!U106</f>
        <v>39.93193592552317</v>
      </c>
      <c r="F53" s="152">
        <f>'4B Biological treatment '!W106</f>
        <v>2.3959161555313901</v>
      </c>
      <c r="G53" s="688">
        <f>'4C2 Open-burning '!R113</f>
        <v>11.798988299389535</v>
      </c>
      <c r="H53" s="688">
        <f>'4C2 Open-burning '!Z113</f>
        <v>3.969998332321695</v>
      </c>
      <c r="I53" s="688">
        <f>'4C2 Open-burning '!AH113</f>
        <v>5.5269077397919433E-2</v>
      </c>
      <c r="J53" s="93">
        <f>'4D Wastewater treatment and dis'!AV150</f>
        <v>215.59272134221817</v>
      </c>
      <c r="K53" s="3">
        <f>'4D Wastewater treatment and dis'!AW150</f>
        <v>3.6404755852004582</v>
      </c>
      <c r="L53" s="465">
        <f t="shared" si="69"/>
        <v>8589.6992547425871</v>
      </c>
      <c r="M53" s="688">
        <f t="shared" si="70"/>
        <v>18.634903431910818</v>
      </c>
      <c r="N53" s="465">
        <f t="shared" si="71"/>
        <v>1581.3046626507175</v>
      </c>
      <c r="O53" s="464">
        <f t="shared" si="72"/>
        <v>112.30236727150015</v>
      </c>
      <c r="P53" s="465">
        <f t="shared" si="73"/>
        <v>5655.9945795987232</v>
      </c>
      <c r="Q53" s="465">
        <f t="shared" si="74"/>
        <v>8589.6992547425871</v>
      </c>
      <c r="R53" s="467">
        <f t="shared" si="75"/>
        <v>1599.9395660826283</v>
      </c>
      <c r="S53" s="464">
        <f t="shared" si="76"/>
        <v>112.30236727150015</v>
      </c>
      <c r="T53" s="465">
        <f t="shared" si="77"/>
        <v>5655.9945795987232</v>
      </c>
      <c r="U53" s="465">
        <f t="shared" si="78"/>
        <v>15957.935767695439</v>
      </c>
      <c r="V53" s="3"/>
      <c r="W53" s="535">
        <f t="shared" si="79"/>
        <v>2043</v>
      </c>
      <c r="X53" s="948">
        <f t="shared" si="80"/>
        <v>8397.70930715145</v>
      </c>
      <c r="Y53" s="465">
        <f t="shared" si="81"/>
        <v>1615.7733394009406</v>
      </c>
      <c r="Z53" s="465">
        <f t="shared" si="82"/>
        <v>106.012840584472</v>
      </c>
      <c r="AA53" s="465">
        <f t="shared" si="83"/>
        <v>5729.0744515517763</v>
      </c>
      <c r="AB53" s="986">
        <f t="shared" si="22"/>
        <v>15848.569938688639</v>
      </c>
      <c r="AC53" s="1206" t="str">
        <f>IF(OR('Recycling - Case 1'!AC123="No",'Recycling - Case 1'!T163="No"), "No", "Yes")</f>
        <v>Yes</v>
      </c>
      <c r="AD53" s="948">
        <f t="shared" si="84"/>
        <v>8397.70930715145</v>
      </c>
      <c r="AE53" s="465">
        <f t="shared" si="85"/>
        <v>1615.7733394009406</v>
      </c>
      <c r="AF53" s="465">
        <f t="shared" si="86"/>
        <v>106.012840584472</v>
      </c>
      <c r="AG53" s="465">
        <f t="shared" si="87"/>
        <v>5729.0744515517763</v>
      </c>
      <c r="AH53" s="986">
        <f t="shared" si="60"/>
        <v>15848.569938688639</v>
      </c>
      <c r="AI53" s="1206" t="str">
        <f>IF(OR('Recycling - Case 1'!AI34="No",'Recycling - Case 1'!Z163="No"), "No", "Yes")</f>
        <v>Yes</v>
      </c>
      <c r="AJ53" s="948">
        <f t="shared" si="88"/>
        <v>7267.9380655257928</v>
      </c>
      <c r="AK53" s="465">
        <f t="shared" si="89"/>
        <v>1615.7733394009406</v>
      </c>
      <c r="AL53" s="465">
        <f t="shared" si="90"/>
        <v>95.894641405286421</v>
      </c>
      <c r="AM53" s="465">
        <f t="shared" si="91"/>
        <v>6013.240288940302</v>
      </c>
      <c r="AN53" s="986">
        <f t="shared" si="92"/>
        <v>14992.846335272321</v>
      </c>
      <c r="AO53" s="1201" t="str">
        <f>IF(OR('Recycling - Case 2'!AC123="No",'Recycling - Case 2'!T163="No"), "No", "Yes")</f>
        <v>Yes</v>
      </c>
      <c r="AP53" s="948">
        <f t="shared" si="93"/>
        <v>7267.9380655257928</v>
      </c>
      <c r="AQ53" s="465">
        <f t="shared" si="94"/>
        <v>1615.7733394009406</v>
      </c>
      <c r="AR53" s="465">
        <f t="shared" si="95"/>
        <v>95.894641405286421</v>
      </c>
      <c r="AS53" s="465">
        <f t="shared" si="96"/>
        <v>6013.240288940302</v>
      </c>
      <c r="AT53" s="986">
        <f t="shared" si="37"/>
        <v>14992.846335272321</v>
      </c>
      <c r="AU53" s="1206" t="str">
        <f>IF(OR('Recycling - Case 2'!AC123="No",'Recycling - Case 2'!T203="No"), "No", "Yes")</f>
        <v>Yes</v>
      </c>
      <c r="AV53" s="948">
        <f t="shared" si="63"/>
        <v>7269.295170765773</v>
      </c>
      <c r="AW53" s="465">
        <f t="shared" si="64"/>
        <v>981.29329264782564</v>
      </c>
      <c r="AX53" s="465">
        <f t="shared" si="65"/>
        <v>95.894641405286436</v>
      </c>
      <c r="AY53" s="465">
        <f t="shared" si="66"/>
        <v>6013.240288940302</v>
      </c>
      <c r="AZ53" s="986">
        <f t="shared" si="67"/>
        <v>14359.723393759186</v>
      </c>
      <c r="BA53" s="1206" t="str">
        <f>IF(OR('Recycling - Case 3'!AC123="No",'Recycling - Case 3'!T163="No"), "No", "Yes")</f>
        <v>Yes</v>
      </c>
      <c r="BB53" s="948">
        <f t="shared" si="97"/>
        <v>7269.295170765773</v>
      </c>
      <c r="BC53" s="465">
        <f t="shared" si="98"/>
        <v>981.29329264782564</v>
      </c>
      <c r="BD53" s="465">
        <f t="shared" si="99"/>
        <v>95.894641405286436</v>
      </c>
      <c r="BE53" s="465">
        <f t="shared" si="100"/>
        <v>6013.240288940302</v>
      </c>
      <c r="BF53" s="986">
        <f t="shared" si="47"/>
        <v>14359.723393759186</v>
      </c>
      <c r="BG53" s="1206" t="str">
        <f>IF(OR('Recycling - Case 3'!AC123="No",'Recycling - Case 3'!T203="No"), "No", "Yes")</f>
        <v>Yes</v>
      </c>
      <c r="BH53" s="535">
        <f t="shared" si="48"/>
        <v>2043</v>
      </c>
      <c r="BI53" s="465">
        <f>'Recycling - Case 1'!BV123</f>
        <v>77.874609451613395</v>
      </c>
      <c r="BJ53" s="100">
        <f>'Recycling - Case 1'!BW123</f>
        <v>0.70273620658294578</v>
      </c>
      <c r="BK53" s="986">
        <f>'Recycling - Case 1'!BX123</f>
        <v>1.4396032245681447</v>
      </c>
      <c r="BL53" s="948">
        <f>'Recycling - Case 1'!BY123</f>
        <v>77.874609451613395</v>
      </c>
      <c r="BM53" s="100">
        <f>'Recycling - Case 1'!BZ123</f>
        <v>0.70273620658294578</v>
      </c>
      <c r="BN53" s="986">
        <f>'Recycling - Case 1'!CA123</f>
        <v>1.4396032245681447</v>
      </c>
      <c r="BO53" s="465">
        <f>'Recycling - Case 2'!BV123</f>
        <v>72.52634813795639</v>
      </c>
      <c r="BP53" s="100">
        <f>'Recycling - Case 2'!BW123</f>
        <v>0.78053840604742564</v>
      </c>
      <c r="BQ53" s="986">
        <f>'Recycling - Case 2'!BX123</f>
        <v>1.4396032245681447</v>
      </c>
      <c r="BR53" s="948">
        <f>'Recycling - Case 2'!BY123</f>
        <v>72.52634813795639</v>
      </c>
      <c r="BS53" s="100">
        <f>'Recycling - Case 2'!BZ123</f>
        <v>0.78053840604742564</v>
      </c>
      <c r="BT53" s="986">
        <f>'Recycling - Case 2'!CA123</f>
        <v>1.4396032245681447</v>
      </c>
      <c r="BU53" s="465">
        <f>'Recycling - Case 3'!BV123</f>
        <v>72.52634813795639</v>
      </c>
      <c r="BV53" s="100">
        <f>'Recycling - Case 3'!BW123</f>
        <v>0.78053840604742564</v>
      </c>
      <c r="BW53" s="986">
        <f>'Recycling - Case 3'!BX123</f>
        <v>1.4396032245681447</v>
      </c>
      <c r="BX53" s="948">
        <f>'Recycling - Case 3'!BY123</f>
        <v>72.52634813795639</v>
      </c>
      <c r="BY53" s="100">
        <f>'Recycling - Case 3'!BZ123</f>
        <v>0.78053840604742564</v>
      </c>
      <c r="BZ53" s="986">
        <f>'Recycling - Case 3'!CA123</f>
        <v>1.4396032245681447</v>
      </c>
      <c r="CA53" s="535">
        <v>2043</v>
      </c>
      <c r="CB53" s="579">
        <f>'Recycling - Case 1'!CB123</f>
        <v>0.39168682355784157</v>
      </c>
      <c r="CC53" s="100">
        <f>'Recycling - Case 1'!CC123</f>
        <v>0.34463605555278665</v>
      </c>
      <c r="CD53" s="100">
        <f>'Recycling - Case 1'!CD123</f>
        <v>0.39168682355784157</v>
      </c>
      <c r="CE53" s="471">
        <f>'Recycling - Case 1'!CE123</f>
        <v>0.34463605555278665</v>
      </c>
      <c r="CF53" s="579">
        <f>'Recycling - Case 2'!CB123</f>
        <v>0.36157370370249042</v>
      </c>
      <c r="CG53" s="100">
        <f>'Recycling - Case 2'!CC123</f>
        <v>0.41419141332929277</v>
      </c>
      <c r="CH53" s="100">
        <f>'Recycling - Case 2'!CD123</f>
        <v>0.36157370370249042</v>
      </c>
      <c r="CI53" s="471">
        <f>'Recycling - Case 2'!CE123</f>
        <v>0.41419141332929277</v>
      </c>
      <c r="CJ53" s="579">
        <f>'Recycling - Case 3'!CB123</f>
        <v>0.36157370370249042</v>
      </c>
      <c r="CK53" s="100">
        <f>'Recycling - Case 3'!CC123</f>
        <v>0.41419141332929277</v>
      </c>
      <c r="CL53" s="100">
        <f>'Recycling - Case 3'!CD123</f>
        <v>0.36157370370249042</v>
      </c>
      <c r="CM53" s="471">
        <f>'Recycling - Case 3'!CE123</f>
        <v>0.41419141332929277</v>
      </c>
    </row>
    <row r="54" spans="1:91">
      <c r="A54">
        <f>'Input data'!A143</f>
        <v>2043</v>
      </c>
      <c r="C54" s="116">
        <f>'4A SWD Case 1'!BG113</f>
        <v>399.89091938816426</v>
      </c>
      <c r="D54" s="3">
        <f>'4B Biological treatment '!T107</f>
        <v>0.89615825812586825</v>
      </c>
      <c r="E54" s="152">
        <f>'4B Biological treatment '!U107</f>
        <v>40.327121615664069</v>
      </c>
      <c r="F54" s="152">
        <f>'4B Biological treatment '!W107</f>
        <v>2.4196272969398445</v>
      </c>
      <c r="G54" s="688">
        <f>'4C2 Open-burning '!R114</f>
        <v>11.138182533741386</v>
      </c>
      <c r="H54" s="688">
        <f>'4C2 Open-burning '!Z114</f>
        <v>3.7476574229958128</v>
      </c>
      <c r="I54" s="688">
        <f>'4C2 Open-burning '!AH114</f>
        <v>5.2173716670382425E-2</v>
      </c>
      <c r="J54" s="93">
        <f>'4D Wastewater treatment and dis'!AV151</f>
        <v>218.76406182207293</v>
      </c>
      <c r="K54" s="3">
        <f>'4D Wastewater treatment and dis'!AW151</f>
        <v>3.6613843654459499</v>
      </c>
      <c r="L54" s="465">
        <f t="shared" si="69"/>
        <v>8397.70930715145</v>
      </c>
      <c r="M54" s="688">
        <f t="shared" si="70"/>
        <v>18.819323420643233</v>
      </c>
      <c r="N54" s="465">
        <f t="shared" si="71"/>
        <v>1596.9540159802973</v>
      </c>
      <c r="O54" s="464">
        <f t="shared" si="72"/>
        <v>106.012840584472</v>
      </c>
      <c r="P54" s="465">
        <f t="shared" si="73"/>
        <v>5729.0744515517763</v>
      </c>
      <c r="Q54" s="465">
        <f t="shared" si="74"/>
        <v>8397.70930715145</v>
      </c>
      <c r="R54" s="467">
        <f t="shared" si="75"/>
        <v>1615.7733394009406</v>
      </c>
      <c r="S54" s="464">
        <f t="shared" si="76"/>
        <v>106.012840584472</v>
      </c>
      <c r="T54" s="465">
        <f t="shared" si="77"/>
        <v>5729.0744515517763</v>
      </c>
      <c r="U54" s="465">
        <f t="shared" si="78"/>
        <v>15848.569938688639</v>
      </c>
      <c r="V54" s="3"/>
      <c r="W54" s="535">
        <f t="shared" si="79"/>
        <v>2044</v>
      </c>
      <c r="X54" s="948">
        <f t="shared" si="80"/>
        <v>8205.3603377812869</v>
      </c>
      <c r="Y54" s="465">
        <f t="shared" si="81"/>
        <v>1632.2219251743841</v>
      </c>
      <c r="Z54" s="465">
        <f t="shared" si="82"/>
        <v>99.749458499088959</v>
      </c>
      <c r="AA54" s="465">
        <f t="shared" si="83"/>
        <v>5801.5272383822921</v>
      </c>
      <c r="AB54" s="986">
        <f t="shared" si="22"/>
        <v>15738.858959837053</v>
      </c>
      <c r="AC54" s="1206" t="str">
        <f>IF(OR('Recycling - Case 1'!AC124="No",'Recycling - Case 1'!T164="No"), "No", "Yes")</f>
        <v>Yes</v>
      </c>
      <c r="AD54" s="948">
        <f t="shared" si="84"/>
        <v>8205.3603377812869</v>
      </c>
      <c r="AE54" s="465">
        <f t="shared" si="85"/>
        <v>1632.2219251743841</v>
      </c>
      <c r="AF54" s="465">
        <f t="shared" si="86"/>
        <v>99.749458499088959</v>
      </c>
      <c r="AG54" s="465">
        <f t="shared" si="87"/>
        <v>5801.5272383822921</v>
      </c>
      <c r="AH54" s="986">
        <f t="shared" si="60"/>
        <v>15738.858959837053</v>
      </c>
      <c r="AI54" s="1206" t="str">
        <f>IF(OR('Recycling - Case 1'!AI35="No",'Recycling - Case 1'!Z164="No"), "No", "Yes")</f>
        <v>Yes</v>
      </c>
      <c r="AJ54" s="948">
        <f t="shared" si="88"/>
        <v>7081.5269508129659</v>
      </c>
      <c r="AK54" s="465">
        <f t="shared" si="89"/>
        <v>1632.2219251743841</v>
      </c>
      <c r="AL54" s="465">
        <f t="shared" si="90"/>
        <v>95.728459127027506</v>
      </c>
      <c r="AM54" s="465">
        <f t="shared" si="91"/>
        <v>6046.4428502961873</v>
      </c>
      <c r="AN54" s="986">
        <f t="shared" si="92"/>
        <v>14855.920185410565</v>
      </c>
      <c r="AO54" s="1201" t="str">
        <f>IF(OR('Recycling - Case 2'!AC124="No",'Recycling - Case 2'!T164="No"), "No", "Yes")</f>
        <v>Yes</v>
      </c>
      <c r="AP54" s="948">
        <f t="shared" si="93"/>
        <v>7081.5269508129659</v>
      </c>
      <c r="AQ54" s="465">
        <f t="shared" si="94"/>
        <v>1632.2219251743841</v>
      </c>
      <c r="AR54" s="465">
        <f t="shared" si="95"/>
        <v>95.728459127027506</v>
      </c>
      <c r="AS54" s="465">
        <f t="shared" si="96"/>
        <v>6046.4428502961873</v>
      </c>
      <c r="AT54" s="986">
        <f t="shared" si="37"/>
        <v>14855.920185410565</v>
      </c>
      <c r="AU54" s="1206" t="str">
        <f>IF(OR('Recycling - Case 2'!AC124="No",'Recycling - Case 2'!T204="No"), "No", "Yes")</f>
        <v>Yes</v>
      </c>
      <c r="AV54" s="948">
        <f t="shared" si="63"/>
        <v>7082.9296022650906</v>
      </c>
      <c r="AW54" s="465">
        <f t="shared" si="64"/>
        <v>991.28286637046608</v>
      </c>
      <c r="AX54" s="465">
        <f t="shared" si="65"/>
        <v>95.728459127027506</v>
      </c>
      <c r="AY54" s="465">
        <f t="shared" si="66"/>
        <v>6046.4428502961873</v>
      </c>
      <c r="AZ54" s="986">
        <f t="shared" si="67"/>
        <v>14216.383778058771</v>
      </c>
      <c r="BA54" s="1206" t="str">
        <f>IF(OR('Recycling - Case 3'!AC124="No",'Recycling - Case 3'!T164="No"), "No", "Yes")</f>
        <v>Yes</v>
      </c>
      <c r="BB54" s="948">
        <f t="shared" si="97"/>
        <v>7082.9296022650906</v>
      </c>
      <c r="BC54" s="465">
        <f t="shared" si="98"/>
        <v>991.28286637046608</v>
      </c>
      <c r="BD54" s="465">
        <f t="shared" si="99"/>
        <v>95.728459127027506</v>
      </c>
      <c r="BE54" s="465">
        <f t="shared" si="100"/>
        <v>6046.4428502961873</v>
      </c>
      <c r="BF54" s="986">
        <f t="shared" si="47"/>
        <v>14216.383778058771</v>
      </c>
      <c r="BG54" s="1206" t="str">
        <f>IF(OR('Recycling - Case 3'!AC124="No",'Recycling - Case 3'!T204="No"), "No", "Yes")</f>
        <v>Yes</v>
      </c>
      <c r="BH54" s="535">
        <f t="shared" si="48"/>
        <v>2044</v>
      </c>
      <c r="BI54" s="465">
        <f>'Recycling - Case 1'!BV124</f>
        <v>77.645156874190249</v>
      </c>
      <c r="BJ54" s="100">
        <f>'Recycling - Case 1'!BW124</f>
        <v>0.71820594464304699</v>
      </c>
      <c r="BK54" s="986">
        <f>'Recycling - Case 1'!BX124</f>
        <v>1.3123372980758694</v>
      </c>
      <c r="BL54" s="948">
        <f>'Recycling - Case 1'!BY124</f>
        <v>77.645156874190249</v>
      </c>
      <c r="BM54" s="100">
        <f>'Recycling - Case 1'!BZ124</f>
        <v>0.71820594464304699</v>
      </c>
      <c r="BN54" s="986">
        <f>'Recycling - Case 1'!CA124</f>
        <v>1.3123372980758694</v>
      </c>
      <c r="BO54" s="465">
        <f>'Recycling - Case 2'!BV124</f>
        <v>73.605388627281442</v>
      </c>
      <c r="BP54" s="100">
        <f>'Recycling - Case 2'!BW124</f>
        <v>0.78375566975790967</v>
      </c>
      <c r="BQ54" s="986">
        <f>'Recycling - Case 2'!BX124</f>
        <v>1.3123372980758694</v>
      </c>
      <c r="BR54" s="948">
        <f>'Recycling - Case 2'!BY124</f>
        <v>73.605388627281442</v>
      </c>
      <c r="BS54" s="100">
        <f>'Recycling - Case 2'!BZ124</f>
        <v>0.78375566975790967</v>
      </c>
      <c r="BT54" s="986">
        <f>'Recycling - Case 2'!CA124</f>
        <v>1.3123372980758694</v>
      </c>
      <c r="BU54" s="465">
        <f>'Recycling - Case 3'!BV124</f>
        <v>73.605388627281442</v>
      </c>
      <c r="BV54" s="100">
        <f>'Recycling - Case 3'!BW124</f>
        <v>0.78375566975790967</v>
      </c>
      <c r="BW54" s="986">
        <f>'Recycling - Case 3'!BX124</f>
        <v>1.3123372980758694</v>
      </c>
      <c r="BX54" s="948">
        <f>'Recycling - Case 3'!BY124</f>
        <v>73.605388627281442</v>
      </c>
      <c r="BY54" s="100">
        <f>'Recycling - Case 3'!BZ124</f>
        <v>0.78375566975790967</v>
      </c>
      <c r="BZ54" s="986">
        <f>'Recycling - Case 3'!CA124</f>
        <v>1.3123372980758694</v>
      </c>
      <c r="CA54" s="535">
        <v>2044</v>
      </c>
      <c r="CB54" s="579">
        <f>'Recycling - Case 1'!CB124</f>
        <v>0.40075073591736332</v>
      </c>
      <c r="CC54" s="100">
        <f>'Recycling - Case 1'!CC124</f>
        <v>0.36215331971545373</v>
      </c>
      <c r="CD54" s="100">
        <f>'Recycling - Case 1'!CD124</f>
        <v>0.40075073591736332</v>
      </c>
      <c r="CE54" s="471">
        <f>'Recycling - Case 1'!CE124</f>
        <v>0.36215331971545373</v>
      </c>
      <c r="CF54" s="579">
        <f>'Recycling - Case 2'!CB124</f>
        <v>0.36332197294239865</v>
      </c>
      <c r="CG54" s="100">
        <f>'Recycling - Case 2'!CC124</f>
        <v>0.41828468458581836</v>
      </c>
      <c r="CH54" s="100">
        <f>'Recycling - Case 2'!CD124</f>
        <v>0.36332197294239865</v>
      </c>
      <c r="CI54" s="471">
        <f>'Recycling - Case 2'!CE124</f>
        <v>0.41828468458581836</v>
      </c>
      <c r="CJ54" s="579">
        <f>'Recycling - Case 3'!CB124</f>
        <v>0.36332197294239865</v>
      </c>
      <c r="CK54" s="100">
        <f>'Recycling - Case 3'!CC124</f>
        <v>0.41828468458581836</v>
      </c>
      <c r="CL54" s="100">
        <f>'Recycling - Case 3'!CD124</f>
        <v>0.36332197294239865</v>
      </c>
      <c r="CM54" s="471">
        <f>'Recycling - Case 3'!CE124</f>
        <v>0.41828468458581836</v>
      </c>
    </row>
    <row r="55" spans="1:91">
      <c r="A55">
        <f>'Input data'!A144</f>
        <v>2044</v>
      </c>
      <c r="C55" s="116">
        <f>'4A SWD Case 1'!BG114</f>
        <v>390.73144465625177</v>
      </c>
      <c r="D55" s="3">
        <f>'4B Biological treatment '!T108</f>
        <v>0.90528115650270891</v>
      </c>
      <c r="E55" s="152">
        <f>'4B Biological treatment '!U108</f>
        <v>40.737652042621896</v>
      </c>
      <c r="F55" s="152">
        <f>'4B Biological treatment '!W108</f>
        <v>2.4442591225573138</v>
      </c>
      <c r="G55" s="688">
        <f>'4C2 Open-burning '!R115</f>
        <v>10.480123636715845</v>
      </c>
      <c r="H55" s="688">
        <f>'4C2 Open-burning '!Z115</f>
        <v>3.526240750865032</v>
      </c>
      <c r="I55" s="688">
        <f>'4C2 Open-burning '!AH115</f>
        <v>4.9091222884540139E-2</v>
      </c>
      <c r="J55" s="93">
        <f>'4D Wastewater treatment and dis'!AV152</f>
        <v>221.91575884388917</v>
      </c>
      <c r="K55" s="3">
        <f>'4D Wastewater treatment and dis'!AW152</f>
        <v>3.6816009763245785</v>
      </c>
      <c r="L55" s="465">
        <f t="shared" si="69"/>
        <v>8205.3603377812869</v>
      </c>
      <c r="M55" s="688">
        <f t="shared" si="70"/>
        <v>19.010904286556887</v>
      </c>
      <c r="N55" s="465">
        <f t="shared" si="71"/>
        <v>1613.2110208878271</v>
      </c>
      <c r="O55" s="464">
        <f t="shared" si="72"/>
        <v>99.749458499088959</v>
      </c>
      <c r="P55" s="465">
        <f t="shared" si="73"/>
        <v>5801.5272383822921</v>
      </c>
      <c r="Q55" s="465">
        <f t="shared" si="74"/>
        <v>8205.3603377812869</v>
      </c>
      <c r="R55" s="467">
        <f t="shared" si="75"/>
        <v>1632.2219251743841</v>
      </c>
      <c r="S55" s="464">
        <f t="shared" si="76"/>
        <v>99.749458499088959</v>
      </c>
      <c r="T55" s="465">
        <f t="shared" si="77"/>
        <v>5801.5272383822921</v>
      </c>
      <c r="U55" s="465">
        <f t="shared" si="78"/>
        <v>15738.858959837053</v>
      </c>
      <c r="V55" s="3"/>
      <c r="W55" s="535">
        <f t="shared" si="79"/>
        <v>2045</v>
      </c>
      <c r="X55" s="948">
        <f t="shared" si="80"/>
        <v>8012.8252296788305</v>
      </c>
      <c r="Y55" s="465">
        <f t="shared" si="81"/>
        <v>1649.3653117580907</v>
      </c>
      <c r="Z55" s="465">
        <f t="shared" si="82"/>
        <v>93.510741331139286</v>
      </c>
      <c r="AA55" s="465">
        <f t="shared" si="83"/>
        <v>5873.309374134119</v>
      </c>
      <c r="AB55" s="986">
        <f t="shared" si="22"/>
        <v>15629.010656902181</v>
      </c>
      <c r="AC55" s="1206" t="str">
        <f>IF(OR('Recycling - Case 1'!AC125="No",'Recycling - Case 1'!T165="No"), "No", "Yes")</f>
        <v>Yes</v>
      </c>
      <c r="AD55" s="948">
        <f t="shared" si="84"/>
        <v>8012.8252296788305</v>
      </c>
      <c r="AE55" s="465">
        <f t="shared" si="85"/>
        <v>1649.3653117580907</v>
      </c>
      <c r="AF55" s="465">
        <f t="shared" si="86"/>
        <v>93.510741331139286</v>
      </c>
      <c r="AG55" s="465">
        <f t="shared" si="87"/>
        <v>5873.309374134119</v>
      </c>
      <c r="AH55" s="986">
        <f t="shared" si="60"/>
        <v>15629.010656902181</v>
      </c>
      <c r="AI55" s="1206" t="str">
        <f>IF(OR('Recycling - Case 1'!AI36="No",'Recycling - Case 1'!Z165="No"), "No", "Yes")</f>
        <v>Yes</v>
      </c>
      <c r="AJ55" s="948">
        <f t="shared" si="88"/>
        <v>6905.2657332756789</v>
      </c>
      <c r="AK55" s="465">
        <f t="shared" si="89"/>
        <v>1649.3653117580907</v>
      </c>
      <c r="AL55" s="465">
        <f t="shared" si="90"/>
        <v>95.570331147581143</v>
      </c>
      <c r="AM55" s="465">
        <f t="shared" si="91"/>
        <v>6078.4873731900434</v>
      </c>
      <c r="AN55" s="986">
        <f t="shared" si="92"/>
        <v>14728.688749371395</v>
      </c>
      <c r="AO55" s="1201" t="str">
        <f>IF(OR('Recycling - Case 2'!AC125="No",'Recycling - Case 2'!T165="No"), "No", "Yes")</f>
        <v>Yes</v>
      </c>
      <c r="AP55" s="948">
        <f t="shared" si="93"/>
        <v>6905.2657332756789</v>
      </c>
      <c r="AQ55" s="465">
        <f t="shared" si="94"/>
        <v>1649.3653117580907</v>
      </c>
      <c r="AR55" s="465">
        <f t="shared" si="95"/>
        <v>95.570331147581143</v>
      </c>
      <c r="AS55" s="465">
        <f t="shared" si="96"/>
        <v>6078.4873731900434</v>
      </c>
      <c r="AT55" s="986">
        <f t="shared" si="37"/>
        <v>14728.688749371395</v>
      </c>
      <c r="AU55" s="1206" t="str">
        <f>IF(OR('Recycling - Case 2'!AC125="No",'Recycling - Case 2'!T205="No"), "No", "Yes")</f>
        <v>Yes</v>
      </c>
      <c r="AV55" s="948">
        <f t="shared" si="63"/>
        <v>6906.7119664011734</v>
      </c>
      <c r="AW55" s="465">
        <f t="shared" si="64"/>
        <v>1001.6944073073263</v>
      </c>
      <c r="AX55" s="465">
        <f t="shared" si="65"/>
        <v>95.570331147581143</v>
      </c>
      <c r="AY55" s="465">
        <f t="shared" si="66"/>
        <v>6078.4873731900434</v>
      </c>
      <c r="AZ55" s="986">
        <f t="shared" si="67"/>
        <v>14082.464078046123</v>
      </c>
      <c r="BA55" s="1206" t="str">
        <f>IF(OR('Recycling - Case 3'!AC125="No",'Recycling - Case 3'!T165="No"), "No", "Yes")</f>
        <v>Yes</v>
      </c>
      <c r="BB55" s="948">
        <f t="shared" si="97"/>
        <v>6906.7119664011734</v>
      </c>
      <c r="BC55" s="465">
        <f t="shared" si="98"/>
        <v>1001.6944073073263</v>
      </c>
      <c r="BD55" s="465">
        <f t="shared" si="99"/>
        <v>95.570331147581143</v>
      </c>
      <c r="BE55" s="465">
        <f t="shared" si="100"/>
        <v>6078.4873731900434</v>
      </c>
      <c r="BF55" s="986">
        <f t="shared" si="47"/>
        <v>14082.464078046123</v>
      </c>
      <c r="BG55" s="1206" t="str">
        <f>IF(OR('Recycling - Case 3'!AC125="No",'Recycling - Case 3'!T205="No"), "No", "Yes")</f>
        <v>Yes</v>
      </c>
      <c r="BH55" s="535">
        <f t="shared" si="48"/>
        <v>2045</v>
      </c>
      <c r="BI55" s="465">
        <f>'Recycling - Case 1'!BV125</f>
        <v>77.519718179302984</v>
      </c>
      <c r="BJ55" s="100">
        <f>'Recycling - Case 1'!BW125</f>
        <v>0.73335078435143242</v>
      </c>
      <c r="BK55" s="986">
        <f>'Recycling - Case 1'!BX125</f>
        <v>1.1850713715835943</v>
      </c>
      <c r="BL55" s="948">
        <f>'Recycling - Case 1'!BY125</f>
        <v>77.519718179302984</v>
      </c>
      <c r="BM55" s="100">
        <f>'Recycling - Case 1'!BZ125</f>
        <v>0.73335078435143242</v>
      </c>
      <c r="BN55" s="986">
        <f>'Recycling - Case 1'!CA125</f>
        <v>1.1850713715835943</v>
      </c>
      <c r="BO55" s="465">
        <f>'Recycling - Case 2'!BV125</f>
        <v>74.727980742988066</v>
      </c>
      <c r="BP55" s="100">
        <f>'Recycling - Case 2'!BW125</f>
        <v>0.78700417423752278</v>
      </c>
      <c r="BQ55" s="986">
        <f>'Recycling - Case 2'!BX125</f>
        <v>1.1850713715835943</v>
      </c>
      <c r="BR55" s="948">
        <f>'Recycling - Case 2'!BY125</f>
        <v>74.727980742988066</v>
      </c>
      <c r="BS55" s="100">
        <f>'Recycling - Case 2'!BZ125</f>
        <v>0.78700417423752278</v>
      </c>
      <c r="BT55" s="986">
        <f>'Recycling - Case 2'!CA125</f>
        <v>1.1850713715835943</v>
      </c>
      <c r="BU55" s="465">
        <f>'Recycling - Case 3'!BV125</f>
        <v>74.727980742988066</v>
      </c>
      <c r="BV55" s="100">
        <f>'Recycling - Case 3'!BW125</f>
        <v>0.78700417423752278</v>
      </c>
      <c r="BW55" s="986">
        <f>'Recycling - Case 3'!BX125</f>
        <v>1.1850713715835943</v>
      </c>
      <c r="BX55" s="948">
        <f>'Recycling - Case 3'!BY125</f>
        <v>74.727980742988066</v>
      </c>
      <c r="BY55" s="100">
        <f>'Recycling - Case 3'!BZ125</f>
        <v>0.78700417423752278</v>
      </c>
      <c r="BZ55" s="986">
        <f>'Recycling - Case 3'!CA125</f>
        <v>1.1850713715835943</v>
      </c>
      <c r="CA55" s="535">
        <v>2045</v>
      </c>
      <c r="CB55" s="579">
        <f>'Recycling - Case 1'!CB125</f>
        <v>0.40964823355685753</v>
      </c>
      <c r="CC55" s="100">
        <f>'Recycling - Case 1'!CC125</f>
        <v>0.37837504181405246</v>
      </c>
      <c r="CD55" s="100">
        <f>'Recycling - Case 1'!CD125</f>
        <v>0.40964823355685753</v>
      </c>
      <c r="CE55" s="471">
        <f>'Recycling - Case 1'!CE125</f>
        <v>0.37837504181405246</v>
      </c>
      <c r="CF55" s="579">
        <f>'Recycling - Case 2'!CB125</f>
        <v>0.36499049722876975</v>
      </c>
      <c r="CG55" s="100">
        <f>'Recycling - Case 2'!CC125</f>
        <v>0.4223414227318022</v>
      </c>
      <c r="CH55" s="100">
        <f>'Recycling - Case 2'!CD125</f>
        <v>0.36499049722876975</v>
      </c>
      <c r="CI55" s="471">
        <f>'Recycling - Case 2'!CE125</f>
        <v>0.4223414227318022</v>
      </c>
      <c r="CJ55" s="579">
        <f>'Recycling - Case 3'!CB125</f>
        <v>0.36499049722876975</v>
      </c>
      <c r="CK55" s="100">
        <f>'Recycling - Case 3'!CC125</f>
        <v>0.4223414227318022</v>
      </c>
      <c r="CL55" s="100">
        <f>'Recycling - Case 3'!CD125</f>
        <v>0.36499049722876975</v>
      </c>
      <c r="CM55" s="471">
        <f>'Recycling - Case 3'!CE125</f>
        <v>0.4223414227318022</v>
      </c>
    </row>
    <row r="56" spans="1:91">
      <c r="A56">
        <f>'Input data'!A145</f>
        <v>2045</v>
      </c>
      <c r="C56" s="116">
        <f>'4A SWD Case 1'!BG115</f>
        <v>381.56310617518238</v>
      </c>
      <c r="D56" s="3">
        <f>'4B Biological treatment '!T109</f>
        <v>0.91478941306605144</v>
      </c>
      <c r="E56" s="152">
        <f>'4B Biological treatment '!U109</f>
        <v>41.165523587972309</v>
      </c>
      <c r="F56" s="152">
        <f>'4B Biological treatment '!W109</f>
        <v>2.4699314152783387</v>
      </c>
      <c r="G56" s="688">
        <f>'4C2 Open-burning '!R116</f>
        <v>9.8246561460806792</v>
      </c>
      <c r="H56" s="688">
        <f>'4C2 Open-burning '!Z116</f>
        <v>3.3056960076477404</v>
      </c>
      <c r="I56" s="688">
        <f>'4C2 Open-burning '!AH116</f>
        <v>4.602086782082597E-2</v>
      </c>
      <c r="J56" s="93">
        <f>'4D Wastewater treatment and dis'!AV153</f>
        <v>225.04592893560309</v>
      </c>
      <c r="K56" s="3">
        <f>'4D Wastewater treatment and dis'!AW153</f>
        <v>3.7011124725369502</v>
      </c>
      <c r="L56" s="465">
        <f t="shared" si="69"/>
        <v>8012.8252296788305</v>
      </c>
      <c r="M56" s="688">
        <f t="shared" si="70"/>
        <v>19.210577674387082</v>
      </c>
      <c r="N56" s="465">
        <f t="shared" si="71"/>
        <v>1630.1547340837035</v>
      </c>
      <c r="O56" s="464">
        <f t="shared" si="72"/>
        <v>93.510741331139286</v>
      </c>
      <c r="P56" s="465">
        <f t="shared" si="73"/>
        <v>5873.309374134119</v>
      </c>
      <c r="Q56" s="465">
        <f t="shared" si="74"/>
        <v>8012.8252296788305</v>
      </c>
      <c r="R56" s="467">
        <f t="shared" si="75"/>
        <v>1649.3653117580907</v>
      </c>
      <c r="S56" s="464">
        <f t="shared" si="76"/>
        <v>93.510741331139286</v>
      </c>
      <c r="T56" s="465">
        <f t="shared" si="77"/>
        <v>5873.309374134119</v>
      </c>
      <c r="U56" s="465">
        <f t="shared" si="78"/>
        <v>15629.010656902181</v>
      </c>
      <c r="V56" s="3"/>
      <c r="W56" s="535">
        <f t="shared" si="79"/>
        <v>2046</v>
      </c>
      <c r="X56" s="948">
        <f t="shared" si="80"/>
        <v>7820.2611351591386</v>
      </c>
      <c r="Y56" s="465">
        <f t="shared" si="81"/>
        <v>1667.697544874934</v>
      </c>
      <c r="Z56" s="465">
        <f t="shared" si="82"/>
        <v>87.295238233233178</v>
      </c>
      <c r="AA56" s="465">
        <f t="shared" si="83"/>
        <v>5944.3822393744213</v>
      </c>
      <c r="AB56" s="986">
        <f t="shared" si="22"/>
        <v>15519.636157641728</v>
      </c>
      <c r="AC56" s="1206" t="str">
        <f>IF(OR('Recycling - Case 1'!AC126="No",'Recycling - Case 1'!T166="No"), "No", "Yes")</f>
        <v>Yes</v>
      </c>
      <c r="AD56" s="948">
        <f t="shared" si="84"/>
        <v>7820.2611351591386</v>
      </c>
      <c r="AE56" s="465">
        <f t="shared" si="85"/>
        <v>1667.697544874934</v>
      </c>
      <c r="AF56" s="465">
        <f t="shared" si="86"/>
        <v>87.295238233233178</v>
      </c>
      <c r="AG56" s="465">
        <f t="shared" si="87"/>
        <v>5944.3822393744213</v>
      </c>
      <c r="AH56" s="986">
        <f t="shared" si="60"/>
        <v>15519.636157641728</v>
      </c>
      <c r="AI56" s="1206" t="str">
        <f>IF(OR('Recycling - Case 1'!AI37="No",'Recycling - Case 1'!Z166="No"), "No", "Yes")</f>
        <v>Yes</v>
      </c>
      <c r="AJ56" s="948">
        <f t="shared" si="88"/>
        <v>6738.6508844775799</v>
      </c>
      <c r="AK56" s="465">
        <f t="shared" si="89"/>
        <v>1667.697544874934</v>
      </c>
      <c r="AL56" s="465">
        <f t="shared" si="90"/>
        <v>95.420049102741402</v>
      </c>
      <c r="AM56" s="465">
        <f t="shared" si="91"/>
        <v>6109.3582708871472</v>
      </c>
      <c r="AN56" s="986">
        <f t="shared" si="92"/>
        <v>14611.126749342404</v>
      </c>
      <c r="AO56" s="1201" t="str">
        <f>IF(OR('Recycling - Case 2'!AC126="No",'Recycling - Case 2'!T166="No"), "No", "Yes")</f>
        <v>Yes</v>
      </c>
      <c r="AP56" s="948">
        <f t="shared" si="93"/>
        <v>6738.6508844775799</v>
      </c>
      <c r="AQ56" s="465">
        <f t="shared" si="94"/>
        <v>1667.697544874934</v>
      </c>
      <c r="AR56" s="465">
        <f t="shared" si="95"/>
        <v>95.420049102741402</v>
      </c>
      <c r="AS56" s="465">
        <f t="shared" si="96"/>
        <v>6109.3582708871472</v>
      </c>
      <c r="AT56" s="986">
        <f t="shared" si="37"/>
        <v>14611.126749342404</v>
      </c>
      <c r="AU56" s="1206" t="str">
        <f>IF(OR('Recycling - Case 2'!AC126="No",'Recycling - Case 2'!T206="No"), "No", "Yes")</f>
        <v>Yes</v>
      </c>
      <c r="AV56" s="948">
        <f t="shared" si="63"/>
        <v>6740.1388251521112</v>
      </c>
      <c r="AW56" s="465">
        <f t="shared" si="64"/>
        <v>1012.8279598658085</v>
      </c>
      <c r="AX56" s="465">
        <f t="shared" si="65"/>
        <v>95.420049102741416</v>
      </c>
      <c r="AY56" s="465">
        <f t="shared" si="66"/>
        <v>6109.3582708871472</v>
      </c>
      <c r="AZ56" s="986">
        <f t="shared" si="67"/>
        <v>13957.745105007809</v>
      </c>
      <c r="BA56" s="1206" t="str">
        <f>IF(OR('Recycling - Case 3'!AC126="No",'Recycling - Case 3'!T166="No"), "No", "Yes")</f>
        <v>Yes</v>
      </c>
      <c r="BB56" s="948">
        <f t="shared" si="97"/>
        <v>6740.1388251521112</v>
      </c>
      <c r="BC56" s="465">
        <f t="shared" si="98"/>
        <v>1012.8279598658085</v>
      </c>
      <c r="BD56" s="465">
        <f t="shared" si="99"/>
        <v>95.420049102741416</v>
      </c>
      <c r="BE56" s="465">
        <f t="shared" si="100"/>
        <v>6109.3582708871472</v>
      </c>
      <c r="BF56" s="986">
        <f t="shared" si="47"/>
        <v>13957.745105007809</v>
      </c>
      <c r="BG56" s="1206" t="str">
        <f>IF(OR('Recycling - Case 3'!AC126="No",'Recycling - Case 3'!T206="No"), "No", "Yes")</f>
        <v>Yes</v>
      </c>
      <c r="BH56" s="535">
        <f t="shared" si="48"/>
        <v>2046</v>
      </c>
      <c r="BI56" s="465">
        <f>'Recycling - Case 1'!BV126</f>
        <v>77.513749551694858</v>
      </c>
      <c r="BJ56" s="100">
        <f>'Recycling - Case 1'!BW126</f>
        <v>0.74820051367787443</v>
      </c>
      <c r="BK56" s="986">
        <f>'Recycling - Case 1'!BX126</f>
        <v>0.99006758809674678</v>
      </c>
      <c r="BL56" s="948">
        <f>'Recycling - Case 1'!BY126</f>
        <v>77.513749551694858</v>
      </c>
      <c r="BM56" s="100">
        <f>'Recycling - Case 1'!BZ126</f>
        <v>0.74820051367787443</v>
      </c>
      <c r="BN56" s="986">
        <f>'Recycling - Case 1'!CA126</f>
        <v>0.99006758809674678</v>
      </c>
      <c r="BO56" s="465">
        <f>'Recycling - Case 2'!BV126</f>
        <v>75.899304727741267</v>
      </c>
      <c r="BP56" s="100">
        <f>'Recycling - Case 2'!BW126</f>
        <v>0.79029125466945604</v>
      </c>
      <c r="BQ56" s="986">
        <f>'Recycling - Case 2'!BX126</f>
        <v>0.99006758809674678</v>
      </c>
      <c r="BR56" s="948">
        <f>'Recycling - Case 2'!BY126</f>
        <v>75.899304727741267</v>
      </c>
      <c r="BS56" s="100">
        <f>'Recycling - Case 2'!BZ126</f>
        <v>0.79029125466945604</v>
      </c>
      <c r="BT56" s="986">
        <f>'Recycling - Case 2'!CA126</f>
        <v>0.99006758809674678</v>
      </c>
      <c r="BU56" s="465">
        <f>'Recycling - Case 3'!BV126</f>
        <v>75.899304727741267</v>
      </c>
      <c r="BV56" s="100">
        <f>'Recycling - Case 3'!BW126</f>
        <v>0.79029125466945604</v>
      </c>
      <c r="BW56" s="986">
        <f>'Recycling - Case 3'!BX126</f>
        <v>0.99006758809674678</v>
      </c>
      <c r="BX56" s="948">
        <f>'Recycling - Case 3'!BY126</f>
        <v>75.899304727741267</v>
      </c>
      <c r="BY56" s="100">
        <f>'Recycling - Case 3'!BZ126</f>
        <v>0.79029125466945604</v>
      </c>
      <c r="BZ56" s="986">
        <f>'Recycling - Case 3'!CA126</f>
        <v>0.99006758809674678</v>
      </c>
      <c r="CA56" s="535">
        <v>2046</v>
      </c>
      <c r="CB56" s="579">
        <f>'Recycling - Case 1'!CB126</f>
        <v>0.41838663030709577</v>
      </c>
      <c r="CC56" s="100">
        <f>'Recycling - Case 1'!CC126</f>
        <v>0.39323919963184339</v>
      </c>
      <c r="CD56" s="100">
        <f>'Recycling - Case 1'!CD126</f>
        <v>0.41838663030709577</v>
      </c>
      <c r="CE56" s="471">
        <f>'Recycling - Case 1'!CE126</f>
        <v>0.39323919963184339</v>
      </c>
      <c r="CF56" s="579">
        <f>'Recycling - Case 2'!CB126</f>
        <v>0.36658076364000425</v>
      </c>
      <c r="CG56" s="100">
        <f>'Recycling - Case 2'!CC126</f>
        <v>0.42634516534026512</v>
      </c>
      <c r="CH56" s="100">
        <f>'Recycling - Case 2'!CD126</f>
        <v>0.36658076364000425</v>
      </c>
      <c r="CI56" s="471">
        <f>'Recycling - Case 2'!CE126</f>
        <v>0.42634516534026512</v>
      </c>
      <c r="CJ56" s="579">
        <f>'Recycling - Case 3'!CB126</f>
        <v>0.36658076364000425</v>
      </c>
      <c r="CK56" s="100">
        <f>'Recycling - Case 3'!CC126</f>
        <v>0.42634516534026512</v>
      </c>
      <c r="CL56" s="100">
        <f>'Recycling - Case 3'!CD126</f>
        <v>0.36658076364000425</v>
      </c>
      <c r="CM56" s="471">
        <f>'Recycling - Case 3'!CE126</f>
        <v>0.42634516534026512</v>
      </c>
    </row>
    <row r="57" spans="1:91">
      <c r="A57">
        <f>'Input data'!A146</f>
        <v>2046</v>
      </c>
      <c r="C57" s="116">
        <f>'4A SWD Case 1'!BG116</f>
        <v>372.39338738853041</v>
      </c>
      <c r="D57" s="3">
        <f>'4B Biological treatment '!T110</f>
        <v>0.92495704097334119</v>
      </c>
      <c r="E57" s="152">
        <f>'4B Biological treatment '!U110</f>
        <v>41.623066843800345</v>
      </c>
      <c r="F57" s="152">
        <f>'4B Biological treatment '!W110</f>
        <v>2.497384010628021</v>
      </c>
      <c r="G57" s="688">
        <f>'4C2 Open-burning '!R117</f>
        <v>9.171627629328972</v>
      </c>
      <c r="H57" s="688">
        <f>'4C2 Open-burning '!Z117</f>
        <v>3.0859719044721379</v>
      </c>
      <c r="I57" s="688">
        <f>'4C2 Open-burning '!AH117</f>
        <v>4.2961937451578447E-2</v>
      </c>
      <c r="J57" s="93">
        <f>'4D Wastewater treatment and dis'!AV154</f>
        <v>228.15287317536848</v>
      </c>
      <c r="K57" s="3">
        <f>'4D Wastewater treatment and dis'!AW154</f>
        <v>3.7199093635215581</v>
      </c>
      <c r="L57" s="465">
        <f t="shared" si="69"/>
        <v>7820.2611351591386</v>
      </c>
      <c r="M57" s="688">
        <f t="shared" si="70"/>
        <v>19.424097860440163</v>
      </c>
      <c r="N57" s="465">
        <f t="shared" si="71"/>
        <v>1648.2734470144937</v>
      </c>
      <c r="O57" s="464">
        <f t="shared" si="72"/>
        <v>87.295238233233178</v>
      </c>
      <c r="P57" s="465">
        <f t="shared" si="73"/>
        <v>5944.3822393744213</v>
      </c>
      <c r="Q57" s="465">
        <f t="shared" si="74"/>
        <v>7820.2611351591386</v>
      </c>
      <c r="R57" s="467">
        <f t="shared" si="75"/>
        <v>1667.697544874934</v>
      </c>
      <c r="S57" s="464">
        <f t="shared" si="76"/>
        <v>87.295238233233178</v>
      </c>
      <c r="T57" s="465">
        <f t="shared" si="77"/>
        <v>5944.3822393744213</v>
      </c>
      <c r="U57" s="465">
        <f t="shared" si="78"/>
        <v>15519.636157641728</v>
      </c>
      <c r="V57" s="3"/>
      <c r="W57" s="535">
        <f t="shared" si="79"/>
        <v>2047</v>
      </c>
      <c r="X57" s="948">
        <f t="shared" si="80"/>
        <v>7628.1253532443234</v>
      </c>
      <c r="Y57" s="465">
        <f t="shared" si="81"/>
        <v>1679.0809856895848</v>
      </c>
      <c r="Z57" s="465">
        <f t="shared" si="82"/>
        <v>81.101566250711471</v>
      </c>
      <c r="AA57" s="465">
        <f t="shared" si="83"/>
        <v>6014.7026012490442</v>
      </c>
      <c r="AB57" s="986">
        <f t="shared" si="22"/>
        <v>15403.010506433664</v>
      </c>
      <c r="AC57" s="1206" t="str">
        <f>IF(OR('Recycling - Case 1'!AC127="No",'Recycling - Case 1'!T167="No"), "No", "Yes")</f>
        <v>Yes</v>
      </c>
      <c r="AD57" s="948">
        <f t="shared" si="84"/>
        <v>7628.1253532443234</v>
      </c>
      <c r="AE57" s="465">
        <f t="shared" si="85"/>
        <v>1679.0809856895848</v>
      </c>
      <c r="AF57" s="465">
        <f t="shared" si="86"/>
        <v>81.101566250711471</v>
      </c>
      <c r="AG57" s="465">
        <f t="shared" si="87"/>
        <v>6014.7026012490442</v>
      </c>
      <c r="AH57" s="986">
        <f t="shared" si="60"/>
        <v>15403.010506433664</v>
      </c>
      <c r="AI57" s="1206" t="str">
        <f>IF(OR('Recycling - Case 1'!AI38="No",'Recycling - Case 1'!Z167="No"), "No", "Yes")</f>
        <v>Yes</v>
      </c>
      <c r="AJ57" s="948">
        <f t="shared" si="88"/>
        <v>6581.4418873952945</v>
      </c>
      <c r="AK57" s="465">
        <f t="shared" si="89"/>
        <v>1679.0809856895848</v>
      </c>
      <c r="AL57" s="465">
        <f t="shared" si="90"/>
        <v>95.277440365034479</v>
      </c>
      <c r="AM57" s="465">
        <f t="shared" si="91"/>
        <v>6139.0356774671081</v>
      </c>
      <c r="AN57" s="986">
        <f t="shared" si="92"/>
        <v>14494.835990917021</v>
      </c>
      <c r="AO57" s="1201" t="str">
        <f>IF(OR('Recycling - Case 2'!AC127="No",'Recycling - Case 2'!T167="No"), "No", "Yes")</f>
        <v>Yes</v>
      </c>
      <c r="AP57" s="948">
        <f t="shared" si="93"/>
        <v>6581.4418873952945</v>
      </c>
      <c r="AQ57" s="465">
        <f t="shared" si="94"/>
        <v>1679.0809856895848</v>
      </c>
      <c r="AR57" s="465">
        <f t="shared" si="95"/>
        <v>95.277440365034479</v>
      </c>
      <c r="AS57" s="465">
        <f t="shared" si="96"/>
        <v>6139.0356774671081</v>
      </c>
      <c r="AT57" s="986">
        <f t="shared" si="37"/>
        <v>14494.835990917021</v>
      </c>
      <c r="AU57" s="1206" t="str">
        <f>IF(OR('Recycling - Case 2'!AC127="No",'Recycling - Case 2'!T207="No"), "No", "Yes")</f>
        <v>Yes</v>
      </c>
      <c r="AV57" s="948">
        <f t="shared" si="63"/>
        <v>6582.9697463207394</v>
      </c>
      <c r="AW57" s="465">
        <f t="shared" si="64"/>
        <v>1019.7413640211289</v>
      </c>
      <c r="AX57" s="465">
        <f t="shared" si="65"/>
        <v>95.277440365034508</v>
      </c>
      <c r="AY57" s="465">
        <f t="shared" si="66"/>
        <v>6139.0356774671081</v>
      </c>
      <c r="AZ57" s="986">
        <f t="shared" si="67"/>
        <v>13837.02422817401</v>
      </c>
      <c r="BA57" s="1206" t="str">
        <f>IF(OR('Recycling - Case 3'!AC127="No",'Recycling - Case 3'!T167="No"), "No", "Yes")</f>
        <v>Yes</v>
      </c>
      <c r="BB57" s="948">
        <f t="shared" si="97"/>
        <v>6582.9697463207394</v>
      </c>
      <c r="BC57" s="465">
        <f t="shared" si="98"/>
        <v>1019.7413640211289</v>
      </c>
      <c r="BD57" s="465">
        <f t="shared" si="99"/>
        <v>95.277440365034508</v>
      </c>
      <c r="BE57" s="465">
        <f t="shared" si="100"/>
        <v>6139.0356774671081</v>
      </c>
      <c r="BF57" s="986">
        <f t="shared" si="47"/>
        <v>13837.02422817401</v>
      </c>
      <c r="BG57" s="1206" t="str">
        <f>IF(OR('Recycling - Case 3'!AC127="No",'Recycling - Case 3'!T207="No"), "No", "Yes")</f>
        <v>Yes</v>
      </c>
      <c r="BH57" s="535">
        <f t="shared" si="48"/>
        <v>2047</v>
      </c>
      <c r="BI57" s="465">
        <f>'Recycling - Case 1'!BV127</f>
        <v>77.105585619816324</v>
      </c>
      <c r="BJ57" s="100">
        <f>'Recycling - Case 1'!BW127</f>
        <v>0.76112097150394975</v>
      </c>
      <c r="BK57" s="986">
        <f>'Recycling - Case 1'!BX127</f>
        <v>0.79506380460989956</v>
      </c>
      <c r="BL57" s="948">
        <f>'Recycling - Case 1'!BY127</f>
        <v>77.105585619816324</v>
      </c>
      <c r="BM57" s="100">
        <f>'Recycling - Case 1'!BZ127</f>
        <v>0.76112097150394975</v>
      </c>
      <c r="BN57" s="986">
        <f>'Recycling - Case 1'!CA127</f>
        <v>0.79506380460989956</v>
      </c>
      <c r="BO57" s="465">
        <f>'Recycling - Case 2'!BV127</f>
        <v>76.614335235849452</v>
      </c>
      <c r="BP57" s="100">
        <f>'Recycling - Case 2'!BW127</f>
        <v>0.79224843605420403</v>
      </c>
      <c r="BQ57" s="986">
        <f>'Recycling - Case 2'!BX127</f>
        <v>0.79506380460989956</v>
      </c>
      <c r="BR57" s="948">
        <f>'Recycling - Case 2'!BY127</f>
        <v>76.614335235849452</v>
      </c>
      <c r="BS57" s="100">
        <f>'Recycling - Case 2'!BZ127</f>
        <v>0.79224843605420403</v>
      </c>
      <c r="BT57" s="986">
        <f>'Recycling - Case 2'!CA127</f>
        <v>0.79506380460989956</v>
      </c>
      <c r="BU57" s="465">
        <f>'Recycling - Case 3'!BV127</f>
        <v>76.614335235849452</v>
      </c>
      <c r="BV57" s="100">
        <f>'Recycling - Case 3'!BW127</f>
        <v>0.79224843605420403</v>
      </c>
      <c r="BW57" s="986">
        <f>'Recycling - Case 3'!BX127</f>
        <v>0.79506380460989956</v>
      </c>
      <c r="BX57" s="948">
        <f>'Recycling - Case 3'!BY127</f>
        <v>76.614335235849452</v>
      </c>
      <c r="BY57" s="100">
        <f>'Recycling - Case 3'!BZ127</f>
        <v>0.79224843605420403</v>
      </c>
      <c r="BZ57" s="986">
        <f>'Recycling - Case 3'!CA127</f>
        <v>0.79506380460989956</v>
      </c>
      <c r="CA57" s="535">
        <v>2047</v>
      </c>
      <c r="CB57" s="579">
        <f>'Recycling - Case 1'!CB127</f>
        <v>0.42697276926177974</v>
      </c>
      <c r="CC57" s="100">
        <f>'Recycling - Case 1'!CC127</f>
        <v>0.40500057668795986</v>
      </c>
      <c r="CD57" s="100">
        <f>'Recycling - Case 1'!CD127</f>
        <v>0.42697276926177974</v>
      </c>
      <c r="CE57" s="471">
        <f>'Recycling - Case 1'!CE127</f>
        <v>0.40500057668795986</v>
      </c>
      <c r="CF57" s="579">
        <f>'Recycling - Case 2'!CB127</f>
        <v>0.36809393406209001</v>
      </c>
      <c r="CG57" s="100">
        <f>'Recycling - Case 2'!CC127</f>
        <v>0.42859765533045768</v>
      </c>
      <c r="CH57" s="100">
        <f>'Recycling - Case 2'!CD127</f>
        <v>0.36809393406209001</v>
      </c>
      <c r="CI57" s="471">
        <f>'Recycling - Case 2'!CE127</f>
        <v>0.42859765533045768</v>
      </c>
      <c r="CJ57" s="579">
        <f>'Recycling - Case 3'!CB127</f>
        <v>0.36809393406209001</v>
      </c>
      <c r="CK57" s="100">
        <f>'Recycling - Case 3'!CC127</f>
        <v>0.42859765533045768</v>
      </c>
      <c r="CL57" s="100">
        <f>'Recycling - Case 3'!CD127</f>
        <v>0.36809393406209001</v>
      </c>
      <c r="CM57" s="471">
        <f>'Recycling - Case 3'!CE127</f>
        <v>0.42859765533045768</v>
      </c>
    </row>
    <row r="58" spans="1:91">
      <c r="A58">
        <f>'Input data'!A147</f>
        <v>2047</v>
      </c>
      <c r="C58" s="116">
        <f>'4A SWD Case 1'!BG117</f>
        <v>363.24406444020588</v>
      </c>
      <c r="D58" s="3">
        <f>'4B Biological treatment '!T111</f>
        <v>0.93127065207409054</v>
      </c>
      <c r="E58" s="152">
        <f>'4B Biological treatment '!U111</f>
        <v>41.907179343334064</v>
      </c>
      <c r="F58" s="152">
        <f>'4B Biological treatment '!W111</f>
        <v>2.5144307606000442</v>
      </c>
      <c r="G58" s="688">
        <f>'4C2 Open-burning '!R118</f>
        <v>8.5208927870673108</v>
      </c>
      <c r="H58" s="688">
        <f>'4C2 Open-burning '!Z118</f>
        <v>2.8670195525407376</v>
      </c>
      <c r="I58" s="688">
        <f>'4C2 Open-burning '!AH118</f>
        <v>3.991375116222147E-2</v>
      </c>
      <c r="J58" s="93">
        <f>'4D Wastewater treatment and dis'!AV155</f>
        <v>231.23471141735649</v>
      </c>
      <c r="K58" s="3">
        <f>'4D Wastewater treatment and dis'!AW155</f>
        <v>3.7379795531759945</v>
      </c>
      <c r="L58" s="465">
        <f t="shared" si="69"/>
        <v>7628.1253532443234</v>
      </c>
      <c r="M58" s="688">
        <f t="shared" si="70"/>
        <v>19.5566836935559</v>
      </c>
      <c r="N58" s="465">
        <f t="shared" si="71"/>
        <v>1659.524301996029</v>
      </c>
      <c r="O58" s="464">
        <f t="shared" si="72"/>
        <v>81.101566250711471</v>
      </c>
      <c r="P58" s="465">
        <f t="shared" si="73"/>
        <v>6014.7026012490442</v>
      </c>
      <c r="Q58" s="465">
        <f t="shared" si="74"/>
        <v>7628.1253532443234</v>
      </c>
      <c r="R58" s="467">
        <f t="shared" si="75"/>
        <v>1679.0809856895848</v>
      </c>
      <c r="S58" s="464">
        <f t="shared" si="76"/>
        <v>81.101566250711471</v>
      </c>
      <c r="T58" s="465">
        <f t="shared" si="77"/>
        <v>6014.7026012490442</v>
      </c>
      <c r="U58" s="465">
        <f t="shared" si="78"/>
        <v>15403.010506433664</v>
      </c>
      <c r="V58" s="3"/>
      <c r="W58" s="535">
        <f t="shared" si="79"/>
        <v>2048</v>
      </c>
      <c r="X58" s="948">
        <f t="shared" si="80"/>
        <v>7436.2984184115312</v>
      </c>
      <c r="Y58" s="465">
        <f t="shared" si="81"/>
        <v>1689.6857163410402</v>
      </c>
      <c r="Z58" s="465">
        <f t="shared" si="82"/>
        <v>81.003658311861969</v>
      </c>
      <c r="AA58" s="465">
        <f t="shared" si="83"/>
        <v>6084.227367248368</v>
      </c>
      <c r="AB58" s="986">
        <f t="shared" si="22"/>
        <v>15291.2151603128</v>
      </c>
      <c r="AC58" s="1206" t="str">
        <f>IF(OR('Recycling - Case 1'!AC128="No",'Recycling - Case 1'!T168="No"), "No", "Yes")</f>
        <v>Yes</v>
      </c>
      <c r="AD58" s="948">
        <f t="shared" si="84"/>
        <v>7436.2984184115312</v>
      </c>
      <c r="AE58" s="465">
        <f t="shared" si="85"/>
        <v>1689.6857163410402</v>
      </c>
      <c r="AF58" s="465">
        <f t="shared" si="86"/>
        <v>81.003658311861969</v>
      </c>
      <c r="AG58" s="465">
        <f t="shared" si="87"/>
        <v>6084.227367248368</v>
      </c>
      <c r="AH58" s="986">
        <f t="shared" si="60"/>
        <v>15291.2151603128</v>
      </c>
      <c r="AI58" s="1206" t="str">
        <f>IF(OR('Recycling - Case 1'!AI39="No",'Recycling - Case 1'!Z168="No"), "No", "Yes")</f>
        <v>Yes</v>
      </c>
      <c r="AJ58" s="948">
        <f t="shared" si="88"/>
        <v>6432.978248275509</v>
      </c>
      <c r="AK58" s="465">
        <f t="shared" si="89"/>
        <v>1689.6857163410402</v>
      </c>
      <c r="AL58" s="465">
        <f t="shared" si="90"/>
        <v>95.142342665016031</v>
      </c>
      <c r="AM58" s="465">
        <f t="shared" si="91"/>
        <v>6167.500413073044</v>
      </c>
      <c r="AN58" s="986">
        <f t="shared" si="92"/>
        <v>14385.306720354609</v>
      </c>
      <c r="AO58" s="1201" t="str">
        <f>IF(OR('Recycling - Case 2'!AC128="No",'Recycling - Case 2'!T168="No"), "No", "Yes")</f>
        <v>Yes</v>
      </c>
      <c r="AP58" s="948">
        <f t="shared" si="93"/>
        <v>6432.978248275509</v>
      </c>
      <c r="AQ58" s="465">
        <f t="shared" si="94"/>
        <v>1689.6857163410402</v>
      </c>
      <c r="AR58" s="465">
        <f t="shared" si="95"/>
        <v>95.142342665016031</v>
      </c>
      <c r="AS58" s="465">
        <f t="shared" si="96"/>
        <v>6167.500413073044</v>
      </c>
      <c r="AT58" s="986">
        <f t="shared" si="37"/>
        <v>14385.306720354609</v>
      </c>
      <c r="AU58" s="1206" t="str">
        <f>IF(OR('Recycling - Case 2'!AC128="No",'Recycling - Case 2'!T208="No"), "No", "Yes")</f>
        <v>Yes</v>
      </c>
      <c r="AV58" s="948">
        <f t="shared" si="63"/>
        <v>6434.5443156284855</v>
      </c>
      <c r="AW58" s="465">
        <f t="shared" si="64"/>
        <v>1026.1818410390676</v>
      </c>
      <c r="AX58" s="465">
        <f t="shared" si="65"/>
        <v>95.142342665016045</v>
      </c>
      <c r="AY58" s="465">
        <f t="shared" si="66"/>
        <v>6167.500413073044</v>
      </c>
      <c r="AZ58" s="986">
        <f t="shared" si="67"/>
        <v>13723.368912405615</v>
      </c>
      <c r="BA58" s="1206" t="str">
        <f>IF(OR('Recycling - Case 3'!AC128="No",'Recycling - Case 3'!T168="No"), "No", "Yes")</f>
        <v>Yes</v>
      </c>
      <c r="BB58" s="948">
        <f t="shared" si="97"/>
        <v>6434.5443156284855</v>
      </c>
      <c r="BC58" s="465">
        <f t="shared" si="98"/>
        <v>1026.1818410390676</v>
      </c>
      <c r="BD58" s="465">
        <f t="shared" si="99"/>
        <v>95.142342665016045</v>
      </c>
      <c r="BE58" s="465">
        <f t="shared" si="100"/>
        <v>6167.500413073044</v>
      </c>
      <c r="BF58" s="986">
        <f t="shared" si="47"/>
        <v>13723.368912405615</v>
      </c>
      <c r="BG58" s="1206" t="str">
        <f>IF(OR('Recycling - Case 3'!AC128="No",'Recycling - Case 3'!T208="No"), "No", "Yes")</f>
        <v>Yes</v>
      </c>
      <c r="BH58" s="535">
        <f t="shared" si="48"/>
        <v>2048</v>
      </c>
      <c r="BI58" s="465">
        <f>'Recycling - Case 1'!BV128</f>
        <v>76.917932461084646</v>
      </c>
      <c r="BJ58" s="100">
        <f>'Recycling - Case 1'!BW128</f>
        <v>0.77199375873007126</v>
      </c>
      <c r="BK58" s="986">
        <f>'Recycling - Case 1'!BX128</f>
        <v>0.60006002112305223</v>
      </c>
      <c r="BL58" s="948">
        <f>'Recycling - Case 1'!BY128</f>
        <v>76.917932461084646</v>
      </c>
      <c r="BM58" s="100">
        <f>'Recycling - Case 1'!BZ128</f>
        <v>0.77199375873007126</v>
      </c>
      <c r="BN58" s="986">
        <f>'Recycling - Case 1'!CA128</f>
        <v>0.60006002112305223</v>
      </c>
      <c r="BO58" s="465">
        <f>'Recycling - Case 2'!BV128</f>
        <v>77.27647379436786</v>
      </c>
      <c r="BP58" s="100">
        <f>'Recycling - Case 2'!BW128</f>
        <v>0.79402854213729268</v>
      </c>
      <c r="BQ58" s="986">
        <f>'Recycling - Case 2'!BX128</f>
        <v>0.60006002112305223</v>
      </c>
      <c r="BR58" s="948">
        <f>'Recycling - Case 2'!BY128</f>
        <v>77.27647379436786</v>
      </c>
      <c r="BS58" s="100">
        <f>'Recycling - Case 2'!BZ128</f>
        <v>0.79402854213729268</v>
      </c>
      <c r="BT58" s="986">
        <f>'Recycling - Case 2'!CA128</f>
        <v>0.60006002112305223</v>
      </c>
      <c r="BU58" s="465">
        <f>'Recycling - Case 3'!BV128</f>
        <v>77.27647379436786</v>
      </c>
      <c r="BV58" s="100">
        <f>'Recycling - Case 3'!BW128</f>
        <v>0.79402854213729268</v>
      </c>
      <c r="BW58" s="986">
        <f>'Recycling - Case 3'!BX128</f>
        <v>0.60006002112305223</v>
      </c>
      <c r="BX58" s="948">
        <f>'Recycling - Case 3'!BY128</f>
        <v>77.27647379436786</v>
      </c>
      <c r="BY58" s="100">
        <f>'Recycling - Case 3'!BZ128</f>
        <v>0.79402854213729268</v>
      </c>
      <c r="BZ58" s="986">
        <f>'Recycling - Case 3'!CA128</f>
        <v>0.60006002112305223</v>
      </c>
      <c r="CA58" s="535">
        <v>2048</v>
      </c>
      <c r="CB58" s="579">
        <f>'Recycling - Case 1'!CB128</f>
        <v>0.42838042053643854</v>
      </c>
      <c r="CC58" s="100">
        <f>'Recycling - Case 1'!CC128</f>
        <v>0.41570992087404424</v>
      </c>
      <c r="CD58" s="100">
        <f>'Recycling - Case 1'!CD128</f>
        <v>0.42838042053643854</v>
      </c>
      <c r="CE58" s="471">
        <f>'Recycling - Case 1'!CE128</f>
        <v>0.41570992087404424</v>
      </c>
      <c r="CF58" s="579">
        <f>'Recycling - Case 2'!CB128</f>
        <v>0.36953110862747474</v>
      </c>
      <c r="CG58" s="100">
        <f>'Recycling - Case 2'!CC128</f>
        <v>0.43061121030737315</v>
      </c>
      <c r="CH58" s="100">
        <f>'Recycling - Case 2'!CD128</f>
        <v>0.36953110862747474</v>
      </c>
      <c r="CI58" s="471">
        <f>'Recycling - Case 2'!CE128</f>
        <v>0.43061121030737315</v>
      </c>
      <c r="CJ58" s="579">
        <f>'Recycling - Case 3'!CB128</f>
        <v>0.36953110862747474</v>
      </c>
      <c r="CK58" s="100">
        <f>'Recycling - Case 3'!CC128</f>
        <v>0.43061121030737315</v>
      </c>
      <c r="CL58" s="100">
        <f>'Recycling - Case 3'!CD128</f>
        <v>0.36953110862747474</v>
      </c>
      <c r="CM58" s="471">
        <f>'Recycling - Case 3'!CE128</f>
        <v>0.43061121030737315</v>
      </c>
    </row>
    <row r="59" spans="1:91">
      <c r="A59">
        <f>'Input data'!A148</f>
        <v>2048</v>
      </c>
      <c r="C59" s="116">
        <f>'4A SWD Case 1'!BG118</f>
        <v>354.10944849578721</v>
      </c>
      <c r="D59" s="3">
        <f>'4B Biological treatment '!T112</f>
        <v>0.93715236624572396</v>
      </c>
      <c r="E59" s="152">
        <f>'4B Biological treatment '!U112</f>
        <v>42.171856481057574</v>
      </c>
      <c r="F59" s="152">
        <f>'4B Biological treatment '!W112</f>
        <v>2.5303113888634545</v>
      </c>
      <c r="G59" s="688">
        <f>'4C2 Open-burning '!R119</f>
        <v>8.5106061417100527</v>
      </c>
      <c r="H59" s="688">
        <f>'4C2 Open-burning '!Z119</f>
        <v>2.8635584113075003</v>
      </c>
      <c r="I59" s="688">
        <f>'4C2 Open-burning '!AH119</f>
        <v>3.9865566234498079E-2</v>
      </c>
      <c r="J59" s="93">
        <f>'4D Wastewater treatment and dis'!AV156</f>
        <v>234.28956403224367</v>
      </c>
      <c r="K59" s="3">
        <f>'4D Wastewater treatment and dis'!AW156</f>
        <v>3.7553113631330666</v>
      </c>
      <c r="L59" s="465">
        <f t="shared" si="69"/>
        <v>7436.2984184115312</v>
      </c>
      <c r="M59" s="688">
        <f t="shared" si="70"/>
        <v>19.680199691160205</v>
      </c>
      <c r="N59" s="465">
        <f t="shared" si="71"/>
        <v>1670.0055166498801</v>
      </c>
      <c r="O59" s="464">
        <f t="shared" si="72"/>
        <v>81.003658311861969</v>
      </c>
      <c r="P59" s="465">
        <f t="shared" si="73"/>
        <v>6084.227367248368</v>
      </c>
      <c r="Q59" s="465">
        <f t="shared" si="74"/>
        <v>7436.2984184115312</v>
      </c>
      <c r="R59" s="467">
        <f t="shared" si="75"/>
        <v>1689.6857163410402</v>
      </c>
      <c r="S59" s="464">
        <f t="shared" si="76"/>
        <v>81.003658311861969</v>
      </c>
      <c r="T59" s="465">
        <f t="shared" si="77"/>
        <v>6084.227367248368</v>
      </c>
      <c r="U59" s="465">
        <f t="shared" si="78"/>
        <v>15291.2151603128</v>
      </c>
      <c r="V59" s="3"/>
      <c r="W59" s="535">
        <f t="shared" si="79"/>
        <v>2049</v>
      </c>
      <c r="X59" s="948">
        <f t="shared" si="80"/>
        <v>7250.8265428002269</v>
      </c>
      <c r="Y59" s="465">
        <f t="shared" si="81"/>
        <v>1700.2520212140498</v>
      </c>
      <c r="Z59" s="465">
        <f t="shared" si="82"/>
        <v>80.911045357911618</v>
      </c>
      <c r="AA59" s="465">
        <f t="shared" si="83"/>
        <v>6152.9136288185055</v>
      </c>
      <c r="AB59" s="986">
        <f t="shared" si="22"/>
        <v>15184.903238190695</v>
      </c>
      <c r="AC59" s="1206" t="str">
        <f>IF(OR('Recycling - Case 1'!AC129="No",'Recycling - Case 1'!T169="No"), "No", "Yes")</f>
        <v>Yes</v>
      </c>
      <c r="AD59" s="948">
        <f t="shared" si="84"/>
        <v>7250.8265428002269</v>
      </c>
      <c r="AE59" s="465">
        <f t="shared" si="85"/>
        <v>1700.2520212140498</v>
      </c>
      <c r="AF59" s="465">
        <f t="shared" si="86"/>
        <v>80.911045357911618</v>
      </c>
      <c r="AG59" s="465">
        <f t="shared" si="87"/>
        <v>6152.9136288185055</v>
      </c>
      <c r="AH59" s="986">
        <f t="shared" si="60"/>
        <v>15184.903238190695</v>
      </c>
      <c r="AI59" s="1206" t="str">
        <f>IF(OR('Recycling - Case 1'!AI40="No",'Recycling - Case 1'!Z169="No"), "No", "Yes")</f>
        <v>Yes</v>
      </c>
      <c r="AJ59" s="948">
        <f t="shared" si="88"/>
        <v>6292.8022890984421</v>
      </c>
      <c r="AK59" s="465">
        <f t="shared" si="89"/>
        <v>1700.2520212140498</v>
      </c>
      <c r="AL59" s="465">
        <f t="shared" si="90"/>
        <v>95.014603670562764</v>
      </c>
      <c r="AM59" s="465">
        <f t="shared" si="91"/>
        <v>6194.7340045038718</v>
      </c>
      <c r="AN59" s="986">
        <f t="shared" si="92"/>
        <v>14282.802918486927</v>
      </c>
      <c r="AO59" s="1201" t="str">
        <f>IF(OR('Recycling - Case 2'!AC129="No",'Recycling - Case 2'!T169="No"), "No", "Yes")</f>
        <v>Yes</v>
      </c>
      <c r="AP59" s="948">
        <f t="shared" si="93"/>
        <v>6292.8022890984421</v>
      </c>
      <c r="AQ59" s="465">
        <f t="shared" si="94"/>
        <v>1700.2520212140498</v>
      </c>
      <c r="AR59" s="465">
        <f t="shared" si="95"/>
        <v>95.014603670562764</v>
      </c>
      <c r="AS59" s="465">
        <f t="shared" si="96"/>
        <v>6194.7340045038718</v>
      </c>
      <c r="AT59" s="986">
        <f t="shared" si="37"/>
        <v>14282.802918486927</v>
      </c>
      <c r="AU59" s="1206" t="str">
        <f>IF(OR('Recycling - Case 2'!AC129="No",'Recycling - Case 2'!T209="No"), "No", "Yes")</f>
        <v>Yes</v>
      </c>
      <c r="AV59" s="948">
        <f t="shared" si="63"/>
        <v>6294.4049295047098</v>
      </c>
      <c r="AW59" s="465">
        <f t="shared" si="64"/>
        <v>1032.598981269764</v>
      </c>
      <c r="AX59" s="465">
        <f t="shared" si="65"/>
        <v>95.014603670562778</v>
      </c>
      <c r="AY59" s="465">
        <f t="shared" si="66"/>
        <v>6194.7340045038718</v>
      </c>
      <c r="AZ59" s="986">
        <f t="shared" si="67"/>
        <v>13616.75251894891</v>
      </c>
      <c r="BA59" s="1206" t="str">
        <f>IF(OR('Recycling - Case 3'!AC129="No",'Recycling - Case 3'!T169="No"), "No", "Yes")</f>
        <v>Yes</v>
      </c>
      <c r="BB59" s="948">
        <f t="shared" si="97"/>
        <v>6294.4049295047098</v>
      </c>
      <c r="BC59" s="465">
        <f t="shared" si="98"/>
        <v>1032.598981269764</v>
      </c>
      <c r="BD59" s="465">
        <f t="shared" si="99"/>
        <v>95.014603670562778</v>
      </c>
      <c r="BE59" s="465">
        <f t="shared" si="100"/>
        <v>6194.7340045038718</v>
      </c>
      <c r="BF59" s="986">
        <f t="shared" si="47"/>
        <v>13616.75251894891</v>
      </c>
      <c r="BG59" s="1206" t="str">
        <f>IF(OR('Recycling - Case 3'!AC129="No",'Recycling - Case 3'!T209="No"), "No", "Yes")</f>
        <v>Yes</v>
      </c>
      <c r="BH59" s="535">
        <f t="shared" si="48"/>
        <v>2049</v>
      </c>
      <c r="BI59" s="465">
        <f>'Recycling - Case 1'!BV129</f>
        <v>76.774041351892848</v>
      </c>
      <c r="BJ59" s="100">
        <f>'Recycling - Case 1'!BW129</f>
        <v>0.78241883298744452</v>
      </c>
      <c r="BK59" s="986">
        <f>'Recycling - Case 1'!BX129</f>
        <v>0.4050562376362048</v>
      </c>
      <c r="BL59" s="948">
        <f>'Recycling - Case 1'!BY129</f>
        <v>76.774041351892848</v>
      </c>
      <c r="BM59" s="100">
        <f>'Recycling - Case 1'!BZ129</f>
        <v>0.78241883298744452</v>
      </c>
      <c r="BN59" s="986">
        <f>'Recycling - Case 1'!CA129</f>
        <v>0.4050562376362048</v>
      </c>
      <c r="BO59" s="465">
        <f>'Recycling - Case 2'!BV129</f>
        <v>77.934091927004005</v>
      </c>
      <c r="BP59" s="100">
        <f>'Recycling - Case 2'!BW129</f>
        <v>0.79576655642791783</v>
      </c>
      <c r="BQ59" s="986">
        <f>'Recycling - Case 2'!BX129</f>
        <v>0.4050562376362048</v>
      </c>
      <c r="BR59" s="948">
        <f>'Recycling - Case 2'!BY129</f>
        <v>77.934091927004005</v>
      </c>
      <c r="BS59" s="100">
        <f>'Recycling - Case 2'!BZ129</f>
        <v>0.79576655642791783</v>
      </c>
      <c r="BT59" s="986">
        <f>'Recycling - Case 2'!CA129</f>
        <v>0.4050562376362048</v>
      </c>
      <c r="BU59" s="465">
        <f>'Recycling - Case 3'!BV129</f>
        <v>77.934091927004005</v>
      </c>
      <c r="BV59" s="100">
        <f>'Recycling - Case 3'!BW129</f>
        <v>0.79576655642791772</v>
      </c>
      <c r="BW59" s="986">
        <f>'Recycling - Case 3'!BX129</f>
        <v>0.4050562376362048</v>
      </c>
      <c r="BX59" s="948">
        <f>'Recycling - Case 3'!BY129</f>
        <v>77.934091927004005</v>
      </c>
      <c r="BY59" s="100">
        <f>'Recycling - Case 3'!BZ129</f>
        <v>0.79576655642791772</v>
      </c>
      <c r="BZ59" s="986">
        <f>'Recycling - Case 3'!CA129</f>
        <v>0.4050562376362048</v>
      </c>
      <c r="CA59" s="535">
        <v>2049</v>
      </c>
      <c r="CB59" s="579">
        <f>'Recycling - Case 1'!CB129</f>
        <v>0.42971477676209857</v>
      </c>
      <c r="CC59" s="100">
        <f>'Recycling - Case 1'!CC129</f>
        <v>0.42564109349733803</v>
      </c>
      <c r="CD59" s="100">
        <f>'Recycling - Case 1'!CD129</f>
        <v>0.42971477676209857</v>
      </c>
      <c r="CE59" s="471">
        <f>'Recycling - Case 1'!CE129</f>
        <v>0.42564109349733803</v>
      </c>
      <c r="CF59" s="579">
        <f>'Recycling - Case 2'!CB129</f>
        <v>0.370893327239466</v>
      </c>
      <c r="CG59" s="100">
        <f>'Recycling - Case 2'!CC129</f>
        <v>0.43256016872057879</v>
      </c>
      <c r="CH59" s="100">
        <f>'Recycling - Case 2'!CD129</f>
        <v>0.370893327239466</v>
      </c>
      <c r="CI59" s="471">
        <f>'Recycling - Case 2'!CE129</f>
        <v>0.43256016872057879</v>
      </c>
      <c r="CJ59" s="579">
        <f>'Recycling - Case 3'!CB129</f>
        <v>0.37089332723946611</v>
      </c>
      <c r="CK59" s="100">
        <f>'Recycling - Case 3'!CC129</f>
        <v>0.43256016872057879</v>
      </c>
      <c r="CL59" s="100">
        <f>'Recycling - Case 3'!CD129</f>
        <v>0.37089332723946611</v>
      </c>
      <c r="CM59" s="471">
        <f>'Recycling - Case 3'!CE129</f>
        <v>0.43256016872057879</v>
      </c>
    </row>
    <row r="60" spans="1:91" ht="15.75" thickBot="1">
      <c r="A60">
        <f>'Input data'!A149</f>
        <v>2049</v>
      </c>
      <c r="C60" s="116">
        <f>'4A SWD Case 1'!BG119</f>
        <v>345.27745441905842</v>
      </c>
      <c r="D60" s="3">
        <f>'4B Biological treatment '!T113</f>
        <v>0.9430127682828896</v>
      </c>
      <c r="E60" s="152">
        <f>'4B Biological treatment '!U113</f>
        <v>42.435574572730026</v>
      </c>
      <c r="F60" s="152">
        <f>'4B Biological treatment '!W113</f>
        <v>2.5461344743638019</v>
      </c>
      <c r="G60" s="688">
        <f>'4C2 Open-burning '!R120</f>
        <v>8.5008758111161278</v>
      </c>
      <c r="H60" s="688">
        <f>'4C2 Open-burning '!Z120</f>
        <v>2.8602844529603413</v>
      </c>
      <c r="I60" s="688">
        <f>'4C2 Open-burning '!AH120</f>
        <v>3.9819987208478472E-2</v>
      </c>
      <c r="J60" s="93">
        <f>'4D Wastewater treatment and dis'!AV157</f>
        <v>237.31555379884583</v>
      </c>
      <c r="K60" s="3">
        <f>'4D Wastewater treatment and dis'!AW157</f>
        <v>3.7718935452991729</v>
      </c>
      <c r="L60" s="465">
        <f t="shared" si="69"/>
        <v>7250.8265428002269</v>
      </c>
      <c r="M60" s="688">
        <f t="shared" si="70"/>
        <v>19.80326813394068</v>
      </c>
      <c r="N60" s="465">
        <f t="shared" si="71"/>
        <v>1680.4487530801091</v>
      </c>
      <c r="O60" s="464">
        <f t="shared" si="72"/>
        <v>80.911045357911618</v>
      </c>
      <c r="P60" s="465">
        <f t="shared" si="73"/>
        <v>6152.9136288185055</v>
      </c>
      <c r="Q60" s="465">
        <f t="shared" si="74"/>
        <v>7250.8265428002269</v>
      </c>
      <c r="R60" s="467">
        <f t="shared" si="75"/>
        <v>1700.2520212140498</v>
      </c>
      <c r="S60" s="464">
        <f t="shared" si="76"/>
        <v>80.911045357911618</v>
      </c>
      <c r="T60" s="465">
        <f t="shared" si="77"/>
        <v>6152.9136288185055</v>
      </c>
      <c r="U60" s="465">
        <f t="shared" si="78"/>
        <v>15184.903238190695</v>
      </c>
      <c r="V60" s="3"/>
      <c r="W60" s="987">
        <f t="shared" si="79"/>
        <v>2050</v>
      </c>
      <c r="X60" s="991">
        <f t="shared" si="80"/>
        <v>7071.6258657659719</v>
      </c>
      <c r="Y60" s="988">
        <f t="shared" si="81"/>
        <v>1710.5830662190247</v>
      </c>
      <c r="Z60" s="988">
        <f t="shared" si="82"/>
        <v>80.823630173106366</v>
      </c>
      <c r="AA60" s="988">
        <f t="shared" si="83"/>
        <v>6220.7187051348292</v>
      </c>
      <c r="AB60" s="989">
        <f t="shared" si="22"/>
        <v>15083.751267292933</v>
      </c>
      <c r="AC60" s="1206" t="str">
        <f>IF(OR('Recycling - Case 1'!AC130="No",'Recycling - Case 1'!T170="No"), "No", "Yes")</f>
        <v>Yes</v>
      </c>
      <c r="AD60" s="991">
        <f t="shared" si="84"/>
        <v>7071.6258657659719</v>
      </c>
      <c r="AE60" s="988">
        <f t="shared" si="85"/>
        <v>1710.5830662190247</v>
      </c>
      <c r="AF60" s="988">
        <f t="shared" si="86"/>
        <v>80.823630173106366</v>
      </c>
      <c r="AG60" s="988">
        <f t="shared" si="87"/>
        <v>6220.7187051348292</v>
      </c>
      <c r="AH60" s="989">
        <f t="shared" si="60"/>
        <v>15083.751267292933</v>
      </c>
      <c r="AI60" s="1206" t="str">
        <f>IF(OR('Recycling - Case 1'!AI41="No",'Recycling - Case 1'!Z170="No"), "No", "Yes")</f>
        <v>Yes</v>
      </c>
      <c r="AJ60" s="991">
        <f t="shared" si="88"/>
        <v>6160.4983434027208</v>
      </c>
      <c r="AK60" s="988">
        <f t="shared" si="89"/>
        <v>1710.5830662190247</v>
      </c>
      <c r="AL60" s="988">
        <f t="shared" si="90"/>
        <v>94.894080596963946</v>
      </c>
      <c r="AM60" s="988">
        <f t="shared" si="91"/>
        <v>6220.7187051348292</v>
      </c>
      <c r="AN60" s="989">
        <f t="shared" si="92"/>
        <v>14186.694195353539</v>
      </c>
      <c r="AO60" s="1201" t="str">
        <f>IF(OR('Recycling - Case 2'!AC130="No",'Recycling - Case 2'!T170="No"), "No", "Yes")</f>
        <v>Yes</v>
      </c>
      <c r="AP60" s="991">
        <f t="shared" si="93"/>
        <v>6160.4983434027208</v>
      </c>
      <c r="AQ60" s="988">
        <f t="shared" si="94"/>
        <v>1710.5830662190247</v>
      </c>
      <c r="AR60" s="988">
        <f t="shared" si="95"/>
        <v>94.894080596963946</v>
      </c>
      <c r="AS60" s="988">
        <f t="shared" si="96"/>
        <v>6220.7187051348292</v>
      </c>
      <c r="AT60" s="989">
        <f t="shared" si="37"/>
        <v>14186.694195353539</v>
      </c>
      <c r="AU60" s="1206" t="str">
        <f>IF(OR('Recycling - Case 2'!AC130="No",'Recycling - Case 2'!T210="No"), "No", "Yes")</f>
        <v>Yes</v>
      </c>
      <c r="AV60" s="991">
        <f t="shared" si="63"/>
        <v>6162.1359912188864</v>
      </c>
      <c r="AW60" s="988">
        <f t="shared" si="64"/>
        <v>1038.8732432112213</v>
      </c>
      <c r="AX60" s="988">
        <f t="shared" si="65"/>
        <v>94.894080596963946</v>
      </c>
      <c r="AY60" s="988">
        <f t="shared" si="66"/>
        <v>6220.7187051348292</v>
      </c>
      <c r="AZ60" s="989">
        <f t="shared" si="67"/>
        <v>13516.6220201619</v>
      </c>
      <c r="BA60" s="1206" t="str">
        <f>IF(OR('Recycling - Case 3'!AC130="No",'Recycling - Case 3'!T170="No"), "No", "Yes")</f>
        <v>Yes</v>
      </c>
      <c r="BB60" s="991">
        <f t="shared" si="97"/>
        <v>6162.1359912188864</v>
      </c>
      <c r="BC60" s="988">
        <f t="shared" si="98"/>
        <v>1038.8732432112213</v>
      </c>
      <c r="BD60" s="988">
        <f t="shared" si="99"/>
        <v>94.894080596963946</v>
      </c>
      <c r="BE60" s="988">
        <f t="shared" si="100"/>
        <v>6220.7187051348292</v>
      </c>
      <c r="BF60" s="989">
        <f t="shared" si="47"/>
        <v>13516.6220201619</v>
      </c>
      <c r="BG60" s="1206" t="str">
        <f>IF(OR('Recycling - Case 3'!AC130="No",'Recycling - Case 3'!T210="No"), "No", "Yes")</f>
        <v>Yes</v>
      </c>
      <c r="BH60" s="987">
        <f t="shared" si="48"/>
        <v>2050</v>
      </c>
      <c r="BI60" s="988">
        <f>'Recycling - Case 1'!BV130</f>
        <v>76.658406388042053</v>
      </c>
      <c r="BJ60" s="581">
        <f>'Recycling - Case 1'!BW130</f>
        <v>0.79236787306345446</v>
      </c>
      <c r="BK60" s="989">
        <f>'Recycling - Case 1'!BX130</f>
        <v>0.21005245414935747</v>
      </c>
      <c r="BL60" s="991">
        <f>'Recycling - Case 1'!BY130</f>
        <v>76.658406388042053</v>
      </c>
      <c r="BM60" s="581">
        <f>'Recycling - Case 1'!BZ130</f>
        <v>0.79236787306345446</v>
      </c>
      <c r="BN60" s="989">
        <f>'Recycling - Case 1'!CA130</f>
        <v>0.21005245414935747</v>
      </c>
      <c r="BO60" s="988">
        <f>'Recycling - Case 2'!BV130</f>
        <v>78.574288293818029</v>
      </c>
      <c r="BP60" s="581">
        <f>'Recycling - Case 2'!BW130</f>
        <v>0.79743058051767912</v>
      </c>
      <c r="BQ60" s="989">
        <f>'Recycling - Case 2'!BX130</f>
        <v>0.21005245414935747</v>
      </c>
      <c r="BR60" s="991">
        <f>'Recycling - Case 2'!BY130</f>
        <v>78.574288293818029</v>
      </c>
      <c r="BS60" s="581">
        <f>'Recycling - Case 2'!BZ130</f>
        <v>0.79743058051767912</v>
      </c>
      <c r="BT60" s="989">
        <f>'Recycling - Case 2'!CA130</f>
        <v>0.21005245414935747</v>
      </c>
      <c r="BU60" s="988">
        <f>'Recycling - Case 3'!BV130</f>
        <v>78.574288293818029</v>
      </c>
      <c r="BV60" s="581">
        <f>'Recycling - Case 3'!BW130</f>
        <v>0.79743058051767912</v>
      </c>
      <c r="BW60" s="989">
        <f>'Recycling - Case 3'!BX130</f>
        <v>0.21005245414935747</v>
      </c>
      <c r="BX60" s="991">
        <f>'Recycling - Case 3'!BY130</f>
        <v>78.574288293818029</v>
      </c>
      <c r="BY60" s="581">
        <f>'Recycling - Case 3'!BZ130</f>
        <v>0.79743058051767912</v>
      </c>
      <c r="BZ60" s="989">
        <f>'Recycling - Case 3'!CA130</f>
        <v>0.21005245414935747</v>
      </c>
      <c r="CA60" s="987">
        <v>2050</v>
      </c>
      <c r="CB60" s="580">
        <f>'Recycling - Case 1'!CB130</f>
        <v>0.43097677914223742</v>
      </c>
      <c r="CC60" s="581">
        <f>'Recycling - Case 1'!CC130</f>
        <v>0.43481260659340415</v>
      </c>
      <c r="CD60" s="581">
        <f>'Recycling - Case 1'!CD130</f>
        <v>0.43097677914223742</v>
      </c>
      <c r="CE60" s="582">
        <f>'Recycling - Case 1'!CE130</f>
        <v>0.43481260659340415</v>
      </c>
      <c r="CF60" s="580">
        <f>'Recycling - Case 2'!CB130</f>
        <v>0.37218157100180649</v>
      </c>
      <c r="CG60" s="581">
        <f>'Recycling - Case 2'!CC130</f>
        <v>0.43440688902670288</v>
      </c>
      <c r="CH60" s="581">
        <f>'Recycling - Case 2'!CD130</f>
        <v>0.37218157100180649</v>
      </c>
      <c r="CI60" s="582">
        <f>'Recycling - Case 2'!CE130</f>
        <v>0.43440688902670288</v>
      </c>
      <c r="CJ60" s="580">
        <f>'Recycling - Case 3'!CB130</f>
        <v>0.37218157100180649</v>
      </c>
      <c r="CK60" s="581">
        <f>'Recycling - Case 3'!CC130</f>
        <v>0.43440688902670288</v>
      </c>
      <c r="CL60" s="581">
        <f>'Recycling - Case 3'!CD130</f>
        <v>0.37218157100180649</v>
      </c>
      <c r="CM60" s="582">
        <f>'Recycling - Case 3'!CE130</f>
        <v>0.43440688902670288</v>
      </c>
    </row>
    <row r="61" spans="1:91">
      <c r="A61">
        <f>'Input data'!A150</f>
        <v>2050</v>
      </c>
      <c r="C61" s="116">
        <f>'4A SWD Case 1'!BG120</f>
        <v>336.74408884599865</v>
      </c>
      <c r="D61" s="3">
        <f>'4B Biological treatment '!T114</f>
        <v>0.94874268786412896</v>
      </c>
      <c r="E61" s="152">
        <f>'4B Biological treatment '!U114</f>
        <v>42.693420953885806</v>
      </c>
      <c r="F61" s="152">
        <f>'4B Biological treatment '!W114</f>
        <v>2.5616052572331478</v>
      </c>
      <c r="G61" s="688">
        <f>'4C2 Open-burning '!R121</f>
        <v>8.491691581364206</v>
      </c>
      <c r="H61" s="688">
        <f>'4C2 Open-burning '!Z121</f>
        <v>2.8571942408274356</v>
      </c>
      <c r="I61" s="688">
        <f>'4C2 Open-burning '!AH121</f>
        <v>3.9776966239890382E-2</v>
      </c>
      <c r="J61" s="93">
        <f>'4D Wastewater treatment and dis'!AV158</f>
        <v>240.31080780951893</v>
      </c>
      <c r="K61" s="3">
        <f>'4D Wastewater treatment and dis'!AW158</f>
        <v>3.7877152939836489</v>
      </c>
      <c r="L61" s="465">
        <f t="shared" si="69"/>
        <v>7071.6258657659719</v>
      </c>
      <c r="M61" s="688">
        <f t="shared" si="70"/>
        <v>19.923596445146707</v>
      </c>
      <c r="N61" s="465">
        <f t="shared" si="71"/>
        <v>1690.6594697738778</v>
      </c>
      <c r="O61" s="464">
        <f t="shared" si="72"/>
        <v>80.823630173106366</v>
      </c>
      <c r="P61" s="465">
        <f t="shared" si="73"/>
        <v>6220.7187051348292</v>
      </c>
      <c r="Q61" s="417">
        <f t="shared" si="74"/>
        <v>7071.6258657659719</v>
      </c>
      <c r="R61" s="463">
        <f t="shared" si="75"/>
        <v>1710.5830662190247</v>
      </c>
      <c r="S61" s="460">
        <f t="shared" si="76"/>
        <v>80.823630173106366</v>
      </c>
      <c r="T61" s="417">
        <f t="shared" si="77"/>
        <v>6220.7187051348292</v>
      </c>
      <c r="U61" s="417">
        <f t="shared" si="78"/>
        <v>15083.751267292933</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0.42961305766478691</v>
      </c>
      <c r="E64" s="152">
        <f>'4B Biological treatment '!U117</f>
        <v>24.145634102162916</v>
      </c>
      <c r="F64" s="152">
        <f>'4B Biological treatment '!W117</f>
        <v>1.448738046129775</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9.0218742109605259</v>
      </c>
      <c r="N64" s="465">
        <f t="shared" si="103"/>
        <v>956.16711044565147</v>
      </c>
      <c r="O64" s="464">
        <f t="shared" si="104"/>
        <v>304.9221239283998</v>
      </c>
      <c r="P64" s="465">
        <f t="shared" si="105"/>
        <v>3821.6612855587077</v>
      </c>
      <c r="Q64" s="465">
        <f t="shared" si="106"/>
        <v>16834.009318398883</v>
      </c>
      <c r="R64" s="467">
        <f t="shared" si="107"/>
        <v>965.18898465661198</v>
      </c>
      <c r="S64" s="464">
        <f t="shared" si="108"/>
        <v>304.9221239283998</v>
      </c>
      <c r="T64" s="465">
        <f t="shared" si="109"/>
        <v>3821.6612855587077</v>
      </c>
      <c r="U64" s="465">
        <f t="shared" si="110"/>
        <v>21925.781712542605</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781.09352210286238</v>
      </c>
      <c r="D65" s="3">
        <f>'4B Biological treatment '!T118</f>
        <v>0.47497175708801948</v>
      </c>
      <c r="E65" s="152">
        <f>'4B Biological treatment '!U118</f>
        <v>24.825105578083381</v>
      </c>
      <c r="F65" s="152">
        <f>'4B Biological treatment '!W118</f>
        <v>1.4895063346850028</v>
      </c>
      <c r="G65" s="688">
        <f>'4C2 Open-burning '!R91</f>
        <v>31.199856234261556</v>
      </c>
      <c r="H65" s="688">
        <f>'4C2 Open-burning '!Z91</f>
        <v>10.497796427605877</v>
      </c>
      <c r="I65" s="688">
        <f>'4C2 Open-burning '!AH91</f>
        <v>0.14614704458216801</v>
      </c>
      <c r="J65" s="93">
        <f>'4D Wastewater treatment and dis'!AV128</f>
        <v>142.36131561162929</v>
      </c>
      <c r="K65" s="3">
        <f>'4D Wastewater treatment and dis'!AW128</f>
        <v>2.9904262793007734</v>
      </c>
      <c r="L65" s="465">
        <f t="shared" si="101"/>
        <v>16402.96396416011</v>
      </c>
      <c r="M65" s="688">
        <f t="shared" si="102"/>
        <v>9.9744068988484091</v>
      </c>
      <c r="N65" s="465">
        <f t="shared" si="103"/>
        <v>983.07418089210194</v>
      </c>
      <c r="O65" s="464">
        <f t="shared" si="104"/>
        <v>296.95916503445704</v>
      </c>
      <c r="P65" s="465">
        <f t="shared" si="105"/>
        <v>3916.619774427455</v>
      </c>
      <c r="Q65" s="465">
        <f t="shared" si="106"/>
        <v>16402.96396416011</v>
      </c>
      <c r="R65" s="467">
        <f t="shared" si="107"/>
        <v>993.04858779095036</v>
      </c>
      <c r="S65" s="464">
        <f t="shared" si="108"/>
        <v>296.95916503445704</v>
      </c>
      <c r="T65" s="465">
        <f t="shared" si="109"/>
        <v>3916.619774427455</v>
      </c>
      <c r="U65" s="465">
        <f t="shared" si="110"/>
        <v>21609.591491412968</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760.43821861888443</v>
      </c>
      <c r="D66" s="3">
        <f>'4B Biological treatment '!T119</f>
        <v>0.54340373352623117</v>
      </c>
      <c r="E66" s="152">
        <f>'4B Biological treatment '!U119</f>
        <v>26.300195682053744</v>
      </c>
      <c r="F66" s="152">
        <f>'4B Biological treatment '!W119</f>
        <v>1.5780117409232244</v>
      </c>
      <c r="G66" s="688">
        <f>'4C2 Open-burning '!R92</f>
        <v>30.386407749771987</v>
      </c>
      <c r="H66" s="688">
        <f>'4C2 Open-burning '!Z92</f>
        <v>10.224095916603568</v>
      </c>
      <c r="I66" s="688">
        <f>'4C2 Open-burning '!AH92</f>
        <v>0.14233667151392793</v>
      </c>
      <c r="J66" s="93">
        <f>'4D Wastewater treatment and dis'!AV129</f>
        <v>146.00150510718282</v>
      </c>
      <c r="K66" s="3">
        <f>'4D Wastewater treatment and dis'!AW129</f>
        <v>3.0332514902049907</v>
      </c>
      <c r="L66" s="465">
        <f t="shared" si="101"/>
        <v>15969.202590996572</v>
      </c>
      <c r="M66" s="688">
        <f t="shared" si="102"/>
        <v>11.411478404050854</v>
      </c>
      <c r="N66" s="465">
        <f t="shared" si="103"/>
        <v>1041.4877490093281</v>
      </c>
      <c r="O66" s="464">
        <f t="shared" si="104"/>
        <v>289.2167901677646</v>
      </c>
      <c r="P66" s="465">
        <f t="shared" si="105"/>
        <v>4006.3395692143868</v>
      </c>
      <c r="Q66" s="465">
        <f t="shared" si="106"/>
        <v>15969.202590996572</v>
      </c>
      <c r="R66" s="467">
        <f t="shared" si="107"/>
        <v>1052.8992274133789</v>
      </c>
      <c r="S66" s="464">
        <f t="shared" si="108"/>
        <v>289.2167901677646</v>
      </c>
      <c r="T66" s="465">
        <f t="shared" si="109"/>
        <v>4006.3395692143868</v>
      </c>
      <c r="U66" s="465">
        <f t="shared" si="110"/>
        <v>21317.658177792102</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739.2196613267846</v>
      </c>
      <c r="D67" s="3">
        <f>'4B Biological treatment '!T120</f>
        <v>0.61549450236216208</v>
      </c>
      <c r="E67" s="152">
        <f>'4B Biological treatment '!U120</f>
        <v>27.697252606297287</v>
      </c>
      <c r="F67" s="152">
        <f>'4B Biological treatment '!W120</f>
        <v>1.6618351563778373</v>
      </c>
      <c r="G67" s="688">
        <f>'4C2 Open-burning '!R93</f>
        <v>29.596158430445612</v>
      </c>
      <c r="H67" s="688">
        <f>'4C2 Open-burning '!Z93</f>
        <v>9.9582012144275875</v>
      </c>
      <c r="I67" s="688">
        <f>'4C2 Open-burning '!AH93</f>
        <v>0.13863496847929035</v>
      </c>
      <c r="J67" s="93">
        <f>'4D Wastewater treatment and dis'!AV130</f>
        <v>149.57939243953086</v>
      </c>
      <c r="K67" s="3">
        <f>'4D Wastewater treatment and dis'!AW130</f>
        <v>3.0738670955972056</v>
      </c>
      <c r="L67" s="465">
        <f t="shared" si="101"/>
        <v>15523.612887862477</v>
      </c>
      <c r="M67" s="688">
        <f t="shared" si="102"/>
        <v>12.925384549605404</v>
      </c>
      <c r="N67" s="465">
        <f t="shared" si="103"/>
        <v>1096.8112032093727</v>
      </c>
      <c r="O67" s="464">
        <f t="shared" si="104"/>
        <v>281.69522416200493</v>
      </c>
      <c r="P67" s="465">
        <f t="shared" si="105"/>
        <v>4094.066040865282</v>
      </c>
      <c r="Q67" s="465">
        <f t="shared" si="106"/>
        <v>15523.612887862477</v>
      </c>
      <c r="R67" s="467">
        <f t="shared" si="107"/>
        <v>1109.7365877589782</v>
      </c>
      <c r="S67" s="464">
        <f t="shared" si="108"/>
        <v>281.69522416200493</v>
      </c>
      <c r="T67" s="465">
        <f t="shared" si="109"/>
        <v>4094.066040865282</v>
      </c>
      <c r="U67" s="465">
        <f t="shared" si="110"/>
        <v>21009.110740648743</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717.70640236004044</v>
      </c>
      <c r="D68" s="3">
        <f>'4B Biological treatment '!T121</f>
        <v>0.65026675354995978</v>
      </c>
      <c r="E68" s="152">
        <f>'4B Biological treatment '!U121</f>
        <v>29.262003909748181</v>
      </c>
      <c r="F68" s="152">
        <f>'4B Biological treatment '!W121</f>
        <v>1.7557202345848908</v>
      </c>
      <c r="G68" s="688">
        <f>'4C2 Open-burning '!R94</f>
        <v>28.830657956534516</v>
      </c>
      <c r="H68" s="688">
        <f>'4C2 Open-burning '!Z94</f>
        <v>9.7006337410387218</v>
      </c>
      <c r="I68" s="688">
        <f>'4C2 Open-burning '!AH94</f>
        <v>0.13504919452416869</v>
      </c>
      <c r="J68" s="93">
        <f>'4D Wastewater treatment and dis'!AV131</f>
        <v>153.08620264640646</v>
      </c>
      <c r="K68" s="3">
        <f>'4D Wastewater treatment and dis'!AW131</f>
        <v>3.1121658543941133</v>
      </c>
      <c r="L68" s="465">
        <f t="shared" si="101"/>
        <v>15071.834449560849</v>
      </c>
      <c r="M68" s="688">
        <f t="shared" si="102"/>
        <v>13.655601824549155</v>
      </c>
      <c r="N68" s="465">
        <f t="shared" si="103"/>
        <v>1158.775354826028</v>
      </c>
      <c r="O68" s="464">
        <f t="shared" si="104"/>
        <v>274.40921682083996</v>
      </c>
      <c r="P68" s="465">
        <f t="shared" si="105"/>
        <v>4179.5816704367107</v>
      </c>
      <c r="Q68" s="465">
        <f t="shared" si="106"/>
        <v>15071.834449560849</v>
      </c>
      <c r="R68" s="467">
        <f t="shared" si="107"/>
        <v>1172.4309566505772</v>
      </c>
      <c r="S68" s="464">
        <f t="shared" si="108"/>
        <v>274.40921682083996</v>
      </c>
      <c r="T68" s="465">
        <f t="shared" si="109"/>
        <v>4179.5816704367107</v>
      </c>
      <c r="U68" s="465">
        <f t="shared" si="110"/>
        <v>20698.256293468978</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696.14731363793908</v>
      </c>
      <c r="D69" s="3">
        <f>'4B Biological treatment '!T122</f>
        <v>0.68536738558517185</v>
      </c>
      <c r="E69" s="152">
        <f>'4B Biological treatment '!U122</f>
        <v>30.841532351332727</v>
      </c>
      <c r="F69" s="152">
        <f>'4B Biological treatment '!W122</f>
        <v>1.8504919410799636</v>
      </c>
      <c r="G69" s="688">
        <f>'4C2 Open-burning '!R95</f>
        <v>28.091385413966311</v>
      </c>
      <c r="H69" s="688">
        <f>'4C2 Open-burning '!Z95</f>
        <v>9.4518911635688543</v>
      </c>
      <c r="I69" s="688">
        <f>'4C2 Open-burning '!AH95</f>
        <v>0.13158627801500727</v>
      </c>
      <c r="J69" s="93">
        <f>'4D Wastewater treatment and dis'!AV132</f>
        <v>156.51317952937083</v>
      </c>
      <c r="K69" s="3">
        <f>'4D Wastewater treatment and dis'!AW132</f>
        <v>3.1480454582573771</v>
      </c>
      <c r="L69" s="465">
        <f t="shared" si="101"/>
        <v>14619.093586396721</v>
      </c>
      <c r="M69" s="688">
        <f t="shared" si="102"/>
        <v>14.392715097288608</v>
      </c>
      <c r="N69" s="465">
        <f t="shared" si="103"/>
        <v>1221.324681112776</v>
      </c>
      <c r="O69" s="464">
        <f t="shared" si="104"/>
        <v>267.37284603356454</v>
      </c>
      <c r="P69" s="465">
        <f t="shared" si="105"/>
        <v>4262.6708621765738</v>
      </c>
      <c r="Q69" s="465">
        <f t="shared" si="106"/>
        <v>14619.093586396721</v>
      </c>
      <c r="R69" s="467">
        <f t="shared" si="107"/>
        <v>1235.7173962100646</v>
      </c>
      <c r="S69" s="464">
        <f t="shared" si="108"/>
        <v>267.37284603356454</v>
      </c>
      <c r="T69" s="465">
        <f t="shared" si="109"/>
        <v>4262.6708621765738</v>
      </c>
      <c r="U69" s="465">
        <f t="shared" si="110"/>
        <v>20384.854690816923</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674.32639613657113</v>
      </c>
      <c r="D70" s="3">
        <f>'4B Biological treatment '!T123</f>
        <v>0.72021009729916985</v>
      </c>
      <c r="E70" s="152">
        <f>'4B Biological treatment '!U123</f>
        <v>32.409454378462641</v>
      </c>
      <c r="F70" s="152">
        <f>'4B Biological treatment '!W123</f>
        <v>1.9445672627077581</v>
      </c>
      <c r="G70" s="688">
        <f>'4C2 Open-burning '!R96</f>
        <v>27.379769971599782</v>
      </c>
      <c r="H70" s="688">
        <f>'4C2 Open-burning '!Z96</f>
        <v>9.2124543535844214</v>
      </c>
      <c r="I70" s="688">
        <f>'4C2 Open-burning '!AH96</f>
        <v>0.12825291349563189</v>
      </c>
      <c r="J70" s="93">
        <f>'4D Wastewater treatment and dis'!AV133</f>
        <v>159.85162136106766</v>
      </c>
      <c r="K70" s="3">
        <f>'4D Wastewater treatment and dis'!AW133</f>
        <v>3.1814089830873744</v>
      </c>
      <c r="L70" s="465">
        <f t="shared" si="101"/>
        <v>14160.854318867994</v>
      </c>
      <c r="M70" s="688">
        <f t="shared" si="102"/>
        <v>15.124412043282566</v>
      </c>
      <c r="N70" s="465">
        <f t="shared" si="103"/>
        <v>1283.4143933871205</v>
      </c>
      <c r="O70" s="464">
        <f t="shared" si="104"/>
        <v>260.59971458051854</v>
      </c>
      <c r="P70" s="465">
        <f t="shared" si="105"/>
        <v>4343.120833339507</v>
      </c>
      <c r="Q70" s="465">
        <f t="shared" si="106"/>
        <v>14160.854318867994</v>
      </c>
      <c r="R70" s="467">
        <f t="shared" si="107"/>
        <v>1298.538805430403</v>
      </c>
      <c r="S70" s="464">
        <f t="shared" si="108"/>
        <v>260.59971458051854</v>
      </c>
      <c r="T70" s="465">
        <f t="shared" si="109"/>
        <v>4343.120833339507</v>
      </c>
      <c r="U70" s="465">
        <f t="shared" si="110"/>
        <v>20063.11367221842</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652.57482378407542</v>
      </c>
      <c r="D71" s="3">
        <f>'4B Biological treatment '!T124</f>
        <v>0.7544560692480653</v>
      </c>
      <c r="E71" s="152">
        <f>'4B Biological treatment '!U124</f>
        <v>33.950523116162927</v>
      </c>
      <c r="F71" s="152">
        <f>'4B Biological treatment '!W124</f>
        <v>2.0370313869697756</v>
      </c>
      <c r="G71" s="688">
        <f>'4C2 Open-burning '!R97</f>
        <v>26.692830963865504</v>
      </c>
      <c r="H71" s="688">
        <f>'4C2 Open-burning '!Z97</f>
        <v>8.9813204083754989</v>
      </c>
      <c r="I71" s="688">
        <f>'4C2 Open-burning '!AH97</f>
        <v>0.12503513886760889</v>
      </c>
      <c r="J71" s="93">
        <f>'4D Wastewater treatment and dis'!AV134</f>
        <v>163.18941706216847</v>
      </c>
      <c r="K71" s="3">
        <f>'4D Wastewater treatment and dis'!AW134</f>
        <v>3.2140659188721759</v>
      </c>
      <c r="L71" s="465">
        <f t="shared" si="101"/>
        <v>13704.071299465584</v>
      </c>
      <c r="M71" s="688">
        <f t="shared" si="102"/>
        <v>15.84357745420937</v>
      </c>
      <c r="N71" s="465">
        <f t="shared" si="103"/>
        <v>1344.4407154000519</v>
      </c>
      <c r="O71" s="464">
        <f t="shared" si="104"/>
        <v>254.06145258870976</v>
      </c>
      <c r="P71" s="465">
        <f t="shared" si="105"/>
        <v>4423.3381931559124</v>
      </c>
      <c r="Q71" s="465">
        <f t="shared" si="106"/>
        <v>13704.071299465584</v>
      </c>
      <c r="R71" s="467">
        <f t="shared" si="107"/>
        <v>1360.2842928542614</v>
      </c>
      <c r="S71" s="464">
        <f t="shared" si="108"/>
        <v>254.06145258870976</v>
      </c>
      <c r="T71" s="465">
        <f t="shared" si="109"/>
        <v>4423.3381931559124</v>
      </c>
      <c r="U71" s="465">
        <f t="shared" si="110"/>
        <v>19741.75523806447</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631.24619579512307</v>
      </c>
      <c r="D72" s="3">
        <f>'4B Biological treatment '!T125</f>
        <v>0.78867376999817651</v>
      </c>
      <c r="E72" s="152">
        <f>'4B Biological treatment '!U125</f>
        <v>35.490319649917943</v>
      </c>
      <c r="F72" s="152">
        <f>'4B Biological treatment '!W125</f>
        <v>2.1294191789950765</v>
      </c>
      <c r="G72" s="688">
        <f>'4C2 Open-burning '!R98</f>
        <v>26.03059037382214</v>
      </c>
      <c r="H72" s="688">
        <f>'4C2 Open-burning '!Z98</f>
        <v>8.7584967245683103</v>
      </c>
      <c r="I72" s="688">
        <f>'4C2 Open-burning '!AH98</f>
        <v>0.1219330571044594</v>
      </c>
      <c r="J72" s="93">
        <f>'4D Wastewater treatment and dis'!AV135</f>
        <v>166.52394668963149</v>
      </c>
      <c r="K72" s="3">
        <f>'4D Wastewater treatment and dis'!AW135</f>
        <v>3.2459870116876344</v>
      </c>
      <c r="L72" s="465">
        <f t="shared" si="101"/>
        <v>13256.170111697584</v>
      </c>
      <c r="M72" s="688">
        <f t="shared" si="102"/>
        <v>16.562149169961707</v>
      </c>
      <c r="N72" s="465">
        <f t="shared" si="103"/>
        <v>1405.4166581367504</v>
      </c>
      <c r="O72" s="464">
        <f t="shared" si="104"/>
        <v>247.75826929213909</v>
      </c>
      <c r="P72" s="465">
        <f t="shared" si="105"/>
        <v>4503.2588541054283</v>
      </c>
      <c r="Q72" s="465">
        <f t="shared" si="106"/>
        <v>13256.170111697584</v>
      </c>
      <c r="R72" s="467">
        <f t="shared" si="107"/>
        <v>1421.978807306712</v>
      </c>
      <c r="S72" s="464">
        <f t="shared" si="108"/>
        <v>247.75826929213909</v>
      </c>
      <c r="T72" s="465">
        <f t="shared" si="109"/>
        <v>4503.2588541054283</v>
      </c>
      <c r="U72" s="465">
        <f t="shared" si="110"/>
        <v>19429.166042401863</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610.21903750045556</v>
      </c>
      <c r="D73" s="3">
        <f>'4B Biological treatment '!T126</f>
        <v>0.79269523928982233</v>
      </c>
      <c r="E73" s="152">
        <f>'4B Biological treatment '!U126</f>
        <v>35.671285768041997</v>
      </c>
      <c r="F73" s="152">
        <f>'4B Biological treatment '!W126</f>
        <v>2.1402771460825196</v>
      </c>
      <c r="G73" s="688">
        <f>'4C2 Open-burning '!R99</f>
        <v>24.605552307512465</v>
      </c>
      <c r="H73" s="688">
        <f>'4C2 Open-burning '!Z99</f>
        <v>8.2790150433264493</v>
      </c>
      <c r="I73" s="688">
        <f>'4C2 Open-burning '!AH99</f>
        <v>0.11525786282649525</v>
      </c>
      <c r="J73" s="93">
        <f>'4D Wastewater treatment and dis'!AV136</f>
        <v>169.85255057850929</v>
      </c>
      <c r="K73" s="3">
        <f>'4D Wastewater treatment and dis'!AW136</f>
        <v>3.277143433214452</v>
      </c>
      <c r="L73" s="465">
        <f t="shared" si="101"/>
        <v>12814.599787509567</v>
      </c>
      <c r="M73" s="688">
        <f t="shared" si="102"/>
        <v>16.646600025086268</v>
      </c>
      <c r="N73" s="465">
        <f t="shared" si="103"/>
        <v>1412.5829164144629</v>
      </c>
      <c r="O73" s="464">
        <f t="shared" si="104"/>
        <v>234.19480569358143</v>
      </c>
      <c r="P73" s="465">
        <f t="shared" si="105"/>
        <v>4582.8180264451748</v>
      </c>
      <c r="Q73" s="465">
        <f t="shared" si="106"/>
        <v>12814.599787509567</v>
      </c>
      <c r="R73" s="467">
        <f t="shared" si="107"/>
        <v>1429.2295164395491</v>
      </c>
      <c r="S73" s="464">
        <f t="shared" si="108"/>
        <v>234.19480569358143</v>
      </c>
      <c r="T73" s="465">
        <f t="shared" si="109"/>
        <v>4582.8180264451748</v>
      </c>
      <c r="U73" s="465">
        <f t="shared" si="110"/>
        <v>19060.842136087871</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589.80422212531448</v>
      </c>
      <c r="D74" s="3">
        <f>'4B Biological treatment '!T127</f>
        <v>0.79803719103544102</v>
      </c>
      <c r="E74" s="152">
        <f>'4B Biological treatment '!U127</f>
        <v>35.911673596594845</v>
      </c>
      <c r="F74" s="152">
        <f>'4B Biological treatment '!W127</f>
        <v>2.1547004157956904</v>
      </c>
      <c r="G74" s="688">
        <f>'4C2 Open-burning '!R100</f>
        <v>23.261742474211513</v>
      </c>
      <c r="H74" s="688">
        <f>'4C2 Open-burning '!Z100</f>
        <v>7.826864175659404</v>
      </c>
      <c r="I74" s="688">
        <f>'4C2 Open-burning '!AH100</f>
        <v>0.10896315960277578</v>
      </c>
      <c r="J74" s="93">
        <f>'4D Wastewater treatment and dis'!AV137</f>
        <v>173.17253271360184</v>
      </c>
      <c r="K74" s="3">
        <f>'4D Wastewater treatment and dis'!AW137</f>
        <v>3.307506823676122</v>
      </c>
      <c r="L74" s="465">
        <f t="shared" si="101"/>
        <v>12385.888664631604</v>
      </c>
      <c r="M74" s="688">
        <f t="shared" si="102"/>
        <v>16.758781011744261</v>
      </c>
      <c r="N74" s="465">
        <f t="shared" si="103"/>
        <v>1422.1022744251559</v>
      </c>
      <c r="O74" s="464">
        <f t="shared" si="104"/>
        <v>221.40446963991948</v>
      </c>
      <c r="P74" s="465">
        <f t="shared" si="105"/>
        <v>4661.9503023252364</v>
      </c>
      <c r="Q74" s="465">
        <f t="shared" si="106"/>
        <v>12385.888664631604</v>
      </c>
      <c r="R74" s="467">
        <f t="shared" si="107"/>
        <v>1438.8610554369002</v>
      </c>
      <c r="S74" s="464">
        <f t="shared" si="108"/>
        <v>221.40446963991948</v>
      </c>
      <c r="T74" s="465">
        <f t="shared" si="109"/>
        <v>4661.9503023252364</v>
      </c>
      <c r="U74" s="465">
        <f t="shared" si="110"/>
        <v>18708.104492033661</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569.98711253968997</v>
      </c>
      <c r="D75" s="3">
        <f>'4B Biological treatment '!T128</f>
        <v>0.80284285988720328</v>
      </c>
      <c r="E75" s="152">
        <f>'4B Biological treatment '!U128</f>
        <v>36.127928694924137</v>
      </c>
      <c r="F75" s="152">
        <f>'4B Biological treatment '!W128</f>
        <v>2.1676757216954483</v>
      </c>
      <c r="G75" s="688">
        <f>'4C2 Open-burning '!R101</f>
        <v>21.994271745680376</v>
      </c>
      <c r="H75" s="688">
        <f>'4C2 Open-burning '!Z101</f>
        <v>7.4003990795972694</v>
      </c>
      <c r="I75" s="688">
        <f>'4C2 Open-burning '!AH101</f>
        <v>0.10302604567255781</v>
      </c>
      <c r="J75" s="93">
        <f>'4D Wastewater treatment and dis'!AV138</f>
        <v>176.4811642199079</v>
      </c>
      <c r="K75" s="3">
        <f>'4D Wastewater treatment and dis'!AW138</f>
        <v>3.337049334451244</v>
      </c>
      <c r="L75" s="465">
        <f t="shared" si="101"/>
        <v>11969.72936333349</v>
      </c>
      <c r="M75" s="688">
        <f t="shared" si="102"/>
        <v>16.859700057631269</v>
      </c>
      <c r="N75" s="465">
        <f t="shared" si="103"/>
        <v>1430.6659763189959</v>
      </c>
      <c r="O75" s="464">
        <f t="shared" si="104"/>
        <v>209.34072657571596</v>
      </c>
      <c r="P75" s="465">
        <f t="shared" si="105"/>
        <v>4740.5897422979515</v>
      </c>
      <c r="Q75" s="465">
        <f t="shared" si="106"/>
        <v>11969.72936333349</v>
      </c>
      <c r="R75" s="467">
        <f t="shared" si="107"/>
        <v>1447.5256763766272</v>
      </c>
      <c r="S75" s="464">
        <f t="shared" si="108"/>
        <v>209.34072657571596</v>
      </c>
      <c r="T75" s="465">
        <f t="shared" si="109"/>
        <v>4740.5897422979515</v>
      </c>
      <c r="U75" s="465">
        <f t="shared" si="110"/>
        <v>18367.185508583785</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551.10423923297583</v>
      </c>
      <c r="D76" s="3">
        <f>'4B Biological treatment '!T129</f>
        <v>0.80853146002406595</v>
      </c>
      <c r="E76" s="152">
        <f>'4B Biological treatment '!U129</f>
        <v>36.383915701082962</v>
      </c>
      <c r="F76" s="152">
        <f>'4B Biological treatment '!W129</f>
        <v>2.1830349420649782</v>
      </c>
      <c r="G76" s="688">
        <f>'4C2 Open-burning '!R102</f>
        <v>20.898523822655662</v>
      </c>
      <c r="H76" s="688">
        <f>'4C2 Open-burning '!Z102</f>
        <v>7.0317134502303738</v>
      </c>
      <c r="I76" s="688">
        <f>'4C2 Open-burning '!AH102</f>
        <v>9.7893319439631893E-2</v>
      </c>
      <c r="J76" s="93">
        <f>'4D Wastewater treatment and dis'!AV139</f>
        <v>179.78835026220057</v>
      </c>
      <c r="K76" s="3">
        <f>'4D Wastewater treatment and dis'!AW139</f>
        <v>3.3659807513249738</v>
      </c>
      <c r="L76" s="465">
        <f t="shared" si="101"/>
        <v>11573.189023892492</v>
      </c>
      <c r="M76" s="688">
        <f t="shared" si="102"/>
        <v>16.979160660505386</v>
      </c>
      <c r="N76" s="465">
        <f t="shared" si="103"/>
        <v>1440.8030617628856</v>
      </c>
      <c r="O76" s="464">
        <f t="shared" si="104"/>
        <v>198.91143530377943</v>
      </c>
      <c r="P76" s="465">
        <f t="shared" si="105"/>
        <v>4819.0093884169537</v>
      </c>
      <c r="Q76" s="465">
        <f t="shared" si="106"/>
        <v>11573.189023892492</v>
      </c>
      <c r="R76" s="467">
        <f t="shared" si="107"/>
        <v>1457.782222423391</v>
      </c>
      <c r="S76" s="464">
        <f t="shared" si="108"/>
        <v>198.91143530377943</v>
      </c>
      <c r="T76" s="465">
        <f t="shared" si="109"/>
        <v>4819.0093884169537</v>
      </c>
      <c r="U76" s="465">
        <f t="shared" si="110"/>
        <v>18048.892070036618</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532.98594033779705</v>
      </c>
      <c r="D77" s="3">
        <f>'4B Biological treatment '!T130</f>
        <v>0.81448406966341946</v>
      </c>
      <c r="E77" s="152">
        <f>'4B Biological treatment '!U130</f>
        <v>36.651783134853872</v>
      </c>
      <c r="F77" s="152">
        <f>'4B Biological treatment '!W130</f>
        <v>2.1991069880912324</v>
      </c>
      <c r="G77" s="688">
        <f>'4C2 Open-burning '!R103</f>
        <v>19.810418044878325</v>
      </c>
      <c r="H77" s="688">
        <f>'4C2 Open-burning '!Z103</f>
        <v>6.665599168772097</v>
      </c>
      <c r="I77" s="688">
        <f>'4C2 Open-burning '!AH103</f>
        <v>9.2796390709546595E-2</v>
      </c>
      <c r="J77" s="93">
        <f>'4D Wastewater treatment and dis'!AV140</f>
        <v>183.09201012599974</v>
      </c>
      <c r="K77" s="3">
        <f>'4D Wastewater treatment and dis'!AW140</f>
        <v>3.3942804445358443</v>
      </c>
      <c r="L77" s="465">
        <f t="shared" si="101"/>
        <v>11192.704747093738</v>
      </c>
      <c r="M77" s="688">
        <f t="shared" si="102"/>
        <v>17.10416546293181</v>
      </c>
      <c r="N77" s="465">
        <f t="shared" si="103"/>
        <v>1451.4106121402133</v>
      </c>
      <c r="O77" s="464">
        <f t="shared" si="104"/>
        <v>188.55488170905181</v>
      </c>
      <c r="P77" s="465">
        <f t="shared" si="105"/>
        <v>4897.1591504521057</v>
      </c>
      <c r="Q77" s="465">
        <f t="shared" si="106"/>
        <v>11192.704747093738</v>
      </c>
      <c r="R77" s="467">
        <f t="shared" si="107"/>
        <v>1468.5147776031451</v>
      </c>
      <c r="S77" s="464">
        <f t="shared" si="108"/>
        <v>188.55488170905181</v>
      </c>
      <c r="T77" s="465">
        <f t="shared" si="109"/>
        <v>4897.1591504521057</v>
      </c>
      <c r="U77" s="465">
        <f t="shared" si="110"/>
        <v>17746.933556858039</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515.68256959342523</v>
      </c>
      <c r="D78" s="3">
        <f>'4B Biological treatment '!T131</f>
        <v>0.82148488836538025</v>
      </c>
      <c r="E78" s="152">
        <f>'4B Biological treatment '!U131</f>
        <v>36.966819976442103</v>
      </c>
      <c r="F78" s="152">
        <f>'4B Biological treatment '!W131</f>
        <v>2.2180091985865262</v>
      </c>
      <c r="G78" s="688">
        <f>'4C2 Open-burning '!R104</f>
        <v>18.729534956830655</v>
      </c>
      <c r="H78" s="688">
        <f>'4C2 Open-burning '!Z104</f>
        <v>6.301915101282515</v>
      </c>
      <c r="I78" s="688">
        <f>'4C2 Open-burning '!AH104</f>
        <v>8.7733294659650546E-2</v>
      </c>
      <c r="J78" s="93">
        <f>'4D Wastewater treatment and dis'!AV141</f>
        <v>186.39003655881149</v>
      </c>
      <c r="K78" s="3">
        <f>'4D Wastewater treatment and dis'!AW141</f>
        <v>3.4219280969675285</v>
      </c>
      <c r="L78" s="465">
        <f t="shared" si="101"/>
        <v>10829.333961461929</v>
      </c>
      <c r="M78" s="688">
        <f t="shared" si="102"/>
        <v>17.251182655672984</v>
      </c>
      <c r="N78" s="465">
        <f t="shared" si="103"/>
        <v>1463.8860710671072</v>
      </c>
      <c r="O78" s="464">
        <f t="shared" si="104"/>
        <v>178.26707342825517</v>
      </c>
      <c r="P78" s="465">
        <f t="shared" si="105"/>
        <v>4974.9884777949756</v>
      </c>
      <c r="Q78" s="465">
        <f t="shared" si="106"/>
        <v>10829.333961461929</v>
      </c>
      <c r="R78" s="467">
        <f t="shared" si="107"/>
        <v>1481.1372537227801</v>
      </c>
      <c r="S78" s="464">
        <f t="shared" si="108"/>
        <v>178.26707342825517</v>
      </c>
      <c r="T78" s="465">
        <f t="shared" si="109"/>
        <v>4974.9884777949756</v>
      </c>
      <c r="U78" s="465">
        <f t="shared" si="110"/>
        <v>17463.726766407941</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498.80332693081812</v>
      </c>
      <c r="D79" s="3">
        <f>'4B Biological treatment '!T132</f>
        <v>0.82911941686162249</v>
      </c>
      <c r="E79" s="152">
        <f>'4B Biological treatment '!U132</f>
        <v>37.310373758773004</v>
      </c>
      <c r="F79" s="152">
        <f>'4B Biological treatment '!W132</f>
        <v>2.2386224255263802</v>
      </c>
      <c r="G79" s="688">
        <f>'4C2 Open-burning '!R105</f>
        <v>17.655474053341521</v>
      </c>
      <c r="H79" s="688">
        <f>'4C2 Open-burning '!Z105</f>
        <v>5.9405264900331556</v>
      </c>
      <c r="I79" s="688">
        <f>'4C2 Open-burning '!AH105</f>
        <v>8.2702155234917696E-2</v>
      </c>
      <c r="J79" s="93">
        <f>'4D Wastewater treatment and dis'!AV142</f>
        <v>189.68029792094978</v>
      </c>
      <c r="K79" s="3">
        <f>'4D Wastewater treatment and dis'!AW142</f>
        <v>3.4489037282497814</v>
      </c>
      <c r="L79" s="465">
        <f t="shared" si="101"/>
        <v>10474.86986554718</v>
      </c>
      <c r="M79" s="688">
        <f t="shared" si="102"/>
        <v>17.411507754094071</v>
      </c>
      <c r="N79" s="465">
        <f t="shared" si="103"/>
        <v>1477.4908008474108</v>
      </c>
      <c r="O79" s="464">
        <f t="shared" si="104"/>
        <v>168.04419846686227</v>
      </c>
      <c r="P79" s="465">
        <f t="shared" si="105"/>
        <v>5052.4464120973771</v>
      </c>
      <c r="Q79" s="465">
        <f t="shared" si="106"/>
        <v>10474.86986554718</v>
      </c>
      <c r="R79" s="467">
        <f t="shared" si="107"/>
        <v>1494.902308601505</v>
      </c>
      <c r="S79" s="464">
        <f t="shared" si="108"/>
        <v>168.04419846686227</v>
      </c>
      <c r="T79" s="465">
        <f t="shared" si="109"/>
        <v>5052.4464120973771</v>
      </c>
      <c r="U79" s="465">
        <f t="shared" si="110"/>
        <v>17190.262784712926</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482.82333778450192</v>
      </c>
      <c r="D80" s="3">
        <f>'4B Biological treatment '!T133</f>
        <v>0.83521207767033656</v>
      </c>
      <c r="E80" s="152">
        <f>'4B Biological treatment '!U133</f>
        <v>37.584543495165143</v>
      </c>
      <c r="F80" s="152">
        <f>'4B Biological treatment '!W133</f>
        <v>2.2550726097099085</v>
      </c>
      <c r="G80" s="688">
        <f>'4C2 Open-burning '!R106</f>
        <v>16.587852490537948</v>
      </c>
      <c r="H80" s="688">
        <f>'4C2 Open-burning '!Z106</f>
        <v>5.5813045197816757</v>
      </c>
      <c r="I80" s="688">
        <f>'4C2 Open-burning '!AH106</f>
        <v>7.77011791097586E-2</v>
      </c>
      <c r="J80" s="93">
        <f>'4D Wastewater treatment and dis'!AV143</f>
        <v>192.96064040014554</v>
      </c>
      <c r="K80" s="3">
        <f>'4D Wastewater treatment and dis'!AW143</f>
        <v>3.4751877186331606</v>
      </c>
      <c r="L80" s="465">
        <f t="shared" si="101"/>
        <v>10139.290093474539</v>
      </c>
      <c r="M80" s="688">
        <f t="shared" si="102"/>
        <v>17.539453631077066</v>
      </c>
      <c r="N80" s="465">
        <f t="shared" si="103"/>
        <v>1488.3479224085395</v>
      </c>
      <c r="O80" s="464">
        <f t="shared" si="104"/>
        <v>157.88261292997831</v>
      </c>
      <c r="P80" s="465">
        <f t="shared" si="105"/>
        <v>5129.4816411793363</v>
      </c>
      <c r="Q80" s="465">
        <f t="shared" si="106"/>
        <v>10139.290093474539</v>
      </c>
      <c r="R80" s="467">
        <f t="shared" si="107"/>
        <v>1505.8873760396166</v>
      </c>
      <c r="S80" s="464">
        <f t="shared" si="108"/>
        <v>157.88261292997831</v>
      </c>
      <c r="T80" s="465">
        <f t="shared" si="109"/>
        <v>5129.4816411793363</v>
      </c>
      <c r="U80" s="465">
        <f t="shared" si="110"/>
        <v>16932.541723623472</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468.48872006100009</v>
      </c>
      <c r="D81" s="3">
        <f>'4B Biological treatment '!T134</f>
        <v>0.84131256742640637</v>
      </c>
      <c r="E81" s="152">
        <f>'4B Biological treatment '!U134</f>
        <v>37.859065534188282</v>
      </c>
      <c r="F81" s="152">
        <f>'4B Biological treatment '!W134</f>
        <v>2.2715439320512969</v>
      </c>
      <c r="G81" s="688">
        <f>'4C2 Open-burning '!R107</f>
        <v>15.526217032319304</v>
      </c>
      <c r="H81" s="688">
        <f>'4C2 Open-burning '!Z107</f>
        <v>5.2240966904562036</v>
      </c>
      <c r="I81" s="688">
        <f>'4C2 Open-burning '!AH107</f>
        <v>7.2728243225781378E-2</v>
      </c>
      <c r="J81" s="93">
        <f>'4D Wastewater treatment and dis'!AV144</f>
        <v>196.23274612127315</v>
      </c>
      <c r="K81" s="3">
        <f>'4D Wastewater treatment and dis'!AW144</f>
        <v>3.5008296214188772</v>
      </c>
      <c r="L81" s="465">
        <f t="shared" si="101"/>
        <v>9838.2631212810011</v>
      </c>
      <c r="M81" s="688">
        <f t="shared" si="102"/>
        <v>17.667563915954535</v>
      </c>
      <c r="N81" s="465">
        <f t="shared" si="103"/>
        <v>1499.218995153856</v>
      </c>
      <c r="O81" s="464">
        <f t="shared" si="104"/>
        <v>147.77800293189182</v>
      </c>
      <c r="P81" s="465">
        <f t="shared" si="105"/>
        <v>5206.1448511865874</v>
      </c>
      <c r="Q81" s="465">
        <f t="shared" si="106"/>
        <v>9838.2631212810011</v>
      </c>
      <c r="R81" s="467">
        <f t="shared" si="107"/>
        <v>1516.8865590698106</v>
      </c>
      <c r="S81" s="464">
        <f t="shared" si="108"/>
        <v>147.77800293189182</v>
      </c>
      <c r="T81" s="465">
        <f t="shared" si="109"/>
        <v>5206.1448511865874</v>
      </c>
      <c r="U81" s="465">
        <f t="shared" si="110"/>
        <v>16709.072534469291</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456.89196047577144</v>
      </c>
      <c r="D82" s="3">
        <f>'4B Biological treatment '!T135</f>
        <v>0.84845039270708966</v>
      </c>
      <c r="E82" s="152">
        <f>'4B Biological treatment '!U135</f>
        <v>38.180267671819031</v>
      </c>
      <c r="F82" s="152">
        <f>'4B Biological treatment '!W135</f>
        <v>2.2908160603091421</v>
      </c>
      <c r="G82" s="688">
        <f>'4C2 Open-burning '!R108</f>
        <v>15.150319688032559</v>
      </c>
      <c r="H82" s="688">
        <f>'4C2 Open-burning '!Z108</f>
        <v>5.0976187423409618</v>
      </c>
      <c r="I82" s="688">
        <f>'4C2 Open-burning '!AH108</f>
        <v>7.0967456716981181E-2</v>
      </c>
      <c r="J82" s="93">
        <f>'4D Wastewater treatment and dis'!AV145</f>
        <v>199.49461782370096</v>
      </c>
      <c r="K82" s="3">
        <f>'4D Wastewater treatment and dis'!AW145</f>
        <v>3.5258121119114461</v>
      </c>
      <c r="L82" s="465">
        <f t="shared" si="101"/>
        <v>9594.7311699912007</v>
      </c>
      <c r="M82" s="688">
        <f t="shared" si="102"/>
        <v>17.817458246848883</v>
      </c>
      <c r="N82" s="465">
        <f t="shared" si="103"/>
        <v>1511.9385998040336</v>
      </c>
      <c r="O82" s="464">
        <f t="shared" si="104"/>
        <v>144.20022485945691</v>
      </c>
      <c r="P82" s="465">
        <f t="shared" si="105"/>
        <v>5282.3887289902686</v>
      </c>
      <c r="Q82" s="465">
        <f t="shared" si="106"/>
        <v>9594.7311699912007</v>
      </c>
      <c r="R82" s="467">
        <f t="shared" si="107"/>
        <v>1529.7560580508825</v>
      </c>
      <c r="S82" s="464">
        <f t="shared" si="108"/>
        <v>144.20022485945691</v>
      </c>
      <c r="T82" s="465">
        <f t="shared" si="109"/>
        <v>5282.3887289902686</v>
      </c>
      <c r="U82" s="465">
        <f t="shared" si="110"/>
        <v>16551.076181891807</v>
      </c>
    </row>
    <row r="83" spans="1:42">
      <c r="A83">
        <f>'Input data'!A138</f>
        <v>2038</v>
      </c>
      <c r="C83" s="116">
        <f>'4A SWD Case 1'!BN108</f>
        <v>446.58672186809486</v>
      </c>
      <c r="D83" s="3">
        <f>'4B Biological treatment '!T136</f>
        <v>0.85542076550266744</v>
      </c>
      <c r="E83" s="152">
        <f>'4B Biological treatment '!U136</f>
        <v>38.493934447620028</v>
      </c>
      <c r="F83" s="152">
        <f>'4B Biological treatment '!W136</f>
        <v>2.3096360668572018</v>
      </c>
      <c r="G83" s="688">
        <f>'4C2 Open-burning '!R109</f>
        <v>14.473067507214994</v>
      </c>
      <c r="H83" s="688">
        <f>'4C2 Open-burning '!Z109</f>
        <v>4.8697441178237</v>
      </c>
      <c r="I83" s="688">
        <f>'4C2 Open-burning '!AH109</f>
        <v>6.7795057334107622E-2</v>
      </c>
      <c r="J83" s="93">
        <f>'4D Wastewater treatment and dis'!AV146</f>
        <v>202.74424150456656</v>
      </c>
      <c r="K83" s="3">
        <f>'4D Wastewater treatment and dis'!AW146</f>
        <v>3.5501182129156104</v>
      </c>
      <c r="L83" s="465">
        <f t="shared" si="101"/>
        <v>9378.3211592299922</v>
      </c>
      <c r="M83" s="688">
        <f t="shared" si="102"/>
        <v>17.963836075556017</v>
      </c>
      <c r="N83" s="465">
        <f t="shared" si="103"/>
        <v>1524.359804125753</v>
      </c>
      <c r="O83" s="464">
        <f t="shared" si="104"/>
        <v>137.75416175508605</v>
      </c>
      <c r="P83" s="465">
        <f t="shared" si="105"/>
        <v>5358.165717599737</v>
      </c>
      <c r="Q83" s="465">
        <f t="shared" si="106"/>
        <v>9378.3211592299922</v>
      </c>
      <c r="R83" s="467">
        <f t="shared" si="107"/>
        <v>1542.323640201309</v>
      </c>
      <c r="S83" s="464">
        <f t="shared" si="108"/>
        <v>137.75416175508605</v>
      </c>
      <c r="T83" s="465">
        <f t="shared" si="109"/>
        <v>5358.165717599737</v>
      </c>
      <c r="U83" s="465">
        <f t="shared" si="110"/>
        <v>16416.564678786126</v>
      </c>
    </row>
    <row r="84" spans="1:42">
      <c r="A84">
        <f>'Input data'!A139</f>
        <v>2039</v>
      </c>
      <c r="C84" s="116">
        <f>'4A SWD Case 1'!BN109</f>
        <v>436.70519660413362</v>
      </c>
      <c r="D84" s="3">
        <f>'4B Biological treatment '!T137</f>
        <v>0.86289132104596267</v>
      </c>
      <c r="E84" s="152">
        <f>'4B Biological treatment '!U137</f>
        <v>38.830109447068317</v>
      </c>
      <c r="F84" s="152">
        <f>'4B Biological treatment '!W137</f>
        <v>2.3298065668240993</v>
      </c>
      <c r="G84" s="688">
        <f>'4C2 Open-burning '!R110</f>
        <v>13.799524103177545</v>
      </c>
      <c r="H84" s="688">
        <f>'4C2 Open-burning '!Z110</f>
        <v>4.6431173831473629</v>
      </c>
      <c r="I84" s="688">
        <f>'4C2 Open-burning '!AH110</f>
        <v>6.4640030684023561E-2</v>
      </c>
      <c r="J84" s="93">
        <f>'4D Wastewater treatment and dis'!AV147</f>
        <v>205.97958843754799</v>
      </c>
      <c r="K84" s="3">
        <f>'4D Wastewater treatment and dis'!AW147</f>
        <v>3.5737313138459617</v>
      </c>
      <c r="L84" s="465">
        <f t="shared" si="101"/>
        <v>9170.8091286868057</v>
      </c>
      <c r="M84" s="688">
        <f t="shared" si="102"/>
        <v>18.120717741965215</v>
      </c>
      <c r="N84" s="465">
        <f t="shared" si="103"/>
        <v>1537.6723341039055</v>
      </c>
      <c r="O84" s="464">
        <f t="shared" si="104"/>
        <v>131.34339866131947</v>
      </c>
      <c r="P84" s="465">
        <f t="shared" si="105"/>
        <v>5433.4280644807559</v>
      </c>
      <c r="Q84" s="465">
        <f t="shared" si="106"/>
        <v>9170.8091286868057</v>
      </c>
      <c r="R84" s="467">
        <f t="shared" si="107"/>
        <v>1555.7930518458707</v>
      </c>
      <c r="S84" s="464">
        <f t="shared" si="108"/>
        <v>131.34339866131947</v>
      </c>
      <c r="T84" s="465">
        <f t="shared" si="109"/>
        <v>5433.4280644807559</v>
      </c>
      <c r="U84" s="465">
        <f t="shared" si="110"/>
        <v>16291.373643674753</v>
      </c>
    </row>
    <row r="85" spans="1:42">
      <c r="A85">
        <f>'Input data'!A140</f>
        <v>2040</v>
      </c>
      <c r="C85" s="116">
        <f>'4A SWD Case 1'!BN110</f>
        <v>427.23210249738196</v>
      </c>
      <c r="D85" s="3">
        <f>'4B Biological treatment '!T138</f>
        <v>0.87038710319740331</v>
      </c>
      <c r="E85" s="152">
        <f>'4B Biological treatment '!U138</f>
        <v>39.167419643883143</v>
      </c>
      <c r="F85" s="152">
        <f>'4B Biological treatment '!W138</f>
        <v>2.350045178632989</v>
      </c>
      <c r="G85" s="688">
        <f>'4C2 Open-burning '!R111</f>
        <v>13.129489470402261</v>
      </c>
      <c r="H85" s="688">
        <f>'4C2 Open-burning '!Z111</f>
        <v>4.4176712425784057</v>
      </c>
      <c r="I85" s="688">
        <f>'4C2 Open-burning '!AH111</f>
        <v>6.150143989653549E-2</v>
      </c>
      <c r="J85" s="93">
        <f>'4D Wastewater treatment and dis'!AV148</f>
        <v>209.19861723479599</v>
      </c>
      <c r="K85" s="3">
        <f>'4D Wastewater treatment and dis'!AW148</f>
        <v>3.5966351895378317</v>
      </c>
      <c r="L85" s="465">
        <f t="shared" si="101"/>
        <v>8971.8741524450215</v>
      </c>
      <c r="M85" s="688">
        <f t="shared" si="102"/>
        <v>18.278129167145469</v>
      </c>
      <c r="N85" s="465">
        <f t="shared" si="103"/>
        <v>1551.0298178977725</v>
      </c>
      <c r="O85" s="464">
        <f t="shared" si="104"/>
        <v>124.96603193247478</v>
      </c>
      <c r="P85" s="465">
        <f t="shared" si="105"/>
        <v>5508.1278706874436</v>
      </c>
      <c r="Q85" s="465">
        <f t="shared" si="106"/>
        <v>8971.8741524450215</v>
      </c>
      <c r="R85" s="467">
        <f t="shared" si="107"/>
        <v>1569.3079470649179</v>
      </c>
      <c r="S85" s="464">
        <f t="shared" si="108"/>
        <v>124.96603193247478</v>
      </c>
      <c r="T85" s="465">
        <f t="shared" si="109"/>
        <v>5508.1278706874436</v>
      </c>
      <c r="U85" s="465">
        <f t="shared" si="110"/>
        <v>16174.276002129856</v>
      </c>
    </row>
    <row r="86" spans="1:42">
      <c r="A86">
        <f>'Input data'!A141</f>
        <v>2041</v>
      </c>
      <c r="C86" s="116">
        <f>'4A SWD Case 1'!BN111</f>
        <v>418.14999190410981</v>
      </c>
      <c r="D86" s="3">
        <f>'4B Biological treatment '!T139</f>
        <v>0.8788153999671966</v>
      </c>
      <c r="E86" s="152">
        <f>'4B Biological treatment '!U139</f>
        <v>39.546692998523845</v>
      </c>
      <c r="F86" s="152">
        <f>'4B Biological treatment '!W139</f>
        <v>2.3728015799114308</v>
      </c>
      <c r="G86" s="688">
        <f>'4C2 Open-burning '!R112</f>
        <v>12.462701759742169</v>
      </c>
      <c r="H86" s="688">
        <f>'4C2 Open-burning '!Z112</f>
        <v>4.1933175918954797</v>
      </c>
      <c r="I86" s="688">
        <f>'4C2 Open-burning '!AH112</f>
        <v>5.8378058412178822E-2</v>
      </c>
      <c r="J86" s="93">
        <f>'4D Wastewater treatment and dis'!AV149</f>
        <v>212.40361590924937</v>
      </c>
      <c r="K86" s="3">
        <f>'4D Wastewater treatment and dis'!AW149</f>
        <v>3.6188879620531109</v>
      </c>
      <c r="L86" s="465">
        <f t="shared" si="101"/>
        <v>8781.1498299863051</v>
      </c>
      <c r="M86" s="688">
        <f t="shared" si="102"/>
        <v>18.455123399311127</v>
      </c>
      <c r="N86" s="465">
        <f t="shared" si="103"/>
        <v>1566.0490427415443</v>
      </c>
      <c r="O86" s="464">
        <f t="shared" si="104"/>
        <v>118.61956929732267</v>
      </c>
      <c r="P86" s="465">
        <f t="shared" si="105"/>
        <v>5582.3312023307008</v>
      </c>
      <c r="Q86" s="465">
        <f t="shared" si="106"/>
        <v>8781.1498299863051</v>
      </c>
      <c r="R86" s="467">
        <f t="shared" si="107"/>
        <v>1584.5041661408554</v>
      </c>
      <c r="S86" s="464">
        <f t="shared" si="108"/>
        <v>118.61956929732267</v>
      </c>
      <c r="T86" s="465">
        <f t="shared" si="109"/>
        <v>5582.3312023307008</v>
      </c>
      <c r="U86" s="465">
        <f t="shared" si="110"/>
        <v>16066.604767755185</v>
      </c>
    </row>
    <row r="87" spans="1:42">
      <c r="A87">
        <f>'Input data'!A142</f>
        <v>2042</v>
      </c>
      <c r="C87" s="116">
        <f>'4A SWD Case 1'!BN112</f>
        <v>409.03329784488511</v>
      </c>
      <c r="D87" s="3">
        <f>'4B Biological treatment '!T140</f>
        <v>0.88737635390051506</v>
      </c>
      <c r="E87" s="152">
        <f>'4B Biological treatment '!U140</f>
        <v>39.93193592552317</v>
      </c>
      <c r="F87" s="152">
        <f>'4B Biological treatment '!W140</f>
        <v>2.3959161555313901</v>
      </c>
      <c r="G87" s="688">
        <f>'4C2 Open-burning '!R113</f>
        <v>11.798988299389535</v>
      </c>
      <c r="H87" s="688">
        <f>'4C2 Open-burning '!Z113</f>
        <v>3.969998332321695</v>
      </c>
      <c r="I87" s="688">
        <f>'4C2 Open-burning '!AH113</f>
        <v>5.5269077397919433E-2</v>
      </c>
      <c r="J87" s="93">
        <f>'4D Wastewater treatment and dis'!AV150</f>
        <v>215.59272134221817</v>
      </c>
      <c r="K87" s="3">
        <f>'4D Wastewater treatment and dis'!AW150</f>
        <v>3.6404755852004582</v>
      </c>
      <c r="L87" s="465">
        <f t="shared" si="101"/>
        <v>8589.6992547425871</v>
      </c>
      <c r="M87" s="688">
        <f t="shared" si="102"/>
        <v>18.634903431910818</v>
      </c>
      <c r="N87" s="465">
        <f t="shared" si="103"/>
        <v>1581.3046626507175</v>
      </c>
      <c r="O87" s="464">
        <f t="shared" si="104"/>
        <v>112.30236727150015</v>
      </c>
      <c r="P87" s="465">
        <f t="shared" si="105"/>
        <v>5655.9945795987232</v>
      </c>
      <c r="Q87" s="465">
        <f t="shared" si="106"/>
        <v>8589.6992547425871</v>
      </c>
      <c r="R87" s="467">
        <f t="shared" si="107"/>
        <v>1599.9395660826283</v>
      </c>
      <c r="S87" s="464">
        <f t="shared" si="108"/>
        <v>112.30236727150015</v>
      </c>
      <c r="T87" s="465">
        <f t="shared" si="109"/>
        <v>5655.9945795987232</v>
      </c>
      <c r="U87" s="465">
        <f t="shared" si="110"/>
        <v>15957.935767695439</v>
      </c>
    </row>
    <row r="88" spans="1:42">
      <c r="A88">
        <f>'Input data'!A143</f>
        <v>2043</v>
      </c>
      <c r="C88" s="116">
        <f>'4A SWD Case 1'!BN113</f>
        <v>399.89091938816426</v>
      </c>
      <c r="D88" s="3">
        <f>'4B Biological treatment '!T141</f>
        <v>0.89615825812586825</v>
      </c>
      <c r="E88" s="152">
        <f>'4B Biological treatment '!U141</f>
        <v>40.327121615664069</v>
      </c>
      <c r="F88" s="152">
        <f>'4B Biological treatment '!W141</f>
        <v>2.4196272969398445</v>
      </c>
      <c r="G88" s="688">
        <f>'4C2 Open-burning '!R114</f>
        <v>11.138182533741386</v>
      </c>
      <c r="H88" s="688">
        <f>'4C2 Open-burning '!Z114</f>
        <v>3.7476574229958128</v>
      </c>
      <c r="I88" s="688">
        <f>'4C2 Open-burning '!AH114</f>
        <v>5.2173716670382425E-2</v>
      </c>
      <c r="J88" s="93">
        <f>'4D Wastewater treatment and dis'!AV151</f>
        <v>218.76406182207293</v>
      </c>
      <c r="K88" s="3">
        <f>'4D Wastewater treatment and dis'!AW151</f>
        <v>3.6613843654459499</v>
      </c>
      <c r="L88" s="465">
        <f t="shared" si="101"/>
        <v>8397.70930715145</v>
      </c>
      <c r="M88" s="688">
        <f t="shared" si="102"/>
        <v>18.819323420643233</v>
      </c>
      <c r="N88" s="465">
        <f t="shared" si="103"/>
        <v>1596.9540159802973</v>
      </c>
      <c r="O88" s="464">
        <f t="shared" si="104"/>
        <v>106.012840584472</v>
      </c>
      <c r="P88" s="465">
        <f t="shared" si="105"/>
        <v>5729.0744515517763</v>
      </c>
      <c r="Q88" s="465">
        <f t="shared" si="106"/>
        <v>8397.70930715145</v>
      </c>
      <c r="R88" s="467">
        <f t="shared" si="107"/>
        <v>1615.7733394009406</v>
      </c>
      <c r="S88" s="464">
        <f t="shared" si="108"/>
        <v>106.012840584472</v>
      </c>
      <c r="T88" s="465">
        <f t="shared" si="109"/>
        <v>5729.0744515517763</v>
      </c>
      <c r="U88" s="465">
        <f t="shared" si="110"/>
        <v>15848.569938688639</v>
      </c>
    </row>
    <row r="89" spans="1:42">
      <c r="A89">
        <f>'Input data'!A144</f>
        <v>2044</v>
      </c>
      <c r="C89" s="116">
        <f>'4A SWD Case 1'!BN114</f>
        <v>390.73144465625177</v>
      </c>
      <c r="D89" s="3">
        <f>'4B Biological treatment '!T142</f>
        <v>0.90528115650270891</v>
      </c>
      <c r="E89" s="152">
        <f>'4B Biological treatment '!U142</f>
        <v>40.737652042621896</v>
      </c>
      <c r="F89" s="152">
        <f>'4B Biological treatment '!W142</f>
        <v>2.4442591225573138</v>
      </c>
      <c r="G89" s="688">
        <f>'4C2 Open-burning '!R115</f>
        <v>10.480123636715845</v>
      </c>
      <c r="H89" s="688">
        <f>'4C2 Open-burning '!Z115</f>
        <v>3.526240750865032</v>
      </c>
      <c r="I89" s="688">
        <f>'4C2 Open-burning '!AH115</f>
        <v>4.9091222884540139E-2</v>
      </c>
      <c r="J89" s="93">
        <f>'4D Wastewater treatment and dis'!AV152</f>
        <v>221.91575884388917</v>
      </c>
      <c r="K89" s="3">
        <f>'4D Wastewater treatment and dis'!AW152</f>
        <v>3.6816009763245785</v>
      </c>
      <c r="L89" s="465">
        <f t="shared" si="101"/>
        <v>8205.3603377812869</v>
      </c>
      <c r="M89" s="688">
        <f t="shared" si="102"/>
        <v>19.010904286556887</v>
      </c>
      <c r="N89" s="465">
        <f t="shared" si="103"/>
        <v>1613.2110208878271</v>
      </c>
      <c r="O89" s="464">
        <f t="shared" si="104"/>
        <v>99.749458499088959</v>
      </c>
      <c r="P89" s="465">
        <f t="shared" si="105"/>
        <v>5801.5272383822921</v>
      </c>
      <c r="Q89" s="465">
        <f t="shared" si="106"/>
        <v>8205.3603377812869</v>
      </c>
      <c r="R89" s="467">
        <f t="shared" si="107"/>
        <v>1632.2219251743841</v>
      </c>
      <c r="S89" s="464">
        <f t="shared" si="108"/>
        <v>99.749458499088959</v>
      </c>
      <c r="T89" s="465">
        <f t="shared" si="109"/>
        <v>5801.5272383822921</v>
      </c>
      <c r="U89" s="465">
        <f t="shared" si="110"/>
        <v>15738.858959837053</v>
      </c>
    </row>
    <row r="90" spans="1:42">
      <c r="A90">
        <f>'Input data'!A145</f>
        <v>2045</v>
      </c>
      <c r="C90" s="116">
        <f>'4A SWD Case 1'!BN115</f>
        <v>381.56310617518238</v>
      </c>
      <c r="D90" s="3">
        <f>'4B Biological treatment '!T143</f>
        <v>0.91478941306605144</v>
      </c>
      <c r="E90" s="152">
        <f>'4B Biological treatment '!U143</f>
        <v>41.165523587972309</v>
      </c>
      <c r="F90" s="152">
        <f>'4B Biological treatment '!W143</f>
        <v>2.4699314152783387</v>
      </c>
      <c r="G90" s="688">
        <f>'4C2 Open-burning '!R116</f>
        <v>9.8246561460806792</v>
      </c>
      <c r="H90" s="688">
        <f>'4C2 Open-burning '!Z116</f>
        <v>3.3056960076477404</v>
      </c>
      <c r="I90" s="688">
        <f>'4C2 Open-burning '!AH116</f>
        <v>4.602086782082597E-2</v>
      </c>
      <c r="J90" s="93">
        <f>'4D Wastewater treatment and dis'!AV153</f>
        <v>225.04592893560309</v>
      </c>
      <c r="K90" s="3">
        <f>'4D Wastewater treatment and dis'!AW153</f>
        <v>3.7011124725369502</v>
      </c>
      <c r="L90" s="465">
        <f t="shared" si="101"/>
        <v>8012.8252296788305</v>
      </c>
      <c r="M90" s="688">
        <f t="shared" si="102"/>
        <v>19.210577674387082</v>
      </c>
      <c r="N90" s="465">
        <f t="shared" si="103"/>
        <v>1630.1547340837035</v>
      </c>
      <c r="O90" s="464">
        <f t="shared" si="104"/>
        <v>93.510741331139286</v>
      </c>
      <c r="P90" s="465">
        <f t="shared" si="105"/>
        <v>5873.309374134119</v>
      </c>
      <c r="Q90" s="465">
        <f t="shared" si="106"/>
        <v>8012.8252296788305</v>
      </c>
      <c r="R90" s="467">
        <f t="shared" si="107"/>
        <v>1649.3653117580907</v>
      </c>
      <c r="S90" s="464">
        <f t="shared" si="108"/>
        <v>93.510741331139286</v>
      </c>
      <c r="T90" s="465">
        <f t="shared" si="109"/>
        <v>5873.309374134119</v>
      </c>
      <c r="U90" s="465">
        <f t="shared" si="110"/>
        <v>15629.010656902181</v>
      </c>
    </row>
    <row r="91" spans="1:42">
      <c r="A91">
        <f>'Input data'!A146</f>
        <v>2046</v>
      </c>
      <c r="C91" s="116">
        <f>'4A SWD Case 1'!BN116</f>
        <v>372.39338738853041</v>
      </c>
      <c r="D91" s="3">
        <f>'4B Biological treatment '!T144</f>
        <v>0.92495704097334119</v>
      </c>
      <c r="E91" s="152">
        <f>'4B Biological treatment '!U144</f>
        <v>41.623066843800345</v>
      </c>
      <c r="F91" s="152">
        <f>'4B Biological treatment '!W144</f>
        <v>2.497384010628021</v>
      </c>
      <c r="G91" s="688">
        <f>'4C2 Open-burning '!R117</f>
        <v>9.171627629328972</v>
      </c>
      <c r="H91" s="688">
        <f>'4C2 Open-burning '!Z117</f>
        <v>3.0859719044721379</v>
      </c>
      <c r="I91" s="688">
        <f>'4C2 Open-burning '!AH117</f>
        <v>4.2961937451578447E-2</v>
      </c>
      <c r="J91" s="93">
        <f>'4D Wastewater treatment and dis'!AV154</f>
        <v>228.15287317536848</v>
      </c>
      <c r="K91" s="3">
        <f>'4D Wastewater treatment and dis'!AW154</f>
        <v>3.7199093635215581</v>
      </c>
      <c r="L91" s="465">
        <f t="shared" si="101"/>
        <v>7820.2611351591386</v>
      </c>
      <c r="M91" s="688">
        <f t="shared" si="102"/>
        <v>19.424097860440163</v>
      </c>
      <c r="N91" s="465">
        <f t="shared" si="103"/>
        <v>1648.2734470144937</v>
      </c>
      <c r="O91" s="464">
        <f t="shared" si="104"/>
        <v>87.295238233233178</v>
      </c>
      <c r="P91" s="465">
        <f t="shared" si="105"/>
        <v>5944.3822393744213</v>
      </c>
      <c r="Q91" s="465">
        <f t="shared" si="106"/>
        <v>7820.2611351591386</v>
      </c>
      <c r="R91" s="467">
        <f t="shared" si="107"/>
        <v>1667.697544874934</v>
      </c>
      <c r="S91" s="464">
        <f t="shared" si="108"/>
        <v>87.295238233233178</v>
      </c>
      <c r="T91" s="465">
        <f t="shared" si="109"/>
        <v>5944.3822393744213</v>
      </c>
      <c r="U91" s="465">
        <f t="shared" si="110"/>
        <v>15519.636157641728</v>
      </c>
    </row>
    <row r="92" spans="1:42">
      <c r="A92">
        <f>'Input data'!A147</f>
        <v>2047</v>
      </c>
      <c r="C92" s="116">
        <f>'4A SWD Case 1'!BN117</f>
        <v>363.24406444020588</v>
      </c>
      <c r="D92" s="3">
        <f>'4B Biological treatment '!T145</f>
        <v>0.93127065207409054</v>
      </c>
      <c r="E92" s="152">
        <f>'4B Biological treatment '!U145</f>
        <v>41.907179343334064</v>
      </c>
      <c r="F92" s="152">
        <f>'4B Biological treatment '!W145</f>
        <v>2.5144307606000442</v>
      </c>
      <c r="G92" s="688">
        <f>'4C2 Open-burning '!R118</f>
        <v>8.5208927870673108</v>
      </c>
      <c r="H92" s="688">
        <f>'4C2 Open-burning '!Z118</f>
        <v>2.8670195525407376</v>
      </c>
      <c r="I92" s="688">
        <f>'4C2 Open-burning '!AH118</f>
        <v>3.991375116222147E-2</v>
      </c>
      <c r="J92" s="93">
        <f>'4D Wastewater treatment and dis'!AV155</f>
        <v>231.23471141735649</v>
      </c>
      <c r="K92" s="3">
        <f>'4D Wastewater treatment and dis'!AW155</f>
        <v>3.7379795531759945</v>
      </c>
      <c r="L92" s="465">
        <f t="shared" si="101"/>
        <v>7628.1253532443234</v>
      </c>
      <c r="M92" s="688">
        <f t="shared" si="102"/>
        <v>19.5566836935559</v>
      </c>
      <c r="N92" s="465">
        <f t="shared" si="103"/>
        <v>1659.524301996029</v>
      </c>
      <c r="O92" s="464">
        <f t="shared" si="104"/>
        <v>81.101566250711471</v>
      </c>
      <c r="P92" s="465">
        <f t="shared" si="105"/>
        <v>6014.7026012490442</v>
      </c>
      <c r="Q92" s="465">
        <f t="shared" si="106"/>
        <v>7628.1253532443234</v>
      </c>
      <c r="R92" s="467">
        <f t="shared" si="107"/>
        <v>1679.0809856895848</v>
      </c>
      <c r="S92" s="464">
        <f t="shared" si="108"/>
        <v>81.101566250711471</v>
      </c>
      <c r="T92" s="465">
        <f t="shared" si="109"/>
        <v>6014.7026012490442</v>
      </c>
      <c r="U92" s="465">
        <f t="shared" si="110"/>
        <v>15403.010506433664</v>
      </c>
    </row>
    <row r="93" spans="1:42">
      <c r="A93">
        <f>'Input data'!A148</f>
        <v>2048</v>
      </c>
      <c r="C93" s="116">
        <f>'4A SWD Case 1'!BN118</f>
        <v>354.10944849578721</v>
      </c>
      <c r="D93" s="3">
        <f>'4B Biological treatment '!T146</f>
        <v>0.93715236624572396</v>
      </c>
      <c r="E93" s="152">
        <f>'4B Biological treatment '!U146</f>
        <v>42.171856481057574</v>
      </c>
      <c r="F93" s="152">
        <f>'4B Biological treatment '!W146</f>
        <v>2.5303113888634545</v>
      </c>
      <c r="G93" s="688">
        <f>'4C2 Open-burning '!R119</f>
        <v>8.5106061417100527</v>
      </c>
      <c r="H93" s="688">
        <f>'4C2 Open-burning '!Z119</f>
        <v>2.8635584113075003</v>
      </c>
      <c r="I93" s="688">
        <f>'4C2 Open-burning '!AH119</f>
        <v>3.9865566234498079E-2</v>
      </c>
      <c r="J93" s="93">
        <f>'4D Wastewater treatment and dis'!AV156</f>
        <v>234.28956403224367</v>
      </c>
      <c r="K93" s="3">
        <f>'4D Wastewater treatment and dis'!AW156</f>
        <v>3.7553113631330666</v>
      </c>
      <c r="L93" s="465">
        <f t="shared" si="101"/>
        <v>7436.2984184115312</v>
      </c>
      <c r="M93" s="688">
        <f t="shared" si="102"/>
        <v>19.680199691160205</v>
      </c>
      <c r="N93" s="465">
        <f t="shared" si="103"/>
        <v>1670.0055166498801</v>
      </c>
      <c r="O93" s="464">
        <f t="shared" si="104"/>
        <v>81.003658311861969</v>
      </c>
      <c r="P93" s="465">
        <f t="shared" si="105"/>
        <v>6084.227367248368</v>
      </c>
      <c r="Q93" s="465">
        <f t="shared" si="106"/>
        <v>7436.2984184115312</v>
      </c>
      <c r="R93" s="467">
        <f t="shared" si="107"/>
        <v>1689.6857163410402</v>
      </c>
      <c r="S93" s="464">
        <f t="shared" si="108"/>
        <v>81.003658311861969</v>
      </c>
      <c r="T93" s="465">
        <f t="shared" si="109"/>
        <v>6084.227367248368</v>
      </c>
      <c r="U93" s="465">
        <f t="shared" si="110"/>
        <v>15291.2151603128</v>
      </c>
    </row>
    <row r="94" spans="1:42">
      <c r="A94">
        <f>'Input data'!A149</f>
        <v>2049</v>
      </c>
      <c r="C94" s="116">
        <f>'4A SWD Case 1'!BN119</f>
        <v>345.27745441905842</v>
      </c>
      <c r="D94" s="3">
        <f>'4B Biological treatment '!T147</f>
        <v>0.9430127682828896</v>
      </c>
      <c r="E94" s="152">
        <f>'4B Biological treatment '!U147</f>
        <v>42.435574572730026</v>
      </c>
      <c r="F94" s="152">
        <f>'4B Biological treatment '!W147</f>
        <v>2.5461344743638019</v>
      </c>
      <c r="G94" s="688">
        <f>'4C2 Open-burning '!R120</f>
        <v>8.5008758111161278</v>
      </c>
      <c r="H94" s="688">
        <f>'4C2 Open-burning '!Z120</f>
        <v>2.8602844529603413</v>
      </c>
      <c r="I94" s="688">
        <f>'4C2 Open-burning '!AH120</f>
        <v>3.9819987208478472E-2</v>
      </c>
      <c r="J94" s="93">
        <f>'4D Wastewater treatment and dis'!AV157</f>
        <v>237.31555379884583</v>
      </c>
      <c r="K94" s="3">
        <f>'4D Wastewater treatment and dis'!AW157</f>
        <v>3.7718935452991729</v>
      </c>
      <c r="L94" s="465">
        <f t="shared" si="101"/>
        <v>7250.8265428002269</v>
      </c>
      <c r="M94" s="688">
        <f t="shared" si="102"/>
        <v>19.80326813394068</v>
      </c>
      <c r="N94" s="465">
        <f t="shared" si="103"/>
        <v>1680.4487530801091</v>
      </c>
      <c r="O94" s="464">
        <f t="shared" si="104"/>
        <v>80.911045357911618</v>
      </c>
      <c r="P94" s="465">
        <f t="shared" si="105"/>
        <v>6152.9136288185055</v>
      </c>
      <c r="Q94" s="465">
        <f t="shared" si="106"/>
        <v>7250.8265428002269</v>
      </c>
      <c r="R94" s="467">
        <f t="shared" si="107"/>
        <v>1700.2520212140498</v>
      </c>
      <c r="S94" s="464">
        <f t="shared" si="108"/>
        <v>80.911045357911618</v>
      </c>
      <c r="T94" s="465">
        <f t="shared" si="109"/>
        <v>6152.9136288185055</v>
      </c>
      <c r="U94" s="465">
        <f t="shared" si="110"/>
        <v>15184.903238190695</v>
      </c>
    </row>
    <row r="95" spans="1:42">
      <c r="A95">
        <f>'Input data'!A150</f>
        <v>2050</v>
      </c>
      <c r="C95" s="116">
        <f>'4A SWD Case 1'!BN120</f>
        <v>336.74408884599865</v>
      </c>
      <c r="D95" s="3">
        <f>'4B Biological treatment '!T148</f>
        <v>0.94874268786412896</v>
      </c>
      <c r="E95" s="152">
        <f>'4B Biological treatment '!U148</f>
        <v>42.693420953885806</v>
      </c>
      <c r="F95" s="152">
        <f>'4B Biological treatment '!W148</f>
        <v>2.5616052572331478</v>
      </c>
      <c r="G95" s="688">
        <f>'4C2 Open-burning '!R121</f>
        <v>8.491691581364206</v>
      </c>
      <c r="H95" s="688">
        <f>'4C2 Open-burning '!Z121</f>
        <v>2.8571942408274356</v>
      </c>
      <c r="I95" s="688">
        <f>'4C2 Open-burning '!AH121</f>
        <v>3.9776966239890382E-2</v>
      </c>
      <c r="J95" s="93">
        <f>'4D Wastewater treatment and dis'!AV158</f>
        <v>240.31080780951893</v>
      </c>
      <c r="K95" s="3">
        <f>'4D Wastewater treatment and dis'!AW158</f>
        <v>3.7877152939836489</v>
      </c>
      <c r="L95" s="465">
        <f t="shared" si="101"/>
        <v>7071.6258657659719</v>
      </c>
      <c r="M95" s="688">
        <f t="shared" si="102"/>
        <v>19.923596445146707</v>
      </c>
      <c r="N95" s="465">
        <f t="shared" si="103"/>
        <v>1690.6594697738778</v>
      </c>
      <c r="O95" s="464">
        <f t="shared" si="104"/>
        <v>80.823630173106366</v>
      </c>
      <c r="P95" s="465">
        <f t="shared" si="105"/>
        <v>6220.7187051348292</v>
      </c>
      <c r="Q95" s="417">
        <f t="shared" si="106"/>
        <v>7071.6258657659719</v>
      </c>
      <c r="R95" s="463">
        <f t="shared" si="107"/>
        <v>1710.5830662190247</v>
      </c>
      <c r="S95" s="460">
        <f t="shared" si="108"/>
        <v>80.823630173106366</v>
      </c>
      <c r="T95" s="417">
        <f t="shared" si="109"/>
        <v>6220.7187051348292</v>
      </c>
      <c r="U95" s="417">
        <f t="shared" si="110"/>
        <v>15083.751267292933</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0.42961305766478691</v>
      </c>
      <c r="E98" s="152">
        <f>'4B Biological treatment '!U151</f>
        <v>24.145634102162916</v>
      </c>
      <c r="F98" s="152">
        <f>'4B Biological treatment '!W151</f>
        <v>1.448738046129775</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9.0218742109605259</v>
      </c>
      <c r="N98" s="465">
        <f t="shared" si="113"/>
        <v>956.16711044565147</v>
      </c>
      <c r="O98" s="464">
        <f t="shared" si="114"/>
        <v>307.81392004196488</v>
      </c>
      <c r="P98" s="465">
        <f t="shared" si="115"/>
        <v>3922.0560748079342</v>
      </c>
      <c r="Q98" s="465">
        <f t="shared" si="74"/>
        <v>16839.898969230198</v>
      </c>
      <c r="R98" s="467">
        <f t="shared" si="75"/>
        <v>965.18898465661198</v>
      </c>
      <c r="S98" s="464">
        <f t="shared" si="76"/>
        <v>307.81392004196488</v>
      </c>
      <c r="T98" s="465">
        <f t="shared" si="77"/>
        <v>3922.0560748079342</v>
      </c>
      <c r="U98" s="465">
        <f t="shared" si="78"/>
        <v>22034.957948736708</v>
      </c>
    </row>
    <row r="99" spans="1:21">
      <c r="A99">
        <f>'Input data'!A120</f>
        <v>2020</v>
      </c>
      <c r="C99" s="116">
        <f>'4A SWD Case 2'!BG90</f>
        <v>782.17625590851571</v>
      </c>
      <c r="D99" s="3">
        <f>'4B Biological treatment '!T152</f>
        <v>0.50040140009795275</v>
      </c>
      <c r="E99" s="152">
        <f>'4B Biological treatment '!U152</f>
        <v>26.21211835115454</v>
      </c>
      <c r="F99" s="152">
        <f>'4B Biological treatment '!W152</f>
        <v>1.5727271010692725</v>
      </c>
      <c r="G99" s="688">
        <f>'4C2 Open-burning '!R125</f>
        <v>31.469339877453482</v>
      </c>
      <c r="H99" s="688">
        <f>'4C2 Open-burning '!Z125</f>
        <v>10.588469423197822</v>
      </c>
      <c r="I99" s="688">
        <f>'4C2 Open-burning '!AH125</f>
        <v>0.14740936571980473</v>
      </c>
      <c r="J99" s="93">
        <f>'4D Wastewater treatment and dis'!AV162</f>
        <v>149.64833972612956</v>
      </c>
      <c r="K99" s="3">
        <f>'4D Wastewater treatment and dis'!AW162</f>
        <v>2.9904262793007734</v>
      </c>
      <c r="L99" s="465">
        <f t="shared" si="111"/>
        <v>16425.701374078832</v>
      </c>
      <c r="M99" s="688">
        <f t="shared" si="112"/>
        <v>10.508429402057008</v>
      </c>
      <c r="N99" s="465">
        <f t="shared" si="113"/>
        <v>1037.9998867057197</v>
      </c>
      <c r="O99" s="464">
        <f t="shared" si="114"/>
        <v>299.52410113774715</v>
      </c>
      <c r="P99" s="465">
        <f t="shared" si="115"/>
        <v>4069.6472808319609</v>
      </c>
      <c r="Q99" s="465">
        <f t="shared" si="74"/>
        <v>16425.701374078832</v>
      </c>
      <c r="R99" s="467">
        <f t="shared" si="75"/>
        <v>1048.5083161077769</v>
      </c>
      <c r="S99" s="464">
        <f t="shared" si="76"/>
        <v>299.52410113774715</v>
      </c>
      <c r="T99" s="465">
        <f t="shared" si="77"/>
        <v>4069.6472808319609</v>
      </c>
      <c r="U99" s="465">
        <f t="shared" si="78"/>
        <v>21843.381072156317</v>
      </c>
    </row>
    <row r="100" spans="1:21">
      <c r="A100">
        <f>'Input data'!A121</f>
        <v>2021</v>
      </c>
      <c r="C100" s="116">
        <f>'4A SWD Case 2'!BG91</f>
        <v>761.15749672188588</v>
      </c>
      <c r="D100" s="3">
        <f>'4B Biological treatment '!T153</f>
        <v>0.65482945907093093</v>
      </c>
      <c r="E100" s="152">
        <f>'4B Biological treatment '!U153</f>
        <v>31.799711006813553</v>
      </c>
      <c r="F100" s="152">
        <f>'4B Biological treatment '!W153</f>
        <v>1.9079826604088135</v>
      </c>
      <c r="G100" s="688">
        <f>'4C2 Open-burning '!R126</f>
        <v>28.909376284113982</v>
      </c>
      <c r="H100" s="688">
        <f>'4C2 Open-burning '!Z126</f>
        <v>9.7271200482782856</v>
      </c>
      <c r="I100" s="688">
        <f>'4C2 Open-burning '!AH126</f>
        <v>0.13541792862485846</v>
      </c>
      <c r="J100" s="93">
        <f>'4D Wastewater treatment and dis'!AV163</f>
        <v>155.85667833447528</v>
      </c>
      <c r="K100" s="3">
        <f>'4D Wastewater treatment and dis'!AW163</f>
        <v>3.0332514902049907</v>
      </c>
      <c r="L100" s="465">
        <f t="shared" si="111"/>
        <v>15984.307431159603</v>
      </c>
      <c r="M100" s="688">
        <f t="shared" si="112"/>
        <v>13.75141864048955</v>
      </c>
      <c r="N100" s="465">
        <f t="shared" si="113"/>
        <v>1259.2685558698167</v>
      </c>
      <c r="O100" s="464">
        <f t="shared" si="114"/>
        <v>275.15845517166412</v>
      </c>
      <c r="P100" s="465">
        <f t="shared" si="115"/>
        <v>4213.2982069875279</v>
      </c>
      <c r="Q100" s="465">
        <f t="shared" si="74"/>
        <v>15984.307431159603</v>
      </c>
      <c r="R100" s="467">
        <f t="shared" si="75"/>
        <v>1273.0199745103064</v>
      </c>
      <c r="S100" s="464">
        <f t="shared" si="76"/>
        <v>275.15845517166412</v>
      </c>
      <c r="T100" s="465">
        <f t="shared" si="77"/>
        <v>4213.2982069875279</v>
      </c>
      <c r="U100" s="465">
        <f t="shared" si="78"/>
        <v>21745.7840678291</v>
      </c>
    </row>
    <row r="101" spans="1:21">
      <c r="A101">
        <f>'Input data'!A122</f>
        <v>2022</v>
      </c>
      <c r="C101" s="116">
        <f>'4A SWD Case 2'!BG92</f>
        <v>735.28145571722462</v>
      </c>
      <c r="D101" s="3">
        <f>'4B Biological treatment '!T154</f>
        <v>0.76691060117424481</v>
      </c>
      <c r="E101" s="152">
        <f>'4B Biological treatment '!U154</f>
        <v>34.510977052841014</v>
      </c>
      <c r="F101" s="152">
        <f>'4B Biological treatment '!W154</f>
        <v>2.0706586231704609</v>
      </c>
      <c r="G101" s="688">
        <f>'4C2 Open-burning '!R127</f>
        <v>24.037894382919749</v>
      </c>
      <c r="H101" s="688">
        <f>'4C2 Open-burning '!Z127</f>
        <v>8.0880155307598613</v>
      </c>
      <c r="I101" s="688">
        <f>'4C2 Open-burning '!AH127</f>
        <v>0.11259882724024245</v>
      </c>
      <c r="J101" s="93">
        <f>'4D Wastewater treatment and dis'!AV164</f>
        <v>162.06331142984905</v>
      </c>
      <c r="K101" s="3">
        <f>'4D Wastewater treatment and dis'!AW164</f>
        <v>3.0738670955972056</v>
      </c>
      <c r="L101" s="465">
        <f t="shared" si="111"/>
        <v>15440.910570061716</v>
      </c>
      <c r="M101" s="688">
        <f t="shared" si="112"/>
        <v>16.105122624659142</v>
      </c>
      <c r="N101" s="465">
        <f t="shared" si="113"/>
        <v>1366.6346912925042</v>
      </c>
      <c r="O101" s="464">
        <f t="shared" si="114"/>
        <v>228.791856973352</v>
      </c>
      <c r="P101" s="465">
        <f t="shared" si="115"/>
        <v>4356.2283396619641</v>
      </c>
      <c r="Q101" s="465">
        <f t="shared" si="74"/>
        <v>15440.910570061716</v>
      </c>
      <c r="R101" s="467">
        <f t="shared" si="75"/>
        <v>1382.7398139171632</v>
      </c>
      <c r="S101" s="464">
        <f t="shared" si="76"/>
        <v>228.791856973352</v>
      </c>
      <c r="T101" s="465">
        <f t="shared" si="77"/>
        <v>4356.2283396619641</v>
      </c>
      <c r="U101" s="465">
        <f t="shared" si="78"/>
        <v>21408.670580614194</v>
      </c>
    </row>
    <row r="102" spans="1:21">
      <c r="A102">
        <f>'Input data'!A123</f>
        <v>2023</v>
      </c>
      <c r="C102" s="116">
        <f>'4A SWD Case 2'!BG93</f>
        <v>707.68693761311181</v>
      </c>
      <c r="D102" s="3">
        <f>'4B Biological treatment '!T155</f>
        <v>0.77139963259962596</v>
      </c>
      <c r="E102" s="152">
        <f>'4B Biological treatment '!U155</f>
        <v>34.712983466983161</v>
      </c>
      <c r="F102" s="152">
        <f>'4B Biological treatment '!W155</f>
        <v>2.0827790080189899</v>
      </c>
      <c r="G102" s="688">
        <f>'4C2 Open-burning '!R128</f>
        <v>22.789154809802163</v>
      </c>
      <c r="H102" s="688">
        <f>'4C2 Open-burning '!Z128</f>
        <v>7.667852895033084</v>
      </c>
      <c r="I102" s="688">
        <f>'4C2 Open-burning '!AH128</f>
        <v>0.1067494541952627</v>
      </c>
      <c r="J102" s="93">
        <f>'4D Wastewater treatment and dis'!AV165</f>
        <v>168.25355707093811</v>
      </c>
      <c r="K102" s="3">
        <f>'4D Wastewater treatment and dis'!AW165</f>
        <v>3.1121658543941133</v>
      </c>
      <c r="L102" s="465">
        <f t="shared" si="111"/>
        <v>14861.425689875348</v>
      </c>
      <c r="M102" s="688">
        <f t="shared" si="112"/>
        <v>16.199392284592147</v>
      </c>
      <c r="N102" s="465">
        <f t="shared" si="113"/>
        <v>1374.634145292533</v>
      </c>
      <c r="O102" s="464">
        <f t="shared" si="114"/>
        <v>216.90639640602836</v>
      </c>
      <c r="P102" s="465">
        <f t="shared" si="115"/>
        <v>4498.0961133518758</v>
      </c>
      <c r="Q102" s="465">
        <f t="shared" si="74"/>
        <v>14861.425689875348</v>
      </c>
      <c r="R102" s="467">
        <f t="shared" si="75"/>
        <v>1390.8335375771253</v>
      </c>
      <c r="S102" s="464">
        <f t="shared" si="76"/>
        <v>216.90639640602836</v>
      </c>
      <c r="T102" s="465">
        <f t="shared" si="77"/>
        <v>4498.0961133518758</v>
      </c>
      <c r="U102" s="465">
        <f t="shared" si="78"/>
        <v>20967.261737210378</v>
      </c>
    </row>
    <row r="103" spans="1:21">
      <c r="A103">
        <f>'Input data'!A124</f>
        <v>2024</v>
      </c>
      <c r="C103" s="116">
        <f>'4A SWD Case 2'!BG94</f>
        <v>681.21854550330181</v>
      </c>
      <c r="D103" s="3">
        <f>'4B Biological treatment '!T156</f>
        <v>0.77621704487242149</v>
      </c>
      <c r="E103" s="152">
        <f>'4B Biological treatment '!U156</f>
        <v>34.929767019258961</v>
      </c>
      <c r="F103" s="152">
        <f>'4B Biological treatment '!W156</f>
        <v>2.0957860211555377</v>
      </c>
      <c r="G103" s="688">
        <f>'4C2 Open-burning '!R129</f>
        <v>21.527094494314703</v>
      </c>
      <c r="H103" s="688">
        <f>'4C2 Open-burning '!Z129</f>
        <v>7.2432082373183331</v>
      </c>
      <c r="I103" s="688">
        <f>'4C2 Open-burning '!AH129</f>
        <v>0.10083768383939856</v>
      </c>
      <c r="J103" s="93">
        <f>'4D Wastewater treatment and dis'!AV166</f>
        <v>174.41243169580983</v>
      </c>
      <c r="K103" s="3">
        <f>'4D Wastewater treatment and dis'!AW166</f>
        <v>3.1480454582573771</v>
      </c>
      <c r="L103" s="465">
        <f t="shared" si="111"/>
        <v>14305.589455569338</v>
      </c>
      <c r="M103" s="688">
        <f t="shared" si="112"/>
        <v>16.30055794232085</v>
      </c>
      <c r="N103" s="465">
        <f t="shared" si="113"/>
        <v>1383.2187739626547</v>
      </c>
      <c r="O103" s="464">
        <f t="shared" si="114"/>
        <v>204.89414946821324</v>
      </c>
      <c r="P103" s="465">
        <f t="shared" si="115"/>
        <v>4638.5551576717935</v>
      </c>
      <c r="Q103" s="465">
        <f t="shared" si="74"/>
        <v>14305.589455569338</v>
      </c>
      <c r="R103" s="467">
        <f t="shared" si="75"/>
        <v>1399.5193319049756</v>
      </c>
      <c r="S103" s="464">
        <f t="shared" si="76"/>
        <v>204.89414946821324</v>
      </c>
      <c r="T103" s="465">
        <f t="shared" si="77"/>
        <v>4638.5551576717935</v>
      </c>
      <c r="U103" s="465">
        <f t="shared" si="78"/>
        <v>20548.55809461432</v>
      </c>
    </row>
    <row r="104" spans="1:21">
      <c r="A104">
        <f>'Input data'!A125</f>
        <v>2025</v>
      </c>
      <c r="C104" s="116">
        <f>'4A SWD Case 2'!BG95</f>
        <v>655.79284113322274</v>
      </c>
      <c r="D104" s="3">
        <f>'4B Biological treatment '!T157</f>
        <v>0.78077653682400283</v>
      </c>
      <c r="E104" s="152">
        <f>'4B Biological treatment '!U157</f>
        <v>35.134944157080128</v>
      </c>
      <c r="F104" s="152">
        <f>'4B Biological treatment '!W157</f>
        <v>2.1080966494248075</v>
      </c>
      <c r="G104" s="688">
        <f>'4C2 Open-burning '!R130</f>
        <v>20.249645780164677</v>
      </c>
      <c r="H104" s="688">
        <f>'4C2 Open-burning '!Z130</f>
        <v>6.8133858545751886</v>
      </c>
      <c r="I104" s="688">
        <f>'4C2 Open-burning '!AH130</f>
        <v>9.4853830812111184E-2</v>
      </c>
      <c r="J104" s="93">
        <f>'4D Wastewater treatment and dis'!AV167</f>
        <v>180.52470879640688</v>
      </c>
      <c r="K104" s="3">
        <f>'4D Wastewater treatment and dis'!AW167</f>
        <v>3.1814089830873744</v>
      </c>
      <c r="L104" s="465">
        <f t="shared" si="111"/>
        <v>13771.649663797678</v>
      </c>
      <c r="M104" s="688">
        <f t="shared" si="112"/>
        <v>16.39630727330406</v>
      </c>
      <c r="N104" s="465">
        <f t="shared" si="113"/>
        <v>1391.3437886203728</v>
      </c>
      <c r="O104" s="464">
        <f t="shared" si="114"/>
        <v>192.73543627799813</v>
      </c>
      <c r="P104" s="465">
        <f t="shared" si="115"/>
        <v>4777.2556694816303</v>
      </c>
      <c r="Q104" s="465">
        <f t="shared" si="74"/>
        <v>13771.649663797678</v>
      </c>
      <c r="R104" s="467">
        <f t="shared" si="75"/>
        <v>1407.7400958936769</v>
      </c>
      <c r="S104" s="464">
        <f t="shared" si="76"/>
        <v>192.73543627799813</v>
      </c>
      <c r="T104" s="465">
        <f t="shared" si="77"/>
        <v>4777.2556694816303</v>
      </c>
      <c r="U104" s="465">
        <f t="shared" si="78"/>
        <v>20149.380865450985</v>
      </c>
    </row>
    <row r="105" spans="1:21">
      <c r="A105">
        <f>'Input data'!A126</f>
        <v>2026</v>
      </c>
      <c r="C105" s="116">
        <f>'4A SWD Case 2'!BG96</f>
        <v>631.33021344657618</v>
      </c>
      <c r="D105" s="3">
        <f>'4B Biological treatment '!T158</f>
        <v>0.78473928901048162</v>
      </c>
      <c r="E105" s="152">
        <f>'4B Biological treatment '!U158</f>
        <v>35.31326800547167</v>
      </c>
      <c r="F105" s="152">
        <f>'4B Biological treatment '!W158</f>
        <v>2.1187960803283001</v>
      </c>
      <c r="G105" s="688">
        <f>'4C2 Open-burning '!R131</f>
        <v>18.950712018812336</v>
      </c>
      <c r="H105" s="688">
        <f>'4C2 Open-burning '!Z131</f>
        <v>6.3763344112211904</v>
      </c>
      <c r="I105" s="688">
        <f>'4C2 Open-burning '!AH131</f>
        <v>8.8769337059823317E-2</v>
      </c>
      <c r="J105" s="93">
        <f>'4D Wastewater treatment and dis'!AV168</f>
        <v>186.68537416219561</v>
      </c>
      <c r="K105" s="3">
        <f>'4D Wastewater treatment and dis'!AW168</f>
        <v>3.2140659188721759</v>
      </c>
      <c r="L105" s="465">
        <f t="shared" si="111"/>
        <v>13257.934482378099</v>
      </c>
      <c r="M105" s="688">
        <f t="shared" si="112"/>
        <v>16.479525069220113</v>
      </c>
      <c r="N105" s="465">
        <f t="shared" si="113"/>
        <v>1398.4054130166783</v>
      </c>
      <c r="O105" s="464">
        <f t="shared" si="114"/>
        <v>180.37222914300256</v>
      </c>
      <c r="P105" s="465">
        <f t="shared" si="115"/>
        <v>4916.7532922564824</v>
      </c>
      <c r="Q105" s="465">
        <f t="shared" si="74"/>
        <v>13257.934482378099</v>
      </c>
      <c r="R105" s="467">
        <f t="shared" si="75"/>
        <v>1414.8849380858983</v>
      </c>
      <c r="S105" s="464">
        <f t="shared" si="76"/>
        <v>180.37222914300256</v>
      </c>
      <c r="T105" s="465">
        <f t="shared" si="77"/>
        <v>4916.7532922564824</v>
      </c>
      <c r="U105" s="465">
        <f t="shared" si="78"/>
        <v>19769.944941863483</v>
      </c>
    </row>
    <row r="106" spans="1:21">
      <c r="A106">
        <f>'Input data'!A127</f>
        <v>2027</v>
      </c>
      <c r="C106" s="116">
        <f>'4A SWD Case 2'!BG97</f>
        <v>607.75604757227461</v>
      </c>
      <c r="D106" s="3">
        <f>'4B Biological treatment '!T159</f>
        <v>0.78867376999817651</v>
      </c>
      <c r="E106" s="152">
        <f>'4B Biological treatment '!U159</f>
        <v>35.490319649917943</v>
      </c>
      <c r="F106" s="152">
        <f>'4B Biological treatment '!W159</f>
        <v>2.1294191789950765</v>
      </c>
      <c r="G106" s="688">
        <f>'4C2 Open-burning '!R132</f>
        <v>17.628968481544341</v>
      </c>
      <c r="H106" s="688">
        <f>'4C2 Open-burning '!Z132</f>
        <v>5.9316081766013617</v>
      </c>
      <c r="I106" s="688">
        <f>'4C2 Open-burning '!AH132</f>
        <v>8.2577997259508054E-2</v>
      </c>
      <c r="J106" s="93">
        <f>'4D Wastewater treatment and dis'!AV169</f>
        <v>192.88984842661634</v>
      </c>
      <c r="K106" s="3">
        <f>'4D Wastewater treatment and dis'!AW169</f>
        <v>3.2459870116876344</v>
      </c>
      <c r="L106" s="465">
        <f t="shared" si="111"/>
        <v>12762.876999017766</v>
      </c>
      <c r="M106" s="688">
        <f t="shared" si="112"/>
        <v>16.562149169961707</v>
      </c>
      <c r="N106" s="465">
        <f t="shared" si="113"/>
        <v>1405.4166581367504</v>
      </c>
      <c r="O106" s="464">
        <f t="shared" si="114"/>
        <v>167.79191934062044</v>
      </c>
      <c r="P106" s="465">
        <f t="shared" si="115"/>
        <v>5056.9427905821094</v>
      </c>
      <c r="Q106" s="465">
        <f t="shared" si="74"/>
        <v>12762.876999017766</v>
      </c>
      <c r="R106" s="467">
        <f t="shared" si="75"/>
        <v>1421.978807306712</v>
      </c>
      <c r="S106" s="464">
        <f t="shared" si="76"/>
        <v>167.79191934062044</v>
      </c>
      <c r="T106" s="465">
        <f t="shared" si="77"/>
        <v>5056.9427905821094</v>
      </c>
      <c r="U106" s="465">
        <f t="shared" si="78"/>
        <v>19409.590516247208</v>
      </c>
    </row>
    <row r="107" spans="1:21">
      <c r="A107">
        <f>'Input data'!A128</f>
        <v>2028</v>
      </c>
      <c r="C107" s="116">
        <f>'4A SWD Case 2'!BG98</f>
        <v>584.99896636456958</v>
      </c>
      <c r="D107" s="3">
        <f>'4B Biological treatment '!T160</f>
        <v>0.79269523928982233</v>
      </c>
      <c r="E107" s="152">
        <f>'4B Biological treatment '!U160</f>
        <v>35.671285768041997</v>
      </c>
      <c r="F107" s="152">
        <f>'4B Biological treatment '!W160</f>
        <v>2.1402771460825196</v>
      </c>
      <c r="G107" s="688">
        <f>'4C2 Open-burning '!R133</f>
        <v>16.283040293904111</v>
      </c>
      <c r="H107" s="688">
        <f>'4C2 Open-burning '!Z133</f>
        <v>5.4787445475533589</v>
      </c>
      <c r="I107" s="688">
        <f>'4C2 Open-burning '!AH133</f>
        <v>7.6273371194358217E-2</v>
      </c>
      <c r="J107" s="93">
        <f>'4D Wastewater treatment and dis'!AV170</f>
        <v>199.13342125658875</v>
      </c>
      <c r="K107" s="3">
        <f>'4D Wastewater treatment and dis'!AW170</f>
        <v>3.277143433214452</v>
      </c>
      <c r="L107" s="465">
        <f t="shared" si="111"/>
        <v>12284.97829365596</v>
      </c>
      <c r="M107" s="688">
        <f t="shared" si="112"/>
        <v>16.646600025086268</v>
      </c>
      <c r="N107" s="465">
        <f t="shared" si="113"/>
        <v>1412.5829164144629</v>
      </c>
      <c r="O107" s="464">
        <f t="shared" si="114"/>
        <v>154.98142086277571</v>
      </c>
      <c r="P107" s="465">
        <f t="shared" si="115"/>
        <v>5197.7163106848438</v>
      </c>
      <c r="Q107" s="465">
        <f t="shared" si="74"/>
        <v>12284.97829365596</v>
      </c>
      <c r="R107" s="467">
        <f t="shared" si="75"/>
        <v>1429.2295164395491</v>
      </c>
      <c r="S107" s="464">
        <f t="shared" si="76"/>
        <v>154.98142086277571</v>
      </c>
      <c r="T107" s="465">
        <f t="shared" si="77"/>
        <v>5197.7163106848438</v>
      </c>
      <c r="U107" s="465">
        <f t="shared" si="78"/>
        <v>19066.905541643129</v>
      </c>
    </row>
    <row r="108" spans="1:21">
      <c r="A108">
        <f>'Input data'!A129</f>
        <v>2029</v>
      </c>
      <c r="C108" s="116">
        <f>'4A SWD Case 2'!BG99</f>
        <v>562.99066238183423</v>
      </c>
      <c r="D108" s="3">
        <f>'4B Biological treatment '!T161</f>
        <v>0.79803719103544102</v>
      </c>
      <c r="E108" s="152">
        <f>'4B Biological treatment '!U161</f>
        <v>35.911673596594845</v>
      </c>
      <c r="F108" s="152">
        <f>'4B Biological treatment '!W161</f>
        <v>2.1547004157956904</v>
      </c>
      <c r="G108" s="688">
        <f>'4C2 Open-burning '!R134</f>
        <v>14.911497245061883</v>
      </c>
      <c r="H108" s="688">
        <f>'4C2 Open-burning '!Z134</f>
        <v>5.017262301919402</v>
      </c>
      <c r="I108" s="688">
        <f>'4C2 Open-burning '!AH134</f>
        <v>6.984875943972485E-2</v>
      </c>
      <c r="J108" s="93">
        <f>'4D Wastewater treatment and dis'!AV171</f>
        <v>205.4112568711993</v>
      </c>
      <c r="K108" s="3">
        <f>'4D Wastewater treatment and dis'!AW171</f>
        <v>3.307506823676122</v>
      </c>
      <c r="L108" s="465">
        <f t="shared" si="111"/>
        <v>11822.80391001852</v>
      </c>
      <c r="M108" s="688">
        <f t="shared" si="112"/>
        <v>16.758781011744261</v>
      </c>
      <c r="N108" s="465">
        <f t="shared" si="113"/>
        <v>1422.1022744251559</v>
      </c>
      <c r="O108" s="464">
        <f t="shared" si="114"/>
        <v>141.92712101168402</v>
      </c>
      <c r="P108" s="465">
        <f t="shared" si="115"/>
        <v>5338.9635096347838</v>
      </c>
      <c r="Q108" s="465">
        <f t="shared" si="74"/>
        <v>11822.80391001852</v>
      </c>
      <c r="R108" s="467">
        <f t="shared" si="75"/>
        <v>1438.8610554369002</v>
      </c>
      <c r="S108" s="464">
        <f t="shared" si="76"/>
        <v>141.92712101168402</v>
      </c>
      <c r="T108" s="465">
        <f t="shared" si="77"/>
        <v>5338.9635096347838</v>
      </c>
      <c r="U108" s="465">
        <f t="shared" si="78"/>
        <v>18742.555596101887</v>
      </c>
    </row>
    <row r="109" spans="1:21">
      <c r="A109">
        <f>'Input data'!A130</f>
        <v>2030</v>
      </c>
      <c r="C109" s="116">
        <f>'4A SWD Case 2'!BG100</f>
        <v>541.66573681227214</v>
      </c>
      <c r="D109" s="3">
        <f>'4B Biological treatment '!T162</f>
        <v>0.80284285988720328</v>
      </c>
      <c r="E109" s="152">
        <f>'4B Biological treatment '!U162</f>
        <v>36.127928694924137</v>
      </c>
      <c r="F109" s="152">
        <f>'4B Biological treatment '!W162</f>
        <v>2.1676757216954483</v>
      </c>
      <c r="G109" s="688">
        <f>'4C2 Open-burning '!R135</f>
        <v>13.512848243857144</v>
      </c>
      <c r="H109" s="688">
        <f>'4C2 Open-burning '!Z135</f>
        <v>4.5466597331742911</v>
      </c>
      <c r="I109" s="688">
        <f>'4C2 Open-burning '!AH135</f>
        <v>6.3297177393990711E-2</v>
      </c>
      <c r="J109" s="93">
        <f>'4D Wastewater treatment and dis'!AV172</f>
        <v>211.71839988500935</v>
      </c>
      <c r="K109" s="3">
        <f>'4D Wastewater treatment and dis'!AW172</f>
        <v>3.337049334451244</v>
      </c>
      <c r="L109" s="465">
        <f t="shared" si="111"/>
        <v>11374.980473057714</v>
      </c>
      <c r="M109" s="688">
        <f t="shared" si="112"/>
        <v>16.859700057631269</v>
      </c>
      <c r="N109" s="465">
        <f t="shared" si="113"/>
        <v>1430.6659763189959</v>
      </c>
      <c r="O109" s="464">
        <f t="shared" si="114"/>
        <v>128.6148276326544</v>
      </c>
      <c r="P109" s="465">
        <f t="shared" si="115"/>
        <v>5480.5716912650823</v>
      </c>
      <c r="Q109" s="465">
        <f t="shared" si="74"/>
        <v>11374.980473057714</v>
      </c>
      <c r="R109" s="467">
        <f t="shared" si="75"/>
        <v>1447.5256763766272</v>
      </c>
      <c r="S109" s="464">
        <f t="shared" si="76"/>
        <v>128.6148276326544</v>
      </c>
      <c r="T109" s="465">
        <f t="shared" si="77"/>
        <v>5480.5716912650823</v>
      </c>
      <c r="U109" s="465">
        <f t="shared" si="78"/>
        <v>18431.692668332078</v>
      </c>
    </row>
    <row r="110" spans="1:21">
      <c r="A110">
        <f>'Input data'!A131</f>
        <v>2031</v>
      </c>
      <c r="C110" s="116">
        <f>'4A SWD Case 2'!BG101</f>
        <v>520.96154495379517</v>
      </c>
      <c r="D110" s="3">
        <f>'4B Biological treatment '!T163</f>
        <v>0.80853146002406595</v>
      </c>
      <c r="E110" s="152">
        <f>'4B Biological treatment '!U163</f>
        <v>36.383915701082962</v>
      </c>
      <c r="F110" s="152">
        <f>'4B Biological treatment '!W163</f>
        <v>2.1830349420649782</v>
      </c>
      <c r="G110" s="688">
        <f>'4C2 Open-burning '!R136</f>
        <v>11.917018403484036</v>
      </c>
      <c r="H110" s="688">
        <f>'4C2 Open-burning '!Z136</f>
        <v>4.0097118488138817</v>
      </c>
      <c r="I110" s="688">
        <f>'4C2 Open-burning '!AH136</f>
        <v>5.5821956576452142E-2</v>
      </c>
      <c r="J110" s="93">
        <f>'4D Wastewater treatment and dis'!AV173</f>
        <v>213.55394760187275</v>
      </c>
      <c r="K110" s="3">
        <f>'4D Wastewater treatment and dis'!AW173</f>
        <v>3.3659807513249738</v>
      </c>
      <c r="L110" s="465">
        <f t="shared" si="111"/>
        <v>10940.192444029699</v>
      </c>
      <c r="M110" s="688">
        <f t="shared" si="112"/>
        <v>16.979160660505386</v>
      </c>
      <c r="N110" s="465">
        <f t="shared" si="113"/>
        <v>1440.8030617628856</v>
      </c>
      <c r="O110" s="464">
        <f t="shared" si="114"/>
        <v>113.42577376727571</v>
      </c>
      <c r="P110" s="465">
        <f t="shared" si="115"/>
        <v>5528.0869325500698</v>
      </c>
      <c r="Q110" s="465">
        <f t="shared" si="74"/>
        <v>10940.192444029699</v>
      </c>
      <c r="R110" s="467">
        <f t="shared" si="75"/>
        <v>1457.782222423391</v>
      </c>
      <c r="S110" s="464">
        <f t="shared" si="76"/>
        <v>113.42577376727571</v>
      </c>
      <c r="T110" s="465">
        <f t="shared" si="77"/>
        <v>5528.0869325500698</v>
      </c>
      <c r="U110" s="465">
        <f t="shared" si="78"/>
        <v>18039.487372770436</v>
      </c>
    </row>
    <row r="111" spans="1:21">
      <c r="A111">
        <f>'Input data'!A132</f>
        <v>2032</v>
      </c>
      <c r="C111" s="116">
        <f>'4A SWD Case 2'!BG102</f>
        <v>500.69523071307441</v>
      </c>
      <c r="D111" s="3">
        <f>'4B Biological treatment '!T164</f>
        <v>0.81448406966341946</v>
      </c>
      <c r="E111" s="152">
        <f>'4B Biological treatment '!U164</f>
        <v>36.651783134853872</v>
      </c>
      <c r="F111" s="152">
        <f>'4B Biological treatment '!W164</f>
        <v>2.1991069880912324</v>
      </c>
      <c r="G111" s="688">
        <f>'4C2 Open-burning '!R137</f>
        <v>10.332156257114898</v>
      </c>
      <c r="H111" s="688">
        <f>'4C2 Open-burning '!Z137</f>
        <v>3.47645425770577</v>
      </c>
      <c r="I111" s="688">
        <f>'4C2 Open-burning '!AH137</f>
        <v>4.8398110869507877E-2</v>
      </c>
      <c r="J111" s="93">
        <f>'4D Wastewater treatment and dis'!AV174</f>
        <v>215.34941574253997</v>
      </c>
      <c r="K111" s="3">
        <f>'4D Wastewater treatment and dis'!AW174</f>
        <v>3.3942804445358443</v>
      </c>
      <c r="L111" s="465">
        <f t="shared" si="111"/>
        <v>10514.599844974562</v>
      </c>
      <c r="M111" s="688">
        <f t="shared" si="112"/>
        <v>17.10416546293181</v>
      </c>
      <c r="N111" s="465">
        <f t="shared" si="113"/>
        <v>1451.4106121402133</v>
      </c>
      <c r="O111" s="464">
        <f t="shared" si="114"/>
        <v>98.341110038483521</v>
      </c>
      <c r="P111" s="465">
        <f t="shared" si="115"/>
        <v>5574.564668399451</v>
      </c>
      <c r="Q111" s="465">
        <f t="shared" si="74"/>
        <v>10514.599844974562</v>
      </c>
      <c r="R111" s="467">
        <f t="shared" si="75"/>
        <v>1468.5147776031451</v>
      </c>
      <c r="S111" s="464">
        <f t="shared" si="76"/>
        <v>98.341110038483521</v>
      </c>
      <c r="T111" s="465">
        <f t="shared" si="77"/>
        <v>5574.564668399451</v>
      </c>
      <c r="U111" s="465">
        <f t="shared" si="78"/>
        <v>17656.020401015641</v>
      </c>
    </row>
    <row r="112" spans="1:21">
      <c r="A112">
        <f>'Input data'!A133</f>
        <v>2033</v>
      </c>
      <c r="C112" s="116">
        <f>'4A SWD Case 2'!BG103</f>
        <v>480.84268959252665</v>
      </c>
      <c r="D112" s="3">
        <f>'4B Biological treatment '!T165</f>
        <v>0.82148488836538025</v>
      </c>
      <c r="E112" s="152">
        <f>'4B Biological treatment '!U165</f>
        <v>36.966819976442103</v>
      </c>
      <c r="F112" s="152">
        <f>'4B Biological treatment '!W165</f>
        <v>2.2180091985865262</v>
      </c>
      <c r="G112" s="688">
        <f>'4C2 Open-burning '!R138</f>
        <v>10.303044840243603</v>
      </c>
      <c r="H112" s="688">
        <f>'4C2 Open-burning '!Z138</f>
        <v>3.466659157185453</v>
      </c>
      <c r="I112" s="688">
        <f>'4C2 Open-burning '!AH138</f>
        <v>4.8261746537973958E-2</v>
      </c>
      <c r="J112" s="93">
        <f>'4D Wastewater treatment and dis'!AV175</f>
        <v>217.10351529179806</v>
      </c>
      <c r="K112" s="3">
        <f>'4D Wastewater treatment and dis'!AW175</f>
        <v>3.4219280969675285</v>
      </c>
      <c r="L112" s="465">
        <f t="shared" si="111"/>
        <v>10097.696481443059</v>
      </c>
      <c r="M112" s="688">
        <f t="shared" si="112"/>
        <v>17.251182655672984</v>
      </c>
      <c r="N112" s="465">
        <f t="shared" si="113"/>
        <v>1463.8860710671072</v>
      </c>
      <c r="O112" s="464">
        <f t="shared" si="114"/>
        <v>98.064028567910043</v>
      </c>
      <c r="P112" s="465">
        <f t="shared" si="115"/>
        <v>5619.9715311876926</v>
      </c>
      <c r="Q112" s="465">
        <f t="shared" si="74"/>
        <v>10097.696481443059</v>
      </c>
      <c r="R112" s="467">
        <f t="shared" si="75"/>
        <v>1481.1372537227801</v>
      </c>
      <c r="S112" s="464">
        <f t="shared" si="76"/>
        <v>98.064028567910043</v>
      </c>
      <c r="T112" s="465">
        <f t="shared" si="77"/>
        <v>5619.9715311876926</v>
      </c>
      <c r="U112" s="465">
        <f t="shared" si="78"/>
        <v>17296.869294921442</v>
      </c>
    </row>
    <row r="113" spans="1:21">
      <c r="A113">
        <f>'Input data'!A134</f>
        <v>2034</v>
      </c>
      <c r="C113" s="116">
        <f>'4A SWD Case 2'!BG104</f>
        <v>461.96928973398127</v>
      </c>
      <c r="D113" s="3">
        <f>'4B Biological treatment '!T166</f>
        <v>0.82911941686162249</v>
      </c>
      <c r="E113" s="152">
        <f>'4B Biological treatment '!U166</f>
        <v>37.310373758773004</v>
      </c>
      <c r="F113" s="152">
        <f>'4B Biological treatment '!W166</f>
        <v>2.2386224255263802</v>
      </c>
      <c r="G113" s="688">
        <f>'4C2 Open-burning '!R139</f>
        <v>10.275244855123965</v>
      </c>
      <c r="H113" s="688">
        <f>'4C2 Open-burning '!Z139</f>
        <v>3.4573053132995972</v>
      </c>
      <c r="I113" s="688">
        <f>'4C2 Open-burning '!AH139</f>
        <v>4.8131525243550119E-2</v>
      </c>
      <c r="J113" s="93">
        <f>'4D Wastewater treatment and dis'!AV176</f>
        <v>218.81497859921896</v>
      </c>
      <c r="K113" s="3">
        <f>'4D Wastewater treatment and dis'!AW176</f>
        <v>3.4489037282497814</v>
      </c>
      <c r="L113" s="465">
        <f t="shared" si="111"/>
        <v>9701.3550844136062</v>
      </c>
      <c r="M113" s="688">
        <f t="shared" si="112"/>
        <v>17.411507754094071</v>
      </c>
      <c r="N113" s="465">
        <f t="shared" si="113"/>
        <v>1477.4908008474108</v>
      </c>
      <c r="O113" s="464">
        <f t="shared" si="114"/>
        <v>97.799429259916053</v>
      </c>
      <c r="P113" s="465">
        <f t="shared" si="115"/>
        <v>5664.2747063410307</v>
      </c>
      <c r="Q113" s="465">
        <f t="shared" si="74"/>
        <v>9701.3550844136062</v>
      </c>
      <c r="R113" s="467">
        <f t="shared" si="75"/>
        <v>1494.902308601505</v>
      </c>
      <c r="S113" s="464">
        <f t="shared" si="76"/>
        <v>97.799429259916053</v>
      </c>
      <c r="T113" s="465">
        <f t="shared" si="77"/>
        <v>5664.2747063410307</v>
      </c>
      <c r="U113" s="465">
        <f t="shared" si="78"/>
        <v>16958.331528616058</v>
      </c>
    </row>
    <row r="114" spans="1:21">
      <c r="A114">
        <f>'Input data'!A135</f>
        <v>2035</v>
      </c>
      <c r="C114" s="116">
        <f>'4A SWD Case 2'!BG105</f>
        <v>444.02688234680062</v>
      </c>
      <c r="D114" s="3">
        <f>'4B Biological treatment '!T167</f>
        <v>0.83521207767033656</v>
      </c>
      <c r="E114" s="152">
        <f>'4B Biological treatment '!U167</f>
        <v>37.584543495165143</v>
      </c>
      <c r="F114" s="152">
        <f>'4B Biological treatment '!W167</f>
        <v>2.2550726097099085</v>
      </c>
      <c r="G114" s="688">
        <f>'4C2 Open-burning '!R140</f>
        <v>10.24871342765546</v>
      </c>
      <c r="H114" s="688">
        <f>'4C2 Open-burning '!Z140</f>
        <v>3.4483783002259818</v>
      </c>
      <c r="I114" s="688">
        <f>'4C2 Open-burning '!AH140</f>
        <v>4.8007246154442962E-2</v>
      </c>
      <c r="J114" s="93">
        <f>'4D Wastewater treatment and dis'!AV177</f>
        <v>220.48256089388616</v>
      </c>
      <c r="K114" s="3">
        <f>'4D Wastewater treatment and dis'!AW177</f>
        <v>3.4751877186331606</v>
      </c>
      <c r="L114" s="465">
        <f t="shared" si="111"/>
        <v>9324.5645292828121</v>
      </c>
      <c r="M114" s="688">
        <f t="shared" si="112"/>
        <v>17.539453631077066</v>
      </c>
      <c r="N114" s="465">
        <f t="shared" si="113"/>
        <v>1488.3479224085395</v>
      </c>
      <c r="O114" s="464">
        <f t="shared" si="114"/>
        <v>97.546904040278406</v>
      </c>
      <c r="P114" s="465">
        <f t="shared" si="115"/>
        <v>5707.4419715478889</v>
      </c>
      <c r="Q114" s="465">
        <f t="shared" si="74"/>
        <v>9324.5645292828121</v>
      </c>
      <c r="R114" s="467">
        <f t="shared" si="75"/>
        <v>1505.8873760396166</v>
      </c>
      <c r="S114" s="464">
        <f t="shared" si="76"/>
        <v>97.546904040278406</v>
      </c>
      <c r="T114" s="465">
        <f t="shared" si="77"/>
        <v>5707.4419715478889</v>
      </c>
      <c r="U114" s="465">
        <f t="shared" si="78"/>
        <v>16635.440780910598</v>
      </c>
    </row>
    <row r="115" spans="1:21">
      <c r="A115">
        <f>'Input data'!A136</f>
        <v>2036</v>
      </c>
      <c r="C115" s="116">
        <f>'4A SWD Case 2'!BG106</f>
        <v>426.96967036426366</v>
      </c>
      <c r="D115" s="3">
        <f>'4B Biological treatment '!T168</f>
        <v>0.84131256742640637</v>
      </c>
      <c r="E115" s="152">
        <f>'4B Biological treatment '!U168</f>
        <v>37.859065534188282</v>
      </c>
      <c r="F115" s="152">
        <f>'4B Biological treatment '!W168</f>
        <v>2.2715439320512969</v>
      </c>
      <c r="G115" s="688">
        <f>'4C2 Open-burning '!R141</f>
        <v>10.22334284688047</v>
      </c>
      <c r="H115" s="688">
        <f>'4C2 Open-burning '!Z141</f>
        <v>3.4398418765249819</v>
      </c>
      <c r="I115" s="688">
        <f>'4C2 Open-burning '!AH141</f>
        <v>4.7888404728644154E-2</v>
      </c>
      <c r="J115" s="93">
        <f>'4D Wastewater treatment and dis'!AV178</f>
        <v>222.10940607467276</v>
      </c>
      <c r="K115" s="3">
        <f>'4D Wastewater treatment and dis'!AW178</f>
        <v>3.5008296214188772</v>
      </c>
      <c r="L115" s="465">
        <f t="shared" si="111"/>
        <v>8966.3630776495374</v>
      </c>
      <c r="M115" s="688">
        <f t="shared" si="112"/>
        <v>17.667563915954535</v>
      </c>
      <c r="N115" s="465">
        <f t="shared" si="113"/>
        <v>1499.218995153856</v>
      </c>
      <c r="O115" s="464">
        <f t="shared" si="114"/>
        <v>97.305427719784788</v>
      </c>
      <c r="P115" s="465">
        <f t="shared" si="115"/>
        <v>5749.55471020798</v>
      </c>
      <c r="Q115" s="465">
        <f t="shared" si="74"/>
        <v>8966.3630776495374</v>
      </c>
      <c r="R115" s="467">
        <f t="shared" si="75"/>
        <v>1516.8865590698106</v>
      </c>
      <c r="S115" s="464">
        <f t="shared" si="76"/>
        <v>97.305427719784788</v>
      </c>
      <c r="T115" s="465">
        <f t="shared" si="77"/>
        <v>5749.55471020798</v>
      </c>
      <c r="U115" s="465">
        <f t="shared" si="78"/>
        <v>16330.109774647113</v>
      </c>
    </row>
    <row r="116" spans="1:21">
      <c r="A116">
        <f>'Input data'!A137</f>
        <v>2037</v>
      </c>
      <c r="C116" s="116">
        <f>'4A SWD Case 2'!BG107</f>
        <v>412.41885445948105</v>
      </c>
      <c r="D116" s="3">
        <f>'4B Biological treatment '!T169</f>
        <v>0.84845039270708966</v>
      </c>
      <c r="E116" s="152">
        <f>'4B Biological treatment '!U169</f>
        <v>38.180267671819031</v>
      </c>
      <c r="F116" s="152">
        <f>'4B Biological treatment '!W169</f>
        <v>2.2908160603091421</v>
      </c>
      <c r="G116" s="688">
        <f>'4C2 Open-burning '!R142</f>
        <v>10.199097556482885</v>
      </c>
      <c r="H116" s="688">
        <f>'4C2 Open-burning '!Z142</f>
        <v>3.4316840785847926</v>
      </c>
      <c r="I116" s="688">
        <f>'4C2 Open-burning '!AH142</f>
        <v>4.7774834412485048E-2</v>
      </c>
      <c r="J116" s="93">
        <f>'4D Wastewater treatment and dis'!AV179</f>
        <v>223.69441497988231</v>
      </c>
      <c r="K116" s="3">
        <f>'4D Wastewater treatment and dis'!AW179</f>
        <v>3.5258121119114461</v>
      </c>
      <c r="L116" s="465">
        <f t="shared" si="111"/>
        <v>8660.7959436491019</v>
      </c>
      <c r="M116" s="688">
        <f t="shared" si="112"/>
        <v>17.817458246848883</v>
      </c>
      <c r="N116" s="465">
        <f t="shared" si="113"/>
        <v>1511.9385998040336</v>
      </c>
      <c r="O116" s="464">
        <f t="shared" si="114"/>
        <v>97.07466187463389</v>
      </c>
      <c r="P116" s="465">
        <f t="shared" si="115"/>
        <v>5790.5844692700766</v>
      </c>
      <c r="Q116" s="465">
        <f t="shared" si="74"/>
        <v>8660.7959436491019</v>
      </c>
      <c r="R116" s="467">
        <f t="shared" si="75"/>
        <v>1529.7560580508825</v>
      </c>
      <c r="S116" s="464">
        <f t="shared" si="76"/>
        <v>97.07466187463389</v>
      </c>
      <c r="T116" s="465">
        <f t="shared" si="77"/>
        <v>5790.5844692700766</v>
      </c>
      <c r="U116" s="465">
        <f t="shared" si="78"/>
        <v>16078.211132844695</v>
      </c>
    </row>
    <row r="117" spans="1:21">
      <c r="A117">
        <f>'Input data'!A138</f>
        <v>2038</v>
      </c>
      <c r="C117" s="116">
        <f>'4A SWD Case 2'!BG108</f>
        <v>399.35343504142605</v>
      </c>
      <c r="D117" s="3">
        <f>'4B Biological treatment '!T170</f>
        <v>0.85542076550266744</v>
      </c>
      <c r="E117" s="152">
        <f>'4B Biological treatment '!U170</f>
        <v>38.493934447620028</v>
      </c>
      <c r="F117" s="152">
        <f>'4B Biological treatment '!W170</f>
        <v>2.3096360668572018</v>
      </c>
      <c r="G117" s="688">
        <f>'4C2 Open-burning '!R143</f>
        <v>10.17594404302452</v>
      </c>
      <c r="H117" s="688">
        <f>'4C2 Open-burning '!Z143</f>
        <v>3.4238936301594944</v>
      </c>
      <c r="I117" s="688">
        <f>'4C2 Open-burning '!AH143</f>
        <v>4.7666378221590242E-2</v>
      </c>
      <c r="J117" s="93">
        <f>'4D Wastewater treatment and dis'!AV180</f>
        <v>225.23651049489851</v>
      </c>
      <c r="K117" s="3">
        <f>'4D Wastewater treatment and dis'!AW180</f>
        <v>3.5501182129156104</v>
      </c>
      <c r="L117" s="465">
        <f t="shared" si="111"/>
        <v>8386.4221358699469</v>
      </c>
      <c r="M117" s="688">
        <f t="shared" si="112"/>
        <v>17.963836075556017</v>
      </c>
      <c r="N117" s="465">
        <f t="shared" si="113"/>
        <v>1524.359804125753</v>
      </c>
      <c r="O117" s="464">
        <f t="shared" si="114"/>
        <v>96.854287525066866</v>
      </c>
      <c r="P117" s="465">
        <f t="shared" si="115"/>
        <v>5830.5033663967079</v>
      </c>
      <c r="Q117" s="465">
        <f t="shared" si="74"/>
        <v>8386.4221358699469</v>
      </c>
      <c r="R117" s="467">
        <f t="shared" si="75"/>
        <v>1542.323640201309</v>
      </c>
      <c r="S117" s="464">
        <f t="shared" si="76"/>
        <v>96.854287525066866</v>
      </c>
      <c r="T117" s="465">
        <f t="shared" si="77"/>
        <v>5830.5033663967079</v>
      </c>
      <c r="U117" s="465">
        <f t="shared" si="78"/>
        <v>15856.103429993032</v>
      </c>
    </row>
    <row r="118" spans="1:21">
      <c r="A118">
        <f>'Input data'!A139</f>
        <v>2039</v>
      </c>
      <c r="C118" s="116">
        <f>'4A SWD Case 2'!BG109</f>
        <v>387.18831490152093</v>
      </c>
      <c r="D118" s="3">
        <f>'4B Biological treatment '!T171</f>
        <v>0.86289132104596267</v>
      </c>
      <c r="E118" s="152">
        <f>'4B Biological treatment '!U171</f>
        <v>38.830109447068317</v>
      </c>
      <c r="F118" s="152">
        <f>'4B Biological treatment '!W171</f>
        <v>2.3298065668240993</v>
      </c>
      <c r="G118" s="688">
        <f>'4C2 Open-burning '!R144</f>
        <v>10.153850726003599</v>
      </c>
      <c r="H118" s="688">
        <f>'4C2 Open-burning '!Z144</f>
        <v>3.4164599053770854</v>
      </c>
      <c r="I118" s="688">
        <f>'4C2 Open-burning '!AH144</f>
        <v>4.7562888225887029E-2</v>
      </c>
      <c r="J118" s="93">
        <f>'4D Wastewater treatment and dis'!AV181</f>
        <v>226.73463876459027</v>
      </c>
      <c r="K118" s="3">
        <f>'4D Wastewater treatment and dis'!AW181</f>
        <v>3.5737313138459617</v>
      </c>
      <c r="L118" s="465">
        <f t="shared" si="111"/>
        <v>8130.9546129319397</v>
      </c>
      <c r="M118" s="688">
        <f t="shared" si="112"/>
        <v>18.120717741965215</v>
      </c>
      <c r="N118" s="465">
        <f t="shared" si="113"/>
        <v>1537.6723341039055</v>
      </c>
      <c r="O118" s="464">
        <f t="shared" si="114"/>
        <v>96.644004088947369</v>
      </c>
      <c r="P118" s="465">
        <f t="shared" si="115"/>
        <v>5869.2841213486436</v>
      </c>
      <c r="Q118" s="465">
        <f t="shared" si="74"/>
        <v>8130.9546129319397</v>
      </c>
      <c r="R118" s="467">
        <f t="shared" si="75"/>
        <v>1555.7930518458707</v>
      </c>
      <c r="S118" s="464">
        <f t="shared" si="76"/>
        <v>96.644004088947369</v>
      </c>
      <c r="T118" s="465">
        <f t="shared" si="77"/>
        <v>5869.2841213486436</v>
      </c>
      <c r="U118" s="465">
        <f t="shared" si="78"/>
        <v>15652.675790215399</v>
      </c>
    </row>
    <row r="119" spans="1:21">
      <c r="A119">
        <f>'Input data'!A140</f>
        <v>2040</v>
      </c>
      <c r="C119" s="116">
        <f>'4A SWD Case 2'!BG110</f>
        <v>375.88324213424488</v>
      </c>
      <c r="D119" s="3">
        <f>'4B Biological treatment '!T172</f>
        <v>0.87038710319740331</v>
      </c>
      <c r="E119" s="152">
        <f>'4B Biological treatment '!U172</f>
        <v>39.167419643883143</v>
      </c>
      <c r="F119" s="152">
        <f>'4B Biological treatment '!W172</f>
        <v>2.350045178632989</v>
      </c>
      <c r="G119" s="688">
        <f>'4C2 Open-burning '!R145</f>
        <v>10.132787856145702</v>
      </c>
      <c r="H119" s="688">
        <f>'4C2 Open-burning '!Z145</f>
        <v>3.4093728945175119</v>
      </c>
      <c r="I119" s="688">
        <f>'4C2 Open-burning '!AH145</f>
        <v>4.7464225073177692E-2</v>
      </c>
      <c r="J119" s="93">
        <f>'4D Wastewater treatment and dis'!AV182</f>
        <v>228.18777038676492</v>
      </c>
      <c r="K119" s="3">
        <f>'4D Wastewater treatment and dis'!AW182</f>
        <v>3.5966351895378317</v>
      </c>
      <c r="L119" s="465">
        <f t="shared" si="111"/>
        <v>7893.5480848191428</v>
      </c>
      <c r="M119" s="688">
        <f t="shared" si="112"/>
        <v>18.278129167145469</v>
      </c>
      <c r="N119" s="465">
        <f t="shared" si="113"/>
        <v>1551.0298178977725</v>
      </c>
      <c r="O119" s="464">
        <f t="shared" si="114"/>
        <v>96.44352841369853</v>
      </c>
      <c r="P119" s="465">
        <f t="shared" si="115"/>
        <v>5906.9000868787916</v>
      </c>
      <c r="Q119" s="465">
        <f t="shared" si="74"/>
        <v>7893.5480848191428</v>
      </c>
      <c r="R119" s="467">
        <f t="shared" si="75"/>
        <v>1569.3079470649179</v>
      </c>
      <c r="S119" s="464">
        <f t="shared" si="76"/>
        <v>96.44352841369853</v>
      </c>
      <c r="T119" s="465">
        <f t="shared" si="77"/>
        <v>5906.9000868787916</v>
      </c>
      <c r="U119" s="465">
        <f t="shared" si="78"/>
        <v>15466.199647176551</v>
      </c>
    </row>
    <row r="120" spans="1:21">
      <c r="A120">
        <f>'Input data'!A141</f>
        <v>2041</v>
      </c>
      <c r="C120" s="116">
        <f>'4A SWD Case 2'!BG111</f>
        <v>365.39841296205861</v>
      </c>
      <c r="D120" s="3">
        <f>'4B Biological treatment '!T173</f>
        <v>0.8788153999671966</v>
      </c>
      <c r="E120" s="152">
        <f>'4B Biological treatment '!U173</f>
        <v>39.546692998523845</v>
      </c>
      <c r="F120" s="152">
        <f>'4B Biological treatment '!W173</f>
        <v>2.3728015799114308</v>
      </c>
      <c r="G120" s="688">
        <f>'4C2 Open-burning '!R146</f>
        <v>10.112661083887765</v>
      </c>
      <c r="H120" s="688">
        <f>'4C2 Open-burning '!Z146</f>
        <v>3.4026008518413482</v>
      </c>
      <c r="I120" s="688">
        <f>'4C2 Open-burning '!AH146</f>
        <v>4.7369946809188573E-2</v>
      </c>
      <c r="J120" s="93">
        <f>'4D Wastewater treatment and dis'!AV183</f>
        <v>229.59959290353174</v>
      </c>
      <c r="K120" s="3">
        <f>'4D Wastewater treatment and dis'!AW183</f>
        <v>3.6188879620531109</v>
      </c>
      <c r="L120" s="465">
        <f t="shared" si="111"/>
        <v>7673.3666722032312</v>
      </c>
      <c r="M120" s="688">
        <f t="shared" si="112"/>
        <v>18.455123399311127</v>
      </c>
      <c r="N120" s="465">
        <f t="shared" si="113"/>
        <v>1566.0490427415443</v>
      </c>
      <c r="O120" s="464">
        <f t="shared" si="114"/>
        <v>96.251962483404526</v>
      </c>
      <c r="P120" s="465">
        <f t="shared" si="115"/>
        <v>5943.4467192106313</v>
      </c>
      <c r="Q120" s="465">
        <f t="shared" si="74"/>
        <v>7673.3666722032312</v>
      </c>
      <c r="R120" s="467">
        <f t="shared" si="75"/>
        <v>1584.5041661408554</v>
      </c>
      <c r="S120" s="464">
        <f t="shared" si="76"/>
        <v>96.251962483404526</v>
      </c>
      <c r="T120" s="465">
        <f t="shared" si="77"/>
        <v>5943.4467192106313</v>
      </c>
      <c r="U120" s="465">
        <f t="shared" si="78"/>
        <v>15297.569520038121</v>
      </c>
    </row>
    <row r="121" spans="1:21">
      <c r="A121">
        <f>'Input data'!A142</f>
        <v>2042</v>
      </c>
      <c r="C121" s="116">
        <f>'4A SWD Case 2'!BG112</f>
        <v>355.47760923230146</v>
      </c>
      <c r="D121" s="3">
        <f>'4B Biological treatment '!T174</f>
        <v>0.88737635390051506</v>
      </c>
      <c r="E121" s="152">
        <f>'4B Biological treatment '!U174</f>
        <v>39.93193592552317</v>
      </c>
      <c r="F121" s="152">
        <f>'4B Biological treatment '!W174</f>
        <v>2.3959161555313901</v>
      </c>
      <c r="G121" s="688">
        <f>'4C2 Open-burning '!R147</f>
        <v>10.093445941383171</v>
      </c>
      <c r="H121" s="688">
        <f>'4C2 Open-burning '!Z147</f>
        <v>3.3961355446672989</v>
      </c>
      <c r="I121" s="688">
        <f>'4C2 Open-burning '!AH147</f>
        <v>4.7279938821100875E-2</v>
      </c>
      <c r="J121" s="93">
        <f>'4D Wastewater treatment and dis'!AV184</f>
        <v>230.96921515720715</v>
      </c>
      <c r="K121" s="3">
        <f>'4D Wastewater treatment and dis'!AW184</f>
        <v>3.6404755852004582</v>
      </c>
      <c r="L121" s="465">
        <f t="shared" si="111"/>
        <v>7465.0297938783306</v>
      </c>
      <c r="M121" s="688">
        <f t="shared" si="112"/>
        <v>18.634903431910818</v>
      </c>
      <c r="N121" s="465">
        <f t="shared" si="113"/>
        <v>1581.3046626507175</v>
      </c>
      <c r="O121" s="464">
        <f t="shared" si="114"/>
        <v>96.069073413937716</v>
      </c>
      <c r="P121" s="465">
        <f t="shared" si="115"/>
        <v>5978.9009497134921</v>
      </c>
      <c r="Q121" s="465">
        <f t="shared" si="74"/>
        <v>7465.0297938783306</v>
      </c>
      <c r="R121" s="467">
        <f t="shared" si="75"/>
        <v>1599.9395660826283</v>
      </c>
      <c r="S121" s="464">
        <f t="shared" si="76"/>
        <v>96.069073413937716</v>
      </c>
      <c r="T121" s="465">
        <f t="shared" si="77"/>
        <v>5978.9009497134921</v>
      </c>
      <c r="U121" s="465">
        <f t="shared" si="78"/>
        <v>15139.939383088387</v>
      </c>
    </row>
    <row r="122" spans="1:21">
      <c r="A122">
        <f>'Input data'!A143</f>
        <v>2043</v>
      </c>
      <c r="C122" s="116">
        <f>'4A SWD Case 2'!BG113</f>
        <v>346.09228883456154</v>
      </c>
      <c r="D122" s="3">
        <f>'4B Biological treatment '!T175</f>
        <v>0.89615825812586825</v>
      </c>
      <c r="E122" s="152">
        <f>'4B Biological treatment '!U175</f>
        <v>40.327121615664069</v>
      </c>
      <c r="F122" s="152">
        <f>'4B Biological treatment '!W175</f>
        <v>2.4196272969398445</v>
      </c>
      <c r="G122" s="688">
        <f>'4C2 Open-burning '!R148</f>
        <v>10.075119335460961</v>
      </c>
      <c r="H122" s="688">
        <f>'4C2 Open-burning '!Z148</f>
        <v>3.3899692028503452</v>
      </c>
      <c r="I122" s="688">
        <f>'4C2 Open-burning '!AH148</f>
        <v>4.7194092935381321E-2</v>
      </c>
      <c r="J122" s="93">
        <f>'4D Wastewater treatment and dis'!AV185</f>
        <v>232.29576836438369</v>
      </c>
      <c r="K122" s="3">
        <f>'4D Wastewater treatment and dis'!AW185</f>
        <v>3.6613843654459499</v>
      </c>
      <c r="L122" s="465">
        <f t="shared" si="111"/>
        <v>7267.9380655257928</v>
      </c>
      <c r="M122" s="688">
        <f t="shared" si="112"/>
        <v>18.819323420643233</v>
      </c>
      <c r="N122" s="465">
        <f t="shared" si="113"/>
        <v>1596.9540159802973</v>
      </c>
      <c r="O122" s="464">
        <f t="shared" si="114"/>
        <v>95.894641405286421</v>
      </c>
      <c r="P122" s="465">
        <f t="shared" si="115"/>
        <v>6013.240288940302</v>
      </c>
      <c r="Q122" s="465">
        <f t="shared" si="74"/>
        <v>7267.9380655257928</v>
      </c>
      <c r="R122" s="467">
        <f t="shared" si="75"/>
        <v>1615.7733394009406</v>
      </c>
      <c r="S122" s="464">
        <f t="shared" si="76"/>
        <v>95.894641405286421</v>
      </c>
      <c r="T122" s="465">
        <f t="shared" si="77"/>
        <v>6013.240288940302</v>
      </c>
      <c r="U122" s="465">
        <f t="shared" si="78"/>
        <v>14992.846335272321</v>
      </c>
    </row>
    <row r="123" spans="1:21">
      <c r="A123">
        <f>'Input data'!A144</f>
        <v>2044</v>
      </c>
      <c r="C123" s="116">
        <f>'4A SWD Case 2'!BG114</f>
        <v>337.2155690863317</v>
      </c>
      <c r="D123" s="3">
        <f>'4B Biological treatment '!T176</f>
        <v>0.90528115650270891</v>
      </c>
      <c r="E123" s="152">
        <f>'4B Biological treatment '!U176</f>
        <v>40.737652042621896</v>
      </c>
      <c r="F123" s="152">
        <f>'4B Biological treatment '!W176</f>
        <v>2.4442591225573138</v>
      </c>
      <c r="G123" s="688">
        <f>'4C2 Open-burning '!R149</f>
        <v>10.057659483060858</v>
      </c>
      <c r="H123" s="688">
        <f>'4C2 Open-burning '!Z149</f>
        <v>3.3840944970575961</v>
      </c>
      <c r="I123" s="688">
        <f>'4C2 Open-burning '!AH149</f>
        <v>4.7112307115345586E-2</v>
      </c>
      <c r="J123" s="93">
        <f>'4D Wastewater treatment and dis'!AV186</f>
        <v>233.57840703026514</v>
      </c>
      <c r="K123" s="3">
        <f>'4D Wastewater treatment and dis'!AW186</f>
        <v>3.6816009763245785</v>
      </c>
      <c r="L123" s="465">
        <f t="shared" si="111"/>
        <v>7081.5269508129659</v>
      </c>
      <c r="M123" s="688">
        <f t="shared" si="112"/>
        <v>19.010904286556887</v>
      </c>
      <c r="N123" s="465">
        <f t="shared" si="113"/>
        <v>1613.2110208878271</v>
      </c>
      <c r="O123" s="464">
        <f t="shared" si="114"/>
        <v>95.728459127027506</v>
      </c>
      <c r="P123" s="465">
        <f t="shared" si="115"/>
        <v>6046.4428502961873</v>
      </c>
      <c r="Q123" s="465">
        <f t="shared" si="74"/>
        <v>7081.5269508129659</v>
      </c>
      <c r="R123" s="467">
        <f t="shared" si="75"/>
        <v>1632.2219251743841</v>
      </c>
      <c r="S123" s="464">
        <f t="shared" si="76"/>
        <v>95.728459127027506</v>
      </c>
      <c r="T123" s="465">
        <f t="shared" si="77"/>
        <v>6046.4428502961873</v>
      </c>
      <c r="U123" s="465">
        <f t="shared" si="78"/>
        <v>14855.920185410565</v>
      </c>
    </row>
    <row r="124" spans="1:21">
      <c r="A124">
        <f>'Input data'!A145</f>
        <v>2045</v>
      </c>
      <c r="C124" s="116">
        <f>'4A SWD Case 2'!BG115</f>
        <v>328.82217777503234</v>
      </c>
      <c r="D124" s="3">
        <f>'4B Biological treatment '!T177</f>
        <v>0.91478941306605144</v>
      </c>
      <c r="E124" s="152">
        <f>'4B Biological treatment '!U177</f>
        <v>41.165523587972309</v>
      </c>
      <c r="F124" s="152">
        <f>'4B Biological treatment '!W177</f>
        <v>2.4699314152783387</v>
      </c>
      <c r="G124" s="688">
        <f>'4C2 Open-burning '!R150</f>
        <v>10.041045851268189</v>
      </c>
      <c r="H124" s="688">
        <f>'4C2 Open-burning '!Z150</f>
        <v>3.3785045185918898</v>
      </c>
      <c r="I124" s="688">
        <f>'4C2 Open-burning '!AH150</f>
        <v>4.7034485180268579E-2</v>
      </c>
      <c r="J124" s="93">
        <f>'4D Wastewater treatment and dis'!AV187</f>
        <v>234.81630984302805</v>
      </c>
      <c r="K124" s="3">
        <f>'4D Wastewater treatment and dis'!AW187</f>
        <v>3.7011124725369502</v>
      </c>
      <c r="L124" s="465">
        <f t="shared" si="111"/>
        <v>6905.2657332756789</v>
      </c>
      <c r="M124" s="688">
        <f t="shared" si="112"/>
        <v>19.210577674387082</v>
      </c>
      <c r="N124" s="465">
        <f t="shared" si="113"/>
        <v>1630.1547340837035</v>
      </c>
      <c r="O124" s="464">
        <f t="shared" si="114"/>
        <v>95.570331147581143</v>
      </c>
      <c r="P124" s="465">
        <f t="shared" si="115"/>
        <v>6078.4873731900434</v>
      </c>
      <c r="Q124" s="465">
        <f t="shared" si="74"/>
        <v>6905.2657332756789</v>
      </c>
      <c r="R124" s="467">
        <f t="shared" si="75"/>
        <v>1649.3653117580907</v>
      </c>
      <c r="S124" s="464">
        <f t="shared" si="76"/>
        <v>95.570331147581143</v>
      </c>
      <c r="T124" s="465">
        <f t="shared" si="77"/>
        <v>6078.4873731900434</v>
      </c>
      <c r="U124" s="465">
        <f t="shared" si="78"/>
        <v>14728.688749371395</v>
      </c>
    </row>
    <row r="125" spans="1:21">
      <c r="A125">
        <f>'Input data'!A146</f>
        <v>2046</v>
      </c>
      <c r="C125" s="116">
        <f>'4A SWD Case 2'!BG116</f>
        <v>320.88813735607522</v>
      </c>
      <c r="D125" s="3">
        <f>'4B Biological treatment '!T178</f>
        <v>0.92495704097334119</v>
      </c>
      <c r="E125" s="152">
        <f>'4B Biological treatment '!U178</f>
        <v>41.623066843800345</v>
      </c>
      <c r="F125" s="152">
        <f>'4B Biological treatment '!W178</f>
        <v>2.497384010628021</v>
      </c>
      <c r="G125" s="688">
        <f>'4C2 Open-burning '!R151</f>
        <v>10.025256548408834</v>
      </c>
      <c r="H125" s="688">
        <f>'4C2 Open-burning '!Z151</f>
        <v>3.3731919015751064</v>
      </c>
      <c r="I125" s="688">
        <f>'4C2 Open-burning '!AH151</f>
        <v>4.6960524584694623E-2</v>
      </c>
      <c r="J125" s="93">
        <f>'4D Wastewater treatment and dis'!AV188</f>
        <v>236.00887467597451</v>
      </c>
      <c r="K125" s="3">
        <f>'4D Wastewater treatment and dis'!AW188</f>
        <v>3.7199093635215581</v>
      </c>
      <c r="L125" s="465">
        <f t="shared" si="111"/>
        <v>6738.6508844775799</v>
      </c>
      <c r="M125" s="688">
        <f t="shared" si="112"/>
        <v>19.424097860440163</v>
      </c>
      <c r="N125" s="465">
        <f t="shared" si="113"/>
        <v>1648.2734470144937</v>
      </c>
      <c r="O125" s="464">
        <f t="shared" si="114"/>
        <v>95.420049102741402</v>
      </c>
      <c r="P125" s="465">
        <f t="shared" si="115"/>
        <v>6109.3582708871472</v>
      </c>
      <c r="Q125" s="465">
        <f t="shared" si="74"/>
        <v>6738.6508844775799</v>
      </c>
      <c r="R125" s="467">
        <f t="shared" si="75"/>
        <v>1667.697544874934</v>
      </c>
      <c r="S125" s="464">
        <f t="shared" si="76"/>
        <v>95.420049102741402</v>
      </c>
      <c r="T125" s="465">
        <f t="shared" si="77"/>
        <v>6109.3582708871472</v>
      </c>
      <c r="U125" s="465">
        <f t="shared" si="78"/>
        <v>14611.126749342404</v>
      </c>
    </row>
    <row r="126" spans="1:21">
      <c r="A126">
        <f>'Input data'!A147</f>
        <v>2047</v>
      </c>
      <c r="C126" s="116">
        <f>'4A SWD Case 2'!BG117</f>
        <v>313.40199463787116</v>
      </c>
      <c r="D126" s="3">
        <f>'4B Biological treatment '!T179</f>
        <v>0.93127065207409054</v>
      </c>
      <c r="E126" s="152">
        <f>'4B Biological treatment '!U179</f>
        <v>41.907179343334064</v>
      </c>
      <c r="F126" s="152">
        <f>'4B Biological treatment '!W179</f>
        <v>2.5144307606000442</v>
      </c>
      <c r="G126" s="688">
        <f>'4C2 Open-burning '!R152</f>
        <v>10.010273437469358</v>
      </c>
      <c r="H126" s="688">
        <f>'4C2 Open-burning '!Z152</f>
        <v>3.3681505434574968</v>
      </c>
      <c r="I126" s="688">
        <f>'4C2 Open-burning '!AH152</f>
        <v>4.6890340370831285E-2</v>
      </c>
      <c r="J126" s="93">
        <f>'4D Wastewater treatment and dis'!AV189</f>
        <v>237.15533409440715</v>
      </c>
      <c r="K126" s="3">
        <f>'4D Wastewater treatment and dis'!AW189</f>
        <v>3.7379795531759945</v>
      </c>
      <c r="L126" s="465">
        <f t="shared" si="111"/>
        <v>6581.4418873952945</v>
      </c>
      <c r="M126" s="688">
        <f t="shared" si="112"/>
        <v>19.5566836935559</v>
      </c>
      <c r="N126" s="465">
        <f t="shared" si="113"/>
        <v>1659.524301996029</v>
      </c>
      <c r="O126" s="464">
        <f t="shared" si="114"/>
        <v>95.277440365034479</v>
      </c>
      <c r="P126" s="465">
        <f t="shared" si="115"/>
        <v>6139.0356774671081</v>
      </c>
      <c r="Q126" s="465">
        <f t="shared" ref="Q126:Q129" si="116">L126</f>
        <v>6581.4418873952945</v>
      </c>
      <c r="R126" s="467">
        <f t="shared" ref="R126:R129" si="117">M126+N126</f>
        <v>1679.0809856895848</v>
      </c>
      <c r="S126" s="464">
        <f t="shared" ref="S126:S129" si="118">O126</f>
        <v>95.277440365034479</v>
      </c>
      <c r="T126" s="465">
        <f t="shared" ref="T126:T129" si="119">P126</f>
        <v>6139.0356774671081</v>
      </c>
      <c r="U126" s="465">
        <f t="shared" ref="U126:U129" si="120">SUM(Q126:T126)</f>
        <v>14494.835990917021</v>
      </c>
    </row>
    <row r="127" spans="1:21">
      <c r="A127">
        <f>'Input data'!A148</f>
        <v>2048</v>
      </c>
      <c r="C127" s="116">
        <f>'4A SWD Case 2'!BG118</f>
        <v>306.33229753692899</v>
      </c>
      <c r="D127" s="3">
        <f>'4B Biological treatment '!T180</f>
        <v>0.93715236624572396</v>
      </c>
      <c r="E127" s="152">
        <f>'4B Biological treatment '!U180</f>
        <v>42.171856481057574</v>
      </c>
      <c r="F127" s="152">
        <f>'4B Biological treatment '!W180</f>
        <v>2.5303113888634545</v>
      </c>
      <c r="G127" s="688">
        <f>'4C2 Open-burning '!R153</f>
        <v>9.9960794696971682</v>
      </c>
      <c r="H127" s="688">
        <f>'4C2 Open-burning '!Z153</f>
        <v>3.3633747078557672</v>
      </c>
      <c r="I127" s="688">
        <f>'4C2 Open-burning '!AH153</f>
        <v>4.6823852678541139E-2</v>
      </c>
      <c r="J127" s="93">
        <f>'4D Wastewater treatment and dis'!AV190</f>
        <v>238.25494716675203</v>
      </c>
      <c r="K127" s="3">
        <f>'4D Wastewater treatment and dis'!AW190</f>
        <v>3.7553113631330666</v>
      </c>
      <c r="L127" s="465">
        <f t="shared" si="111"/>
        <v>6432.978248275509</v>
      </c>
      <c r="M127" s="688">
        <f t="shared" si="112"/>
        <v>19.680199691160205</v>
      </c>
      <c r="N127" s="465">
        <f t="shared" si="113"/>
        <v>1670.0055166498801</v>
      </c>
      <c r="O127" s="464">
        <f t="shared" si="114"/>
        <v>95.142342665016031</v>
      </c>
      <c r="P127" s="465">
        <f t="shared" si="115"/>
        <v>6167.500413073044</v>
      </c>
      <c r="Q127" s="465">
        <f t="shared" si="116"/>
        <v>6432.978248275509</v>
      </c>
      <c r="R127" s="467">
        <f t="shared" si="117"/>
        <v>1689.6857163410402</v>
      </c>
      <c r="S127" s="464">
        <f t="shared" si="118"/>
        <v>95.142342665016031</v>
      </c>
      <c r="T127" s="465">
        <f t="shared" si="119"/>
        <v>6167.500413073044</v>
      </c>
      <c r="U127" s="465">
        <f t="shared" si="120"/>
        <v>14385.306720354609</v>
      </c>
    </row>
    <row r="128" spans="1:21">
      <c r="A128">
        <f>'Input data'!A149</f>
        <v>2049</v>
      </c>
      <c r="C128" s="116">
        <f>'4A SWD Case 2'!BG119</f>
        <v>299.65725186183056</v>
      </c>
      <c r="D128" s="3">
        <f>'4B Biological treatment '!T181</f>
        <v>0.9430127682828896</v>
      </c>
      <c r="E128" s="152">
        <f>'4B Biological treatment '!U181</f>
        <v>42.435574572730026</v>
      </c>
      <c r="F128" s="152">
        <f>'4B Biological treatment '!W181</f>
        <v>2.5461344743638019</v>
      </c>
      <c r="G128" s="688">
        <f>'4C2 Open-burning '!R154</f>
        <v>9.9826586403990092</v>
      </c>
      <c r="H128" s="688">
        <f>'4C2 Open-burning '!Z154</f>
        <v>3.3588590096806259</v>
      </c>
      <c r="I128" s="688">
        <f>'4C2 Open-burning '!AH154</f>
        <v>4.6760986538292276E-2</v>
      </c>
      <c r="J128" s="93">
        <f>'4D Wastewater treatment and dis'!AV191</f>
        <v>239.30700026005374</v>
      </c>
      <c r="K128" s="3">
        <f>'4D Wastewater treatment and dis'!AW191</f>
        <v>3.7718935452991729</v>
      </c>
      <c r="L128" s="465">
        <f t="shared" si="111"/>
        <v>6292.8022890984421</v>
      </c>
      <c r="M128" s="688">
        <f t="shared" si="112"/>
        <v>19.80326813394068</v>
      </c>
      <c r="N128" s="465">
        <f t="shared" si="113"/>
        <v>1680.4487530801091</v>
      </c>
      <c r="O128" s="464">
        <f t="shared" si="114"/>
        <v>95.014603670562764</v>
      </c>
      <c r="P128" s="465">
        <f t="shared" si="115"/>
        <v>6194.7340045038718</v>
      </c>
      <c r="Q128" s="465">
        <f t="shared" si="116"/>
        <v>6292.8022890984421</v>
      </c>
      <c r="R128" s="467">
        <f t="shared" si="117"/>
        <v>1700.2520212140498</v>
      </c>
      <c r="S128" s="464">
        <f t="shared" si="118"/>
        <v>95.014603670562764</v>
      </c>
      <c r="T128" s="465">
        <f t="shared" si="119"/>
        <v>6194.7340045038718</v>
      </c>
      <c r="U128" s="465">
        <f t="shared" si="120"/>
        <v>14282.802918486927</v>
      </c>
    </row>
    <row r="129" spans="1:21">
      <c r="A129">
        <f>'Input data'!A150</f>
        <v>2050</v>
      </c>
      <c r="C129" s="116">
        <f>'4A SWD Case 2'!BG120</f>
        <v>293.35706397155815</v>
      </c>
      <c r="D129" s="3">
        <f>'4B Biological treatment '!T182</f>
        <v>0.94874268786412896</v>
      </c>
      <c r="E129" s="152">
        <f>'4B Biological treatment '!U182</f>
        <v>42.693420953885806</v>
      </c>
      <c r="F129" s="152">
        <f>'4B Biological treatment '!W182</f>
        <v>2.5616052572331478</v>
      </c>
      <c r="G129" s="688">
        <f>'4C2 Open-burning '!R155</f>
        <v>9.9699959479754288</v>
      </c>
      <c r="H129" s="688">
        <f>'4C2 Open-burning '!Z155</f>
        <v>3.3545984013531376</v>
      </c>
      <c r="I129" s="688">
        <f>'4C2 Open-burning '!AH155</f>
        <v>4.6701671679266518E-2</v>
      </c>
      <c r="J129" s="93">
        <f>'4D Wastewater treatment and dis'!AV192</f>
        <v>240.31080780951893</v>
      </c>
      <c r="K129" s="3">
        <f>'4D Wastewater treatment and dis'!AW192</f>
        <v>3.7877152939836489</v>
      </c>
      <c r="L129" s="465">
        <f t="shared" si="111"/>
        <v>6160.4983434027208</v>
      </c>
      <c r="M129" s="688">
        <f t="shared" si="112"/>
        <v>19.923596445146707</v>
      </c>
      <c r="N129" s="465">
        <f t="shared" si="113"/>
        <v>1690.6594697738778</v>
      </c>
      <c r="O129" s="464">
        <f t="shared" si="114"/>
        <v>94.894080596963946</v>
      </c>
      <c r="P129" s="465">
        <f t="shared" si="115"/>
        <v>6220.7187051348292</v>
      </c>
      <c r="Q129" s="417">
        <f t="shared" si="116"/>
        <v>6160.4983434027208</v>
      </c>
      <c r="R129" s="463">
        <f t="shared" si="117"/>
        <v>1710.5830662190247</v>
      </c>
      <c r="S129" s="460">
        <f t="shared" si="118"/>
        <v>94.894080596963946</v>
      </c>
      <c r="T129" s="417">
        <f t="shared" si="119"/>
        <v>6220.7187051348292</v>
      </c>
      <c r="U129" s="417">
        <f t="shared" si="120"/>
        <v>14186.694195353539</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0.42961305766478691</v>
      </c>
      <c r="E132" s="152">
        <f>'4B Biological treatment '!U185</f>
        <v>24.145634102162916</v>
      </c>
      <c r="F132" s="152">
        <f>'4B Biological treatment '!W185</f>
        <v>1.448738046129775</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9.0218742109605259</v>
      </c>
      <c r="N132" s="465">
        <f t="shared" si="123"/>
        <v>956.16711044565147</v>
      </c>
      <c r="O132" s="464">
        <f t="shared" si="124"/>
        <v>307.81392004196488</v>
      </c>
      <c r="P132" s="465">
        <f t="shared" si="125"/>
        <v>3922.0560748079342</v>
      </c>
      <c r="Q132" s="465">
        <f t="shared" si="126"/>
        <v>16839.898969230198</v>
      </c>
      <c r="R132" s="467">
        <f t="shared" si="127"/>
        <v>965.18898465661198</v>
      </c>
      <c r="S132" s="464">
        <f t="shared" si="128"/>
        <v>307.81392004196488</v>
      </c>
      <c r="T132" s="465">
        <f t="shared" si="129"/>
        <v>3922.0560748079342</v>
      </c>
      <c r="U132" s="465">
        <f t="shared" si="130"/>
        <v>22034.957948736708</v>
      </c>
    </row>
    <row r="133" spans="1:21">
      <c r="A133">
        <f>'Input data'!A120</f>
        <v>2020</v>
      </c>
      <c r="C133" s="116">
        <f>'4A SWD Case 2'!BN90</f>
        <v>782.17625590851571</v>
      </c>
      <c r="D133" s="3">
        <f>'4B Biological treatment '!T186</f>
        <v>0.50040140009795275</v>
      </c>
      <c r="E133" s="152">
        <f>'4B Biological treatment '!U186</f>
        <v>26.21211835115454</v>
      </c>
      <c r="F133" s="152">
        <f>'4B Biological treatment '!W186</f>
        <v>1.5727271010692725</v>
      </c>
      <c r="G133" s="688">
        <f>'4C2 Open-burning '!R125</f>
        <v>31.469339877453482</v>
      </c>
      <c r="H133" s="688">
        <f>'4C2 Open-burning '!Z125</f>
        <v>10.588469423197822</v>
      </c>
      <c r="I133" s="688">
        <f>'4C2 Open-burning '!AH125</f>
        <v>0.14740936571980473</v>
      </c>
      <c r="J133" s="93">
        <f>'4D Wastewater treatment and dis'!AV162</f>
        <v>149.64833972612956</v>
      </c>
      <c r="K133" s="3">
        <f>'4D Wastewater treatment and dis'!AW162</f>
        <v>2.9904262793007734</v>
      </c>
      <c r="L133" s="465">
        <f t="shared" si="121"/>
        <v>16425.701374078832</v>
      </c>
      <c r="M133" s="688">
        <f t="shared" si="122"/>
        <v>10.508429402057008</v>
      </c>
      <c r="N133" s="465">
        <f t="shared" si="123"/>
        <v>1037.9998867057197</v>
      </c>
      <c r="O133" s="464">
        <f t="shared" si="124"/>
        <v>299.52410113774715</v>
      </c>
      <c r="P133" s="465">
        <f t="shared" si="125"/>
        <v>4069.6472808319609</v>
      </c>
      <c r="Q133" s="465">
        <f t="shared" si="126"/>
        <v>16425.701374078832</v>
      </c>
      <c r="R133" s="467">
        <f t="shared" si="127"/>
        <v>1048.5083161077769</v>
      </c>
      <c r="S133" s="464">
        <f t="shared" si="128"/>
        <v>299.52410113774715</v>
      </c>
      <c r="T133" s="465">
        <f t="shared" si="129"/>
        <v>4069.6472808319609</v>
      </c>
      <c r="U133" s="465">
        <f t="shared" si="130"/>
        <v>21843.381072156317</v>
      </c>
    </row>
    <row r="134" spans="1:21">
      <c r="A134">
        <f>'Input data'!A121</f>
        <v>2021</v>
      </c>
      <c r="C134" s="116">
        <f>'4A SWD Case 2'!BN91</f>
        <v>761.15749672188588</v>
      </c>
      <c r="D134" s="3">
        <f>'4B Biological treatment '!T187</f>
        <v>0.65482945907093093</v>
      </c>
      <c r="E134" s="152">
        <f>'4B Biological treatment '!U187</f>
        <v>31.799711006813553</v>
      </c>
      <c r="F134" s="152">
        <f>'4B Biological treatment '!W187</f>
        <v>1.9079826604088135</v>
      </c>
      <c r="G134" s="688">
        <f>'4C2 Open-burning '!R126</f>
        <v>28.909376284113982</v>
      </c>
      <c r="H134" s="688">
        <f>'4C2 Open-burning '!Z126</f>
        <v>9.7271200482782856</v>
      </c>
      <c r="I134" s="688">
        <f>'4C2 Open-burning '!AH126</f>
        <v>0.13541792862485846</v>
      </c>
      <c r="J134" s="93">
        <f>'4D Wastewater treatment and dis'!AV163</f>
        <v>155.85667833447528</v>
      </c>
      <c r="K134" s="3">
        <f>'4D Wastewater treatment and dis'!AW163</f>
        <v>3.0332514902049907</v>
      </c>
      <c r="L134" s="465">
        <f t="shared" si="121"/>
        <v>15984.307431159603</v>
      </c>
      <c r="M134" s="688">
        <f t="shared" si="122"/>
        <v>13.75141864048955</v>
      </c>
      <c r="N134" s="465">
        <f t="shared" si="123"/>
        <v>1259.2685558698167</v>
      </c>
      <c r="O134" s="464">
        <f t="shared" si="124"/>
        <v>275.15845517166412</v>
      </c>
      <c r="P134" s="465">
        <f t="shared" si="125"/>
        <v>4213.2982069875279</v>
      </c>
      <c r="Q134" s="465">
        <f t="shared" si="126"/>
        <v>15984.307431159603</v>
      </c>
      <c r="R134" s="467">
        <f t="shared" si="127"/>
        <v>1273.0199745103064</v>
      </c>
      <c r="S134" s="464">
        <f t="shared" si="128"/>
        <v>275.15845517166412</v>
      </c>
      <c r="T134" s="465">
        <f t="shared" si="129"/>
        <v>4213.2982069875279</v>
      </c>
      <c r="U134" s="465">
        <f t="shared" si="130"/>
        <v>21745.7840678291</v>
      </c>
    </row>
    <row r="135" spans="1:21">
      <c r="A135">
        <f>'Input data'!A122</f>
        <v>2022</v>
      </c>
      <c r="C135" s="116">
        <f>'4A SWD Case 2'!BN92</f>
        <v>735.28145571722462</v>
      </c>
      <c r="D135" s="3">
        <f>'4B Biological treatment '!T188</f>
        <v>0.76691060117424481</v>
      </c>
      <c r="E135" s="152">
        <f>'4B Biological treatment '!U188</f>
        <v>34.510977052841014</v>
      </c>
      <c r="F135" s="152">
        <f>'4B Biological treatment '!W188</f>
        <v>2.0706586231704609</v>
      </c>
      <c r="G135" s="688">
        <f>'4C2 Open-burning '!R127</f>
        <v>24.037894382919749</v>
      </c>
      <c r="H135" s="688">
        <f>'4C2 Open-burning '!Z127</f>
        <v>8.0880155307598613</v>
      </c>
      <c r="I135" s="688">
        <f>'4C2 Open-burning '!AH127</f>
        <v>0.11259882724024245</v>
      </c>
      <c r="J135" s="93">
        <f>'4D Wastewater treatment and dis'!AV164</f>
        <v>162.06331142984905</v>
      </c>
      <c r="K135" s="3">
        <f>'4D Wastewater treatment and dis'!AW164</f>
        <v>3.0738670955972056</v>
      </c>
      <c r="L135" s="465">
        <f t="shared" si="121"/>
        <v>15440.910570061716</v>
      </c>
      <c r="M135" s="688">
        <f t="shared" si="122"/>
        <v>16.105122624659142</v>
      </c>
      <c r="N135" s="465">
        <f t="shared" si="123"/>
        <v>1366.6346912925042</v>
      </c>
      <c r="O135" s="464">
        <f t="shared" si="124"/>
        <v>228.791856973352</v>
      </c>
      <c r="P135" s="465">
        <f t="shared" si="125"/>
        <v>4356.2283396619641</v>
      </c>
      <c r="Q135" s="465">
        <f t="shared" si="126"/>
        <v>15440.910570061716</v>
      </c>
      <c r="R135" s="467">
        <f t="shared" si="127"/>
        <v>1382.7398139171632</v>
      </c>
      <c r="S135" s="464">
        <f t="shared" si="128"/>
        <v>228.791856973352</v>
      </c>
      <c r="T135" s="465">
        <f t="shared" si="129"/>
        <v>4356.2283396619641</v>
      </c>
      <c r="U135" s="465">
        <f t="shared" si="130"/>
        <v>21408.670580614194</v>
      </c>
    </row>
    <row r="136" spans="1:21">
      <c r="A136">
        <f>'Input data'!A123</f>
        <v>2023</v>
      </c>
      <c r="C136" s="116">
        <f>'4A SWD Case 2'!BN93</f>
        <v>707.68693761311181</v>
      </c>
      <c r="D136" s="3">
        <f>'4B Biological treatment '!T189</f>
        <v>0.77139963259962596</v>
      </c>
      <c r="E136" s="152">
        <f>'4B Biological treatment '!U189</f>
        <v>34.712983466983161</v>
      </c>
      <c r="F136" s="152">
        <f>'4B Biological treatment '!W189</f>
        <v>2.0827790080189899</v>
      </c>
      <c r="G136" s="688">
        <f>'4C2 Open-burning '!R128</f>
        <v>22.789154809802163</v>
      </c>
      <c r="H136" s="688">
        <f>'4C2 Open-burning '!Z128</f>
        <v>7.667852895033084</v>
      </c>
      <c r="I136" s="688">
        <f>'4C2 Open-burning '!AH128</f>
        <v>0.1067494541952627</v>
      </c>
      <c r="J136" s="93">
        <f>'4D Wastewater treatment and dis'!AV165</f>
        <v>168.25355707093811</v>
      </c>
      <c r="K136" s="3">
        <f>'4D Wastewater treatment and dis'!AW165</f>
        <v>3.1121658543941133</v>
      </c>
      <c r="L136" s="465">
        <f t="shared" si="121"/>
        <v>14861.425689875348</v>
      </c>
      <c r="M136" s="688">
        <f t="shared" si="122"/>
        <v>16.199392284592147</v>
      </c>
      <c r="N136" s="465">
        <f t="shared" si="123"/>
        <v>1374.634145292533</v>
      </c>
      <c r="O136" s="464">
        <f t="shared" si="124"/>
        <v>216.90639640602836</v>
      </c>
      <c r="P136" s="465">
        <f t="shared" si="125"/>
        <v>4498.0961133518758</v>
      </c>
      <c r="Q136" s="465">
        <f t="shared" si="126"/>
        <v>14861.425689875348</v>
      </c>
      <c r="R136" s="467">
        <f t="shared" si="127"/>
        <v>1390.8335375771253</v>
      </c>
      <c r="S136" s="464">
        <f t="shared" si="128"/>
        <v>216.90639640602836</v>
      </c>
      <c r="T136" s="465">
        <f t="shared" si="129"/>
        <v>4498.0961133518758</v>
      </c>
      <c r="U136" s="465">
        <f t="shared" si="130"/>
        <v>20967.261737210378</v>
      </c>
    </row>
    <row r="137" spans="1:21">
      <c r="A137">
        <f>'Input data'!A124</f>
        <v>2024</v>
      </c>
      <c r="C137" s="116">
        <f>'4A SWD Case 2'!BN94</f>
        <v>681.21854550330181</v>
      </c>
      <c r="D137" s="3">
        <f>'4B Biological treatment '!T190</f>
        <v>0.77621704487242149</v>
      </c>
      <c r="E137" s="152">
        <f>'4B Biological treatment '!U190</f>
        <v>34.929767019258961</v>
      </c>
      <c r="F137" s="152">
        <f>'4B Biological treatment '!W190</f>
        <v>2.0957860211555377</v>
      </c>
      <c r="G137" s="688">
        <f>'4C2 Open-burning '!R129</f>
        <v>21.527094494314703</v>
      </c>
      <c r="H137" s="688">
        <f>'4C2 Open-burning '!Z129</f>
        <v>7.2432082373183331</v>
      </c>
      <c r="I137" s="688">
        <f>'4C2 Open-burning '!AH129</f>
        <v>0.10083768383939856</v>
      </c>
      <c r="J137" s="93">
        <f>'4D Wastewater treatment and dis'!AV166</f>
        <v>174.41243169580983</v>
      </c>
      <c r="K137" s="3">
        <f>'4D Wastewater treatment and dis'!AW166</f>
        <v>3.1480454582573771</v>
      </c>
      <c r="L137" s="465">
        <f t="shared" si="121"/>
        <v>14305.589455569338</v>
      </c>
      <c r="M137" s="688">
        <f t="shared" si="122"/>
        <v>16.30055794232085</v>
      </c>
      <c r="N137" s="465">
        <f t="shared" si="123"/>
        <v>1383.2187739626547</v>
      </c>
      <c r="O137" s="464">
        <f t="shared" si="124"/>
        <v>204.89414946821324</v>
      </c>
      <c r="P137" s="465">
        <f t="shared" si="125"/>
        <v>4638.5551576717935</v>
      </c>
      <c r="Q137" s="465">
        <f t="shared" si="126"/>
        <v>14305.589455569338</v>
      </c>
      <c r="R137" s="467">
        <f t="shared" si="127"/>
        <v>1399.5193319049756</v>
      </c>
      <c r="S137" s="464">
        <f t="shared" si="128"/>
        <v>204.89414946821324</v>
      </c>
      <c r="T137" s="465">
        <f t="shared" si="129"/>
        <v>4638.5551576717935</v>
      </c>
      <c r="U137" s="465">
        <f t="shared" si="130"/>
        <v>20548.55809461432</v>
      </c>
    </row>
    <row r="138" spans="1:21">
      <c r="A138">
        <f>'Input data'!A125</f>
        <v>2025</v>
      </c>
      <c r="C138" s="116">
        <f>'4A SWD Case 2'!BN95</f>
        <v>655.79284113322274</v>
      </c>
      <c r="D138" s="3">
        <f>'4B Biological treatment '!T191</f>
        <v>0.78077653682400283</v>
      </c>
      <c r="E138" s="152">
        <f>'4B Biological treatment '!U191</f>
        <v>35.134944157080128</v>
      </c>
      <c r="F138" s="152">
        <f>'4B Biological treatment '!W191</f>
        <v>2.1080966494248075</v>
      </c>
      <c r="G138" s="688">
        <f>'4C2 Open-burning '!R130</f>
        <v>20.249645780164677</v>
      </c>
      <c r="H138" s="688">
        <f>'4C2 Open-burning '!Z130</f>
        <v>6.8133858545751886</v>
      </c>
      <c r="I138" s="688">
        <f>'4C2 Open-burning '!AH130</f>
        <v>9.4853830812111184E-2</v>
      </c>
      <c r="J138" s="93">
        <f>'4D Wastewater treatment and dis'!AV167</f>
        <v>180.52470879640688</v>
      </c>
      <c r="K138" s="3">
        <f>'4D Wastewater treatment and dis'!AW167</f>
        <v>3.1814089830873744</v>
      </c>
      <c r="L138" s="465">
        <f t="shared" si="121"/>
        <v>13771.649663797678</v>
      </c>
      <c r="M138" s="688">
        <f t="shared" si="122"/>
        <v>16.39630727330406</v>
      </c>
      <c r="N138" s="465">
        <f t="shared" si="123"/>
        <v>1391.3437886203728</v>
      </c>
      <c r="O138" s="464">
        <f t="shared" si="124"/>
        <v>192.73543627799813</v>
      </c>
      <c r="P138" s="465">
        <f t="shared" si="125"/>
        <v>4777.2556694816303</v>
      </c>
      <c r="Q138" s="465">
        <f t="shared" si="126"/>
        <v>13771.649663797678</v>
      </c>
      <c r="R138" s="467">
        <f t="shared" si="127"/>
        <v>1407.7400958936769</v>
      </c>
      <c r="S138" s="464">
        <f t="shared" si="128"/>
        <v>192.73543627799813</v>
      </c>
      <c r="T138" s="465">
        <f t="shared" si="129"/>
        <v>4777.2556694816303</v>
      </c>
      <c r="U138" s="465">
        <f t="shared" si="130"/>
        <v>20149.380865450985</v>
      </c>
    </row>
    <row r="139" spans="1:21">
      <c r="A139">
        <f>'Input data'!A126</f>
        <v>2026</v>
      </c>
      <c r="C139" s="116">
        <f>'4A SWD Case 2'!BN96</f>
        <v>631.33021344657618</v>
      </c>
      <c r="D139" s="3">
        <f>'4B Biological treatment '!T192</f>
        <v>0.78473928901048162</v>
      </c>
      <c r="E139" s="152">
        <f>'4B Biological treatment '!U192</f>
        <v>35.31326800547167</v>
      </c>
      <c r="F139" s="152">
        <f>'4B Biological treatment '!W192</f>
        <v>2.1187960803283001</v>
      </c>
      <c r="G139" s="688">
        <f>'4C2 Open-burning '!R131</f>
        <v>18.950712018812336</v>
      </c>
      <c r="H139" s="688">
        <f>'4C2 Open-burning '!Z131</f>
        <v>6.3763344112211904</v>
      </c>
      <c r="I139" s="688">
        <f>'4C2 Open-burning '!AH131</f>
        <v>8.8769337059823317E-2</v>
      </c>
      <c r="J139" s="93">
        <f>'4D Wastewater treatment and dis'!AV168</f>
        <v>186.68537416219561</v>
      </c>
      <c r="K139" s="3">
        <f>'4D Wastewater treatment and dis'!AW168</f>
        <v>3.2140659188721759</v>
      </c>
      <c r="L139" s="465">
        <f t="shared" si="121"/>
        <v>13257.934482378099</v>
      </c>
      <c r="M139" s="688">
        <f t="shared" si="122"/>
        <v>16.479525069220113</v>
      </c>
      <c r="N139" s="465">
        <f t="shared" si="123"/>
        <v>1398.4054130166783</v>
      </c>
      <c r="O139" s="464">
        <f t="shared" si="124"/>
        <v>180.37222914300256</v>
      </c>
      <c r="P139" s="465">
        <f t="shared" si="125"/>
        <v>4916.7532922564824</v>
      </c>
      <c r="Q139" s="465">
        <f t="shared" si="126"/>
        <v>13257.934482378099</v>
      </c>
      <c r="R139" s="467">
        <f t="shared" si="127"/>
        <v>1414.8849380858983</v>
      </c>
      <c r="S139" s="464">
        <f t="shared" si="128"/>
        <v>180.37222914300256</v>
      </c>
      <c r="T139" s="465">
        <f t="shared" si="129"/>
        <v>4916.7532922564824</v>
      </c>
      <c r="U139" s="465">
        <f t="shared" si="130"/>
        <v>19769.944941863483</v>
      </c>
    </row>
    <row r="140" spans="1:21">
      <c r="A140">
        <f>'Input data'!A127</f>
        <v>2027</v>
      </c>
      <c r="C140" s="116">
        <f>'4A SWD Case 2'!BN97</f>
        <v>607.75604757227461</v>
      </c>
      <c r="D140" s="3">
        <f>'4B Biological treatment '!T193</f>
        <v>0.78867376999817651</v>
      </c>
      <c r="E140" s="152">
        <f>'4B Biological treatment '!U193</f>
        <v>35.490319649917943</v>
      </c>
      <c r="F140" s="152">
        <f>'4B Biological treatment '!W193</f>
        <v>2.1294191789950765</v>
      </c>
      <c r="G140" s="688">
        <f>'4C2 Open-burning '!R132</f>
        <v>17.628968481544341</v>
      </c>
      <c r="H140" s="688">
        <f>'4C2 Open-burning '!Z132</f>
        <v>5.9316081766013617</v>
      </c>
      <c r="I140" s="688">
        <f>'4C2 Open-burning '!AH132</f>
        <v>8.2577997259508054E-2</v>
      </c>
      <c r="J140" s="93">
        <f>'4D Wastewater treatment and dis'!AV169</f>
        <v>192.88984842661634</v>
      </c>
      <c r="K140" s="3">
        <f>'4D Wastewater treatment and dis'!AW169</f>
        <v>3.2459870116876344</v>
      </c>
      <c r="L140" s="465">
        <f t="shared" si="121"/>
        <v>12762.876999017766</v>
      </c>
      <c r="M140" s="688">
        <f t="shared" si="122"/>
        <v>16.562149169961707</v>
      </c>
      <c r="N140" s="465">
        <f t="shared" si="123"/>
        <v>1405.4166581367504</v>
      </c>
      <c r="O140" s="464">
        <f t="shared" si="124"/>
        <v>167.79191934062044</v>
      </c>
      <c r="P140" s="465">
        <f t="shared" si="125"/>
        <v>5056.9427905821094</v>
      </c>
      <c r="Q140" s="465">
        <f t="shared" si="126"/>
        <v>12762.876999017766</v>
      </c>
      <c r="R140" s="467">
        <f t="shared" si="127"/>
        <v>1421.978807306712</v>
      </c>
      <c r="S140" s="464">
        <f t="shared" si="128"/>
        <v>167.79191934062044</v>
      </c>
      <c r="T140" s="465">
        <f t="shared" si="129"/>
        <v>5056.9427905821094</v>
      </c>
      <c r="U140" s="465">
        <f t="shared" si="130"/>
        <v>19409.590516247208</v>
      </c>
    </row>
    <row r="141" spans="1:21">
      <c r="A141">
        <f>'Input data'!A128</f>
        <v>2028</v>
      </c>
      <c r="C141" s="116">
        <f>'4A SWD Case 2'!BN98</f>
        <v>584.99896636456958</v>
      </c>
      <c r="D141" s="3">
        <f>'4B Biological treatment '!T194</f>
        <v>0.79269523928982233</v>
      </c>
      <c r="E141" s="152">
        <f>'4B Biological treatment '!U194</f>
        <v>35.671285768041997</v>
      </c>
      <c r="F141" s="152">
        <f>'4B Biological treatment '!W194</f>
        <v>2.1402771460825196</v>
      </c>
      <c r="G141" s="688">
        <f>'4C2 Open-burning '!R133</f>
        <v>16.283040293904111</v>
      </c>
      <c r="H141" s="688">
        <f>'4C2 Open-burning '!Z133</f>
        <v>5.4787445475533589</v>
      </c>
      <c r="I141" s="688">
        <f>'4C2 Open-burning '!AH133</f>
        <v>7.6273371194358217E-2</v>
      </c>
      <c r="J141" s="93">
        <f>'4D Wastewater treatment and dis'!AV170</f>
        <v>199.13342125658875</v>
      </c>
      <c r="K141" s="3">
        <f>'4D Wastewater treatment and dis'!AW170</f>
        <v>3.277143433214452</v>
      </c>
      <c r="L141" s="465">
        <f t="shared" si="121"/>
        <v>12284.97829365596</v>
      </c>
      <c r="M141" s="688">
        <f t="shared" si="122"/>
        <v>16.646600025086268</v>
      </c>
      <c r="N141" s="465">
        <f t="shared" si="123"/>
        <v>1412.5829164144629</v>
      </c>
      <c r="O141" s="464">
        <f t="shared" si="124"/>
        <v>154.98142086277571</v>
      </c>
      <c r="P141" s="465">
        <f t="shared" si="125"/>
        <v>5197.7163106848438</v>
      </c>
      <c r="Q141" s="465">
        <f t="shared" si="126"/>
        <v>12284.97829365596</v>
      </c>
      <c r="R141" s="467">
        <f t="shared" si="127"/>
        <v>1429.2295164395491</v>
      </c>
      <c r="S141" s="464">
        <f t="shared" si="128"/>
        <v>154.98142086277571</v>
      </c>
      <c r="T141" s="465">
        <f t="shared" si="129"/>
        <v>5197.7163106848438</v>
      </c>
      <c r="U141" s="465">
        <f t="shared" si="130"/>
        <v>19066.905541643129</v>
      </c>
    </row>
    <row r="142" spans="1:21">
      <c r="A142">
        <f>'Input data'!A129</f>
        <v>2029</v>
      </c>
      <c r="C142" s="116">
        <f>'4A SWD Case 2'!BN99</f>
        <v>562.99066238183423</v>
      </c>
      <c r="D142" s="3">
        <f>'4B Biological treatment '!T195</f>
        <v>0.79803719103544102</v>
      </c>
      <c r="E142" s="152">
        <f>'4B Biological treatment '!U195</f>
        <v>35.911673596594845</v>
      </c>
      <c r="F142" s="152">
        <f>'4B Biological treatment '!W195</f>
        <v>2.1547004157956904</v>
      </c>
      <c r="G142" s="688">
        <f>'4C2 Open-burning '!R134</f>
        <v>14.911497245061883</v>
      </c>
      <c r="H142" s="688">
        <f>'4C2 Open-burning '!Z134</f>
        <v>5.017262301919402</v>
      </c>
      <c r="I142" s="688">
        <f>'4C2 Open-burning '!AH134</f>
        <v>6.984875943972485E-2</v>
      </c>
      <c r="J142" s="93">
        <f>'4D Wastewater treatment and dis'!AV171</f>
        <v>205.4112568711993</v>
      </c>
      <c r="K142" s="3">
        <f>'4D Wastewater treatment and dis'!AW171</f>
        <v>3.307506823676122</v>
      </c>
      <c r="L142" s="465">
        <f t="shared" si="121"/>
        <v>11822.80391001852</v>
      </c>
      <c r="M142" s="688">
        <f t="shared" si="122"/>
        <v>16.758781011744261</v>
      </c>
      <c r="N142" s="465">
        <f t="shared" si="123"/>
        <v>1422.1022744251559</v>
      </c>
      <c r="O142" s="464">
        <f t="shared" si="124"/>
        <v>141.92712101168402</v>
      </c>
      <c r="P142" s="465">
        <f t="shared" si="125"/>
        <v>5338.9635096347838</v>
      </c>
      <c r="Q142" s="465">
        <f t="shared" si="126"/>
        <v>11822.80391001852</v>
      </c>
      <c r="R142" s="467">
        <f t="shared" si="127"/>
        <v>1438.8610554369002</v>
      </c>
      <c r="S142" s="464">
        <f t="shared" si="128"/>
        <v>141.92712101168402</v>
      </c>
      <c r="T142" s="465">
        <f t="shared" si="129"/>
        <v>5338.9635096347838</v>
      </c>
      <c r="U142" s="465">
        <f t="shared" si="130"/>
        <v>18742.555596101887</v>
      </c>
    </row>
    <row r="143" spans="1:21">
      <c r="A143">
        <f>'Input data'!A130</f>
        <v>2030</v>
      </c>
      <c r="C143" s="116">
        <f>'4A SWD Case 2'!BN100</f>
        <v>541.66573681227214</v>
      </c>
      <c r="D143" s="3">
        <f>'4B Biological treatment '!T196</f>
        <v>0.80284285988720328</v>
      </c>
      <c r="E143" s="152">
        <f>'4B Biological treatment '!U196</f>
        <v>36.127928694924137</v>
      </c>
      <c r="F143" s="152">
        <f>'4B Biological treatment '!W196</f>
        <v>2.1676757216954483</v>
      </c>
      <c r="G143" s="688">
        <f>'4C2 Open-burning '!R135</f>
        <v>13.512848243857144</v>
      </c>
      <c r="H143" s="688">
        <f>'4C2 Open-burning '!Z135</f>
        <v>4.5466597331742911</v>
      </c>
      <c r="I143" s="688">
        <f>'4C2 Open-burning '!AH135</f>
        <v>6.3297177393990711E-2</v>
      </c>
      <c r="J143" s="93">
        <f>'4D Wastewater treatment and dis'!AV172</f>
        <v>211.71839988500935</v>
      </c>
      <c r="K143" s="3">
        <f>'4D Wastewater treatment and dis'!AW172</f>
        <v>3.337049334451244</v>
      </c>
      <c r="L143" s="465">
        <f t="shared" si="121"/>
        <v>11374.980473057714</v>
      </c>
      <c r="M143" s="688">
        <f t="shared" si="122"/>
        <v>16.859700057631269</v>
      </c>
      <c r="N143" s="465">
        <f t="shared" si="123"/>
        <v>1430.6659763189959</v>
      </c>
      <c r="O143" s="464">
        <f t="shared" si="124"/>
        <v>128.6148276326544</v>
      </c>
      <c r="P143" s="465">
        <f t="shared" si="125"/>
        <v>5480.5716912650823</v>
      </c>
      <c r="Q143" s="465">
        <f t="shared" si="126"/>
        <v>11374.980473057714</v>
      </c>
      <c r="R143" s="467">
        <f t="shared" si="127"/>
        <v>1447.5256763766272</v>
      </c>
      <c r="S143" s="464">
        <f t="shared" si="128"/>
        <v>128.6148276326544</v>
      </c>
      <c r="T143" s="465">
        <f t="shared" si="129"/>
        <v>5480.5716912650823</v>
      </c>
      <c r="U143" s="465">
        <f t="shared" si="130"/>
        <v>18431.692668332078</v>
      </c>
    </row>
    <row r="144" spans="1:21">
      <c r="A144">
        <f>'Input data'!A131</f>
        <v>2031</v>
      </c>
      <c r="C144" s="116">
        <f>'4A SWD Case 2'!BN101</f>
        <v>520.96154495379517</v>
      </c>
      <c r="D144" s="3">
        <f>'4B Biological treatment '!T197</f>
        <v>0.80853146002406595</v>
      </c>
      <c r="E144" s="152">
        <f>'4B Biological treatment '!U197</f>
        <v>36.383915701082962</v>
      </c>
      <c r="F144" s="152">
        <f>'4B Biological treatment '!W197</f>
        <v>2.1830349420649782</v>
      </c>
      <c r="G144" s="688">
        <f>'4C2 Open-burning '!R136</f>
        <v>11.917018403484036</v>
      </c>
      <c r="H144" s="688">
        <f>'4C2 Open-burning '!Z136</f>
        <v>4.0097118488138817</v>
      </c>
      <c r="I144" s="688">
        <f>'4C2 Open-burning '!AH136</f>
        <v>5.5821956576452142E-2</v>
      </c>
      <c r="J144" s="93">
        <f>'4D Wastewater treatment and dis'!AV173</f>
        <v>213.55394760187275</v>
      </c>
      <c r="K144" s="3">
        <f>'4D Wastewater treatment and dis'!AW173</f>
        <v>3.3659807513249738</v>
      </c>
      <c r="L144" s="465">
        <f t="shared" si="121"/>
        <v>10940.192444029699</v>
      </c>
      <c r="M144" s="688">
        <f t="shared" si="122"/>
        <v>16.979160660505386</v>
      </c>
      <c r="N144" s="465">
        <f t="shared" si="123"/>
        <v>1440.8030617628856</v>
      </c>
      <c r="O144" s="464">
        <f t="shared" si="124"/>
        <v>113.42577376727571</v>
      </c>
      <c r="P144" s="465">
        <f t="shared" si="125"/>
        <v>5528.0869325500698</v>
      </c>
      <c r="Q144" s="465">
        <f t="shared" si="126"/>
        <v>10940.192444029699</v>
      </c>
      <c r="R144" s="467">
        <f t="shared" si="127"/>
        <v>1457.782222423391</v>
      </c>
      <c r="S144" s="464">
        <f t="shared" si="128"/>
        <v>113.42577376727571</v>
      </c>
      <c r="T144" s="465">
        <f t="shared" si="129"/>
        <v>5528.0869325500698</v>
      </c>
      <c r="U144" s="465">
        <f t="shared" si="130"/>
        <v>18039.487372770436</v>
      </c>
    </row>
    <row r="145" spans="1:21">
      <c r="A145">
        <f>'Input data'!A132</f>
        <v>2032</v>
      </c>
      <c r="C145" s="116">
        <f>'4A SWD Case 2'!BN102</f>
        <v>500.69523071307441</v>
      </c>
      <c r="D145" s="3">
        <f>'4B Biological treatment '!T198</f>
        <v>0.81448406966341946</v>
      </c>
      <c r="E145" s="152">
        <f>'4B Biological treatment '!U198</f>
        <v>36.651783134853872</v>
      </c>
      <c r="F145" s="152">
        <f>'4B Biological treatment '!W198</f>
        <v>2.1991069880912324</v>
      </c>
      <c r="G145" s="688">
        <f>'4C2 Open-burning '!R137</f>
        <v>10.332156257114898</v>
      </c>
      <c r="H145" s="688">
        <f>'4C2 Open-burning '!Z137</f>
        <v>3.47645425770577</v>
      </c>
      <c r="I145" s="688">
        <f>'4C2 Open-burning '!AH137</f>
        <v>4.8398110869507877E-2</v>
      </c>
      <c r="J145" s="93">
        <f>'4D Wastewater treatment and dis'!AV174</f>
        <v>215.34941574253997</v>
      </c>
      <c r="K145" s="3">
        <f>'4D Wastewater treatment and dis'!AW174</f>
        <v>3.3942804445358443</v>
      </c>
      <c r="L145" s="465">
        <f t="shared" si="121"/>
        <v>10514.599844974562</v>
      </c>
      <c r="M145" s="688">
        <f t="shared" si="122"/>
        <v>17.10416546293181</v>
      </c>
      <c r="N145" s="465">
        <f t="shared" si="123"/>
        <v>1451.4106121402133</v>
      </c>
      <c r="O145" s="464">
        <f t="shared" si="124"/>
        <v>98.341110038483521</v>
      </c>
      <c r="P145" s="465">
        <f t="shared" si="125"/>
        <v>5574.564668399451</v>
      </c>
      <c r="Q145" s="465">
        <f t="shared" si="126"/>
        <v>10514.599844974562</v>
      </c>
      <c r="R145" s="467">
        <f t="shared" si="127"/>
        <v>1468.5147776031451</v>
      </c>
      <c r="S145" s="464">
        <f t="shared" si="128"/>
        <v>98.341110038483521</v>
      </c>
      <c r="T145" s="465">
        <f t="shared" si="129"/>
        <v>5574.564668399451</v>
      </c>
      <c r="U145" s="465">
        <f t="shared" si="130"/>
        <v>17656.020401015641</v>
      </c>
    </row>
    <row r="146" spans="1:21">
      <c r="A146">
        <f>'Input data'!A133</f>
        <v>2033</v>
      </c>
      <c r="C146" s="116">
        <f>'4A SWD Case 2'!BN103</f>
        <v>480.84268959252665</v>
      </c>
      <c r="D146" s="3">
        <f>'4B Biological treatment '!T199</f>
        <v>0.82148488836538025</v>
      </c>
      <c r="E146" s="152">
        <f>'4B Biological treatment '!U199</f>
        <v>36.966819976442103</v>
      </c>
      <c r="F146" s="152">
        <f>'4B Biological treatment '!W199</f>
        <v>2.2180091985865262</v>
      </c>
      <c r="G146" s="688">
        <f>'4C2 Open-burning '!R138</f>
        <v>10.303044840243603</v>
      </c>
      <c r="H146" s="688">
        <f>'4C2 Open-burning '!Z138</f>
        <v>3.466659157185453</v>
      </c>
      <c r="I146" s="688">
        <f>'4C2 Open-burning '!AH138</f>
        <v>4.8261746537973958E-2</v>
      </c>
      <c r="J146" s="93">
        <f>'4D Wastewater treatment and dis'!AV175</f>
        <v>217.10351529179806</v>
      </c>
      <c r="K146" s="3">
        <f>'4D Wastewater treatment and dis'!AW175</f>
        <v>3.4219280969675285</v>
      </c>
      <c r="L146" s="465">
        <f t="shared" si="121"/>
        <v>10097.696481443059</v>
      </c>
      <c r="M146" s="688">
        <f t="shared" si="122"/>
        <v>17.251182655672984</v>
      </c>
      <c r="N146" s="465">
        <f t="shared" si="123"/>
        <v>1463.8860710671072</v>
      </c>
      <c r="O146" s="464">
        <f t="shared" si="124"/>
        <v>98.064028567910043</v>
      </c>
      <c r="P146" s="465">
        <f t="shared" si="125"/>
        <v>5619.9715311876926</v>
      </c>
      <c r="Q146" s="465">
        <f t="shared" si="126"/>
        <v>10097.696481443059</v>
      </c>
      <c r="R146" s="467">
        <f t="shared" si="127"/>
        <v>1481.1372537227801</v>
      </c>
      <c r="S146" s="464">
        <f t="shared" si="128"/>
        <v>98.064028567910043</v>
      </c>
      <c r="T146" s="465">
        <f t="shared" si="129"/>
        <v>5619.9715311876926</v>
      </c>
      <c r="U146" s="465">
        <f t="shared" si="130"/>
        <v>17296.869294921442</v>
      </c>
    </row>
    <row r="147" spans="1:21">
      <c r="A147">
        <f>'Input data'!A134</f>
        <v>2034</v>
      </c>
      <c r="C147" s="116">
        <f>'4A SWD Case 2'!BN104</f>
        <v>461.96928973398127</v>
      </c>
      <c r="D147" s="3">
        <f>'4B Biological treatment '!T200</f>
        <v>0.82911941686162249</v>
      </c>
      <c r="E147" s="152">
        <f>'4B Biological treatment '!U200</f>
        <v>37.310373758773004</v>
      </c>
      <c r="F147" s="152">
        <f>'4B Biological treatment '!W200</f>
        <v>2.2386224255263802</v>
      </c>
      <c r="G147" s="688">
        <f>'4C2 Open-burning '!R139</f>
        <v>10.275244855123965</v>
      </c>
      <c r="H147" s="688">
        <f>'4C2 Open-burning '!Z139</f>
        <v>3.4573053132995972</v>
      </c>
      <c r="I147" s="688">
        <f>'4C2 Open-burning '!AH139</f>
        <v>4.8131525243550119E-2</v>
      </c>
      <c r="J147" s="93">
        <f>'4D Wastewater treatment and dis'!AV176</f>
        <v>218.81497859921896</v>
      </c>
      <c r="K147" s="3">
        <f>'4D Wastewater treatment and dis'!AW176</f>
        <v>3.4489037282497814</v>
      </c>
      <c r="L147" s="465">
        <f t="shared" si="121"/>
        <v>9701.3550844136062</v>
      </c>
      <c r="M147" s="688">
        <f t="shared" si="122"/>
        <v>17.411507754094071</v>
      </c>
      <c r="N147" s="465">
        <f t="shared" si="123"/>
        <v>1477.4908008474108</v>
      </c>
      <c r="O147" s="464">
        <f t="shared" si="124"/>
        <v>97.799429259916053</v>
      </c>
      <c r="P147" s="465">
        <f t="shared" si="125"/>
        <v>5664.2747063410307</v>
      </c>
      <c r="Q147" s="465">
        <f t="shared" si="126"/>
        <v>9701.3550844136062</v>
      </c>
      <c r="R147" s="467">
        <f t="shared" si="127"/>
        <v>1494.902308601505</v>
      </c>
      <c r="S147" s="464">
        <f t="shared" si="128"/>
        <v>97.799429259916053</v>
      </c>
      <c r="T147" s="465">
        <f t="shared" si="129"/>
        <v>5664.2747063410307</v>
      </c>
      <c r="U147" s="465">
        <f t="shared" si="130"/>
        <v>16958.331528616058</v>
      </c>
    </row>
    <row r="148" spans="1:21">
      <c r="A148">
        <f>'Input data'!A135</f>
        <v>2035</v>
      </c>
      <c r="C148" s="116">
        <f>'4A SWD Case 2'!BN105</f>
        <v>444.02688234680062</v>
      </c>
      <c r="D148" s="3">
        <f>'4B Biological treatment '!T201</f>
        <v>0.83521207767033656</v>
      </c>
      <c r="E148" s="152">
        <f>'4B Biological treatment '!U201</f>
        <v>37.584543495165143</v>
      </c>
      <c r="F148" s="152">
        <f>'4B Biological treatment '!W201</f>
        <v>2.2550726097099085</v>
      </c>
      <c r="G148" s="688">
        <f>'4C2 Open-burning '!R140</f>
        <v>10.24871342765546</v>
      </c>
      <c r="H148" s="688">
        <f>'4C2 Open-burning '!Z140</f>
        <v>3.4483783002259818</v>
      </c>
      <c r="I148" s="688">
        <f>'4C2 Open-burning '!AH140</f>
        <v>4.8007246154442962E-2</v>
      </c>
      <c r="J148" s="93">
        <f>'4D Wastewater treatment and dis'!AV177</f>
        <v>220.48256089388616</v>
      </c>
      <c r="K148" s="3">
        <f>'4D Wastewater treatment and dis'!AW177</f>
        <v>3.4751877186331606</v>
      </c>
      <c r="L148" s="465">
        <f t="shared" si="121"/>
        <v>9324.5645292828121</v>
      </c>
      <c r="M148" s="688">
        <f t="shared" si="122"/>
        <v>17.539453631077066</v>
      </c>
      <c r="N148" s="465">
        <f t="shared" si="123"/>
        <v>1488.3479224085395</v>
      </c>
      <c r="O148" s="464">
        <f t="shared" si="124"/>
        <v>97.546904040278406</v>
      </c>
      <c r="P148" s="465">
        <f t="shared" si="125"/>
        <v>5707.4419715478889</v>
      </c>
      <c r="Q148" s="465">
        <f t="shared" si="126"/>
        <v>9324.5645292828121</v>
      </c>
      <c r="R148" s="467">
        <f t="shared" si="127"/>
        <v>1505.8873760396166</v>
      </c>
      <c r="S148" s="464">
        <f t="shared" si="128"/>
        <v>97.546904040278406</v>
      </c>
      <c r="T148" s="465">
        <f t="shared" si="129"/>
        <v>5707.4419715478889</v>
      </c>
      <c r="U148" s="465">
        <f t="shared" si="130"/>
        <v>16635.440780910598</v>
      </c>
    </row>
    <row r="149" spans="1:21">
      <c r="A149">
        <f>'Input data'!A136</f>
        <v>2036</v>
      </c>
      <c r="C149" s="116">
        <f>'4A SWD Case 2'!BN106</f>
        <v>426.96967036426366</v>
      </c>
      <c r="D149" s="3">
        <f>'4B Biological treatment '!T202</f>
        <v>0.84131256742640637</v>
      </c>
      <c r="E149" s="152">
        <f>'4B Biological treatment '!U202</f>
        <v>37.859065534188282</v>
      </c>
      <c r="F149" s="152">
        <f>'4B Biological treatment '!W202</f>
        <v>2.2715439320512969</v>
      </c>
      <c r="G149" s="688">
        <f>'4C2 Open-burning '!R141</f>
        <v>10.22334284688047</v>
      </c>
      <c r="H149" s="688">
        <f>'4C2 Open-burning '!Z141</f>
        <v>3.4398418765249819</v>
      </c>
      <c r="I149" s="688">
        <f>'4C2 Open-burning '!AH141</f>
        <v>4.7888404728644154E-2</v>
      </c>
      <c r="J149" s="93">
        <f>'4D Wastewater treatment and dis'!AV178</f>
        <v>222.10940607467276</v>
      </c>
      <c r="K149" s="3">
        <f>'4D Wastewater treatment and dis'!AW178</f>
        <v>3.5008296214188772</v>
      </c>
      <c r="L149" s="465">
        <f t="shared" si="121"/>
        <v>8966.3630776495374</v>
      </c>
      <c r="M149" s="688">
        <f t="shared" si="122"/>
        <v>17.667563915954535</v>
      </c>
      <c r="N149" s="465">
        <f t="shared" si="123"/>
        <v>1499.218995153856</v>
      </c>
      <c r="O149" s="464">
        <f t="shared" si="124"/>
        <v>97.305427719784788</v>
      </c>
      <c r="P149" s="465">
        <f t="shared" si="125"/>
        <v>5749.55471020798</v>
      </c>
      <c r="Q149" s="465">
        <f t="shared" si="126"/>
        <v>8966.3630776495374</v>
      </c>
      <c r="R149" s="467">
        <f t="shared" si="127"/>
        <v>1516.8865590698106</v>
      </c>
      <c r="S149" s="464">
        <f t="shared" si="128"/>
        <v>97.305427719784788</v>
      </c>
      <c r="T149" s="465">
        <f t="shared" si="129"/>
        <v>5749.55471020798</v>
      </c>
      <c r="U149" s="465">
        <f t="shared" si="130"/>
        <v>16330.109774647113</v>
      </c>
    </row>
    <row r="150" spans="1:21">
      <c r="A150">
        <f>'Input data'!A137</f>
        <v>2037</v>
      </c>
      <c r="C150" s="116">
        <f>'4A SWD Case 2'!BN107</f>
        <v>412.41885445948105</v>
      </c>
      <c r="D150" s="3">
        <f>'4B Biological treatment '!T203</f>
        <v>0.84845039270708966</v>
      </c>
      <c r="E150" s="152">
        <f>'4B Biological treatment '!U203</f>
        <v>38.180267671819031</v>
      </c>
      <c r="F150" s="152">
        <f>'4B Biological treatment '!W203</f>
        <v>2.2908160603091421</v>
      </c>
      <c r="G150" s="688">
        <f>'4C2 Open-burning '!R142</f>
        <v>10.199097556482885</v>
      </c>
      <c r="H150" s="688">
        <f>'4C2 Open-burning '!Z142</f>
        <v>3.4316840785847926</v>
      </c>
      <c r="I150" s="688">
        <f>'4C2 Open-burning '!AH142</f>
        <v>4.7774834412485048E-2</v>
      </c>
      <c r="J150" s="93">
        <f>'4D Wastewater treatment and dis'!AV179</f>
        <v>223.69441497988231</v>
      </c>
      <c r="K150" s="3">
        <f>'4D Wastewater treatment and dis'!AW179</f>
        <v>3.5258121119114461</v>
      </c>
      <c r="L150" s="465">
        <f t="shared" si="121"/>
        <v>8660.7959436491019</v>
      </c>
      <c r="M150" s="688">
        <f t="shared" si="122"/>
        <v>17.817458246848883</v>
      </c>
      <c r="N150" s="465">
        <f t="shared" si="123"/>
        <v>1511.9385998040336</v>
      </c>
      <c r="O150" s="464">
        <f t="shared" si="124"/>
        <v>97.07466187463389</v>
      </c>
      <c r="P150" s="465">
        <f t="shared" si="125"/>
        <v>5790.5844692700766</v>
      </c>
      <c r="Q150" s="465">
        <f t="shared" si="126"/>
        <v>8660.7959436491019</v>
      </c>
      <c r="R150" s="467">
        <f t="shared" si="127"/>
        <v>1529.7560580508825</v>
      </c>
      <c r="S150" s="464">
        <f t="shared" si="128"/>
        <v>97.07466187463389</v>
      </c>
      <c r="T150" s="465">
        <f t="shared" si="129"/>
        <v>5790.5844692700766</v>
      </c>
      <c r="U150" s="465">
        <f t="shared" si="130"/>
        <v>16078.211132844695</v>
      </c>
    </row>
    <row r="151" spans="1:21">
      <c r="A151">
        <f>'Input data'!A138</f>
        <v>2038</v>
      </c>
      <c r="C151" s="116">
        <f>'4A SWD Case 2'!BN108</f>
        <v>399.35343504142605</v>
      </c>
      <c r="D151" s="3">
        <f>'4B Biological treatment '!T204</f>
        <v>0.85542076550266744</v>
      </c>
      <c r="E151" s="152">
        <f>'4B Biological treatment '!U204</f>
        <v>38.493934447620028</v>
      </c>
      <c r="F151" s="152">
        <f>'4B Biological treatment '!W204</f>
        <v>2.3096360668572018</v>
      </c>
      <c r="G151" s="688">
        <f>'4C2 Open-burning '!R143</f>
        <v>10.17594404302452</v>
      </c>
      <c r="H151" s="688">
        <f>'4C2 Open-burning '!Z143</f>
        <v>3.4238936301594944</v>
      </c>
      <c r="I151" s="688">
        <f>'4C2 Open-burning '!AH143</f>
        <v>4.7666378221590242E-2</v>
      </c>
      <c r="J151" s="93">
        <f>'4D Wastewater treatment and dis'!AV180</f>
        <v>225.23651049489851</v>
      </c>
      <c r="K151" s="3">
        <f>'4D Wastewater treatment and dis'!AW180</f>
        <v>3.5501182129156104</v>
      </c>
      <c r="L151" s="465">
        <f t="shared" si="121"/>
        <v>8386.4221358699469</v>
      </c>
      <c r="M151" s="688">
        <f t="shared" si="122"/>
        <v>17.963836075556017</v>
      </c>
      <c r="N151" s="465">
        <f t="shared" si="123"/>
        <v>1524.359804125753</v>
      </c>
      <c r="O151" s="464">
        <f t="shared" si="124"/>
        <v>96.854287525066866</v>
      </c>
      <c r="P151" s="465">
        <f t="shared" si="125"/>
        <v>5830.5033663967079</v>
      </c>
      <c r="Q151" s="465">
        <f t="shared" si="126"/>
        <v>8386.4221358699469</v>
      </c>
      <c r="R151" s="467">
        <f t="shared" si="127"/>
        <v>1542.323640201309</v>
      </c>
      <c r="S151" s="464">
        <f t="shared" si="128"/>
        <v>96.854287525066866</v>
      </c>
      <c r="T151" s="465">
        <f t="shared" si="129"/>
        <v>5830.5033663967079</v>
      </c>
      <c r="U151" s="465">
        <f t="shared" si="130"/>
        <v>15856.103429993032</v>
      </c>
    </row>
    <row r="152" spans="1:21">
      <c r="A152">
        <f>'Input data'!A139</f>
        <v>2039</v>
      </c>
      <c r="C152" s="116">
        <f>'4A SWD Case 2'!BN109</f>
        <v>387.18831490152093</v>
      </c>
      <c r="D152" s="3">
        <f>'4B Biological treatment '!T205</f>
        <v>0.86289132104596267</v>
      </c>
      <c r="E152" s="152">
        <f>'4B Biological treatment '!U205</f>
        <v>38.830109447068317</v>
      </c>
      <c r="F152" s="152">
        <f>'4B Biological treatment '!W205</f>
        <v>2.3298065668240993</v>
      </c>
      <c r="G152" s="688">
        <f>'4C2 Open-burning '!R144</f>
        <v>10.153850726003599</v>
      </c>
      <c r="H152" s="688">
        <f>'4C2 Open-burning '!Z144</f>
        <v>3.4164599053770854</v>
      </c>
      <c r="I152" s="688">
        <f>'4C2 Open-burning '!AH144</f>
        <v>4.7562888225887029E-2</v>
      </c>
      <c r="J152" s="93">
        <f>'4D Wastewater treatment and dis'!AV181</f>
        <v>226.73463876459027</v>
      </c>
      <c r="K152" s="3">
        <f>'4D Wastewater treatment and dis'!AW181</f>
        <v>3.5737313138459617</v>
      </c>
      <c r="L152" s="465">
        <f t="shared" si="121"/>
        <v>8130.9546129319397</v>
      </c>
      <c r="M152" s="688">
        <f t="shared" si="122"/>
        <v>18.120717741965215</v>
      </c>
      <c r="N152" s="465">
        <f t="shared" si="123"/>
        <v>1537.6723341039055</v>
      </c>
      <c r="O152" s="464">
        <f t="shared" si="124"/>
        <v>96.644004088947369</v>
      </c>
      <c r="P152" s="465">
        <f t="shared" si="125"/>
        <v>5869.2841213486436</v>
      </c>
      <c r="Q152" s="465">
        <f t="shared" si="126"/>
        <v>8130.9546129319397</v>
      </c>
      <c r="R152" s="467">
        <f t="shared" si="127"/>
        <v>1555.7930518458707</v>
      </c>
      <c r="S152" s="464">
        <f t="shared" si="128"/>
        <v>96.644004088947369</v>
      </c>
      <c r="T152" s="465">
        <f t="shared" si="129"/>
        <v>5869.2841213486436</v>
      </c>
      <c r="U152" s="465">
        <f t="shared" si="130"/>
        <v>15652.675790215399</v>
      </c>
    </row>
    <row r="153" spans="1:21">
      <c r="A153">
        <f>'Input data'!A140</f>
        <v>2040</v>
      </c>
      <c r="C153" s="116">
        <f>'4A SWD Case 2'!BN110</f>
        <v>375.88324213424488</v>
      </c>
      <c r="D153" s="3">
        <f>'4B Biological treatment '!T206</f>
        <v>0.87038710319740331</v>
      </c>
      <c r="E153" s="152">
        <f>'4B Biological treatment '!U206</f>
        <v>39.167419643883143</v>
      </c>
      <c r="F153" s="152">
        <f>'4B Biological treatment '!W206</f>
        <v>2.350045178632989</v>
      </c>
      <c r="G153" s="688">
        <f>'4C2 Open-burning '!R145</f>
        <v>10.132787856145702</v>
      </c>
      <c r="H153" s="688">
        <f>'4C2 Open-burning '!Z145</f>
        <v>3.4093728945175119</v>
      </c>
      <c r="I153" s="688">
        <f>'4C2 Open-burning '!AH145</f>
        <v>4.7464225073177692E-2</v>
      </c>
      <c r="J153" s="93">
        <f>'4D Wastewater treatment and dis'!AV182</f>
        <v>228.18777038676492</v>
      </c>
      <c r="K153" s="3">
        <f>'4D Wastewater treatment and dis'!AW182</f>
        <v>3.5966351895378317</v>
      </c>
      <c r="L153" s="465">
        <f t="shared" si="121"/>
        <v>7893.5480848191428</v>
      </c>
      <c r="M153" s="688">
        <f t="shared" si="122"/>
        <v>18.278129167145469</v>
      </c>
      <c r="N153" s="465">
        <f t="shared" si="123"/>
        <v>1551.0298178977725</v>
      </c>
      <c r="O153" s="464">
        <f t="shared" si="124"/>
        <v>96.44352841369853</v>
      </c>
      <c r="P153" s="465">
        <f t="shared" si="125"/>
        <v>5906.9000868787916</v>
      </c>
      <c r="Q153" s="465">
        <f t="shared" si="126"/>
        <v>7893.5480848191428</v>
      </c>
      <c r="R153" s="467">
        <f t="shared" si="127"/>
        <v>1569.3079470649179</v>
      </c>
      <c r="S153" s="464">
        <f t="shared" si="128"/>
        <v>96.44352841369853</v>
      </c>
      <c r="T153" s="465">
        <f t="shared" si="129"/>
        <v>5906.9000868787916</v>
      </c>
      <c r="U153" s="465">
        <f t="shared" si="130"/>
        <v>15466.199647176551</v>
      </c>
    </row>
    <row r="154" spans="1:21">
      <c r="A154">
        <f>'Input data'!A141</f>
        <v>2041</v>
      </c>
      <c r="C154" s="116">
        <f>'4A SWD Case 2'!BN111</f>
        <v>365.39841296205861</v>
      </c>
      <c r="D154" s="3">
        <f>'4B Biological treatment '!T207</f>
        <v>0.8788153999671966</v>
      </c>
      <c r="E154" s="152">
        <f>'4B Biological treatment '!U207</f>
        <v>39.546692998523845</v>
      </c>
      <c r="F154" s="152">
        <f>'4B Biological treatment '!W207</f>
        <v>2.3728015799114308</v>
      </c>
      <c r="G154" s="688">
        <f>'4C2 Open-burning '!R146</f>
        <v>10.112661083887765</v>
      </c>
      <c r="H154" s="688">
        <f>'4C2 Open-burning '!Z146</f>
        <v>3.4026008518413482</v>
      </c>
      <c r="I154" s="688">
        <f>'4C2 Open-burning '!AH146</f>
        <v>4.7369946809188573E-2</v>
      </c>
      <c r="J154" s="93">
        <f>'4D Wastewater treatment and dis'!AV183</f>
        <v>229.59959290353174</v>
      </c>
      <c r="K154" s="3">
        <f>'4D Wastewater treatment and dis'!AW183</f>
        <v>3.6188879620531109</v>
      </c>
      <c r="L154" s="465">
        <f t="shared" si="121"/>
        <v>7673.3666722032312</v>
      </c>
      <c r="M154" s="688">
        <f t="shared" si="122"/>
        <v>18.455123399311127</v>
      </c>
      <c r="N154" s="465">
        <f t="shared" si="123"/>
        <v>1566.0490427415443</v>
      </c>
      <c r="O154" s="464">
        <f t="shared" si="124"/>
        <v>96.251962483404526</v>
      </c>
      <c r="P154" s="465">
        <f t="shared" si="125"/>
        <v>5943.4467192106313</v>
      </c>
      <c r="Q154" s="465">
        <f t="shared" si="126"/>
        <v>7673.3666722032312</v>
      </c>
      <c r="R154" s="467">
        <f t="shared" si="127"/>
        <v>1584.5041661408554</v>
      </c>
      <c r="S154" s="464">
        <f t="shared" si="128"/>
        <v>96.251962483404526</v>
      </c>
      <c r="T154" s="465">
        <f t="shared" si="129"/>
        <v>5943.4467192106313</v>
      </c>
      <c r="U154" s="465">
        <f t="shared" si="130"/>
        <v>15297.569520038121</v>
      </c>
    </row>
    <row r="155" spans="1:21">
      <c r="A155">
        <f>'Input data'!A142</f>
        <v>2042</v>
      </c>
      <c r="C155" s="116">
        <f>'4A SWD Case 2'!BN112</f>
        <v>355.47760923230146</v>
      </c>
      <c r="D155" s="3">
        <f>'4B Biological treatment '!T208</f>
        <v>0.88737635390051506</v>
      </c>
      <c r="E155" s="152">
        <f>'4B Biological treatment '!U208</f>
        <v>39.93193592552317</v>
      </c>
      <c r="F155" s="152">
        <f>'4B Biological treatment '!W208</f>
        <v>2.3959161555313901</v>
      </c>
      <c r="G155" s="688">
        <f>'4C2 Open-burning '!R147</f>
        <v>10.093445941383171</v>
      </c>
      <c r="H155" s="688">
        <f>'4C2 Open-burning '!Z147</f>
        <v>3.3961355446672989</v>
      </c>
      <c r="I155" s="688">
        <f>'4C2 Open-burning '!AH147</f>
        <v>4.7279938821100875E-2</v>
      </c>
      <c r="J155" s="93">
        <f>'4D Wastewater treatment and dis'!AV184</f>
        <v>230.96921515720715</v>
      </c>
      <c r="K155" s="3">
        <f>'4D Wastewater treatment and dis'!AW184</f>
        <v>3.6404755852004582</v>
      </c>
      <c r="L155" s="465">
        <f t="shared" si="121"/>
        <v>7465.0297938783306</v>
      </c>
      <c r="M155" s="688">
        <f t="shared" si="122"/>
        <v>18.634903431910818</v>
      </c>
      <c r="N155" s="465">
        <f t="shared" si="123"/>
        <v>1581.3046626507175</v>
      </c>
      <c r="O155" s="464">
        <f t="shared" si="124"/>
        <v>96.069073413937716</v>
      </c>
      <c r="P155" s="465">
        <f t="shared" si="125"/>
        <v>5978.9009497134921</v>
      </c>
      <c r="Q155" s="465">
        <f t="shared" si="126"/>
        <v>7465.0297938783306</v>
      </c>
      <c r="R155" s="467">
        <f t="shared" si="127"/>
        <v>1599.9395660826283</v>
      </c>
      <c r="S155" s="464">
        <f t="shared" si="128"/>
        <v>96.069073413937716</v>
      </c>
      <c r="T155" s="465">
        <f t="shared" si="129"/>
        <v>5978.9009497134921</v>
      </c>
      <c r="U155" s="465">
        <f t="shared" si="130"/>
        <v>15139.939383088387</v>
      </c>
    </row>
    <row r="156" spans="1:21">
      <c r="A156">
        <f>'Input data'!A143</f>
        <v>2043</v>
      </c>
      <c r="C156" s="116">
        <f>'4A SWD Case 2'!BN113</f>
        <v>346.09228883456154</v>
      </c>
      <c r="D156" s="3">
        <f>'4B Biological treatment '!T209</f>
        <v>0.89615825812586825</v>
      </c>
      <c r="E156" s="152">
        <f>'4B Biological treatment '!U209</f>
        <v>40.327121615664069</v>
      </c>
      <c r="F156" s="152">
        <f>'4B Biological treatment '!W209</f>
        <v>2.4196272969398445</v>
      </c>
      <c r="G156" s="688">
        <f>'4C2 Open-burning '!R148</f>
        <v>10.075119335460961</v>
      </c>
      <c r="H156" s="688">
        <f>'4C2 Open-burning '!Z148</f>
        <v>3.3899692028503452</v>
      </c>
      <c r="I156" s="688">
        <f>'4C2 Open-burning '!AH148</f>
        <v>4.7194092935381321E-2</v>
      </c>
      <c r="J156" s="93">
        <f>'4D Wastewater treatment and dis'!AV185</f>
        <v>232.29576836438369</v>
      </c>
      <c r="K156" s="3">
        <f>'4D Wastewater treatment and dis'!AW185</f>
        <v>3.6613843654459499</v>
      </c>
      <c r="L156" s="465">
        <f t="shared" si="121"/>
        <v>7267.9380655257928</v>
      </c>
      <c r="M156" s="688">
        <f t="shared" si="122"/>
        <v>18.819323420643233</v>
      </c>
      <c r="N156" s="465">
        <f t="shared" si="123"/>
        <v>1596.9540159802973</v>
      </c>
      <c r="O156" s="464">
        <f t="shared" si="124"/>
        <v>95.894641405286421</v>
      </c>
      <c r="P156" s="465">
        <f t="shared" si="125"/>
        <v>6013.240288940302</v>
      </c>
      <c r="Q156" s="465">
        <f t="shared" si="126"/>
        <v>7267.9380655257928</v>
      </c>
      <c r="R156" s="467">
        <f t="shared" si="127"/>
        <v>1615.7733394009406</v>
      </c>
      <c r="S156" s="464">
        <f t="shared" si="128"/>
        <v>95.894641405286421</v>
      </c>
      <c r="T156" s="465">
        <f t="shared" si="129"/>
        <v>6013.240288940302</v>
      </c>
      <c r="U156" s="465">
        <f t="shared" si="130"/>
        <v>14992.846335272321</v>
      </c>
    </row>
    <row r="157" spans="1:21">
      <c r="A157">
        <f>'Input data'!A144</f>
        <v>2044</v>
      </c>
      <c r="C157" s="116">
        <f>'4A SWD Case 2'!BN114</f>
        <v>337.2155690863317</v>
      </c>
      <c r="D157" s="3">
        <f>'4B Biological treatment '!T210</f>
        <v>0.90528115650270891</v>
      </c>
      <c r="E157" s="152">
        <f>'4B Biological treatment '!U210</f>
        <v>40.737652042621896</v>
      </c>
      <c r="F157" s="152">
        <f>'4B Biological treatment '!W210</f>
        <v>2.4442591225573138</v>
      </c>
      <c r="G157" s="688">
        <f>'4C2 Open-burning '!R149</f>
        <v>10.057659483060858</v>
      </c>
      <c r="H157" s="688">
        <f>'4C2 Open-burning '!Z149</f>
        <v>3.3840944970575961</v>
      </c>
      <c r="I157" s="688">
        <f>'4C2 Open-burning '!AH149</f>
        <v>4.7112307115345586E-2</v>
      </c>
      <c r="J157" s="93">
        <f>'4D Wastewater treatment and dis'!AV186</f>
        <v>233.57840703026514</v>
      </c>
      <c r="K157" s="3">
        <f>'4D Wastewater treatment and dis'!AW186</f>
        <v>3.6816009763245785</v>
      </c>
      <c r="L157" s="465">
        <f t="shared" si="121"/>
        <v>7081.5269508129659</v>
      </c>
      <c r="M157" s="688">
        <f t="shared" si="122"/>
        <v>19.010904286556887</v>
      </c>
      <c r="N157" s="465">
        <f t="shared" si="123"/>
        <v>1613.2110208878271</v>
      </c>
      <c r="O157" s="464">
        <f t="shared" si="124"/>
        <v>95.728459127027506</v>
      </c>
      <c r="P157" s="465">
        <f t="shared" si="125"/>
        <v>6046.4428502961873</v>
      </c>
      <c r="Q157" s="465">
        <f t="shared" si="126"/>
        <v>7081.5269508129659</v>
      </c>
      <c r="R157" s="467">
        <f t="shared" si="127"/>
        <v>1632.2219251743841</v>
      </c>
      <c r="S157" s="464">
        <f t="shared" si="128"/>
        <v>95.728459127027506</v>
      </c>
      <c r="T157" s="465">
        <f t="shared" si="129"/>
        <v>6046.4428502961873</v>
      </c>
      <c r="U157" s="465">
        <f t="shared" si="130"/>
        <v>14855.920185410565</v>
      </c>
    </row>
    <row r="158" spans="1:21">
      <c r="A158">
        <f>'Input data'!A145</f>
        <v>2045</v>
      </c>
      <c r="C158" s="116">
        <f>'4A SWD Case 2'!BN115</f>
        <v>328.82217777503234</v>
      </c>
      <c r="D158" s="3">
        <f>'4B Biological treatment '!T211</f>
        <v>0.91478941306605144</v>
      </c>
      <c r="E158" s="152">
        <f>'4B Biological treatment '!U211</f>
        <v>41.165523587972309</v>
      </c>
      <c r="F158" s="152">
        <f>'4B Biological treatment '!W211</f>
        <v>2.4699314152783387</v>
      </c>
      <c r="G158" s="688">
        <f>'4C2 Open-burning '!R150</f>
        <v>10.041045851268189</v>
      </c>
      <c r="H158" s="688">
        <f>'4C2 Open-burning '!Z150</f>
        <v>3.3785045185918898</v>
      </c>
      <c r="I158" s="688">
        <f>'4C2 Open-burning '!AH150</f>
        <v>4.7034485180268579E-2</v>
      </c>
      <c r="J158" s="93">
        <f>'4D Wastewater treatment and dis'!AV187</f>
        <v>234.81630984302805</v>
      </c>
      <c r="K158" s="3">
        <f>'4D Wastewater treatment and dis'!AW187</f>
        <v>3.7011124725369502</v>
      </c>
      <c r="L158" s="465">
        <f t="shared" si="121"/>
        <v>6905.2657332756789</v>
      </c>
      <c r="M158" s="688">
        <f t="shared" si="122"/>
        <v>19.210577674387082</v>
      </c>
      <c r="N158" s="465">
        <f t="shared" si="123"/>
        <v>1630.1547340837035</v>
      </c>
      <c r="O158" s="464">
        <f t="shared" si="124"/>
        <v>95.570331147581143</v>
      </c>
      <c r="P158" s="465">
        <f t="shared" si="125"/>
        <v>6078.4873731900434</v>
      </c>
      <c r="Q158" s="465">
        <f t="shared" si="126"/>
        <v>6905.2657332756789</v>
      </c>
      <c r="R158" s="467">
        <f t="shared" si="127"/>
        <v>1649.3653117580907</v>
      </c>
      <c r="S158" s="464">
        <f t="shared" si="128"/>
        <v>95.570331147581143</v>
      </c>
      <c r="T158" s="465">
        <f t="shared" si="129"/>
        <v>6078.4873731900434</v>
      </c>
      <c r="U158" s="465">
        <f t="shared" si="130"/>
        <v>14728.688749371395</v>
      </c>
    </row>
    <row r="159" spans="1:21">
      <c r="A159">
        <f>'Input data'!A146</f>
        <v>2046</v>
      </c>
      <c r="C159" s="116">
        <f>'4A SWD Case 2'!BN116</f>
        <v>320.88813735607522</v>
      </c>
      <c r="D159" s="3">
        <f>'4B Biological treatment '!T212</f>
        <v>0.92495704097334119</v>
      </c>
      <c r="E159" s="152">
        <f>'4B Biological treatment '!U212</f>
        <v>41.623066843800345</v>
      </c>
      <c r="F159" s="152">
        <f>'4B Biological treatment '!W212</f>
        <v>2.497384010628021</v>
      </c>
      <c r="G159" s="688">
        <f>'4C2 Open-burning '!R151</f>
        <v>10.025256548408834</v>
      </c>
      <c r="H159" s="688">
        <f>'4C2 Open-burning '!Z151</f>
        <v>3.3731919015751064</v>
      </c>
      <c r="I159" s="688">
        <f>'4C2 Open-burning '!AH151</f>
        <v>4.6960524584694623E-2</v>
      </c>
      <c r="J159" s="93">
        <f>'4D Wastewater treatment and dis'!AV188</f>
        <v>236.00887467597451</v>
      </c>
      <c r="K159" s="3">
        <f>'4D Wastewater treatment and dis'!AW188</f>
        <v>3.7199093635215581</v>
      </c>
      <c r="L159" s="465">
        <f t="shared" si="121"/>
        <v>6738.6508844775799</v>
      </c>
      <c r="M159" s="688">
        <f t="shared" si="122"/>
        <v>19.424097860440163</v>
      </c>
      <c r="N159" s="465">
        <f t="shared" si="123"/>
        <v>1648.2734470144937</v>
      </c>
      <c r="O159" s="464">
        <f t="shared" si="124"/>
        <v>95.420049102741402</v>
      </c>
      <c r="P159" s="465">
        <f t="shared" si="125"/>
        <v>6109.3582708871472</v>
      </c>
      <c r="Q159" s="465">
        <f t="shared" si="126"/>
        <v>6738.6508844775799</v>
      </c>
      <c r="R159" s="467">
        <f t="shared" si="127"/>
        <v>1667.697544874934</v>
      </c>
      <c r="S159" s="464">
        <f t="shared" si="128"/>
        <v>95.420049102741402</v>
      </c>
      <c r="T159" s="465">
        <f t="shared" si="129"/>
        <v>6109.3582708871472</v>
      </c>
      <c r="U159" s="465">
        <f t="shared" si="130"/>
        <v>14611.126749342404</v>
      </c>
    </row>
    <row r="160" spans="1:21">
      <c r="A160">
        <f>'Input data'!A147</f>
        <v>2047</v>
      </c>
      <c r="C160" s="116">
        <f>'4A SWD Case 2'!BN117</f>
        <v>313.40199463787116</v>
      </c>
      <c r="D160" s="3">
        <f>'4B Biological treatment '!T213</f>
        <v>0.93127065207409054</v>
      </c>
      <c r="E160" s="152">
        <f>'4B Biological treatment '!U213</f>
        <v>41.907179343334064</v>
      </c>
      <c r="F160" s="152">
        <f>'4B Biological treatment '!W213</f>
        <v>2.5144307606000442</v>
      </c>
      <c r="G160" s="688">
        <f>'4C2 Open-burning '!R152</f>
        <v>10.010273437469358</v>
      </c>
      <c r="H160" s="688">
        <f>'4C2 Open-burning '!Z152</f>
        <v>3.3681505434574968</v>
      </c>
      <c r="I160" s="688">
        <f>'4C2 Open-burning '!AH152</f>
        <v>4.6890340370831285E-2</v>
      </c>
      <c r="J160" s="93">
        <f>'4D Wastewater treatment and dis'!AV189</f>
        <v>237.15533409440715</v>
      </c>
      <c r="K160" s="3">
        <f>'4D Wastewater treatment and dis'!AW189</f>
        <v>3.7379795531759945</v>
      </c>
      <c r="L160" s="465">
        <f t="shared" si="121"/>
        <v>6581.4418873952945</v>
      </c>
      <c r="M160" s="688">
        <f t="shared" si="122"/>
        <v>19.5566836935559</v>
      </c>
      <c r="N160" s="465">
        <f t="shared" si="123"/>
        <v>1659.524301996029</v>
      </c>
      <c r="O160" s="464">
        <f t="shared" si="124"/>
        <v>95.277440365034479</v>
      </c>
      <c r="P160" s="465">
        <f t="shared" si="125"/>
        <v>6139.0356774671081</v>
      </c>
      <c r="Q160" s="465">
        <f t="shared" si="126"/>
        <v>6581.4418873952945</v>
      </c>
      <c r="R160" s="467">
        <f t="shared" si="127"/>
        <v>1679.0809856895848</v>
      </c>
      <c r="S160" s="464">
        <f t="shared" si="128"/>
        <v>95.277440365034479</v>
      </c>
      <c r="T160" s="465">
        <f t="shared" si="129"/>
        <v>6139.0356774671081</v>
      </c>
      <c r="U160" s="465">
        <f t="shared" si="130"/>
        <v>14494.835990917021</v>
      </c>
    </row>
    <row r="161" spans="1:21">
      <c r="A161">
        <f>'Input data'!A148</f>
        <v>2048</v>
      </c>
      <c r="C161" s="116">
        <f>'4A SWD Case 2'!BN118</f>
        <v>306.33229753692899</v>
      </c>
      <c r="D161" s="3">
        <f>'4B Biological treatment '!T214</f>
        <v>0.93715236624572396</v>
      </c>
      <c r="E161" s="152">
        <f>'4B Biological treatment '!U214</f>
        <v>42.171856481057574</v>
      </c>
      <c r="F161" s="152">
        <f>'4B Biological treatment '!W214</f>
        <v>2.5303113888634545</v>
      </c>
      <c r="G161" s="688">
        <f>'4C2 Open-burning '!R153</f>
        <v>9.9960794696971682</v>
      </c>
      <c r="H161" s="688">
        <f>'4C2 Open-burning '!Z153</f>
        <v>3.3633747078557672</v>
      </c>
      <c r="I161" s="688">
        <f>'4C2 Open-burning '!AH153</f>
        <v>4.6823852678541139E-2</v>
      </c>
      <c r="J161" s="93">
        <f>'4D Wastewater treatment and dis'!AV190</f>
        <v>238.25494716675203</v>
      </c>
      <c r="K161" s="3">
        <f>'4D Wastewater treatment and dis'!AW190</f>
        <v>3.7553113631330666</v>
      </c>
      <c r="L161" s="465">
        <f t="shared" si="121"/>
        <v>6432.978248275509</v>
      </c>
      <c r="M161" s="688">
        <f t="shared" si="122"/>
        <v>19.680199691160205</v>
      </c>
      <c r="N161" s="465">
        <f t="shared" si="123"/>
        <v>1670.0055166498801</v>
      </c>
      <c r="O161" s="464">
        <f t="shared" si="124"/>
        <v>95.142342665016031</v>
      </c>
      <c r="P161" s="465">
        <f t="shared" si="125"/>
        <v>6167.500413073044</v>
      </c>
      <c r="Q161" s="465">
        <f t="shared" si="126"/>
        <v>6432.978248275509</v>
      </c>
      <c r="R161" s="467">
        <f t="shared" si="127"/>
        <v>1689.6857163410402</v>
      </c>
      <c r="S161" s="464">
        <f t="shared" si="128"/>
        <v>95.142342665016031</v>
      </c>
      <c r="T161" s="465">
        <f t="shared" si="129"/>
        <v>6167.500413073044</v>
      </c>
      <c r="U161" s="465">
        <f t="shared" si="130"/>
        <v>14385.306720354609</v>
      </c>
    </row>
    <row r="162" spans="1:21">
      <c r="A162">
        <f>'Input data'!A149</f>
        <v>2049</v>
      </c>
      <c r="C162" s="116">
        <f>'4A SWD Case 2'!BN119</f>
        <v>299.65725186183056</v>
      </c>
      <c r="D162" s="3">
        <f>'4B Biological treatment '!T215</f>
        <v>0.9430127682828896</v>
      </c>
      <c r="E162" s="152">
        <f>'4B Biological treatment '!U215</f>
        <v>42.435574572730026</v>
      </c>
      <c r="F162" s="152">
        <f>'4B Biological treatment '!W215</f>
        <v>2.5461344743638019</v>
      </c>
      <c r="G162" s="688">
        <f>'4C2 Open-burning '!R154</f>
        <v>9.9826586403990092</v>
      </c>
      <c r="H162" s="688">
        <f>'4C2 Open-burning '!Z154</f>
        <v>3.3588590096806259</v>
      </c>
      <c r="I162" s="688">
        <f>'4C2 Open-burning '!AH154</f>
        <v>4.6760986538292276E-2</v>
      </c>
      <c r="J162" s="93">
        <f>'4D Wastewater treatment and dis'!AV191</f>
        <v>239.30700026005374</v>
      </c>
      <c r="K162" s="3">
        <f>'4D Wastewater treatment and dis'!AW191</f>
        <v>3.7718935452991729</v>
      </c>
      <c r="L162" s="465">
        <f t="shared" si="121"/>
        <v>6292.8022890984421</v>
      </c>
      <c r="M162" s="688">
        <f t="shared" si="122"/>
        <v>19.80326813394068</v>
      </c>
      <c r="N162" s="465">
        <f t="shared" si="123"/>
        <v>1680.4487530801091</v>
      </c>
      <c r="O162" s="464">
        <f t="shared" si="124"/>
        <v>95.014603670562764</v>
      </c>
      <c r="P162" s="465">
        <f t="shared" si="125"/>
        <v>6194.7340045038718</v>
      </c>
      <c r="Q162" s="465">
        <f t="shared" si="126"/>
        <v>6292.8022890984421</v>
      </c>
      <c r="R162" s="467">
        <f t="shared" si="127"/>
        <v>1700.2520212140498</v>
      </c>
      <c r="S162" s="464">
        <f t="shared" si="128"/>
        <v>95.014603670562764</v>
      </c>
      <c r="T162" s="465">
        <f t="shared" si="129"/>
        <v>6194.7340045038718</v>
      </c>
      <c r="U162" s="465">
        <f t="shared" si="130"/>
        <v>14282.802918486927</v>
      </c>
    </row>
    <row r="163" spans="1:21">
      <c r="A163">
        <f>'Input data'!A150</f>
        <v>2050</v>
      </c>
      <c r="C163" s="116">
        <f>'4A SWD Case 2'!BN120</f>
        <v>293.35706397155815</v>
      </c>
      <c r="D163" s="3">
        <f>'4B Biological treatment '!T216</f>
        <v>0.94874268786412896</v>
      </c>
      <c r="E163" s="152">
        <f>'4B Biological treatment '!U216</f>
        <v>42.693420953885806</v>
      </c>
      <c r="F163" s="152">
        <f>'4B Biological treatment '!W216</f>
        <v>2.5616052572331478</v>
      </c>
      <c r="G163" s="688">
        <f>'4C2 Open-burning '!R155</f>
        <v>9.9699959479754288</v>
      </c>
      <c r="H163" s="688">
        <f>'4C2 Open-burning '!Z155</f>
        <v>3.3545984013531376</v>
      </c>
      <c r="I163" s="688">
        <f>'4C2 Open-burning '!AH155</f>
        <v>4.6701671679266518E-2</v>
      </c>
      <c r="J163" s="93">
        <f>'4D Wastewater treatment and dis'!AV192</f>
        <v>240.31080780951893</v>
      </c>
      <c r="K163" s="3">
        <f>'4D Wastewater treatment and dis'!AW192</f>
        <v>3.7877152939836489</v>
      </c>
      <c r="L163" s="465">
        <f t="shared" si="121"/>
        <v>6160.4983434027208</v>
      </c>
      <c r="M163" s="688">
        <f t="shared" si="122"/>
        <v>19.923596445146707</v>
      </c>
      <c r="N163" s="465">
        <f t="shared" si="123"/>
        <v>1690.6594697738778</v>
      </c>
      <c r="O163" s="464">
        <f t="shared" si="124"/>
        <v>94.894080596963946</v>
      </c>
      <c r="P163" s="465">
        <f t="shared" si="125"/>
        <v>6220.7187051348292</v>
      </c>
      <c r="Q163" s="417">
        <f t="shared" si="126"/>
        <v>6160.4983434027208</v>
      </c>
      <c r="R163" s="463">
        <f t="shared" si="127"/>
        <v>1710.5830662190247</v>
      </c>
      <c r="S163" s="460">
        <f t="shared" si="128"/>
        <v>94.894080596963946</v>
      </c>
      <c r="T163" s="417">
        <f t="shared" si="129"/>
        <v>6220.7187051348292</v>
      </c>
      <c r="U163" s="417">
        <f t="shared" si="130"/>
        <v>14186.694195353539</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1.2710114381603663</v>
      </c>
      <c r="E166" s="152">
        <f>'4B Biological treatment '!U219</f>
        <v>19.93864219968502</v>
      </c>
      <c r="F166" s="152">
        <f>'4B Biological treatment '!W219</f>
        <v>1.1963185319811012</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26.691240201367691</v>
      </c>
      <c r="N166" s="465">
        <f t="shared" si="132"/>
        <v>789.57023110752675</v>
      </c>
      <c r="O166" s="464">
        <f t="shared" si="133"/>
        <v>307.81392004196488</v>
      </c>
      <c r="P166" s="465">
        <f t="shared" si="134"/>
        <v>3922.0560748079342</v>
      </c>
      <c r="Q166" s="465">
        <f t="shared" si="135"/>
        <v>16839.906548915631</v>
      </c>
      <c r="R166" s="467">
        <f t="shared" si="136"/>
        <v>816.26147130889444</v>
      </c>
      <c r="S166" s="464">
        <f t="shared" si="137"/>
        <v>307.81392004196488</v>
      </c>
      <c r="T166" s="465">
        <f t="shared" si="138"/>
        <v>3922.0560748079342</v>
      </c>
      <c r="U166" s="465">
        <f t="shared" si="139"/>
        <v>21886.038015074424</v>
      </c>
    </row>
    <row r="167" spans="1:21">
      <c r="A167">
        <f>'Input data'!A120</f>
        <v>2020</v>
      </c>
      <c r="C167" s="266">
        <f>'4A SWD Case 3'!BG90</f>
        <v>782.17732937526205</v>
      </c>
      <c r="D167" s="3">
        <f>'4B Biological treatment '!T220</f>
        <v>1.8786794169768795</v>
      </c>
      <c r="E167" s="152">
        <f>'4B Biological treatment '!U220</f>
        <v>19.320728266759911</v>
      </c>
      <c r="F167" s="152">
        <f>'4B Biological treatment '!W220</f>
        <v>1.1592436960055945</v>
      </c>
      <c r="G167" s="688">
        <f>'4C2 Open-burning '!R159</f>
        <v>31.469339877453482</v>
      </c>
      <c r="H167" s="688">
        <f>'4C2 Open-burning '!Z159</f>
        <v>10.588469423197822</v>
      </c>
      <c r="I167" s="688">
        <f>'4C2 Open-burning '!AH159</f>
        <v>0.14740936571980473</v>
      </c>
      <c r="J167" s="93">
        <f>'4D Wastewater treatment and dis'!AV196</f>
        <v>149.64833972612956</v>
      </c>
      <c r="K167" s="3">
        <f>'4D Wastewater treatment and dis'!AW196</f>
        <v>2.9904262793007734</v>
      </c>
      <c r="L167" s="465">
        <f t="shared" si="140"/>
        <v>16425.723916880503</v>
      </c>
      <c r="M167" s="688">
        <f t="shared" si="131"/>
        <v>39.452267756514466</v>
      </c>
      <c r="N167" s="465">
        <f t="shared" si="132"/>
        <v>765.10083936369244</v>
      </c>
      <c r="O167" s="464">
        <f t="shared" si="133"/>
        <v>299.52410113774715</v>
      </c>
      <c r="P167" s="465">
        <f t="shared" si="134"/>
        <v>4069.6472808319609</v>
      </c>
      <c r="Q167" s="465">
        <f t="shared" si="135"/>
        <v>16425.723916880503</v>
      </c>
      <c r="R167" s="467">
        <f t="shared" si="136"/>
        <v>804.55310712020696</v>
      </c>
      <c r="S167" s="464">
        <f t="shared" si="137"/>
        <v>299.52410113774715</v>
      </c>
      <c r="T167" s="465">
        <f t="shared" si="138"/>
        <v>4069.6472808319609</v>
      </c>
      <c r="U167" s="465">
        <f t="shared" si="139"/>
        <v>21599.448405970415</v>
      </c>
    </row>
    <row r="168" spans="1:21">
      <c r="A168">
        <f>'Input data'!A121</f>
        <v>2021</v>
      </c>
      <c r="C168" s="266">
        <f>'4A SWD Case 3'!BG91</f>
        <v>761.15962579187737</v>
      </c>
      <c r="D168" s="3">
        <f>'4B Biological treatment '!T221</f>
        <v>2.899556390409697</v>
      </c>
      <c r="E168" s="152">
        <f>'4B Biological treatment '!U221</f>
        <v>20.576076350119727</v>
      </c>
      <c r="F168" s="152">
        <f>'4B Biological treatment '!W221</f>
        <v>1.2345645810071837</v>
      </c>
      <c r="G168" s="688">
        <f>'4C2 Open-burning '!R160</f>
        <v>28.909376284113982</v>
      </c>
      <c r="H168" s="688">
        <f>'4C2 Open-burning '!Z160</f>
        <v>9.7271200482782856</v>
      </c>
      <c r="I168" s="688">
        <f>'4C2 Open-burning '!AH160</f>
        <v>0.13541792862485846</v>
      </c>
      <c r="J168" s="93">
        <f>'4D Wastewater treatment and dis'!AV197</f>
        <v>155.85667833447528</v>
      </c>
      <c r="K168" s="3">
        <f>'4D Wastewater treatment and dis'!AW197</f>
        <v>3.0332514902049907</v>
      </c>
      <c r="L168" s="465">
        <f t="shared" si="140"/>
        <v>15984.352141629424</v>
      </c>
      <c r="M168" s="688">
        <f t="shared" si="131"/>
        <v>60.890684198603637</v>
      </c>
      <c r="N168" s="465">
        <f t="shared" si="132"/>
        <v>814.81262346474125</v>
      </c>
      <c r="O168" s="464">
        <f t="shared" si="133"/>
        <v>275.15845517166412</v>
      </c>
      <c r="P168" s="465">
        <f t="shared" si="134"/>
        <v>4213.2982069875279</v>
      </c>
      <c r="Q168" s="465">
        <f t="shared" si="135"/>
        <v>15984.352141629424</v>
      </c>
      <c r="R168" s="467">
        <f t="shared" si="136"/>
        <v>875.70330766334484</v>
      </c>
      <c r="S168" s="464">
        <f t="shared" si="137"/>
        <v>275.15845517166412</v>
      </c>
      <c r="T168" s="465">
        <f t="shared" si="138"/>
        <v>4213.2982069875279</v>
      </c>
      <c r="U168" s="465">
        <f t="shared" si="139"/>
        <v>21348.512111451961</v>
      </c>
    </row>
    <row r="169" spans="1:21">
      <c r="A169">
        <f>'Input data'!A122</f>
        <v>2022</v>
      </c>
      <c r="C169" s="266">
        <f>'4A SWD Case 3'!BG92</f>
        <v>735.28497297233992</v>
      </c>
      <c r="D169" s="3">
        <f>'4B Biological treatment '!T222</f>
        <v>3.8345530058712241</v>
      </c>
      <c r="E169" s="152">
        <f>'4B Biological treatment '!U222</f>
        <v>19.172765029356118</v>
      </c>
      <c r="F169" s="152">
        <f>'4B Biological treatment '!W222</f>
        <v>1.150365901761367</v>
      </c>
      <c r="G169" s="688">
        <f>'4C2 Open-burning '!R161</f>
        <v>24.037894382919749</v>
      </c>
      <c r="H169" s="688">
        <f>'4C2 Open-burning '!Z161</f>
        <v>8.0880155307598613</v>
      </c>
      <c r="I169" s="688">
        <f>'4C2 Open-burning '!AH161</f>
        <v>0.11259882724024245</v>
      </c>
      <c r="J169" s="93">
        <f>'4D Wastewater treatment and dis'!AV198</f>
        <v>162.06331142984905</v>
      </c>
      <c r="K169" s="3">
        <f>'4D Wastewater treatment and dis'!AW198</f>
        <v>3.0738670955972056</v>
      </c>
      <c r="L169" s="465">
        <f t="shared" si="140"/>
        <v>15440.984432419138</v>
      </c>
      <c r="M169" s="688">
        <f t="shared" si="131"/>
        <v>80.525613123295699</v>
      </c>
      <c r="N169" s="465">
        <f t="shared" si="132"/>
        <v>759.24149516250225</v>
      </c>
      <c r="O169" s="464">
        <f t="shared" si="133"/>
        <v>228.791856973352</v>
      </c>
      <c r="P169" s="465">
        <f t="shared" si="134"/>
        <v>4356.2283396619641</v>
      </c>
      <c r="Q169" s="465">
        <f t="shared" si="135"/>
        <v>15440.984432419138</v>
      </c>
      <c r="R169" s="467">
        <f t="shared" si="136"/>
        <v>839.76710828579792</v>
      </c>
      <c r="S169" s="464">
        <f t="shared" si="137"/>
        <v>228.791856973352</v>
      </c>
      <c r="T169" s="465">
        <f t="shared" si="138"/>
        <v>4356.2283396619641</v>
      </c>
      <c r="U169" s="465">
        <f t="shared" si="139"/>
        <v>20865.771737340252</v>
      </c>
    </row>
    <row r="170" spans="1:21">
      <c r="A170">
        <f>'Input data'!A123</f>
        <v>2023</v>
      </c>
      <c r="C170" s="266">
        <f>'4A SWD Case 3'!BG93</f>
        <v>707.69216556508638</v>
      </c>
      <c r="D170" s="3">
        <f>'4B Biological treatment '!T223</f>
        <v>3.8569981629981296</v>
      </c>
      <c r="E170" s="152">
        <f>'4B Biological treatment '!U223</f>
        <v>19.284990814990646</v>
      </c>
      <c r="F170" s="152">
        <f>'4B Biological treatment '!W223</f>
        <v>1.1570994488994386</v>
      </c>
      <c r="G170" s="688">
        <f>'4C2 Open-burning '!R162</f>
        <v>22.789154809802167</v>
      </c>
      <c r="H170" s="688">
        <f>'4C2 Open-burning '!Z162</f>
        <v>7.667852895033084</v>
      </c>
      <c r="I170" s="688">
        <f>'4C2 Open-burning '!AH162</f>
        <v>0.10674945419526272</v>
      </c>
      <c r="J170" s="93">
        <f>'4D Wastewater treatment and dis'!AV199</f>
        <v>168.25355707093811</v>
      </c>
      <c r="K170" s="3">
        <f>'4D Wastewater treatment and dis'!AW199</f>
        <v>3.1121658543941133</v>
      </c>
      <c r="L170" s="465">
        <f t="shared" si="140"/>
        <v>14861.535476866815</v>
      </c>
      <c r="M170" s="688">
        <f t="shared" si="131"/>
        <v>80.996961422960723</v>
      </c>
      <c r="N170" s="465">
        <f t="shared" si="132"/>
        <v>763.6856362736296</v>
      </c>
      <c r="O170" s="464">
        <f t="shared" si="133"/>
        <v>216.90639640602836</v>
      </c>
      <c r="P170" s="465">
        <f t="shared" si="134"/>
        <v>4498.0961133518758</v>
      </c>
      <c r="Q170" s="465">
        <f t="shared" si="135"/>
        <v>14861.535476866815</v>
      </c>
      <c r="R170" s="467">
        <f t="shared" si="136"/>
        <v>844.68259769659028</v>
      </c>
      <c r="S170" s="464">
        <f t="shared" si="137"/>
        <v>216.90639640602836</v>
      </c>
      <c r="T170" s="465">
        <f t="shared" si="138"/>
        <v>4498.0961133518758</v>
      </c>
      <c r="U170" s="465">
        <f t="shared" si="139"/>
        <v>20421.220584321309</v>
      </c>
    </row>
    <row r="171" spans="1:21">
      <c r="A171">
        <f>'Input data'!A124</f>
        <v>2024</v>
      </c>
      <c r="C171" s="266">
        <f>'4A SWD Case 3'!BG94</f>
        <v>681.22579627380367</v>
      </c>
      <c r="D171" s="3">
        <f>'4B Biological treatment '!T224</f>
        <v>3.8810852243621072</v>
      </c>
      <c r="E171" s="152">
        <f>'4B Biological treatment '!U224</f>
        <v>19.405426121810535</v>
      </c>
      <c r="F171" s="152">
        <f>'4B Biological treatment '!W224</f>
        <v>1.1643255673086321</v>
      </c>
      <c r="G171" s="688">
        <f>'4C2 Open-burning '!R163</f>
        <v>21.527094494314703</v>
      </c>
      <c r="H171" s="688">
        <f>'4C2 Open-burning '!Z163</f>
        <v>7.2432082373183331</v>
      </c>
      <c r="I171" s="688">
        <f>'4C2 Open-burning '!AH163</f>
        <v>0.10083768383939856</v>
      </c>
      <c r="J171" s="93">
        <f>'4D Wastewater treatment and dis'!AV200</f>
        <v>174.41243169580983</v>
      </c>
      <c r="K171" s="3">
        <f>'4D Wastewater treatment and dis'!AW200</f>
        <v>3.1480454582573771</v>
      </c>
      <c r="L171" s="465">
        <f t="shared" si="140"/>
        <v>14305.741721749877</v>
      </c>
      <c r="M171" s="688">
        <f t="shared" si="131"/>
        <v>81.502789711604251</v>
      </c>
      <c r="N171" s="465">
        <f t="shared" si="132"/>
        <v>768.45487442369722</v>
      </c>
      <c r="O171" s="464">
        <f t="shared" si="133"/>
        <v>204.89414946821324</v>
      </c>
      <c r="P171" s="465">
        <f t="shared" si="134"/>
        <v>4638.5551576717935</v>
      </c>
      <c r="Q171" s="465">
        <f t="shared" si="135"/>
        <v>14305.741721749877</v>
      </c>
      <c r="R171" s="467">
        <f t="shared" si="136"/>
        <v>849.95766413530146</v>
      </c>
      <c r="S171" s="464">
        <f t="shared" si="137"/>
        <v>204.89414946821324</v>
      </c>
      <c r="T171" s="465">
        <f t="shared" si="138"/>
        <v>4638.5551576717935</v>
      </c>
      <c r="U171" s="465">
        <f t="shared" si="139"/>
        <v>19999.148693025185</v>
      </c>
    </row>
    <row r="172" spans="1:21">
      <c r="A172">
        <f>'Input data'!A125</f>
        <v>2025</v>
      </c>
      <c r="C172" s="266">
        <f>'4A SWD Case 3'!BG95</f>
        <v>655.80241610339942</v>
      </c>
      <c r="D172" s="3">
        <f>'4B Biological treatment '!T225</f>
        <v>3.9038826841200143</v>
      </c>
      <c r="E172" s="152">
        <f>'4B Biological treatment '!U225</f>
        <v>19.51941342060007</v>
      </c>
      <c r="F172" s="152">
        <f>'4B Biological treatment '!W225</f>
        <v>1.1711648052360042</v>
      </c>
      <c r="G172" s="688">
        <f>'4C2 Open-burning '!R164</f>
        <v>20.249645780164677</v>
      </c>
      <c r="H172" s="688">
        <f>'4C2 Open-burning '!Z164</f>
        <v>6.8133858545751886</v>
      </c>
      <c r="I172" s="688">
        <f>'4C2 Open-burning '!AH164</f>
        <v>9.485383081211117E-2</v>
      </c>
      <c r="J172" s="93">
        <f>'4D Wastewater treatment and dis'!AV201</f>
        <v>180.52470879640688</v>
      </c>
      <c r="K172" s="3">
        <f>'4D Wastewater treatment and dis'!AW201</f>
        <v>3.1814089830873744</v>
      </c>
      <c r="L172" s="465">
        <f t="shared" si="140"/>
        <v>13771.850738171388</v>
      </c>
      <c r="M172" s="688">
        <f t="shared" si="131"/>
        <v>81.981536366520302</v>
      </c>
      <c r="N172" s="465">
        <f t="shared" si="132"/>
        <v>772.96877145576286</v>
      </c>
      <c r="O172" s="464">
        <f t="shared" si="133"/>
        <v>192.73543627799813</v>
      </c>
      <c r="P172" s="465">
        <f t="shared" si="134"/>
        <v>4777.2556694816303</v>
      </c>
      <c r="Q172" s="465">
        <f t="shared" si="135"/>
        <v>13771.850738171388</v>
      </c>
      <c r="R172" s="467">
        <f t="shared" si="136"/>
        <v>854.95030782228321</v>
      </c>
      <c r="S172" s="464">
        <f t="shared" si="137"/>
        <v>192.73543627799813</v>
      </c>
      <c r="T172" s="465">
        <f t="shared" si="138"/>
        <v>4777.2556694816303</v>
      </c>
      <c r="U172" s="465">
        <f t="shared" si="139"/>
        <v>19596.7921517533</v>
      </c>
    </row>
    <row r="173" spans="1:21">
      <c r="A173">
        <f>'Input data'!A126</f>
        <v>2026</v>
      </c>
      <c r="C173" s="266">
        <f>'4A SWD Case 3'!BG96</f>
        <v>631.34240288137539</v>
      </c>
      <c r="D173" s="3">
        <f>'4B Biological treatment '!T226</f>
        <v>3.9236964450524088</v>
      </c>
      <c r="E173" s="152">
        <f>'4B Biological treatment '!U226</f>
        <v>19.618482225262042</v>
      </c>
      <c r="F173" s="152">
        <f>'4B Biological treatment '!W226</f>
        <v>1.1771089335157223</v>
      </c>
      <c r="G173" s="688">
        <f>'4C2 Open-burning '!R165</f>
        <v>18.950712018812339</v>
      </c>
      <c r="H173" s="688">
        <f>'4C2 Open-burning '!Z165</f>
        <v>6.3763344112211913</v>
      </c>
      <c r="I173" s="688">
        <f>'4C2 Open-burning '!AH165</f>
        <v>8.8769337059823331E-2</v>
      </c>
      <c r="J173" s="93">
        <f>'4D Wastewater treatment and dis'!AV202</f>
        <v>186.68537416219561</v>
      </c>
      <c r="K173" s="3">
        <f>'4D Wastewater treatment and dis'!AW202</f>
        <v>3.2140659188721759</v>
      </c>
      <c r="L173" s="465">
        <f t="shared" si="140"/>
        <v>13258.190460508884</v>
      </c>
      <c r="M173" s="688">
        <f t="shared" si="131"/>
        <v>82.397625346100583</v>
      </c>
      <c r="N173" s="465">
        <f t="shared" si="132"/>
        <v>776.89189612037671</v>
      </c>
      <c r="O173" s="464">
        <f t="shared" si="133"/>
        <v>180.37222914300258</v>
      </c>
      <c r="P173" s="465">
        <f t="shared" si="134"/>
        <v>4916.7532922564824</v>
      </c>
      <c r="Q173" s="465">
        <f t="shared" si="135"/>
        <v>13258.190460508884</v>
      </c>
      <c r="R173" s="467">
        <f t="shared" si="136"/>
        <v>859.28952146647725</v>
      </c>
      <c r="S173" s="464">
        <f t="shared" si="137"/>
        <v>180.37222914300258</v>
      </c>
      <c r="T173" s="465">
        <f t="shared" si="138"/>
        <v>4916.7532922564824</v>
      </c>
      <c r="U173" s="465">
        <f t="shared" si="139"/>
        <v>19214.605503374845</v>
      </c>
    </row>
    <row r="174" spans="1:21">
      <c r="A174">
        <f>'Input data'!A127</f>
        <v>2027</v>
      </c>
      <c r="C174" s="266">
        <f>'4A SWD Case 3'!BG97</f>
        <v>607.77113235674074</v>
      </c>
      <c r="D174" s="3">
        <f>'4B Biological treatment '!T227</f>
        <v>3.9433688499908826</v>
      </c>
      <c r="E174" s="152">
        <f>'4B Biological treatment '!U227</f>
        <v>19.716844249954413</v>
      </c>
      <c r="F174" s="152">
        <f>'4B Biological treatment '!W227</f>
        <v>1.1830106549972648</v>
      </c>
      <c r="G174" s="688">
        <f>'4C2 Open-burning '!R166</f>
        <v>17.628968481544341</v>
      </c>
      <c r="H174" s="688">
        <f>'4C2 Open-burning '!Z166</f>
        <v>5.9316081766013617</v>
      </c>
      <c r="I174" s="688">
        <f>'4C2 Open-burning '!AH166</f>
        <v>8.257799725950804E-2</v>
      </c>
      <c r="J174" s="93">
        <f>'4D Wastewater treatment and dis'!AV203</f>
        <v>192.88984842661634</v>
      </c>
      <c r="K174" s="3">
        <f>'4D Wastewater treatment and dis'!AW203</f>
        <v>3.2459870116876344</v>
      </c>
      <c r="L174" s="465">
        <f t="shared" si="140"/>
        <v>12763.193779491556</v>
      </c>
      <c r="M174" s="688">
        <f t="shared" si="131"/>
        <v>82.810745849808541</v>
      </c>
      <c r="N174" s="465">
        <f t="shared" si="132"/>
        <v>780.78703229819473</v>
      </c>
      <c r="O174" s="464">
        <f t="shared" si="133"/>
        <v>167.79191934062044</v>
      </c>
      <c r="P174" s="465">
        <f t="shared" si="134"/>
        <v>5056.9427905821094</v>
      </c>
      <c r="Q174" s="465">
        <f t="shared" si="135"/>
        <v>12763.193779491556</v>
      </c>
      <c r="R174" s="467">
        <f t="shared" si="136"/>
        <v>863.59777814800327</v>
      </c>
      <c r="S174" s="464">
        <f t="shared" si="137"/>
        <v>167.79191934062044</v>
      </c>
      <c r="T174" s="465">
        <f t="shared" si="138"/>
        <v>5056.9427905821094</v>
      </c>
      <c r="U174" s="465">
        <f t="shared" si="139"/>
        <v>18851.526267562287</v>
      </c>
    </row>
    <row r="175" spans="1:21">
      <c r="A175">
        <f>'Input data'!A128</f>
        <v>2028</v>
      </c>
      <c r="C175" s="266">
        <f>'4A SWD Case 3'!BG98</f>
        <v>585.01721824943422</v>
      </c>
      <c r="D175" s="3">
        <f>'4B Biological treatment '!T228</f>
        <v>3.9634761964491112</v>
      </c>
      <c r="E175" s="152">
        <f>'4B Biological treatment '!U228</f>
        <v>19.817380982245552</v>
      </c>
      <c r="F175" s="152">
        <f>'4B Biological treatment '!W228</f>
        <v>1.1890428589347333</v>
      </c>
      <c r="G175" s="688">
        <f>'4C2 Open-burning '!R167</f>
        <v>16.283040293904111</v>
      </c>
      <c r="H175" s="688">
        <f>'4C2 Open-burning '!Z167</f>
        <v>5.4787445475533589</v>
      </c>
      <c r="I175" s="688">
        <f>'4C2 Open-burning '!AH167</f>
        <v>7.6273371194358217E-2</v>
      </c>
      <c r="J175" s="93">
        <f>'4D Wastewater treatment and dis'!AV204</f>
        <v>199.13342125658875</v>
      </c>
      <c r="K175" s="3">
        <f>'4D Wastewater treatment and dis'!AW204</f>
        <v>3.277143433214452</v>
      </c>
      <c r="L175" s="465">
        <f t="shared" si="140"/>
        <v>12285.361583238118</v>
      </c>
      <c r="M175" s="688">
        <f t="shared" si="131"/>
        <v>83.233000125431332</v>
      </c>
      <c r="N175" s="465">
        <f t="shared" si="132"/>
        <v>784.76828689692388</v>
      </c>
      <c r="O175" s="464">
        <f t="shared" si="133"/>
        <v>154.98142086277571</v>
      </c>
      <c r="P175" s="465">
        <f t="shared" si="134"/>
        <v>5197.7163106848438</v>
      </c>
      <c r="Q175" s="465">
        <f t="shared" si="135"/>
        <v>12285.361583238118</v>
      </c>
      <c r="R175" s="467">
        <f t="shared" si="136"/>
        <v>868.0012870223552</v>
      </c>
      <c r="S175" s="464">
        <f t="shared" si="137"/>
        <v>154.98142086277571</v>
      </c>
      <c r="T175" s="465">
        <f t="shared" si="138"/>
        <v>5197.7163106848438</v>
      </c>
      <c r="U175" s="465">
        <f t="shared" si="139"/>
        <v>18506.060601808094</v>
      </c>
    </row>
    <row r="176" spans="1:21">
      <c r="A176">
        <f>'Input data'!A129</f>
        <v>2029</v>
      </c>
      <c r="C176" s="266">
        <f>'4A SWD Case 3'!BG99</f>
        <v>563.01234420080334</v>
      </c>
      <c r="D176" s="3">
        <f>'4B Biological treatment '!T229</f>
        <v>3.9901859551772052</v>
      </c>
      <c r="E176" s="152">
        <f>'4B Biological treatment '!U229</f>
        <v>19.950929775886024</v>
      </c>
      <c r="F176" s="152">
        <f>'4B Biological treatment '!W229</f>
        <v>1.1970557865531615</v>
      </c>
      <c r="G176" s="688">
        <f>'4C2 Open-burning '!R168</f>
        <v>14.911497245061883</v>
      </c>
      <c r="H176" s="688">
        <f>'4C2 Open-burning '!Z168</f>
        <v>5.0172623019194011</v>
      </c>
      <c r="I176" s="688">
        <f>'4C2 Open-burning '!AH168</f>
        <v>6.9848759439724836E-2</v>
      </c>
      <c r="J176" s="93">
        <f>'4D Wastewater treatment and dis'!AV205</f>
        <v>205.4112568711993</v>
      </c>
      <c r="K176" s="3">
        <f>'4D Wastewater treatment and dis'!AW205</f>
        <v>3.307506823676122</v>
      </c>
      <c r="L176" s="465">
        <f t="shared" si="140"/>
        <v>11823.25922821687</v>
      </c>
      <c r="M176" s="688">
        <f t="shared" si="131"/>
        <v>83.793905058721307</v>
      </c>
      <c r="N176" s="465">
        <f t="shared" si="132"/>
        <v>790.05681912508658</v>
      </c>
      <c r="O176" s="464">
        <f t="shared" si="133"/>
        <v>141.92712101168399</v>
      </c>
      <c r="P176" s="465">
        <f t="shared" si="134"/>
        <v>5338.9635096347838</v>
      </c>
      <c r="Q176" s="465">
        <f t="shared" si="135"/>
        <v>11823.25922821687</v>
      </c>
      <c r="R176" s="467">
        <f t="shared" si="136"/>
        <v>873.85072418380787</v>
      </c>
      <c r="S176" s="464">
        <f t="shared" si="137"/>
        <v>141.92712101168399</v>
      </c>
      <c r="T176" s="465">
        <f t="shared" si="138"/>
        <v>5338.9635096347838</v>
      </c>
      <c r="U176" s="465">
        <f t="shared" si="139"/>
        <v>18178.000583047145</v>
      </c>
    </row>
    <row r="177" spans="1:21">
      <c r="A177">
        <f>'Input data'!A130</f>
        <v>2030</v>
      </c>
      <c r="C177" s="266">
        <f>'4A SWD Case 3'!BG100</f>
        <v>541.69110267298902</v>
      </c>
      <c r="D177" s="3">
        <f>'4B Biological treatment '!T230</f>
        <v>4.0142142994360155</v>
      </c>
      <c r="E177" s="152">
        <f>'4B Biological treatment '!U230</f>
        <v>20.071071497180078</v>
      </c>
      <c r="F177" s="152">
        <f>'4B Biological treatment '!W230</f>
        <v>1.2042642898308045</v>
      </c>
      <c r="G177" s="688">
        <f>'4C2 Open-burning '!R169</f>
        <v>13.512848243857144</v>
      </c>
      <c r="H177" s="688">
        <f>'4C2 Open-burning '!Z169</f>
        <v>4.5466597331742911</v>
      </c>
      <c r="I177" s="688">
        <f>'4C2 Open-burning '!AH169</f>
        <v>6.3297177393990711E-2</v>
      </c>
      <c r="J177" s="93">
        <f>'4D Wastewater treatment and dis'!AV206</f>
        <v>211.71839988500935</v>
      </c>
      <c r="K177" s="3">
        <f>'4D Wastewater treatment and dis'!AW206</f>
        <v>3.337049334451244</v>
      </c>
      <c r="L177" s="465">
        <f t="shared" si="140"/>
        <v>11375.513156132769</v>
      </c>
      <c r="M177" s="688">
        <f t="shared" si="131"/>
        <v>84.298500288156319</v>
      </c>
      <c r="N177" s="465">
        <f t="shared" si="132"/>
        <v>794.81443128833098</v>
      </c>
      <c r="O177" s="464">
        <f t="shared" si="133"/>
        <v>128.6148276326544</v>
      </c>
      <c r="P177" s="465">
        <f t="shared" si="134"/>
        <v>5480.5716912650823</v>
      </c>
      <c r="Q177" s="465">
        <f t="shared" si="135"/>
        <v>11375.513156132769</v>
      </c>
      <c r="R177" s="467">
        <f t="shared" si="136"/>
        <v>879.11293157648731</v>
      </c>
      <c r="S177" s="464">
        <f t="shared" si="137"/>
        <v>128.6148276326544</v>
      </c>
      <c r="T177" s="465">
        <f t="shared" si="138"/>
        <v>5480.5716912650823</v>
      </c>
      <c r="U177" s="465">
        <f t="shared" si="139"/>
        <v>17863.812606606993</v>
      </c>
    </row>
    <row r="178" spans="1:21">
      <c r="A178">
        <f>'Input data'!A131</f>
        <v>2031</v>
      </c>
      <c r="C178" s="266">
        <f>'4A SWD Case 3'!BG101</f>
        <v>520.99084040437197</v>
      </c>
      <c r="D178" s="3">
        <f>'4B Biological treatment '!T231</f>
        <v>4.0426573001203296</v>
      </c>
      <c r="E178" s="152">
        <f>'4B Biological treatment '!U231</f>
        <v>20.213286500601647</v>
      </c>
      <c r="F178" s="152">
        <f>'4B Biological treatment '!W231</f>
        <v>1.2127971900360988</v>
      </c>
      <c r="G178" s="688">
        <f>'4C2 Open-burning '!R170</f>
        <v>11.917018403484036</v>
      </c>
      <c r="H178" s="688">
        <f>'4C2 Open-burning '!Z170</f>
        <v>4.0097118488138817</v>
      </c>
      <c r="I178" s="688">
        <f>'4C2 Open-burning '!AH170</f>
        <v>5.5821956576452142E-2</v>
      </c>
      <c r="J178" s="93">
        <f>'4D Wastewater treatment and dis'!AV207</f>
        <v>213.55394760187275</v>
      </c>
      <c r="K178" s="3">
        <f>'4D Wastewater treatment and dis'!AW207</f>
        <v>3.3659807513249738</v>
      </c>
      <c r="L178" s="465">
        <f t="shared" si="140"/>
        <v>10940.807648491811</v>
      </c>
      <c r="M178" s="688">
        <f t="shared" si="131"/>
        <v>84.895803302526929</v>
      </c>
      <c r="N178" s="465">
        <f t="shared" si="132"/>
        <v>800.44614542382521</v>
      </c>
      <c r="O178" s="464">
        <f t="shared" si="133"/>
        <v>113.42577376727571</v>
      </c>
      <c r="P178" s="465">
        <f t="shared" si="134"/>
        <v>5528.0869325500698</v>
      </c>
      <c r="Q178" s="465">
        <f t="shared" si="135"/>
        <v>10940.807648491811</v>
      </c>
      <c r="R178" s="467">
        <f t="shared" si="136"/>
        <v>885.34194872635214</v>
      </c>
      <c r="S178" s="464">
        <f t="shared" si="137"/>
        <v>113.42577376727571</v>
      </c>
      <c r="T178" s="465">
        <f t="shared" si="138"/>
        <v>5528.0869325500698</v>
      </c>
      <c r="U178" s="465">
        <f t="shared" si="139"/>
        <v>17467.662303535508</v>
      </c>
    </row>
    <row r="179" spans="1:21">
      <c r="A179">
        <f>'Input data'!A132</f>
        <v>2032</v>
      </c>
      <c r="C179" s="266">
        <f>'4A SWD Case 3'!BG102</f>
        <v>500.7282737875201</v>
      </c>
      <c r="D179" s="3">
        <f>'4B Biological treatment '!T232</f>
        <v>4.0724203483170971</v>
      </c>
      <c r="E179" s="152">
        <f>'4B Biological treatment '!U232</f>
        <v>20.362101741585484</v>
      </c>
      <c r="F179" s="152">
        <f>'4B Biological treatment '!W232</f>
        <v>1.2217261044951291</v>
      </c>
      <c r="G179" s="688">
        <f>'4C2 Open-burning '!R171</f>
        <v>10.332156257114898</v>
      </c>
      <c r="H179" s="688">
        <f>'4C2 Open-burning '!Z171</f>
        <v>3.47645425770577</v>
      </c>
      <c r="I179" s="688">
        <f>'4C2 Open-burning '!AH171</f>
        <v>4.8398110869507877E-2</v>
      </c>
      <c r="J179" s="93">
        <f>'4D Wastewater treatment and dis'!AV208</f>
        <v>215.34941574253997</v>
      </c>
      <c r="K179" s="3">
        <f>'4D Wastewater treatment and dis'!AW208</f>
        <v>3.3942804445358443</v>
      </c>
      <c r="L179" s="465">
        <f t="shared" si="140"/>
        <v>10515.293749537923</v>
      </c>
      <c r="M179" s="688">
        <f t="shared" si="131"/>
        <v>85.520827314659044</v>
      </c>
      <c r="N179" s="465">
        <f t="shared" si="132"/>
        <v>806.33922896678519</v>
      </c>
      <c r="O179" s="464">
        <f t="shared" si="133"/>
        <v>98.341110038483521</v>
      </c>
      <c r="P179" s="465">
        <f t="shared" si="134"/>
        <v>5574.564668399451</v>
      </c>
      <c r="Q179" s="465">
        <f t="shared" si="135"/>
        <v>10515.293749537923</v>
      </c>
      <c r="R179" s="467">
        <f t="shared" si="136"/>
        <v>891.86005628144426</v>
      </c>
      <c r="S179" s="464">
        <f t="shared" si="137"/>
        <v>98.341110038483521</v>
      </c>
      <c r="T179" s="465">
        <f t="shared" si="138"/>
        <v>5574.564668399451</v>
      </c>
      <c r="U179" s="465">
        <f t="shared" si="139"/>
        <v>17080.059584257302</v>
      </c>
    </row>
    <row r="180" spans="1:21">
      <c r="A180">
        <f>'Input data'!A133</f>
        <v>2033</v>
      </c>
      <c r="C180" s="266">
        <f>'4A SWD Case 3'!BG103</f>
        <v>480.87930789818819</v>
      </c>
      <c r="D180" s="3">
        <f>'4B Biological treatment '!T233</f>
        <v>4.1074244418269013</v>
      </c>
      <c r="E180" s="152">
        <f>'4B Biological treatment '!U233</f>
        <v>20.537122209134502</v>
      </c>
      <c r="F180" s="152">
        <f>'4B Biological treatment '!W233</f>
        <v>1.2322273325480702</v>
      </c>
      <c r="G180" s="688">
        <f>'4C2 Open-burning '!R172</f>
        <v>10.303044840243604</v>
      </c>
      <c r="H180" s="688">
        <f>'4C2 Open-burning '!Z172</f>
        <v>3.466659157185453</v>
      </c>
      <c r="I180" s="688">
        <f>'4C2 Open-burning '!AH172</f>
        <v>4.8261746537973965E-2</v>
      </c>
      <c r="J180" s="93">
        <f>'4D Wastewater treatment and dis'!AV209</f>
        <v>217.10351529179806</v>
      </c>
      <c r="K180" s="3">
        <f>'4D Wastewater treatment and dis'!AW209</f>
        <v>3.4219280969675285</v>
      </c>
      <c r="L180" s="465">
        <f t="shared" si="140"/>
        <v>10098.465465861951</v>
      </c>
      <c r="M180" s="688">
        <f t="shared" si="131"/>
        <v>86.255913278364929</v>
      </c>
      <c r="N180" s="465">
        <f t="shared" si="132"/>
        <v>813.27003948172626</v>
      </c>
      <c r="O180" s="464">
        <f t="shared" si="133"/>
        <v>98.064028567910043</v>
      </c>
      <c r="P180" s="465">
        <f t="shared" si="134"/>
        <v>5619.9715311876926</v>
      </c>
      <c r="Q180" s="465">
        <f t="shared" si="135"/>
        <v>10098.465465861951</v>
      </c>
      <c r="R180" s="467">
        <f t="shared" si="136"/>
        <v>899.52595276009117</v>
      </c>
      <c r="S180" s="464">
        <f t="shared" si="137"/>
        <v>98.064028567910043</v>
      </c>
      <c r="T180" s="465">
        <f t="shared" si="138"/>
        <v>5619.9715311876926</v>
      </c>
      <c r="U180" s="465">
        <f t="shared" si="139"/>
        <v>16716.026978377646</v>
      </c>
    </row>
    <row r="181" spans="1:21">
      <c r="A181">
        <f>'Input data'!A134</f>
        <v>2034</v>
      </c>
      <c r="C181" s="266">
        <f>'4A SWD Case 3'!BG104</f>
        <v>462.00931986111686</v>
      </c>
      <c r="D181" s="3">
        <f>'4B Biological treatment '!T234</f>
        <v>4.145597084308112</v>
      </c>
      <c r="E181" s="152">
        <f>'4B Biological treatment '!U234</f>
        <v>20.727985421540559</v>
      </c>
      <c r="F181" s="152">
        <f>'4B Biological treatment '!W234</f>
        <v>1.2436791252924335</v>
      </c>
      <c r="G181" s="688">
        <f>'4C2 Open-burning '!R173</f>
        <v>10.275244855123965</v>
      </c>
      <c r="H181" s="688">
        <f>'4C2 Open-burning '!Z173</f>
        <v>3.4573053132995972</v>
      </c>
      <c r="I181" s="688">
        <f>'4C2 Open-burning '!AH173</f>
        <v>4.8131525243550119E-2</v>
      </c>
      <c r="J181" s="93">
        <f>'4D Wastewater treatment and dis'!AV210</f>
        <v>218.81497859921896</v>
      </c>
      <c r="K181" s="3">
        <f>'4D Wastewater treatment and dis'!AW210</f>
        <v>3.4489037282497814</v>
      </c>
      <c r="L181" s="465">
        <f t="shared" si="140"/>
        <v>9702.1957170834539</v>
      </c>
      <c r="M181" s="688">
        <f t="shared" si="131"/>
        <v>87.057538770470359</v>
      </c>
      <c r="N181" s="465">
        <f t="shared" si="132"/>
        <v>820.82822269300618</v>
      </c>
      <c r="O181" s="464">
        <f t="shared" si="133"/>
        <v>97.799429259916053</v>
      </c>
      <c r="P181" s="465">
        <f t="shared" si="134"/>
        <v>5664.2747063410307</v>
      </c>
      <c r="Q181" s="465">
        <f t="shared" si="135"/>
        <v>9702.1957170834539</v>
      </c>
      <c r="R181" s="467">
        <f t="shared" si="136"/>
        <v>907.88576146347657</v>
      </c>
      <c r="S181" s="464">
        <f t="shared" si="137"/>
        <v>97.799429259916053</v>
      </c>
      <c r="T181" s="465">
        <f t="shared" si="138"/>
        <v>5664.2747063410307</v>
      </c>
      <c r="U181" s="465">
        <f t="shared" si="139"/>
        <v>16372.155614147876</v>
      </c>
    </row>
    <row r="182" spans="1:21">
      <c r="A182">
        <f>'Input data'!A135</f>
        <v>2035</v>
      </c>
      <c r="C182" s="266">
        <f>'4A SWD Case 3'!BG105</f>
        <v>444.07016931308334</v>
      </c>
      <c r="D182" s="3">
        <f>'4B Biological treatment '!T235</f>
        <v>4.1760603883516829</v>
      </c>
      <c r="E182" s="152">
        <f>'4B Biological treatment '!U235</f>
        <v>20.880301941758411</v>
      </c>
      <c r="F182" s="152">
        <f>'4B Biological treatment '!W235</f>
        <v>1.2528181165055048</v>
      </c>
      <c r="G182" s="688">
        <f>'4C2 Open-burning '!R174</f>
        <v>10.24871342765546</v>
      </c>
      <c r="H182" s="688">
        <f>'4C2 Open-burning '!Z174</f>
        <v>3.4483783002259818</v>
      </c>
      <c r="I182" s="688">
        <f>'4C2 Open-burning '!AH174</f>
        <v>4.8007246154442962E-2</v>
      </c>
      <c r="J182" s="93">
        <f>'4D Wastewater treatment and dis'!AV211</f>
        <v>220.48256089388616</v>
      </c>
      <c r="K182" s="3">
        <f>'4D Wastewater treatment and dis'!AW211</f>
        <v>3.4751877186331606</v>
      </c>
      <c r="L182" s="465">
        <f t="shared" si="140"/>
        <v>9325.4735555747502</v>
      </c>
      <c r="M182" s="688">
        <f t="shared" si="131"/>
        <v>87.697268155385345</v>
      </c>
      <c r="N182" s="465">
        <f t="shared" si="132"/>
        <v>826.85995689363313</v>
      </c>
      <c r="O182" s="464">
        <f t="shared" si="133"/>
        <v>97.546904040278406</v>
      </c>
      <c r="P182" s="465">
        <f t="shared" si="134"/>
        <v>5707.4419715478889</v>
      </c>
      <c r="Q182" s="465">
        <f t="shared" si="135"/>
        <v>9325.4735555747502</v>
      </c>
      <c r="R182" s="467">
        <f t="shared" si="136"/>
        <v>914.55722504901848</v>
      </c>
      <c r="S182" s="464">
        <f t="shared" si="137"/>
        <v>97.546904040278406</v>
      </c>
      <c r="T182" s="465">
        <f t="shared" si="138"/>
        <v>5707.4419715478889</v>
      </c>
      <c r="U182" s="465">
        <f t="shared" si="139"/>
        <v>16045.019656211936</v>
      </c>
    </row>
    <row r="183" spans="1:21">
      <c r="A183">
        <f>'Input data'!A136</f>
        <v>2036</v>
      </c>
      <c r="C183" s="266">
        <f>'4A SWD Case 3'!BG106</f>
        <v>427.01606709221818</v>
      </c>
      <c r="D183" s="3">
        <f>'4B Biological treatment '!T236</f>
        <v>4.2065628371320321</v>
      </c>
      <c r="E183" s="152">
        <f>'4B Biological treatment '!U236</f>
        <v>21.032814185660158</v>
      </c>
      <c r="F183" s="152">
        <f>'4B Biological treatment '!W236</f>
        <v>1.2619688511396094</v>
      </c>
      <c r="G183" s="688">
        <f>'4C2 Open-burning '!R175</f>
        <v>10.22334284688047</v>
      </c>
      <c r="H183" s="688">
        <f>'4C2 Open-burning '!Z175</f>
        <v>3.4398418765249819</v>
      </c>
      <c r="I183" s="688">
        <f>'4C2 Open-burning '!AH175</f>
        <v>4.7888404728644154E-2</v>
      </c>
      <c r="J183" s="93">
        <f>'4D Wastewater treatment and dis'!AV212</f>
        <v>222.10940607467276</v>
      </c>
      <c r="K183" s="3">
        <f>'4D Wastewater treatment and dis'!AW212</f>
        <v>3.5008296214188772</v>
      </c>
      <c r="L183" s="465">
        <f t="shared" si="140"/>
        <v>8967.3374089365825</v>
      </c>
      <c r="M183" s="688">
        <f t="shared" si="131"/>
        <v>88.33781957977267</v>
      </c>
      <c r="N183" s="465">
        <f t="shared" si="132"/>
        <v>832.89944175214225</v>
      </c>
      <c r="O183" s="464">
        <f t="shared" si="133"/>
        <v>97.305427719784788</v>
      </c>
      <c r="P183" s="465">
        <f t="shared" si="134"/>
        <v>5749.55471020798</v>
      </c>
      <c r="Q183" s="465">
        <f t="shared" si="135"/>
        <v>8967.3374089365825</v>
      </c>
      <c r="R183" s="467">
        <f t="shared" si="136"/>
        <v>921.23726133191497</v>
      </c>
      <c r="S183" s="464">
        <f t="shared" si="137"/>
        <v>97.305427719784788</v>
      </c>
      <c r="T183" s="465">
        <f t="shared" si="138"/>
        <v>5749.55471020798</v>
      </c>
      <c r="U183" s="465">
        <f t="shared" si="139"/>
        <v>15735.434808196262</v>
      </c>
    </row>
    <row r="184" spans="1:21">
      <c r="A184">
        <f>'Input data'!A137</f>
        <v>2037</v>
      </c>
      <c r="C184" s="266">
        <f>'4A SWD Case 3'!BG107</f>
        <v>412.46822139642882</v>
      </c>
      <c r="D184" s="3">
        <f>'4B Biological treatment '!T237</f>
        <v>4.2422519635354483</v>
      </c>
      <c r="E184" s="152">
        <f>'4B Biological treatment '!U237</f>
        <v>21.211259817677238</v>
      </c>
      <c r="F184" s="152">
        <f>'4B Biological treatment '!W237</f>
        <v>1.2726755890606345</v>
      </c>
      <c r="G184" s="688">
        <f>'4C2 Open-burning '!R176</f>
        <v>10.199097556482885</v>
      </c>
      <c r="H184" s="688">
        <f>'4C2 Open-burning '!Z176</f>
        <v>3.4316840785847926</v>
      </c>
      <c r="I184" s="688">
        <f>'4C2 Open-burning '!AH176</f>
        <v>4.7774834412485048E-2</v>
      </c>
      <c r="J184" s="93">
        <f>'4D Wastewater treatment and dis'!AV213</f>
        <v>223.69441497988231</v>
      </c>
      <c r="K184" s="3">
        <f>'4D Wastewater treatment and dis'!AW213</f>
        <v>3.5258121119114461</v>
      </c>
      <c r="L184" s="465">
        <f t="shared" si="140"/>
        <v>8661.8326493250061</v>
      </c>
      <c r="M184" s="688">
        <f t="shared" si="131"/>
        <v>89.087291234244418</v>
      </c>
      <c r="N184" s="465">
        <f t="shared" si="132"/>
        <v>839.96588878001876</v>
      </c>
      <c r="O184" s="464">
        <f t="shared" si="133"/>
        <v>97.07466187463389</v>
      </c>
      <c r="P184" s="465">
        <f t="shared" si="134"/>
        <v>5790.5844692700766</v>
      </c>
      <c r="Q184" s="465">
        <f t="shared" si="135"/>
        <v>8661.8326493250061</v>
      </c>
      <c r="R184" s="467">
        <f t="shared" si="136"/>
        <v>929.05318001426315</v>
      </c>
      <c r="S184" s="464">
        <f t="shared" si="137"/>
        <v>97.07466187463389</v>
      </c>
      <c r="T184" s="465">
        <f t="shared" si="138"/>
        <v>5790.5844692700766</v>
      </c>
      <c r="U184" s="465">
        <f t="shared" si="139"/>
        <v>15478.544960483981</v>
      </c>
    </row>
    <row r="185" spans="1:21">
      <c r="A185">
        <f>'Input data'!A138</f>
        <v>2038</v>
      </c>
      <c r="C185" s="266">
        <f>'4A SWD Case 3'!BG108</f>
        <v>399.40563969320527</v>
      </c>
      <c r="D185" s="3">
        <f>'4B Biological treatment '!T238</f>
        <v>4.2771038275133373</v>
      </c>
      <c r="E185" s="152">
        <f>'4B Biological treatment '!U238</f>
        <v>21.385519137566682</v>
      </c>
      <c r="F185" s="152">
        <f>'4B Biological treatment '!W238</f>
        <v>1.2831311482540011</v>
      </c>
      <c r="G185" s="688">
        <f>'4C2 Open-burning '!R177</f>
        <v>10.17594404302452</v>
      </c>
      <c r="H185" s="688">
        <f>'4C2 Open-burning '!Z177</f>
        <v>3.4238936301594944</v>
      </c>
      <c r="I185" s="688">
        <f>'4C2 Open-burning '!AH177</f>
        <v>4.7666378221590242E-2</v>
      </c>
      <c r="J185" s="93">
        <f>'4D Wastewater treatment and dis'!AV214</f>
        <v>225.23651049489851</v>
      </c>
      <c r="K185" s="3">
        <f>'4D Wastewater treatment and dis'!AW214</f>
        <v>3.5501182129156104</v>
      </c>
      <c r="L185" s="465">
        <f t="shared" si="140"/>
        <v>8387.5184335573103</v>
      </c>
      <c r="M185" s="688">
        <f t="shared" si="131"/>
        <v>89.819180377780086</v>
      </c>
      <c r="N185" s="465">
        <f t="shared" si="132"/>
        <v>846.86655784764071</v>
      </c>
      <c r="O185" s="464">
        <f t="shared" si="133"/>
        <v>96.854287525066866</v>
      </c>
      <c r="P185" s="465">
        <f t="shared" si="134"/>
        <v>5830.5033663967079</v>
      </c>
      <c r="Q185" s="465">
        <f t="shared" si="135"/>
        <v>8387.5184335573103</v>
      </c>
      <c r="R185" s="467">
        <f t="shared" si="136"/>
        <v>936.68573822542078</v>
      </c>
      <c r="S185" s="464">
        <f t="shared" si="137"/>
        <v>96.854287525066866</v>
      </c>
      <c r="T185" s="465">
        <f t="shared" si="138"/>
        <v>5830.5033663967079</v>
      </c>
      <c r="U185" s="465">
        <f t="shared" si="139"/>
        <v>15251.561825704506</v>
      </c>
    </row>
    <row r="186" spans="1:21">
      <c r="A186">
        <f>'Input data'!A139</f>
        <v>2039</v>
      </c>
      <c r="C186" s="266">
        <f>'4A SWD Case 3'!BG109</f>
        <v>387.24323139392345</v>
      </c>
      <c r="D186" s="3">
        <f>'4B Biological treatment '!T239</f>
        <v>4.3144566052298137</v>
      </c>
      <c r="E186" s="152">
        <f>'4B Biological treatment '!U239</f>
        <v>21.572283026149066</v>
      </c>
      <c r="F186" s="152">
        <f>'4B Biological treatment '!W239</f>
        <v>1.2943369815689438</v>
      </c>
      <c r="G186" s="688">
        <f>'4C2 Open-burning '!R178</f>
        <v>10.153850726003597</v>
      </c>
      <c r="H186" s="688">
        <f>'4C2 Open-burning '!Z178</f>
        <v>3.416459905377085</v>
      </c>
      <c r="I186" s="688">
        <f>'4C2 Open-burning '!AH178</f>
        <v>4.7562888225887029E-2</v>
      </c>
      <c r="J186" s="93">
        <f>'4D Wastewater treatment and dis'!AV215</f>
        <v>226.73463876459027</v>
      </c>
      <c r="K186" s="3">
        <f>'4D Wastewater treatment and dis'!AW215</f>
        <v>3.5737313138459617</v>
      </c>
      <c r="L186" s="465">
        <f t="shared" si="140"/>
        <v>8132.1078592723925</v>
      </c>
      <c r="M186" s="688">
        <f t="shared" si="131"/>
        <v>90.603588709826084</v>
      </c>
      <c r="N186" s="465">
        <f t="shared" si="132"/>
        <v>854.26240783550293</v>
      </c>
      <c r="O186" s="464">
        <f t="shared" si="133"/>
        <v>96.644004088947355</v>
      </c>
      <c r="P186" s="465">
        <f t="shared" si="134"/>
        <v>5869.2841213486436</v>
      </c>
      <c r="Q186" s="465">
        <f t="shared" si="135"/>
        <v>8132.1078592723925</v>
      </c>
      <c r="R186" s="467">
        <f t="shared" si="136"/>
        <v>944.86599654532904</v>
      </c>
      <c r="S186" s="464">
        <f t="shared" si="137"/>
        <v>96.644004088947355</v>
      </c>
      <c r="T186" s="465">
        <f t="shared" si="138"/>
        <v>5869.2841213486436</v>
      </c>
      <c r="U186" s="465">
        <f t="shared" si="139"/>
        <v>15042.901981255312</v>
      </c>
    </row>
    <row r="187" spans="1:21">
      <c r="A187">
        <f>'Input data'!A140</f>
        <v>2040</v>
      </c>
      <c r="C187" s="266">
        <f>'4A SWD Case 3'!BG110</f>
        <v>375.94075080058741</v>
      </c>
      <c r="D187" s="3">
        <f>'4B Biological treatment '!T240</f>
        <v>4.3519355159870168</v>
      </c>
      <c r="E187" s="152">
        <f>'4B Biological treatment '!U240</f>
        <v>21.759677579935079</v>
      </c>
      <c r="F187" s="152">
        <f>'4B Biological treatment '!W240</f>
        <v>1.3055806547961049</v>
      </c>
      <c r="G187" s="688">
        <f>'4C2 Open-burning '!R179</f>
        <v>10.132787856145702</v>
      </c>
      <c r="H187" s="688">
        <f>'4C2 Open-burning '!Z179</f>
        <v>3.4093728945175119</v>
      </c>
      <c r="I187" s="688">
        <f>'4C2 Open-burning '!AH179</f>
        <v>4.7464225073177692E-2</v>
      </c>
      <c r="J187" s="93">
        <f>'4D Wastewater treatment and dis'!AV216</f>
        <v>228.18777038676492</v>
      </c>
      <c r="K187" s="3">
        <f>'4D Wastewater treatment and dis'!AW216</f>
        <v>3.5966351895378317</v>
      </c>
      <c r="L187" s="465">
        <f t="shared" si="140"/>
        <v>7894.7557668123354</v>
      </c>
      <c r="M187" s="688">
        <f t="shared" si="131"/>
        <v>91.390645835727355</v>
      </c>
      <c r="N187" s="465">
        <f t="shared" si="132"/>
        <v>861.68323216542922</v>
      </c>
      <c r="O187" s="464">
        <f t="shared" si="133"/>
        <v>96.44352841369853</v>
      </c>
      <c r="P187" s="465">
        <f t="shared" si="134"/>
        <v>5906.9000868787916</v>
      </c>
      <c r="Q187" s="465">
        <f t="shared" si="135"/>
        <v>7894.7557668123354</v>
      </c>
      <c r="R187" s="467">
        <f t="shared" si="136"/>
        <v>953.07387800115657</v>
      </c>
      <c r="S187" s="464">
        <f t="shared" si="137"/>
        <v>96.44352841369853</v>
      </c>
      <c r="T187" s="465">
        <f t="shared" si="138"/>
        <v>5906.9000868787916</v>
      </c>
      <c r="U187" s="465">
        <f t="shared" si="139"/>
        <v>14851.173260105981</v>
      </c>
    </row>
    <row r="188" spans="1:21">
      <c r="A188">
        <f>'Input data'!A141</f>
        <v>2041</v>
      </c>
      <c r="C188" s="266">
        <f>'4A SWD Case 3'!BG111</f>
        <v>365.45839995539592</v>
      </c>
      <c r="D188" s="3">
        <f>'4B Biological treatment '!T241</f>
        <v>4.394076999835983</v>
      </c>
      <c r="E188" s="152">
        <f>'4B Biological treatment '!U241</f>
        <v>21.970384999179913</v>
      </c>
      <c r="F188" s="152">
        <f>'4B Biological treatment '!W241</f>
        <v>1.3182230999507949</v>
      </c>
      <c r="G188" s="688">
        <f>'4C2 Open-burning '!R180</f>
        <v>10.112661083887765</v>
      </c>
      <c r="H188" s="688">
        <f>'4C2 Open-burning '!Z180</f>
        <v>3.4026008518413482</v>
      </c>
      <c r="I188" s="688">
        <f>'4C2 Open-burning '!AH180</f>
        <v>4.7369946809188573E-2</v>
      </c>
      <c r="J188" s="93">
        <f>'4D Wastewater treatment and dis'!AV217</f>
        <v>229.59959290353174</v>
      </c>
      <c r="K188" s="3">
        <f>'4D Wastewater treatment and dis'!AW217</f>
        <v>3.6188879620531109</v>
      </c>
      <c r="L188" s="465">
        <f t="shared" si="140"/>
        <v>7674.6263990633142</v>
      </c>
      <c r="M188" s="688">
        <f t="shared" si="131"/>
        <v>92.275616996555641</v>
      </c>
      <c r="N188" s="465">
        <f t="shared" si="132"/>
        <v>870.02724596752455</v>
      </c>
      <c r="O188" s="464">
        <f t="shared" si="133"/>
        <v>96.251962483404526</v>
      </c>
      <c r="P188" s="465">
        <f t="shared" si="134"/>
        <v>5943.4467192106313</v>
      </c>
      <c r="Q188" s="465">
        <f t="shared" si="135"/>
        <v>7674.6263990633142</v>
      </c>
      <c r="R188" s="467">
        <f t="shared" si="136"/>
        <v>962.30286296408019</v>
      </c>
      <c r="S188" s="464">
        <f t="shared" si="137"/>
        <v>96.251962483404526</v>
      </c>
      <c r="T188" s="465">
        <f t="shared" si="138"/>
        <v>5943.4467192106313</v>
      </c>
      <c r="U188" s="465">
        <f t="shared" si="139"/>
        <v>14676.627943721429</v>
      </c>
    </row>
    <row r="189" spans="1:21">
      <c r="A189">
        <f>'Input data'!A142</f>
        <v>2042</v>
      </c>
      <c r="C189" s="266">
        <f>'4A SWD Case 3'!BG112</f>
        <v>355.53996628068228</v>
      </c>
      <c r="D189" s="3">
        <f>'4B Biological treatment '!T242</f>
        <v>4.4368817695025751</v>
      </c>
      <c r="E189" s="152">
        <f>'4B Biological treatment '!U242</f>
        <v>22.184408847512874</v>
      </c>
      <c r="F189" s="152">
        <f>'4B Biological treatment '!W242</f>
        <v>1.3310645308507723</v>
      </c>
      <c r="G189" s="688">
        <f>'4C2 Open-burning '!R181</f>
        <v>10.09344594138317</v>
      </c>
      <c r="H189" s="688">
        <f>'4C2 Open-burning '!Z181</f>
        <v>3.3961355446672989</v>
      </c>
      <c r="I189" s="688">
        <f>'4C2 Open-burning '!AH181</f>
        <v>4.7279938821100875E-2</v>
      </c>
      <c r="J189" s="93">
        <f>'4D Wastewater treatment and dis'!AV218</f>
        <v>230.96921515720715</v>
      </c>
      <c r="K189" s="3">
        <f>'4D Wastewater treatment and dis'!AW218</f>
        <v>3.6404755852004582</v>
      </c>
      <c r="L189" s="465">
        <f t="shared" si="140"/>
        <v>7466.3392918943282</v>
      </c>
      <c r="M189" s="688">
        <f t="shared" si="131"/>
        <v>93.174517159554071</v>
      </c>
      <c r="N189" s="465">
        <f t="shared" si="132"/>
        <v>878.50259036150976</v>
      </c>
      <c r="O189" s="464">
        <f t="shared" si="133"/>
        <v>96.069073413937716</v>
      </c>
      <c r="P189" s="465">
        <f t="shared" si="134"/>
        <v>5978.9009497134921</v>
      </c>
      <c r="Q189" s="465">
        <f t="shared" si="135"/>
        <v>7466.3392918943282</v>
      </c>
      <c r="R189" s="467">
        <f t="shared" si="136"/>
        <v>971.67710752106382</v>
      </c>
      <c r="S189" s="464">
        <f t="shared" si="137"/>
        <v>96.069073413937716</v>
      </c>
      <c r="T189" s="465">
        <f t="shared" si="138"/>
        <v>5978.9009497134921</v>
      </c>
      <c r="U189" s="465">
        <f t="shared" si="139"/>
        <v>14512.986422542821</v>
      </c>
    </row>
    <row r="190" spans="1:21">
      <c r="A190">
        <f>'Input data'!A143</f>
        <v>2043</v>
      </c>
      <c r="C190" s="266">
        <f>'4A SWD Case 3'!BG113</f>
        <v>346.15691289360825</v>
      </c>
      <c r="D190" s="3">
        <f>'4B Biological treatment '!T243</f>
        <v>4.480791290629341</v>
      </c>
      <c r="E190" s="152">
        <f>'4B Biological treatment '!U243</f>
        <v>22.403956453146705</v>
      </c>
      <c r="F190" s="152">
        <f>'4B Biological treatment '!W243</f>
        <v>1.3442373871888023</v>
      </c>
      <c r="G190" s="688">
        <f>'4C2 Open-burning '!R182</f>
        <v>10.075119335460963</v>
      </c>
      <c r="H190" s="688">
        <f>'4C2 Open-burning '!Z182</f>
        <v>3.3899692028503452</v>
      </c>
      <c r="I190" s="688">
        <f>'4C2 Open-burning '!AH182</f>
        <v>4.7194092935381335E-2</v>
      </c>
      <c r="J190" s="93">
        <f>'4D Wastewater treatment and dis'!AV219</f>
        <v>232.29576836438369</v>
      </c>
      <c r="K190" s="3">
        <f>'4D Wastewater treatment and dis'!AW219</f>
        <v>3.6613843654459499</v>
      </c>
      <c r="L190" s="465">
        <f t="shared" si="140"/>
        <v>7269.295170765773</v>
      </c>
      <c r="M190" s="688">
        <f t="shared" si="131"/>
        <v>94.096617103216161</v>
      </c>
      <c r="N190" s="465">
        <f t="shared" si="132"/>
        <v>887.19667554460943</v>
      </c>
      <c r="O190" s="464">
        <f t="shared" si="133"/>
        <v>95.894641405286436</v>
      </c>
      <c r="P190" s="465">
        <f t="shared" si="134"/>
        <v>6013.240288940302</v>
      </c>
      <c r="Q190" s="465">
        <f t="shared" si="135"/>
        <v>7269.295170765773</v>
      </c>
      <c r="R190" s="467">
        <f t="shared" si="136"/>
        <v>981.29329264782564</v>
      </c>
      <c r="S190" s="464">
        <f t="shared" si="137"/>
        <v>95.894641405286436</v>
      </c>
      <c r="T190" s="465">
        <f t="shared" si="138"/>
        <v>6013.240288940302</v>
      </c>
      <c r="U190" s="465">
        <f t="shared" si="139"/>
        <v>14359.723393759186</v>
      </c>
    </row>
    <row r="191" spans="1:21">
      <c r="A191">
        <f>'Input data'!A144</f>
        <v>2044</v>
      </c>
      <c r="C191" s="266">
        <f>'4A SWD Case 3'!BG114</f>
        <v>337.28236201262337</v>
      </c>
      <c r="D191" s="3">
        <f>'4B Biological treatment '!T244</f>
        <v>4.5264057825135442</v>
      </c>
      <c r="E191" s="152">
        <f>'4B Biological treatment '!U244</f>
        <v>22.632028912567719</v>
      </c>
      <c r="F191" s="152">
        <f>'4B Biological treatment '!W244</f>
        <v>1.3579217347540631</v>
      </c>
      <c r="G191" s="688">
        <f>'4C2 Open-burning '!R183</f>
        <v>10.057659483060858</v>
      </c>
      <c r="H191" s="688">
        <f>'4C2 Open-burning '!Z183</f>
        <v>3.3840944970575957</v>
      </c>
      <c r="I191" s="688">
        <f>'4C2 Open-burning '!AH183</f>
        <v>4.7112307115345586E-2</v>
      </c>
      <c r="J191" s="93">
        <f>'4D Wastewater treatment and dis'!AV220</f>
        <v>233.57840703026514</v>
      </c>
      <c r="K191" s="3">
        <f>'4D Wastewater treatment and dis'!AW220</f>
        <v>3.6816009763245785</v>
      </c>
      <c r="L191" s="465">
        <f t="shared" si="140"/>
        <v>7082.9296022650906</v>
      </c>
      <c r="M191" s="688">
        <f t="shared" si="131"/>
        <v>95.054521432784426</v>
      </c>
      <c r="N191" s="465">
        <f t="shared" si="132"/>
        <v>896.22834493768164</v>
      </c>
      <c r="O191" s="464">
        <f t="shared" si="133"/>
        <v>95.728459127027506</v>
      </c>
      <c r="P191" s="465">
        <f t="shared" si="134"/>
        <v>6046.4428502961873</v>
      </c>
      <c r="Q191" s="465">
        <f t="shared" si="135"/>
        <v>7082.9296022650906</v>
      </c>
      <c r="R191" s="467">
        <f t="shared" si="136"/>
        <v>991.28286637046608</v>
      </c>
      <c r="S191" s="464">
        <f t="shared" si="137"/>
        <v>95.728459127027506</v>
      </c>
      <c r="T191" s="465">
        <f t="shared" si="138"/>
        <v>6046.4428502961873</v>
      </c>
      <c r="U191" s="465">
        <f t="shared" si="139"/>
        <v>14216.383778058771</v>
      </c>
    </row>
    <row r="192" spans="1:21">
      <c r="A192">
        <f>'Input data'!A145</f>
        <v>2045</v>
      </c>
      <c r="C192" s="266">
        <f>'4A SWD Case 3'!BG115</f>
        <v>328.8910460191035</v>
      </c>
      <c r="D192" s="3">
        <f>'4B Biological treatment '!T245</f>
        <v>4.5739470653302572</v>
      </c>
      <c r="E192" s="152">
        <f>'4B Biological treatment '!U245</f>
        <v>22.869735326651284</v>
      </c>
      <c r="F192" s="152">
        <f>'4B Biological treatment '!W245</f>
        <v>1.3721841195990769</v>
      </c>
      <c r="G192" s="688">
        <f>'4C2 Open-burning '!R184</f>
        <v>10.041045851268189</v>
      </c>
      <c r="H192" s="688">
        <f>'4C2 Open-burning '!Z184</f>
        <v>3.3785045185918898</v>
      </c>
      <c r="I192" s="688">
        <f>'4C2 Open-burning '!AH184</f>
        <v>4.7034485180268579E-2</v>
      </c>
      <c r="J192" s="93">
        <f>'4D Wastewater treatment and dis'!AV221</f>
        <v>234.81630984302805</v>
      </c>
      <c r="K192" s="3">
        <f>'4D Wastewater treatment and dis'!AW221</f>
        <v>3.7011124725369502</v>
      </c>
      <c r="L192" s="465">
        <f t="shared" si="140"/>
        <v>6906.7119664011734</v>
      </c>
      <c r="M192" s="688">
        <f t="shared" si="131"/>
        <v>96.052888371935396</v>
      </c>
      <c r="N192" s="465">
        <f t="shared" si="132"/>
        <v>905.64151893539088</v>
      </c>
      <c r="O192" s="464">
        <f t="shared" si="133"/>
        <v>95.570331147581143</v>
      </c>
      <c r="P192" s="465">
        <f t="shared" si="134"/>
        <v>6078.4873731900434</v>
      </c>
      <c r="Q192" s="465">
        <f t="shared" si="135"/>
        <v>6906.7119664011734</v>
      </c>
      <c r="R192" s="467">
        <f t="shared" si="136"/>
        <v>1001.6944073073263</v>
      </c>
      <c r="S192" s="464">
        <f t="shared" si="137"/>
        <v>95.570331147581143</v>
      </c>
      <c r="T192" s="465">
        <f t="shared" si="138"/>
        <v>6078.4873731900434</v>
      </c>
      <c r="U192" s="465">
        <f t="shared" si="139"/>
        <v>14082.464078046123</v>
      </c>
    </row>
    <row r="193" spans="1:21">
      <c r="A193">
        <f>'Input data'!A146</f>
        <v>2046</v>
      </c>
      <c r="C193" s="266">
        <f>'4A SWD Case 3'!BG116</f>
        <v>320.95899167391008</v>
      </c>
      <c r="D193" s="3">
        <f>'4B Biological treatment '!T246</f>
        <v>4.624785204866706</v>
      </c>
      <c r="E193" s="152">
        <f>'4B Biological treatment '!U246</f>
        <v>23.123926024333528</v>
      </c>
      <c r="F193" s="152">
        <f>'4B Biological treatment '!W246</f>
        <v>1.3874355614600116</v>
      </c>
      <c r="G193" s="688">
        <f>'4C2 Open-burning '!R185</f>
        <v>10.025256548408835</v>
      </c>
      <c r="H193" s="688">
        <f>'4C2 Open-burning '!Z185</f>
        <v>3.3731919015751068</v>
      </c>
      <c r="I193" s="688">
        <f>'4C2 Open-burning '!AH185</f>
        <v>4.696052458469463E-2</v>
      </c>
      <c r="J193" s="93">
        <f>'4D Wastewater treatment and dis'!AV222</f>
        <v>236.00887467597451</v>
      </c>
      <c r="K193" s="3">
        <f>'4D Wastewater treatment and dis'!AW222</f>
        <v>3.7199093635215581</v>
      </c>
      <c r="L193" s="465">
        <f t="shared" si="140"/>
        <v>6740.1388251521112</v>
      </c>
      <c r="M193" s="688">
        <f t="shared" si="131"/>
        <v>97.120489302200824</v>
      </c>
      <c r="N193" s="465">
        <f t="shared" si="132"/>
        <v>915.70747056360767</v>
      </c>
      <c r="O193" s="464">
        <f t="shared" si="133"/>
        <v>95.420049102741416</v>
      </c>
      <c r="P193" s="465">
        <f t="shared" si="134"/>
        <v>6109.3582708871472</v>
      </c>
      <c r="Q193" s="465">
        <f t="shared" si="135"/>
        <v>6740.1388251521112</v>
      </c>
      <c r="R193" s="467">
        <f t="shared" si="136"/>
        <v>1012.8279598658085</v>
      </c>
      <c r="S193" s="464">
        <f t="shared" si="137"/>
        <v>95.420049102741416</v>
      </c>
      <c r="T193" s="465">
        <f t="shared" si="138"/>
        <v>6109.3582708871472</v>
      </c>
      <c r="U193" s="465">
        <f t="shared" si="139"/>
        <v>13957.745105007809</v>
      </c>
    </row>
    <row r="194" spans="1:21">
      <c r="A194">
        <f>'Input data'!A147</f>
        <v>2047</v>
      </c>
      <c r="C194" s="266">
        <f>'4A SWD Case 3'!BG117</f>
        <v>313.47474982479713</v>
      </c>
      <c r="D194" s="3">
        <f>'4B Biological treatment '!T247</f>
        <v>4.6563532603704525</v>
      </c>
      <c r="E194" s="152">
        <f>'4B Biological treatment '!U247</f>
        <v>23.281766301852258</v>
      </c>
      <c r="F194" s="152">
        <f>'4B Biological treatment '!W247</f>
        <v>1.3969059781111355</v>
      </c>
      <c r="G194" s="688">
        <f>'4C2 Open-burning '!R186</f>
        <v>10.010273437469358</v>
      </c>
      <c r="H194" s="688">
        <f>'4C2 Open-burning '!Z186</f>
        <v>3.3681505434574976</v>
      </c>
      <c r="I194" s="688">
        <f>'4C2 Open-burning '!AH186</f>
        <v>4.6890340370831285E-2</v>
      </c>
      <c r="J194" s="93">
        <f>'4D Wastewater treatment and dis'!AV223</f>
        <v>237.15533409440715</v>
      </c>
      <c r="K194" s="3">
        <f>'4D Wastewater treatment and dis'!AW223</f>
        <v>3.7379795531759945</v>
      </c>
      <c r="L194" s="465">
        <f t="shared" si="140"/>
        <v>6582.9697463207394</v>
      </c>
      <c r="M194" s="688">
        <f t="shared" si="131"/>
        <v>97.783418467779498</v>
      </c>
      <c r="N194" s="465">
        <f t="shared" si="132"/>
        <v>921.95794555334942</v>
      </c>
      <c r="O194" s="464">
        <f t="shared" si="133"/>
        <v>95.277440365034508</v>
      </c>
      <c r="P194" s="465">
        <f t="shared" si="134"/>
        <v>6139.0356774671081</v>
      </c>
      <c r="Q194" s="465">
        <f t="shared" si="135"/>
        <v>6582.9697463207394</v>
      </c>
      <c r="R194" s="467">
        <f t="shared" si="136"/>
        <v>1019.7413640211289</v>
      </c>
      <c r="S194" s="464">
        <f t="shared" si="137"/>
        <v>95.277440365034508</v>
      </c>
      <c r="T194" s="465">
        <f t="shared" si="138"/>
        <v>6139.0356774671081</v>
      </c>
      <c r="U194" s="465">
        <f t="shared" si="139"/>
        <v>13837.02422817401</v>
      </c>
    </row>
    <row r="195" spans="1:21">
      <c r="A195">
        <f>'Input data'!A148</f>
        <v>2048</v>
      </c>
      <c r="C195" s="266">
        <f>'4A SWD Case 3'!BG118</f>
        <v>306.40687217278503</v>
      </c>
      <c r="D195" s="3">
        <f>'4B Biological treatment '!T248</f>
        <v>4.6857618312286196</v>
      </c>
      <c r="E195" s="152">
        <f>'4B Biological treatment '!U248</f>
        <v>23.428809156143096</v>
      </c>
      <c r="F195" s="152">
        <f>'4B Biological treatment '!W248</f>
        <v>1.4057285493685856</v>
      </c>
      <c r="G195" s="688">
        <f>'4C2 Open-burning '!R187</f>
        <v>9.99607946969717</v>
      </c>
      <c r="H195" s="688">
        <f>'4C2 Open-burning '!Z187</f>
        <v>3.3633747078557676</v>
      </c>
      <c r="I195" s="688">
        <f>'4C2 Open-burning '!AH187</f>
        <v>4.6823852678541146E-2</v>
      </c>
      <c r="J195" s="93">
        <f>'4D Wastewater treatment and dis'!AV224</f>
        <v>238.25494716675203</v>
      </c>
      <c r="K195" s="3">
        <f>'4D Wastewater treatment and dis'!AW224</f>
        <v>3.7553113631330666</v>
      </c>
      <c r="L195" s="465">
        <f t="shared" si="140"/>
        <v>6434.5443156284855</v>
      </c>
      <c r="M195" s="688">
        <f t="shared" si="131"/>
        <v>98.400998455801016</v>
      </c>
      <c r="N195" s="465">
        <f t="shared" si="132"/>
        <v>927.78084258326658</v>
      </c>
      <c r="O195" s="464">
        <f t="shared" si="133"/>
        <v>95.142342665016045</v>
      </c>
      <c r="P195" s="465">
        <f t="shared" si="134"/>
        <v>6167.500413073044</v>
      </c>
      <c r="Q195" s="465">
        <f t="shared" si="135"/>
        <v>6434.5443156284855</v>
      </c>
      <c r="R195" s="467">
        <f t="shared" si="136"/>
        <v>1026.1818410390676</v>
      </c>
      <c r="S195" s="464">
        <f t="shared" si="137"/>
        <v>95.142342665016045</v>
      </c>
      <c r="T195" s="465">
        <f t="shared" si="138"/>
        <v>6167.500413073044</v>
      </c>
      <c r="U195" s="465">
        <f t="shared" si="139"/>
        <v>13723.368912405615</v>
      </c>
    </row>
    <row r="196" spans="1:21">
      <c r="A196">
        <f>'Input data'!A149</f>
        <v>2049</v>
      </c>
      <c r="C196" s="266">
        <f>'4A SWD Case 3'!BG119</f>
        <v>299.73356807165283</v>
      </c>
      <c r="D196" s="3">
        <f>'4B Biological treatment '!T249</f>
        <v>4.7150638414144481</v>
      </c>
      <c r="E196" s="152">
        <f>'4B Biological treatment '!U249</f>
        <v>23.575319207072237</v>
      </c>
      <c r="F196" s="152">
        <f>'4B Biological treatment '!W249</f>
        <v>1.4145191524243343</v>
      </c>
      <c r="G196" s="688">
        <f>'4C2 Open-burning '!R188</f>
        <v>9.982658640399011</v>
      </c>
      <c r="H196" s="688">
        <f>'4C2 Open-burning '!Z188</f>
        <v>3.3588590096806268</v>
      </c>
      <c r="I196" s="688">
        <f>'4C2 Open-burning '!AH188</f>
        <v>4.6760986538292283E-2</v>
      </c>
      <c r="J196" s="93">
        <f>'4D Wastewater treatment and dis'!AV225</f>
        <v>239.30700026005374</v>
      </c>
      <c r="K196" s="3">
        <f>'4D Wastewater treatment and dis'!AW225</f>
        <v>3.7718935452991729</v>
      </c>
      <c r="L196" s="465">
        <f t="shared" si="140"/>
        <v>6294.4049295047098</v>
      </c>
      <c r="M196" s="688">
        <f t="shared" si="131"/>
        <v>99.016340669703411</v>
      </c>
      <c r="N196" s="465">
        <f t="shared" si="132"/>
        <v>933.58264060006059</v>
      </c>
      <c r="O196" s="464">
        <f t="shared" si="133"/>
        <v>95.014603670562778</v>
      </c>
      <c r="P196" s="465">
        <f t="shared" si="134"/>
        <v>6194.7340045038718</v>
      </c>
      <c r="Q196" s="465">
        <f t="shared" si="135"/>
        <v>6294.4049295047098</v>
      </c>
      <c r="R196" s="467">
        <f t="shared" si="136"/>
        <v>1032.598981269764</v>
      </c>
      <c r="S196" s="464">
        <f t="shared" si="137"/>
        <v>95.014603670562778</v>
      </c>
      <c r="T196" s="465">
        <f t="shared" si="138"/>
        <v>6194.7340045038718</v>
      </c>
      <c r="U196" s="465">
        <f t="shared" si="139"/>
        <v>13616.75251894891</v>
      </c>
    </row>
    <row r="197" spans="1:21">
      <c r="A197">
        <f>'Input data'!A150</f>
        <v>2050</v>
      </c>
      <c r="C197" s="266">
        <f>'4A SWD Case 3'!BG120</f>
        <v>293.43504720089936</v>
      </c>
      <c r="D197" s="3">
        <f>'4B Biological treatment '!T250</f>
        <v>4.7437134393206453</v>
      </c>
      <c r="E197" s="152">
        <f>'4B Biological treatment '!U250</f>
        <v>23.718567196603225</v>
      </c>
      <c r="F197" s="152">
        <f>'4B Biological treatment '!W250</f>
        <v>1.4231140317961932</v>
      </c>
      <c r="G197" s="688">
        <f>'4C2 Open-burning '!R189</f>
        <v>9.9699959479754288</v>
      </c>
      <c r="H197" s="688">
        <f>'4C2 Open-burning '!Z189</f>
        <v>3.3545984013531376</v>
      </c>
      <c r="I197" s="688">
        <f>'4C2 Open-burning '!AH189</f>
        <v>4.6701671679266518E-2</v>
      </c>
      <c r="J197" s="93">
        <f>'4D Wastewater treatment and dis'!AV226</f>
        <v>240.31080780951893</v>
      </c>
      <c r="K197" s="3">
        <f>'4D Wastewater treatment and dis'!AW226</f>
        <v>3.7877152939836489</v>
      </c>
      <c r="L197" s="465">
        <f t="shared" si="140"/>
        <v>6162.1359912188864</v>
      </c>
      <c r="M197" s="688">
        <f t="shared" si="131"/>
        <v>99.617982225733556</v>
      </c>
      <c r="N197" s="465">
        <f t="shared" si="132"/>
        <v>939.25526098548767</v>
      </c>
      <c r="O197" s="464">
        <f t="shared" si="133"/>
        <v>94.894080596963946</v>
      </c>
      <c r="P197" s="465">
        <f t="shared" si="134"/>
        <v>6220.7187051348292</v>
      </c>
      <c r="Q197" s="417">
        <f t="shared" si="135"/>
        <v>6162.1359912188864</v>
      </c>
      <c r="R197" s="463">
        <f t="shared" si="136"/>
        <v>1038.8732432112213</v>
      </c>
      <c r="S197" s="460">
        <f t="shared" si="137"/>
        <v>94.894080596963946</v>
      </c>
      <c r="T197" s="417">
        <f t="shared" si="138"/>
        <v>6220.7187051348292</v>
      </c>
      <c r="U197" s="417">
        <f t="shared" si="139"/>
        <v>13516.6220201619</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1.2710114381603663</v>
      </c>
      <c r="E200" s="152">
        <f>'4B Biological treatment '!U253</f>
        <v>19.93864219968502</v>
      </c>
      <c r="F200" s="152">
        <f>'4B Biological treatment '!W253</f>
        <v>1.1963185319811012</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26.691240201367691</v>
      </c>
      <c r="N200" s="465">
        <f t="shared" si="147"/>
        <v>789.57023110752675</v>
      </c>
      <c r="O200" s="464">
        <f t="shared" si="148"/>
        <v>307.81392004196488</v>
      </c>
      <c r="P200" s="465">
        <f t="shared" si="149"/>
        <v>3922.0560748079342</v>
      </c>
      <c r="Q200" s="465">
        <f t="shared" si="141"/>
        <v>16839.906548915631</v>
      </c>
      <c r="R200" s="467">
        <f t="shared" si="142"/>
        <v>816.26147130889444</v>
      </c>
      <c r="S200" s="464">
        <f t="shared" si="143"/>
        <v>307.81392004196488</v>
      </c>
      <c r="T200" s="465">
        <f t="shared" si="144"/>
        <v>3922.0560748079342</v>
      </c>
      <c r="U200" s="465">
        <f t="shared" si="145"/>
        <v>21886.038015074424</v>
      </c>
    </row>
    <row r="201" spans="1:21">
      <c r="A201">
        <f>'Input data'!A120</f>
        <v>2020</v>
      </c>
      <c r="C201" s="266">
        <f>'4A SWD Case 3'!BN90</f>
        <v>782.17732937526205</v>
      </c>
      <c r="D201" s="3">
        <f>'4B Biological treatment '!T254</f>
        <v>1.8786794169768795</v>
      </c>
      <c r="E201" s="152">
        <f>'4B Biological treatment '!U254</f>
        <v>19.320728266759907</v>
      </c>
      <c r="F201" s="152">
        <f>'4B Biological treatment '!W254</f>
        <v>1.1592436960055945</v>
      </c>
      <c r="G201" s="688">
        <f>'4C2 Open-burning '!R159</f>
        <v>31.469339877453482</v>
      </c>
      <c r="H201" s="688">
        <f>'4C2 Open-burning '!Z159</f>
        <v>10.588469423197822</v>
      </c>
      <c r="I201" s="688">
        <f>'4C2 Open-burning '!AH159</f>
        <v>0.14740936571980473</v>
      </c>
      <c r="J201" s="93">
        <f>'4D Wastewater treatment and dis'!AV196</f>
        <v>149.64833972612956</v>
      </c>
      <c r="K201" s="3">
        <f>'4D Wastewater treatment and dis'!AW196</f>
        <v>2.9904262793007734</v>
      </c>
      <c r="L201" s="465">
        <f t="shared" si="150"/>
        <v>16425.723916880503</v>
      </c>
      <c r="M201" s="688">
        <f t="shared" si="146"/>
        <v>39.452267756514466</v>
      </c>
      <c r="N201" s="465">
        <f t="shared" si="147"/>
        <v>765.10083936369233</v>
      </c>
      <c r="O201" s="464">
        <f t="shared" si="148"/>
        <v>299.52410113774715</v>
      </c>
      <c r="P201" s="465">
        <f t="shared" si="149"/>
        <v>4069.6472808319609</v>
      </c>
      <c r="Q201" s="465">
        <f t="shared" si="141"/>
        <v>16425.723916880503</v>
      </c>
      <c r="R201" s="467">
        <f t="shared" si="142"/>
        <v>804.55310712020685</v>
      </c>
      <c r="S201" s="464">
        <f t="shared" si="143"/>
        <v>299.52410113774715</v>
      </c>
      <c r="T201" s="465">
        <f t="shared" si="144"/>
        <v>4069.6472808319609</v>
      </c>
      <c r="U201" s="465">
        <f t="shared" si="145"/>
        <v>21599.448405970415</v>
      </c>
    </row>
    <row r="202" spans="1:21">
      <c r="A202">
        <f>'Input data'!A121</f>
        <v>2021</v>
      </c>
      <c r="C202" s="266">
        <f>'4A SWD Case 3'!BN91</f>
        <v>761.15962579187737</v>
      </c>
      <c r="D202" s="3">
        <f>'4B Biological treatment '!T255</f>
        <v>2.899556390409697</v>
      </c>
      <c r="E202" s="152">
        <f>'4B Biological treatment '!U255</f>
        <v>20.576076350119727</v>
      </c>
      <c r="F202" s="152">
        <f>'4B Biological treatment '!W255</f>
        <v>1.2345645810071835</v>
      </c>
      <c r="G202" s="688">
        <f>'4C2 Open-burning '!R160</f>
        <v>28.909376284113982</v>
      </c>
      <c r="H202" s="688">
        <f>'4C2 Open-burning '!Z160</f>
        <v>9.7271200482782856</v>
      </c>
      <c r="I202" s="688">
        <f>'4C2 Open-burning '!AH160</f>
        <v>0.13541792862485846</v>
      </c>
      <c r="J202" s="93">
        <f>'4D Wastewater treatment and dis'!AV197</f>
        <v>155.85667833447528</v>
      </c>
      <c r="K202" s="3">
        <f>'4D Wastewater treatment and dis'!AW197</f>
        <v>3.0332514902049907</v>
      </c>
      <c r="L202" s="465">
        <f t="shared" si="150"/>
        <v>15984.352141629424</v>
      </c>
      <c r="M202" s="688">
        <f t="shared" si="146"/>
        <v>60.890684198603637</v>
      </c>
      <c r="N202" s="465">
        <f t="shared" si="147"/>
        <v>814.81262346474114</v>
      </c>
      <c r="O202" s="464">
        <f t="shared" si="148"/>
        <v>275.15845517166412</v>
      </c>
      <c r="P202" s="465">
        <f t="shared" si="149"/>
        <v>4213.2982069875279</v>
      </c>
      <c r="Q202" s="465">
        <f t="shared" si="141"/>
        <v>15984.352141629424</v>
      </c>
      <c r="R202" s="467">
        <f t="shared" si="142"/>
        <v>875.70330766334473</v>
      </c>
      <c r="S202" s="464">
        <f t="shared" si="143"/>
        <v>275.15845517166412</v>
      </c>
      <c r="T202" s="465">
        <f t="shared" si="144"/>
        <v>4213.2982069875279</v>
      </c>
      <c r="U202" s="465">
        <f t="shared" si="145"/>
        <v>21348.512111451961</v>
      </c>
    </row>
    <row r="203" spans="1:21">
      <c r="A203">
        <f>'Input data'!A122</f>
        <v>2022</v>
      </c>
      <c r="C203" s="266">
        <f>'4A SWD Case 3'!BN92</f>
        <v>735.28497297233992</v>
      </c>
      <c r="D203" s="3">
        <f>'4B Biological treatment '!T256</f>
        <v>3.8345530058712241</v>
      </c>
      <c r="E203" s="152">
        <f>'4B Biological treatment '!U256</f>
        <v>19.172765029356118</v>
      </c>
      <c r="F203" s="152">
        <f>'4B Biological treatment '!W256</f>
        <v>1.150365901761367</v>
      </c>
      <c r="G203" s="688">
        <f>'4C2 Open-burning '!R161</f>
        <v>24.037894382919749</v>
      </c>
      <c r="H203" s="688">
        <f>'4C2 Open-burning '!Z161</f>
        <v>8.0880155307598613</v>
      </c>
      <c r="I203" s="688">
        <f>'4C2 Open-burning '!AH161</f>
        <v>0.11259882724024245</v>
      </c>
      <c r="J203" s="93">
        <f>'4D Wastewater treatment and dis'!AV198</f>
        <v>162.06331142984905</v>
      </c>
      <c r="K203" s="3">
        <f>'4D Wastewater treatment and dis'!AW198</f>
        <v>3.0738670955972056</v>
      </c>
      <c r="L203" s="465">
        <f t="shared" si="150"/>
        <v>15440.984432419138</v>
      </c>
      <c r="M203" s="688">
        <f t="shared" si="146"/>
        <v>80.525613123295699</v>
      </c>
      <c r="N203" s="465">
        <f t="shared" si="147"/>
        <v>759.24149516250225</v>
      </c>
      <c r="O203" s="464">
        <f t="shared" si="148"/>
        <v>228.791856973352</v>
      </c>
      <c r="P203" s="465">
        <f t="shared" si="149"/>
        <v>4356.2283396619641</v>
      </c>
      <c r="Q203" s="465">
        <f t="shared" si="141"/>
        <v>15440.984432419138</v>
      </c>
      <c r="R203" s="467">
        <f t="shared" si="142"/>
        <v>839.76710828579792</v>
      </c>
      <c r="S203" s="464">
        <f t="shared" si="143"/>
        <v>228.791856973352</v>
      </c>
      <c r="T203" s="465">
        <f t="shared" si="144"/>
        <v>4356.2283396619641</v>
      </c>
      <c r="U203" s="465">
        <f t="shared" si="145"/>
        <v>20865.771737340252</v>
      </c>
    </row>
    <row r="204" spans="1:21">
      <c r="A204">
        <f>'Input data'!A123</f>
        <v>2023</v>
      </c>
      <c r="C204" s="266">
        <f>'4A SWD Case 3'!BN93</f>
        <v>707.69216556508638</v>
      </c>
      <c r="D204" s="3">
        <f>'4B Biological treatment '!T257</f>
        <v>3.8569981629981296</v>
      </c>
      <c r="E204" s="152">
        <f>'4B Biological treatment '!U257</f>
        <v>19.284990814990646</v>
      </c>
      <c r="F204" s="152">
        <f>'4B Biological treatment '!W257</f>
        <v>1.1570994488994386</v>
      </c>
      <c r="G204" s="688">
        <f>'4C2 Open-burning '!R162</f>
        <v>22.789154809802167</v>
      </c>
      <c r="H204" s="688">
        <f>'4C2 Open-burning '!Z162</f>
        <v>7.667852895033084</v>
      </c>
      <c r="I204" s="688">
        <f>'4C2 Open-burning '!AH162</f>
        <v>0.10674945419526272</v>
      </c>
      <c r="J204" s="93">
        <f>'4D Wastewater treatment and dis'!AV199</f>
        <v>168.25355707093811</v>
      </c>
      <c r="K204" s="3">
        <f>'4D Wastewater treatment and dis'!AW199</f>
        <v>3.1121658543941133</v>
      </c>
      <c r="L204" s="465">
        <f t="shared" si="150"/>
        <v>14861.535476866815</v>
      </c>
      <c r="M204" s="688">
        <f t="shared" si="146"/>
        <v>80.996961422960723</v>
      </c>
      <c r="N204" s="465">
        <f t="shared" si="147"/>
        <v>763.6856362736296</v>
      </c>
      <c r="O204" s="464">
        <f t="shared" si="148"/>
        <v>216.90639640602836</v>
      </c>
      <c r="P204" s="465">
        <f t="shared" si="149"/>
        <v>4498.0961133518758</v>
      </c>
      <c r="Q204" s="465">
        <f t="shared" si="141"/>
        <v>14861.535476866815</v>
      </c>
      <c r="R204" s="467">
        <f t="shared" si="142"/>
        <v>844.68259769659028</v>
      </c>
      <c r="S204" s="464">
        <f t="shared" si="143"/>
        <v>216.90639640602836</v>
      </c>
      <c r="T204" s="465">
        <f t="shared" si="144"/>
        <v>4498.0961133518758</v>
      </c>
      <c r="U204" s="465">
        <f t="shared" si="145"/>
        <v>20421.220584321309</v>
      </c>
    </row>
    <row r="205" spans="1:21">
      <c r="A205">
        <f>'Input data'!A124</f>
        <v>2024</v>
      </c>
      <c r="C205" s="266">
        <f>'4A SWD Case 3'!BN94</f>
        <v>681.22579627380367</v>
      </c>
      <c r="D205" s="3">
        <f>'4B Biological treatment '!T258</f>
        <v>3.8810852243621072</v>
      </c>
      <c r="E205" s="152">
        <f>'4B Biological treatment '!U258</f>
        <v>19.405426121810535</v>
      </c>
      <c r="F205" s="152">
        <f>'4B Biological treatment '!W258</f>
        <v>1.1643255673086321</v>
      </c>
      <c r="G205" s="688">
        <f>'4C2 Open-burning '!R163</f>
        <v>21.527094494314703</v>
      </c>
      <c r="H205" s="688">
        <f>'4C2 Open-burning '!Z163</f>
        <v>7.2432082373183331</v>
      </c>
      <c r="I205" s="688">
        <f>'4C2 Open-burning '!AH163</f>
        <v>0.10083768383939856</v>
      </c>
      <c r="J205" s="93">
        <f>'4D Wastewater treatment and dis'!AV200</f>
        <v>174.41243169580983</v>
      </c>
      <c r="K205" s="3">
        <f>'4D Wastewater treatment and dis'!AW200</f>
        <v>3.1480454582573771</v>
      </c>
      <c r="L205" s="465">
        <f t="shared" si="150"/>
        <v>14305.741721749877</v>
      </c>
      <c r="M205" s="688">
        <f t="shared" si="146"/>
        <v>81.502789711604251</v>
      </c>
      <c r="N205" s="465">
        <f t="shared" si="147"/>
        <v>768.45487442369722</v>
      </c>
      <c r="O205" s="464">
        <f t="shared" si="148"/>
        <v>204.89414946821324</v>
      </c>
      <c r="P205" s="465">
        <f t="shared" si="149"/>
        <v>4638.5551576717935</v>
      </c>
      <c r="Q205" s="465">
        <f t="shared" si="141"/>
        <v>14305.741721749877</v>
      </c>
      <c r="R205" s="467">
        <f t="shared" si="142"/>
        <v>849.95766413530146</v>
      </c>
      <c r="S205" s="464">
        <f t="shared" si="143"/>
        <v>204.89414946821324</v>
      </c>
      <c r="T205" s="465">
        <f t="shared" si="144"/>
        <v>4638.5551576717935</v>
      </c>
      <c r="U205" s="465">
        <f t="shared" si="145"/>
        <v>19999.148693025185</v>
      </c>
    </row>
    <row r="206" spans="1:21">
      <c r="A206">
        <f>'Input data'!A125</f>
        <v>2025</v>
      </c>
      <c r="C206" s="266">
        <f>'4A SWD Case 3'!BN95</f>
        <v>655.80241610339942</v>
      </c>
      <c r="D206" s="3">
        <f>'4B Biological treatment '!T259</f>
        <v>3.9038826841200143</v>
      </c>
      <c r="E206" s="152">
        <f>'4B Biological treatment '!U259</f>
        <v>19.51941342060007</v>
      </c>
      <c r="F206" s="152">
        <f>'4B Biological treatment '!W259</f>
        <v>1.1711648052360042</v>
      </c>
      <c r="G206" s="688">
        <f>'4C2 Open-burning '!R164</f>
        <v>20.249645780164677</v>
      </c>
      <c r="H206" s="688">
        <f>'4C2 Open-burning '!Z164</f>
        <v>6.8133858545751886</v>
      </c>
      <c r="I206" s="688">
        <f>'4C2 Open-burning '!AH164</f>
        <v>9.485383081211117E-2</v>
      </c>
      <c r="J206" s="93">
        <f>'4D Wastewater treatment and dis'!AV201</f>
        <v>180.52470879640688</v>
      </c>
      <c r="K206" s="3">
        <f>'4D Wastewater treatment and dis'!AW201</f>
        <v>3.1814089830873744</v>
      </c>
      <c r="L206" s="465">
        <f t="shared" si="150"/>
        <v>13771.850738171388</v>
      </c>
      <c r="M206" s="688">
        <f t="shared" si="146"/>
        <v>81.981536366520302</v>
      </c>
      <c r="N206" s="465">
        <f t="shared" si="147"/>
        <v>772.96877145576286</v>
      </c>
      <c r="O206" s="464">
        <f t="shared" si="148"/>
        <v>192.73543627799813</v>
      </c>
      <c r="P206" s="465">
        <f t="shared" si="149"/>
        <v>4777.2556694816303</v>
      </c>
      <c r="Q206" s="465">
        <f t="shared" si="141"/>
        <v>13771.850738171388</v>
      </c>
      <c r="R206" s="467">
        <f t="shared" si="142"/>
        <v>854.95030782228321</v>
      </c>
      <c r="S206" s="464">
        <f t="shared" si="143"/>
        <v>192.73543627799813</v>
      </c>
      <c r="T206" s="465">
        <f t="shared" si="144"/>
        <v>4777.2556694816303</v>
      </c>
      <c r="U206" s="465">
        <f t="shared" si="145"/>
        <v>19596.7921517533</v>
      </c>
    </row>
    <row r="207" spans="1:21">
      <c r="A207">
        <f>'Input data'!A126</f>
        <v>2026</v>
      </c>
      <c r="C207" s="266">
        <f>'4A SWD Case 3'!BN96</f>
        <v>631.34240288137539</v>
      </c>
      <c r="D207" s="3">
        <f>'4B Biological treatment '!T260</f>
        <v>3.9236964450524088</v>
      </c>
      <c r="E207" s="152">
        <f>'4B Biological treatment '!U260</f>
        <v>19.618482225262042</v>
      </c>
      <c r="F207" s="152">
        <f>'4B Biological treatment '!W260</f>
        <v>1.1771089335157223</v>
      </c>
      <c r="G207" s="688">
        <f>'4C2 Open-burning '!R165</f>
        <v>18.950712018812339</v>
      </c>
      <c r="H207" s="688">
        <f>'4C2 Open-burning '!Z165</f>
        <v>6.3763344112211913</v>
      </c>
      <c r="I207" s="688">
        <f>'4C2 Open-burning '!AH165</f>
        <v>8.8769337059823331E-2</v>
      </c>
      <c r="J207" s="93">
        <f>'4D Wastewater treatment and dis'!AV202</f>
        <v>186.68537416219561</v>
      </c>
      <c r="K207" s="3">
        <f>'4D Wastewater treatment and dis'!AW202</f>
        <v>3.2140659188721759</v>
      </c>
      <c r="L207" s="465">
        <f t="shared" si="150"/>
        <v>13258.190460508884</v>
      </c>
      <c r="M207" s="688">
        <f t="shared" si="146"/>
        <v>82.397625346100583</v>
      </c>
      <c r="N207" s="465">
        <f t="shared" si="147"/>
        <v>776.89189612037671</v>
      </c>
      <c r="O207" s="464">
        <f t="shared" si="148"/>
        <v>180.37222914300258</v>
      </c>
      <c r="P207" s="465">
        <f t="shared" si="149"/>
        <v>4916.7532922564824</v>
      </c>
      <c r="Q207" s="465">
        <f t="shared" si="141"/>
        <v>13258.190460508884</v>
      </c>
      <c r="R207" s="467">
        <f t="shared" si="142"/>
        <v>859.28952146647725</v>
      </c>
      <c r="S207" s="464">
        <f t="shared" si="143"/>
        <v>180.37222914300258</v>
      </c>
      <c r="T207" s="465">
        <f t="shared" si="144"/>
        <v>4916.7532922564824</v>
      </c>
      <c r="U207" s="465">
        <f t="shared" si="145"/>
        <v>19214.605503374845</v>
      </c>
    </row>
    <row r="208" spans="1:21">
      <c r="A208">
        <f>'Input data'!A127</f>
        <v>2027</v>
      </c>
      <c r="C208" s="266">
        <f>'4A SWD Case 3'!BN97</f>
        <v>607.77113235674074</v>
      </c>
      <c r="D208" s="3">
        <f>'4B Biological treatment '!T261</f>
        <v>3.9433688499908826</v>
      </c>
      <c r="E208" s="152">
        <f>'4B Biological treatment '!U261</f>
        <v>19.716844249954413</v>
      </c>
      <c r="F208" s="152">
        <f>'4B Biological treatment '!W261</f>
        <v>1.1830106549972648</v>
      </c>
      <c r="G208" s="688">
        <f>'4C2 Open-burning '!R166</f>
        <v>17.628968481544341</v>
      </c>
      <c r="H208" s="688">
        <f>'4C2 Open-burning '!Z166</f>
        <v>5.9316081766013617</v>
      </c>
      <c r="I208" s="688">
        <f>'4C2 Open-burning '!AH166</f>
        <v>8.257799725950804E-2</v>
      </c>
      <c r="J208" s="93">
        <f>'4D Wastewater treatment and dis'!AV203</f>
        <v>192.88984842661634</v>
      </c>
      <c r="K208" s="3">
        <f>'4D Wastewater treatment and dis'!AW203</f>
        <v>3.2459870116876344</v>
      </c>
      <c r="L208" s="465">
        <f t="shared" si="150"/>
        <v>12763.193779491556</v>
      </c>
      <c r="M208" s="688">
        <f t="shared" si="146"/>
        <v>82.810745849808541</v>
      </c>
      <c r="N208" s="465">
        <f t="shared" si="147"/>
        <v>780.78703229819473</v>
      </c>
      <c r="O208" s="464">
        <f t="shared" si="148"/>
        <v>167.79191934062044</v>
      </c>
      <c r="P208" s="465">
        <f t="shared" si="149"/>
        <v>5056.9427905821094</v>
      </c>
      <c r="Q208" s="465">
        <f t="shared" si="141"/>
        <v>12763.193779491556</v>
      </c>
      <c r="R208" s="467">
        <f t="shared" si="142"/>
        <v>863.59777814800327</v>
      </c>
      <c r="S208" s="464">
        <f t="shared" si="143"/>
        <v>167.79191934062044</v>
      </c>
      <c r="T208" s="465">
        <f t="shared" si="144"/>
        <v>5056.9427905821094</v>
      </c>
      <c r="U208" s="465">
        <f t="shared" si="145"/>
        <v>18851.526267562287</v>
      </c>
    </row>
    <row r="209" spans="1:21">
      <c r="A209">
        <f>'Input data'!A128</f>
        <v>2028</v>
      </c>
      <c r="C209" s="266">
        <f>'4A SWD Case 3'!BN98</f>
        <v>585.01721824943422</v>
      </c>
      <c r="D209" s="3">
        <f>'4B Biological treatment '!T262</f>
        <v>3.9634761964491112</v>
      </c>
      <c r="E209" s="152">
        <f>'4B Biological treatment '!U262</f>
        <v>19.817380982245552</v>
      </c>
      <c r="F209" s="152">
        <f>'4B Biological treatment '!W262</f>
        <v>1.1890428589347333</v>
      </c>
      <c r="G209" s="688">
        <f>'4C2 Open-burning '!R167</f>
        <v>16.283040293904111</v>
      </c>
      <c r="H209" s="688">
        <f>'4C2 Open-burning '!Z167</f>
        <v>5.4787445475533589</v>
      </c>
      <c r="I209" s="688">
        <f>'4C2 Open-burning '!AH167</f>
        <v>7.6273371194358217E-2</v>
      </c>
      <c r="J209" s="93">
        <f>'4D Wastewater treatment and dis'!AV204</f>
        <v>199.13342125658875</v>
      </c>
      <c r="K209" s="3">
        <f>'4D Wastewater treatment and dis'!AW204</f>
        <v>3.277143433214452</v>
      </c>
      <c r="L209" s="465">
        <f t="shared" si="150"/>
        <v>12285.361583238118</v>
      </c>
      <c r="M209" s="688">
        <f t="shared" si="146"/>
        <v>83.233000125431332</v>
      </c>
      <c r="N209" s="465">
        <f t="shared" si="147"/>
        <v>784.76828689692388</v>
      </c>
      <c r="O209" s="464">
        <f t="shared" si="148"/>
        <v>154.98142086277571</v>
      </c>
      <c r="P209" s="465">
        <f t="shared" si="149"/>
        <v>5197.7163106848438</v>
      </c>
      <c r="Q209" s="465">
        <f t="shared" si="141"/>
        <v>12285.361583238118</v>
      </c>
      <c r="R209" s="467">
        <f t="shared" si="142"/>
        <v>868.0012870223552</v>
      </c>
      <c r="S209" s="464">
        <f t="shared" si="143"/>
        <v>154.98142086277571</v>
      </c>
      <c r="T209" s="465">
        <f t="shared" si="144"/>
        <v>5197.7163106848438</v>
      </c>
      <c r="U209" s="465">
        <f t="shared" si="145"/>
        <v>18506.060601808094</v>
      </c>
    </row>
    <row r="210" spans="1:21">
      <c r="A210">
        <f>'Input data'!A129</f>
        <v>2029</v>
      </c>
      <c r="C210" s="266">
        <f>'4A SWD Case 3'!BN99</f>
        <v>563.01234420080334</v>
      </c>
      <c r="D210" s="3">
        <f>'4B Biological treatment '!T263</f>
        <v>3.9901859551772052</v>
      </c>
      <c r="E210" s="152">
        <f>'4B Biological treatment '!U263</f>
        <v>19.950929775886024</v>
      </c>
      <c r="F210" s="152">
        <f>'4B Biological treatment '!W263</f>
        <v>1.1970557865531615</v>
      </c>
      <c r="G210" s="688">
        <f>'4C2 Open-burning '!R168</f>
        <v>14.911497245061883</v>
      </c>
      <c r="H210" s="688">
        <f>'4C2 Open-burning '!Z168</f>
        <v>5.0172623019194011</v>
      </c>
      <c r="I210" s="688">
        <f>'4C2 Open-burning '!AH168</f>
        <v>6.9848759439724836E-2</v>
      </c>
      <c r="J210" s="93">
        <f>'4D Wastewater treatment and dis'!AV205</f>
        <v>205.4112568711993</v>
      </c>
      <c r="K210" s="3">
        <f>'4D Wastewater treatment and dis'!AW205</f>
        <v>3.307506823676122</v>
      </c>
      <c r="L210" s="465">
        <f t="shared" si="150"/>
        <v>11823.25922821687</v>
      </c>
      <c r="M210" s="688">
        <f t="shared" si="146"/>
        <v>83.793905058721307</v>
      </c>
      <c r="N210" s="465">
        <f t="shared" si="147"/>
        <v>790.05681912508658</v>
      </c>
      <c r="O210" s="464">
        <f t="shared" si="148"/>
        <v>141.92712101168399</v>
      </c>
      <c r="P210" s="465">
        <f t="shared" si="149"/>
        <v>5338.9635096347838</v>
      </c>
      <c r="Q210" s="465">
        <f t="shared" si="141"/>
        <v>11823.25922821687</v>
      </c>
      <c r="R210" s="467">
        <f t="shared" si="142"/>
        <v>873.85072418380787</v>
      </c>
      <c r="S210" s="464">
        <f t="shared" si="143"/>
        <v>141.92712101168399</v>
      </c>
      <c r="T210" s="465">
        <f t="shared" si="144"/>
        <v>5338.9635096347838</v>
      </c>
      <c r="U210" s="465">
        <f t="shared" si="145"/>
        <v>18178.000583047145</v>
      </c>
    </row>
    <row r="211" spans="1:21">
      <c r="A211">
        <f>'Input data'!A130</f>
        <v>2030</v>
      </c>
      <c r="C211" s="266">
        <f>'4A SWD Case 3'!BN100</f>
        <v>541.69110267298902</v>
      </c>
      <c r="D211" s="3">
        <f>'4B Biological treatment '!T264</f>
        <v>4.0142142994360155</v>
      </c>
      <c r="E211" s="152">
        <f>'4B Biological treatment '!U264</f>
        <v>20.071071497180078</v>
      </c>
      <c r="F211" s="152">
        <f>'4B Biological treatment '!W264</f>
        <v>1.2042642898308045</v>
      </c>
      <c r="G211" s="688">
        <f>'4C2 Open-burning '!R169</f>
        <v>13.512848243857144</v>
      </c>
      <c r="H211" s="688">
        <f>'4C2 Open-burning '!Z169</f>
        <v>4.5466597331742911</v>
      </c>
      <c r="I211" s="688">
        <f>'4C2 Open-burning '!AH169</f>
        <v>6.3297177393990711E-2</v>
      </c>
      <c r="J211" s="93">
        <f>'4D Wastewater treatment and dis'!AV206</f>
        <v>211.71839988500935</v>
      </c>
      <c r="K211" s="3">
        <f>'4D Wastewater treatment and dis'!AW206</f>
        <v>3.337049334451244</v>
      </c>
      <c r="L211" s="465">
        <f t="shared" si="150"/>
        <v>11375.513156132769</v>
      </c>
      <c r="M211" s="688">
        <f t="shared" si="146"/>
        <v>84.298500288156319</v>
      </c>
      <c r="N211" s="465">
        <f t="shared" si="147"/>
        <v>794.81443128833098</v>
      </c>
      <c r="O211" s="464">
        <f t="shared" si="148"/>
        <v>128.6148276326544</v>
      </c>
      <c r="P211" s="465">
        <f t="shared" si="149"/>
        <v>5480.5716912650823</v>
      </c>
      <c r="Q211" s="465">
        <f t="shared" si="141"/>
        <v>11375.513156132769</v>
      </c>
      <c r="R211" s="467">
        <f t="shared" si="142"/>
        <v>879.11293157648731</v>
      </c>
      <c r="S211" s="464">
        <f t="shared" si="143"/>
        <v>128.6148276326544</v>
      </c>
      <c r="T211" s="465">
        <f t="shared" si="144"/>
        <v>5480.5716912650823</v>
      </c>
      <c r="U211" s="465">
        <f t="shared" si="145"/>
        <v>17863.812606606993</v>
      </c>
    </row>
    <row r="212" spans="1:21">
      <c r="A212">
        <f>'Input data'!A131</f>
        <v>2031</v>
      </c>
      <c r="C212" s="266">
        <f>'4A SWD Case 3'!BN101</f>
        <v>520.99084040437197</v>
      </c>
      <c r="D212" s="3">
        <f>'4B Biological treatment '!T265</f>
        <v>4.0426573001203296</v>
      </c>
      <c r="E212" s="152">
        <f>'4B Biological treatment '!U265</f>
        <v>20.213286500601647</v>
      </c>
      <c r="F212" s="152">
        <f>'4B Biological treatment '!W265</f>
        <v>1.2127971900360988</v>
      </c>
      <c r="G212" s="688">
        <f>'4C2 Open-burning '!R170</f>
        <v>11.917018403484036</v>
      </c>
      <c r="H212" s="688">
        <f>'4C2 Open-burning '!Z170</f>
        <v>4.0097118488138817</v>
      </c>
      <c r="I212" s="688">
        <f>'4C2 Open-burning '!AH170</f>
        <v>5.5821956576452142E-2</v>
      </c>
      <c r="J212" s="93">
        <f>'4D Wastewater treatment and dis'!AV207</f>
        <v>213.55394760187275</v>
      </c>
      <c r="K212" s="3">
        <f>'4D Wastewater treatment and dis'!AW207</f>
        <v>3.3659807513249738</v>
      </c>
      <c r="L212" s="465">
        <f t="shared" si="150"/>
        <v>10940.807648491811</v>
      </c>
      <c r="M212" s="688">
        <f t="shared" si="146"/>
        <v>84.895803302526929</v>
      </c>
      <c r="N212" s="465">
        <f t="shared" si="147"/>
        <v>800.44614542382521</v>
      </c>
      <c r="O212" s="464">
        <f t="shared" si="148"/>
        <v>113.42577376727571</v>
      </c>
      <c r="P212" s="465">
        <f t="shared" si="149"/>
        <v>5528.0869325500698</v>
      </c>
      <c r="Q212" s="465">
        <f t="shared" si="141"/>
        <v>10940.807648491811</v>
      </c>
      <c r="R212" s="467">
        <f t="shared" si="142"/>
        <v>885.34194872635214</v>
      </c>
      <c r="S212" s="464">
        <f t="shared" si="143"/>
        <v>113.42577376727571</v>
      </c>
      <c r="T212" s="465">
        <f t="shared" si="144"/>
        <v>5528.0869325500698</v>
      </c>
      <c r="U212" s="465">
        <f t="shared" si="145"/>
        <v>17467.662303535508</v>
      </c>
    </row>
    <row r="213" spans="1:21">
      <c r="A213">
        <f>'Input data'!A132</f>
        <v>2032</v>
      </c>
      <c r="C213" s="266">
        <f>'4A SWD Case 3'!BN102</f>
        <v>500.7282737875201</v>
      </c>
      <c r="D213" s="3">
        <f>'4B Biological treatment '!T266</f>
        <v>4.0724203483170971</v>
      </c>
      <c r="E213" s="152">
        <f>'4B Biological treatment '!U266</f>
        <v>20.362101741585484</v>
      </c>
      <c r="F213" s="152">
        <f>'4B Biological treatment '!W266</f>
        <v>1.2217261044951291</v>
      </c>
      <c r="G213" s="688">
        <f>'4C2 Open-burning '!R171</f>
        <v>10.332156257114898</v>
      </c>
      <c r="H213" s="688">
        <f>'4C2 Open-burning '!Z171</f>
        <v>3.47645425770577</v>
      </c>
      <c r="I213" s="688">
        <f>'4C2 Open-burning '!AH171</f>
        <v>4.8398110869507877E-2</v>
      </c>
      <c r="J213" s="93">
        <f>'4D Wastewater treatment and dis'!AV208</f>
        <v>215.34941574253997</v>
      </c>
      <c r="K213" s="3">
        <f>'4D Wastewater treatment and dis'!AW208</f>
        <v>3.3942804445358443</v>
      </c>
      <c r="L213" s="465">
        <f t="shared" si="150"/>
        <v>10515.293749537923</v>
      </c>
      <c r="M213" s="688">
        <f t="shared" si="146"/>
        <v>85.520827314659044</v>
      </c>
      <c r="N213" s="465">
        <f t="shared" si="147"/>
        <v>806.33922896678519</v>
      </c>
      <c r="O213" s="464">
        <f t="shared" si="148"/>
        <v>98.341110038483521</v>
      </c>
      <c r="P213" s="465">
        <f t="shared" si="149"/>
        <v>5574.564668399451</v>
      </c>
      <c r="Q213" s="465">
        <f t="shared" si="141"/>
        <v>10515.293749537923</v>
      </c>
      <c r="R213" s="467">
        <f t="shared" si="142"/>
        <v>891.86005628144426</v>
      </c>
      <c r="S213" s="464">
        <f t="shared" si="143"/>
        <v>98.341110038483521</v>
      </c>
      <c r="T213" s="465">
        <f t="shared" si="144"/>
        <v>5574.564668399451</v>
      </c>
      <c r="U213" s="465">
        <f t="shared" si="145"/>
        <v>17080.059584257302</v>
      </c>
    </row>
    <row r="214" spans="1:21">
      <c r="A214">
        <f>'Input data'!A133</f>
        <v>2033</v>
      </c>
      <c r="C214" s="266">
        <f>'4A SWD Case 3'!BN103</f>
        <v>480.87930789818819</v>
      </c>
      <c r="D214" s="3">
        <f>'4B Biological treatment '!T267</f>
        <v>4.1074244418269013</v>
      </c>
      <c r="E214" s="152">
        <f>'4B Biological treatment '!U267</f>
        <v>20.537122209134502</v>
      </c>
      <c r="F214" s="152">
        <f>'4B Biological treatment '!W267</f>
        <v>1.2322273325480702</v>
      </c>
      <c r="G214" s="688">
        <f>'4C2 Open-burning '!R172</f>
        <v>10.303044840243604</v>
      </c>
      <c r="H214" s="688">
        <f>'4C2 Open-burning '!Z172</f>
        <v>3.466659157185453</v>
      </c>
      <c r="I214" s="688">
        <f>'4C2 Open-burning '!AH172</f>
        <v>4.8261746537973965E-2</v>
      </c>
      <c r="J214" s="93">
        <f>'4D Wastewater treatment and dis'!AV209</f>
        <v>217.10351529179806</v>
      </c>
      <c r="K214" s="3">
        <f>'4D Wastewater treatment and dis'!AW209</f>
        <v>3.4219280969675285</v>
      </c>
      <c r="L214" s="465">
        <f t="shared" si="150"/>
        <v>10098.465465861951</v>
      </c>
      <c r="M214" s="688">
        <f t="shared" si="146"/>
        <v>86.255913278364929</v>
      </c>
      <c r="N214" s="465">
        <f t="shared" si="147"/>
        <v>813.27003948172626</v>
      </c>
      <c r="O214" s="464">
        <f t="shared" si="148"/>
        <v>98.064028567910043</v>
      </c>
      <c r="P214" s="465">
        <f t="shared" si="149"/>
        <v>5619.9715311876926</v>
      </c>
      <c r="Q214" s="465">
        <f t="shared" si="141"/>
        <v>10098.465465861951</v>
      </c>
      <c r="R214" s="467">
        <f t="shared" si="142"/>
        <v>899.52595276009117</v>
      </c>
      <c r="S214" s="464">
        <f t="shared" si="143"/>
        <v>98.064028567910043</v>
      </c>
      <c r="T214" s="465">
        <f t="shared" si="144"/>
        <v>5619.9715311876926</v>
      </c>
      <c r="U214" s="465">
        <f t="shared" si="145"/>
        <v>16716.026978377646</v>
      </c>
    </row>
    <row r="215" spans="1:21">
      <c r="A215">
        <f>'Input data'!A134</f>
        <v>2034</v>
      </c>
      <c r="C215" s="266">
        <f>'4A SWD Case 3'!BN104</f>
        <v>462.00931986111686</v>
      </c>
      <c r="D215" s="3">
        <f>'4B Biological treatment '!T268</f>
        <v>4.145597084308112</v>
      </c>
      <c r="E215" s="152">
        <f>'4B Biological treatment '!U268</f>
        <v>20.727985421540559</v>
      </c>
      <c r="F215" s="152">
        <f>'4B Biological treatment '!W268</f>
        <v>1.2436791252924335</v>
      </c>
      <c r="G215" s="688">
        <f>'4C2 Open-burning '!R173</f>
        <v>10.275244855123965</v>
      </c>
      <c r="H215" s="688">
        <f>'4C2 Open-burning '!Z173</f>
        <v>3.4573053132995972</v>
      </c>
      <c r="I215" s="688">
        <f>'4C2 Open-burning '!AH173</f>
        <v>4.8131525243550119E-2</v>
      </c>
      <c r="J215" s="93">
        <f>'4D Wastewater treatment and dis'!AV210</f>
        <v>218.81497859921896</v>
      </c>
      <c r="K215" s="3">
        <f>'4D Wastewater treatment and dis'!AW210</f>
        <v>3.4489037282497814</v>
      </c>
      <c r="L215" s="465">
        <f t="shared" si="150"/>
        <v>9702.1957170834539</v>
      </c>
      <c r="M215" s="688">
        <f t="shared" si="146"/>
        <v>87.057538770470359</v>
      </c>
      <c r="N215" s="465">
        <f t="shared" si="147"/>
        <v>820.82822269300618</v>
      </c>
      <c r="O215" s="464">
        <f t="shared" si="148"/>
        <v>97.799429259916053</v>
      </c>
      <c r="P215" s="465">
        <f t="shared" si="149"/>
        <v>5664.2747063410307</v>
      </c>
      <c r="Q215" s="465">
        <f t="shared" si="141"/>
        <v>9702.1957170834539</v>
      </c>
      <c r="R215" s="467">
        <f t="shared" si="142"/>
        <v>907.88576146347657</v>
      </c>
      <c r="S215" s="464">
        <f t="shared" si="143"/>
        <v>97.799429259916053</v>
      </c>
      <c r="T215" s="465">
        <f t="shared" si="144"/>
        <v>5664.2747063410307</v>
      </c>
      <c r="U215" s="465">
        <f t="shared" si="145"/>
        <v>16372.155614147876</v>
      </c>
    </row>
    <row r="216" spans="1:21">
      <c r="A216">
        <f>'Input data'!A135</f>
        <v>2035</v>
      </c>
      <c r="C216" s="266">
        <f>'4A SWD Case 3'!BN105</f>
        <v>444.07016931308334</v>
      </c>
      <c r="D216" s="3">
        <f>'4B Biological treatment '!T269</f>
        <v>4.1760603883516829</v>
      </c>
      <c r="E216" s="152">
        <f>'4B Biological treatment '!U269</f>
        <v>20.880301941758411</v>
      </c>
      <c r="F216" s="152">
        <f>'4B Biological treatment '!W269</f>
        <v>1.2528181165055048</v>
      </c>
      <c r="G216" s="688">
        <f>'4C2 Open-burning '!R174</f>
        <v>10.24871342765546</v>
      </c>
      <c r="H216" s="688">
        <f>'4C2 Open-burning '!Z174</f>
        <v>3.4483783002259818</v>
      </c>
      <c r="I216" s="688">
        <f>'4C2 Open-burning '!AH174</f>
        <v>4.8007246154442962E-2</v>
      </c>
      <c r="J216" s="93">
        <f>'4D Wastewater treatment and dis'!AV211</f>
        <v>220.48256089388616</v>
      </c>
      <c r="K216" s="3">
        <f>'4D Wastewater treatment and dis'!AW211</f>
        <v>3.4751877186331606</v>
      </c>
      <c r="L216" s="465">
        <f t="shared" si="150"/>
        <v>9325.4735555747502</v>
      </c>
      <c r="M216" s="688">
        <f t="shared" si="146"/>
        <v>87.697268155385345</v>
      </c>
      <c r="N216" s="465">
        <f t="shared" si="147"/>
        <v>826.85995689363313</v>
      </c>
      <c r="O216" s="464">
        <f t="shared" si="148"/>
        <v>97.546904040278406</v>
      </c>
      <c r="P216" s="465">
        <f t="shared" si="149"/>
        <v>5707.4419715478889</v>
      </c>
      <c r="Q216" s="465">
        <f t="shared" si="141"/>
        <v>9325.4735555747502</v>
      </c>
      <c r="R216" s="467">
        <f t="shared" si="142"/>
        <v>914.55722504901848</v>
      </c>
      <c r="S216" s="464">
        <f t="shared" si="143"/>
        <v>97.546904040278406</v>
      </c>
      <c r="T216" s="465">
        <f t="shared" si="144"/>
        <v>5707.4419715478889</v>
      </c>
      <c r="U216" s="465">
        <f t="shared" si="145"/>
        <v>16045.019656211936</v>
      </c>
    </row>
    <row r="217" spans="1:21">
      <c r="A217">
        <f>'Input data'!A136</f>
        <v>2036</v>
      </c>
      <c r="C217" s="266">
        <f>'4A SWD Case 3'!BN106</f>
        <v>427.01606709221818</v>
      </c>
      <c r="D217" s="3">
        <f>'4B Biological treatment '!T270</f>
        <v>4.2065628371320321</v>
      </c>
      <c r="E217" s="152">
        <f>'4B Biological treatment '!U270</f>
        <v>21.032814185660158</v>
      </c>
      <c r="F217" s="152">
        <f>'4B Biological treatment '!W270</f>
        <v>1.2619688511396094</v>
      </c>
      <c r="G217" s="688">
        <f>'4C2 Open-burning '!R175</f>
        <v>10.22334284688047</v>
      </c>
      <c r="H217" s="688">
        <f>'4C2 Open-burning '!Z175</f>
        <v>3.4398418765249819</v>
      </c>
      <c r="I217" s="688">
        <f>'4C2 Open-burning '!AH175</f>
        <v>4.7888404728644154E-2</v>
      </c>
      <c r="J217" s="93">
        <f>'4D Wastewater treatment and dis'!AV212</f>
        <v>222.10940607467276</v>
      </c>
      <c r="K217" s="3">
        <f>'4D Wastewater treatment and dis'!AW212</f>
        <v>3.5008296214188772</v>
      </c>
      <c r="L217" s="465">
        <f t="shared" si="150"/>
        <v>8967.3374089365825</v>
      </c>
      <c r="M217" s="688">
        <f t="shared" si="146"/>
        <v>88.33781957977267</v>
      </c>
      <c r="N217" s="465">
        <f t="shared" si="147"/>
        <v>832.89944175214225</v>
      </c>
      <c r="O217" s="464">
        <f t="shared" si="148"/>
        <v>97.305427719784788</v>
      </c>
      <c r="P217" s="465">
        <f t="shared" si="149"/>
        <v>5749.55471020798</v>
      </c>
      <c r="Q217" s="465">
        <f t="shared" si="141"/>
        <v>8967.3374089365825</v>
      </c>
      <c r="R217" s="467">
        <f t="shared" si="142"/>
        <v>921.23726133191497</v>
      </c>
      <c r="S217" s="464">
        <f t="shared" si="143"/>
        <v>97.305427719784788</v>
      </c>
      <c r="T217" s="465">
        <f t="shared" si="144"/>
        <v>5749.55471020798</v>
      </c>
      <c r="U217" s="465">
        <f t="shared" si="145"/>
        <v>15735.434808196262</v>
      </c>
    </row>
    <row r="218" spans="1:21">
      <c r="A218">
        <f>'Input data'!A137</f>
        <v>2037</v>
      </c>
      <c r="C218" s="266">
        <f>'4A SWD Case 3'!BN107</f>
        <v>412.46822139642882</v>
      </c>
      <c r="D218" s="3">
        <f>'4B Biological treatment '!T271</f>
        <v>4.2422519635354483</v>
      </c>
      <c r="E218" s="152">
        <f>'4B Biological treatment '!U271</f>
        <v>21.211259817677238</v>
      </c>
      <c r="F218" s="152">
        <f>'4B Biological treatment '!W271</f>
        <v>1.2726755890606345</v>
      </c>
      <c r="G218" s="688">
        <f>'4C2 Open-burning '!R176</f>
        <v>10.199097556482885</v>
      </c>
      <c r="H218" s="688">
        <f>'4C2 Open-burning '!Z176</f>
        <v>3.4316840785847926</v>
      </c>
      <c r="I218" s="688">
        <f>'4C2 Open-burning '!AH176</f>
        <v>4.7774834412485048E-2</v>
      </c>
      <c r="J218" s="93">
        <f>'4D Wastewater treatment and dis'!AV213</f>
        <v>223.69441497988231</v>
      </c>
      <c r="K218" s="3">
        <f>'4D Wastewater treatment and dis'!AW213</f>
        <v>3.5258121119114461</v>
      </c>
      <c r="L218" s="465">
        <f t="shared" si="150"/>
        <v>8661.8326493250061</v>
      </c>
      <c r="M218" s="688">
        <f t="shared" si="146"/>
        <v>89.087291234244418</v>
      </c>
      <c r="N218" s="465">
        <f t="shared" si="147"/>
        <v>839.96588878001876</v>
      </c>
      <c r="O218" s="464">
        <f t="shared" si="148"/>
        <v>97.07466187463389</v>
      </c>
      <c r="P218" s="465">
        <f t="shared" si="149"/>
        <v>5790.5844692700766</v>
      </c>
      <c r="Q218" s="465">
        <f t="shared" si="141"/>
        <v>8661.8326493250061</v>
      </c>
      <c r="R218" s="467">
        <f t="shared" si="142"/>
        <v>929.05318001426315</v>
      </c>
      <c r="S218" s="464">
        <f t="shared" si="143"/>
        <v>97.07466187463389</v>
      </c>
      <c r="T218" s="465">
        <f t="shared" si="144"/>
        <v>5790.5844692700766</v>
      </c>
      <c r="U218" s="465">
        <f t="shared" si="145"/>
        <v>15478.544960483981</v>
      </c>
    </row>
    <row r="219" spans="1:21">
      <c r="A219">
        <f>'Input data'!A138</f>
        <v>2038</v>
      </c>
      <c r="C219" s="266">
        <f>'4A SWD Case 3'!BN108</f>
        <v>399.40563969320527</v>
      </c>
      <c r="D219" s="3">
        <f>'4B Biological treatment '!T272</f>
        <v>4.2771038275133373</v>
      </c>
      <c r="E219" s="152">
        <f>'4B Biological treatment '!U272</f>
        <v>21.385519137566682</v>
      </c>
      <c r="F219" s="152">
        <f>'4B Biological treatment '!W272</f>
        <v>1.2831311482540011</v>
      </c>
      <c r="G219" s="688">
        <f>'4C2 Open-burning '!R177</f>
        <v>10.17594404302452</v>
      </c>
      <c r="H219" s="688">
        <f>'4C2 Open-burning '!Z177</f>
        <v>3.4238936301594944</v>
      </c>
      <c r="I219" s="688">
        <f>'4C2 Open-burning '!AH177</f>
        <v>4.7666378221590242E-2</v>
      </c>
      <c r="J219" s="93">
        <f>'4D Wastewater treatment and dis'!AV214</f>
        <v>225.23651049489851</v>
      </c>
      <c r="K219" s="3">
        <f>'4D Wastewater treatment and dis'!AW214</f>
        <v>3.5501182129156104</v>
      </c>
      <c r="L219" s="465">
        <f t="shared" si="150"/>
        <v>8387.5184335573103</v>
      </c>
      <c r="M219" s="688">
        <f t="shared" si="146"/>
        <v>89.819180377780086</v>
      </c>
      <c r="N219" s="465">
        <f t="shared" si="147"/>
        <v>846.86655784764071</v>
      </c>
      <c r="O219" s="464">
        <f t="shared" si="148"/>
        <v>96.854287525066866</v>
      </c>
      <c r="P219" s="465">
        <f t="shared" si="149"/>
        <v>5830.5033663967079</v>
      </c>
      <c r="Q219" s="465">
        <f t="shared" si="141"/>
        <v>8387.5184335573103</v>
      </c>
      <c r="R219" s="467">
        <f t="shared" si="142"/>
        <v>936.68573822542078</v>
      </c>
      <c r="S219" s="464">
        <f t="shared" si="143"/>
        <v>96.854287525066866</v>
      </c>
      <c r="T219" s="465">
        <f t="shared" si="144"/>
        <v>5830.5033663967079</v>
      </c>
      <c r="U219" s="465">
        <f t="shared" si="145"/>
        <v>15251.561825704506</v>
      </c>
    </row>
    <row r="220" spans="1:21">
      <c r="A220">
        <f>'Input data'!A139</f>
        <v>2039</v>
      </c>
      <c r="C220" s="266">
        <f>'4A SWD Case 3'!BN109</f>
        <v>387.24323139392345</v>
      </c>
      <c r="D220" s="3">
        <f>'4B Biological treatment '!T273</f>
        <v>4.3144566052298137</v>
      </c>
      <c r="E220" s="152">
        <f>'4B Biological treatment '!U273</f>
        <v>21.572283026149066</v>
      </c>
      <c r="F220" s="152">
        <f>'4B Biological treatment '!W273</f>
        <v>1.2943369815689438</v>
      </c>
      <c r="G220" s="688">
        <f>'4C2 Open-burning '!R178</f>
        <v>10.153850726003597</v>
      </c>
      <c r="H220" s="688">
        <f>'4C2 Open-burning '!Z178</f>
        <v>3.416459905377085</v>
      </c>
      <c r="I220" s="688">
        <f>'4C2 Open-burning '!AH178</f>
        <v>4.7562888225887029E-2</v>
      </c>
      <c r="J220" s="93">
        <f>'4D Wastewater treatment and dis'!AV215</f>
        <v>226.73463876459027</v>
      </c>
      <c r="K220" s="3">
        <f>'4D Wastewater treatment and dis'!AW215</f>
        <v>3.5737313138459617</v>
      </c>
      <c r="L220" s="465">
        <f t="shared" si="150"/>
        <v>8132.1078592723925</v>
      </c>
      <c r="M220" s="688">
        <f t="shared" si="146"/>
        <v>90.603588709826084</v>
      </c>
      <c r="N220" s="465">
        <f t="shared" si="147"/>
        <v>854.26240783550293</v>
      </c>
      <c r="O220" s="464">
        <f t="shared" si="148"/>
        <v>96.644004088947355</v>
      </c>
      <c r="P220" s="465">
        <f t="shared" si="149"/>
        <v>5869.2841213486436</v>
      </c>
      <c r="Q220" s="465">
        <f t="shared" si="141"/>
        <v>8132.1078592723925</v>
      </c>
      <c r="R220" s="467">
        <f t="shared" si="142"/>
        <v>944.86599654532904</v>
      </c>
      <c r="S220" s="464">
        <f t="shared" si="143"/>
        <v>96.644004088947355</v>
      </c>
      <c r="T220" s="465">
        <f t="shared" si="144"/>
        <v>5869.2841213486436</v>
      </c>
      <c r="U220" s="465">
        <f t="shared" si="145"/>
        <v>15042.901981255312</v>
      </c>
    </row>
    <row r="221" spans="1:21">
      <c r="A221">
        <f>'Input data'!A140</f>
        <v>2040</v>
      </c>
      <c r="C221" s="266">
        <f>'4A SWD Case 3'!BN110</f>
        <v>375.94075080058741</v>
      </c>
      <c r="D221" s="3">
        <f>'4B Biological treatment '!T274</f>
        <v>4.3519355159870168</v>
      </c>
      <c r="E221" s="152">
        <f>'4B Biological treatment '!U274</f>
        <v>21.759677579935079</v>
      </c>
      <c r="F221" s="152">
        <f>'4B Biological treatment '!W274</f>
        <v>1.3055806547961049</v>
      </c>
      <c r="G221" s="688">
        <f>'4C2 Open-burning '!R179</f>
        <v>10.132787856145702</v>
      </c>
      <c r="H221" s="688">
        <f>'4C2 Open-burning '!Z179</f>
        <v>3.4093728945175119</v>
      </c>
      <c r="I221" s="688">
        <f>'4C2 Open-burning '!AH179</f>
        <v>4.7464225073177692E-2</v>
      </c>
      <c r="J221" s="93">
        <f>'4D Wastewater treatment and dis'!AV216</f>
        <v>228.18777038676492</v>
      </c>
      <c r="K221" s="3">
        <f>'4D Wastewater treatment and dis'!AW216</f>
        <v>3.5966351895378317</v>
      </c>
      <c r="L221" s="465">
        <f t="shared" si="150"/>
        <v>7894.7557668123354</v>
      </c>
      <c r="M221" s="688">
        <f t="shared" si="146"/>
        <v>91.390645835727355</v>
      </c>
      <c r="N221" s="465">
        <f t="shared" si="147"/>
        <v>861.68323216542922</v>
      </c>
      <c r="O221" s="464">
        <f t="shared" si="148"/>
        <v>96.44352841369853</v>
      </c>
      <c r="P221" s="465">
        <f t="shared" si="149"/>
        <v>5906.9000868787916</v>
      </c>
      <c r="Q221" s="465">
        <f t="shared" si="141"/>
        <v>7894.7557668123354</v>
      </c>
      <c r="R221" s="467">
        <f t="shared" si="142"/>
        <v>953.07387800115657</v>
      </c>
      <c r="S221" s="464">
        <f t="shared" si="143"/>
        <v>96.44352841369853</v>
      </c>
      <c r="T221" s="465">
        <f t="shared" si="144"/>
        <v>5906.9000868787916</v>
      </c>
      <c r="U221" s="465">
        <f t="shared" si="145"/>
        <v>14851.173260105981</v>
      </c>
    </row>
    <row r="222" spans="1:21">
      <c r="A222">
        <f>'Input data'!A141</f>
        <v>2041</v>
      </c>
      <c r="C222" s="266">
        <f>'4A SWD Case 3'!BN111</f>
        <v>365.45839995539592</v>
      </c>
      <c r="D222" s="3">
        <f>'4B Biological treatment '!T275</f>
        <v>4.394076999835983</v>
      </c>
      <c r="E222" s="152">
        <f>'4B Biological treatment '!U275</f>
        <v>21.970384999179913</v>
      </c>
      <c r="F222" s="152">
        <f>'4B Biological treatment '!W275</f>
        <v>1.3182230999507949</v>
      </c>
      <c r="G222" s="688">
        <f>'4C2 Open-burning '!R180</f>
        <v>10.112661083887765</v>
      </c>
      <c r="H222" s="688">
        <f>'4C2 Open-burning '!Z180</f>
        <v>3.4026008518413482</v>
      </c>
      <c r="I222" s="688">
        <f>'4C2 Open-burning '!AH180</f>
        <v>4.7369946809188573E-2</v>
      </c>
      <c r="J222" s="93">
        <f>'4D Wastewater treatment and dis'!AV217</f>
        <v>229.59959290353174</v>
      </c>
      <c r="K222" s="3">
        <f>'4D Wastewater treatment and dis'!AW217</f>
        <v>3.6188879620531109</v>
      </c>
      <c r="L222" s="465">
        <f t="shared" si="150"/>
        <v>7674.6263990633142</v>
      </c>
      <c r="M222" s="688">
        <f t="shared" si="146"/>
        <v>92.275616996555641</v>
      </c>
      <c r="N222" s="465">
        <f t="shared" si="147"/>
        <v>870.02724596752455</v>
      </c>
      <c r="O222" s="464">
        <f t="shared" si="148"/>
        <v>96.251962483404526</v>
      </c>
      <c r="P222" s="465">
        <f t="shared" si="149"/>
        <v>5943.4467192106313</v>
      </c>
      <c r="Q222" s="465">
        <f t="shared" si="141"/>
        <v>7674.6263990633142</v>
      </c>
      <c r="R222" s="467">
        <f t="shared" si="142"/>
        <v>962.30286296408019</v>
      </c>
      <c r="S222" s="464">
        <f t="shared" si="143"/>
        <v>96.251962483404526</v>
      </c>
      <c r="T222" s="465">
        <f t="shared" si="144"/>
        <v>5943.4467192106313</v>
      </c>
      <c r="U222" s="465">
        <f t="shared" si="145"/>
        <v>14676.627943721429</v>
      </c>
    </row>
    <row r="223" spans="1:21">
      <c r="A223">
        <f>'Input data'!A142</f>
        <v>2042</v>
      </c>
      <c r="C223" s="266">
        <f>'4A SWD Case 3'!BN112</f>
        <v>355.53996628068228</v>
      </c>
      <c r="D223" s="3">
        <f>'4B Biological treatment '!T276</f>
        <v>4.4368817695025751</v>
      </c>
      <c r="E223" s="152">
        <f>'4B Biological treatment '!U276</f>
        <v>22.184408847512874</v>
      </c>
      <c r="F223" s="152">
        <f>'4B Biological treatment '!W276</f>
        <v>1.3310645308507723</v>
      </c>
      <c r="G223" s="688">
        <f>'4C2 Open-burning '!R181</f>
        <v>10.09344594138317</v>
      </c>
      <c r="H223" s="688">
        <f>'4C2 Open-burning '!Z181</f>
        <v>3.3961355446672989</v>
      </c>
      <c r="I223" s="688">
        <f>'4C2 Open-burning '!AH181</f>
        <v>4.7279938821100875E-2</v>
      </c>
      <c r="J223" s="93">
        <f>'4D Wastewater treatment and dis'!AV218</f>
        <v>230.96921515720715</v>
      </c>
      <c r="K223" s="3">
        <f>'4D Wastewater treatment and dis'!AW218</f>
        <v>3.6404755852004582</v>
      </c>
      <c r="L223" s="465">
        <f t="shared" si="150"/>
        <v>7466.3392918943282</v>
      </c>
      <c r="M223" s="688">
        <f t="shared" si="146"/>
        <v>93.174517159554071</v>
      </c>
      <c r="N223" s="465">
        <f t="shared" si="147"/>
        <v>878.50259036150976</v>
      </c>
      <c r="O223" s="464">
        <f t="shared" si="148"/>
        <v>96.069073413937716</v>
      </c>
      <c r="P223" s="465">
        <f t="shared" si="149"/>
        <v>5978.9009497134921</v>
      </c>
      <c r="Q223" s="465">
        <f t="shared" si="141"/>
        <v>7466.3392918943282</v>
      </c>
      <c r="R223" s="467">
        <f t="shared" si="142"/>
        <v>971.67710752106382</v>
      </c>
      <c r="S223" s="464">
        <f t="shared" si="143"/>
        <v>96.069073413937716</v>
      </c>
      <c r="T223" s="465">
        <f t="shared" si="144"/>
        <v>5978.9009497134921</v>
      </c>
      <c r="U223" s="465">
        <f t="shared" si="145"/>
        <v>14512.986422542821</v>
      </c>
    </row>
    <row r="224" spans="1:21">
      <c r="A224">
        <f>'Input data'!A143</f>
        <v>2043</v>
      </c>
      <c r="C224" s="266">
        <f>'4A SWD Case 3'!BN113</f>
        <v>346.15691289360825</v>
      </c>
      <c r="D224" s="3">
        <f>'4B Biological treatment '!T277</f>
        <v>4.480791290629341</v>
      </c>
      <c r="E224" s="152">
        <f>'4B Biological treatment '!U277</f>
        <v>22.403956453146705</v>
      </c>
      <c r="F224" s="152">
        <f>'4B Biological treatment '!W277</f>
        <v>1.3442373871888023</v>
      </c>
      <c r="G224" s="688">
        <f>'4C2 Open-burning '!R182</f>
        <v>10.075119335460963</v>
      </c>
      <c r="H224" s="688">
        <f>'4C2 Open-burning '!Z182</f>
        <v>3.3899692028503452</v>
      </c>
      <c r="I224" s="688">
        <f>'4C2 Open-burning '!AH182</f>
        <v>4.7194092935381335E-2</v>
      </c>
      <c r="J224" s="93">
        <f>'4D Wastewater treatment and dis'!AV219</f>
        <v>232.29576836438369</v>
      </c>
      <c r="K224" s="3">
        <f>'4D Wastewater treatment and dis'!AW219</f>
        <v>3.6613843654459499</v>
      </c>
      <c r="L224" s="465">
        <f t="shared" si="150"/>
        <v>7269.295170765773</v>
      </c>
      <c r="M224" s="688">
        <f t="shared" si="146"/>
        <v>94.096617103216161</v>
      </c>
      <c r="N224" s="465">
        <f t="shared" si="147"/>
        <v>887.19667554460943</v>
      </c>
      <c r="O224" s="464">
        <f t="shared" si="148"/>
        <v>95.894641405286436</v>
      </c>
      <c r="P224" s="465">
        <f t="shared" si="149"/>
        <v>6013.240288940302</v>
      </c>
      <c r="Q224" s="465">
        <f t="shared" si="141"/>
        <v>7269.295170765773</v>
      </c>
      <c r="R224" s="467">
        <f t="shared" si="142"/>
        <v>981.29329264782564</v>
      </c>
      <c r="S224" s="464">
        <f t="shared" si="143"/>
        <v>95.894641405286436</v>
      </c>
      <c r="T224" s="465">
        <f t="shared" si="144"/>
        <v>6013.240288940302</v>
      </c>
      <c r="U224" s="465">
        <f t="shared" si="145"/>
        <v>14359.723393759186</v>
      </c>
    </row>
    <row r="225" spans="1:21">
      <c r="A225">
        <f>'Input data'!A144</f>
        <v>2044</v>
      </c>
      <c r="C225" s="266">
        <f>'4A SWD Case 3'!BN114</f>
        <v>337.28236201262337</v>
      </c>
      <c r="D225" s="3">
        <f>'4B Biological treatment '!T278</f>
        <v>4.5264057825135442</v>
      </c>
      <c r="E225" s="152">
        <f>'4B Biological treatment '!U278</f>
        <v>22.632028912567719</v>
      </c>
      <c r="F225" s="152">
        <f>'4B Biological treatment '!W278</f>
        <v>1.3579217347540631</v>
      </c>
      <c r="G225" s="688">
        <f>'4C2 Open-burning '!R183</f>
        <v>10.057659483060858</v>
      </c>
      <c r="H225" s="688">
        <f>'4C2 Open-burning '!Z183</f>
        <v>3.3840944970575957</v>
      </c>
      <c r="I225" s="688">
        <f>'4C2 Open-burning '!AH183</f>
        <v>4.7112307115345586E-2</v>
      </c>
      <c r="J225" s="93">
        <f>'4D Wastewater treatment and dis'!AV220</f>
        <v>233.57840703026514</v>
      </c>
      <c r="K225" s="3">
        <f>'4D Wastewater treatment and dis'!AW220</f>
        <v>3.6816009763245785</v>
      </c>
      <c r="L225" s="465">
        <f t="shared" si="150"/>
        <v>7082.9296022650906</v>
      </c>
      <c r="M225" s="688">
        <f t="shared" si="146"/>
        <v>95.054521432784426</v>
      </c>
      <c r="N225" s="465">
        <f t="shared" si="147"/>
        <v>896.22834493768164</v>
      </c>
      <c r="O225" s="464">
        <f t="shared" si="148"/>
        <v>95.728459127027506</v>
      </c>
      <c r="P225" s="465">
        <f t="shared" si="149"/>
        <v>6046.4428502961873</v>
      </c>
      <c r="Q225" s="465">
        <f t="shared" si="141"/>
        <v>7082.9296022650906</v>
      </c>
      <c r="R225" s="467">
        <f t="shared" si="142"/>
        <v>991.28286637046608</v>
      </c>
      <c r="S225" s="464">
        <f t="shared" si="143"/>
        <v>95.728459127027506</v>
      </c>
      <c r="T225" s="465">
        <f t="shared" si="144"/>
        <v>6046.4428502961873</v>
      </c>
      <c r="U225" s="465">
        <f t="shared" si="145"/>
        <v>14216.383778058771</v>
      </c>
    </row>
    <row r="226" spans="1:21">
      <c r="A226">
        <f>'Input data'!A145</f>
        <v>2045</v>
      </c>
      <c r="C226" s="266">
        <f>'4A SWD Case 3'!BN115</f>
        <v>328.8910460191035</v>
      </c>
      <c r="D226" s="3">
        <f>'4B Biological treatment '!T279</f>
        <v>4.5739470653302572</v>
      </c>
      <c r="E226" s="152">
        <f>'4B Biological treatment '!U279</f>
        <v>22.869735326651284</v>
      </c>
      <c r="F226" s="152">
        <f>'4B Biological treatment '!W279</f>
        <v>1.3721841195990769</v>
      </c>
      <c r="G226" s="688">
        <f>'4C2 Open-burning '!R184</f>
        <v>10.041045851268189</v>
      </c>
      <c r="H226" s="688">
        <f>'4C2 Open-burning '!Z184</f>
        <v>3.3785045185918898</v>
      </c>
      <c r="I226" s="688">
        <f>'4C2 Open-burning '!AH184</f>
        <v>4.7034485180268579E-2</v>
      </c>
      <c r="J226" s="93">
        <f>'4D Wastewater treatment and dis'!AV221</f>
        <v>234.81630984302805</v>
      </c>
      <c r="K226" s="3">
        <f>'4D Wastewater treatment and dis'!AW221</f>
        <v>3.7011124725369502</v>
      </c>
      <c r="L226" s="465">
        <f t="shared" si="150"/>
        <v>6906.7119664011734</v>
      </c>
      <c r="M226" s="688">
        <f t="shared" si="146"/>
        <v>96.052888371935396</v>
      </c>
      <c r="N226" s="465">
        <f t="shared" si="147"/>
        <v>905.64151893539088</v>
      </c>
      <c r="O226" s="464">
        <f t="shared" si="148"/>
        <v>95.570331147581143</v>
      </c>
      <c r="P226" s="465">
        <f t="shared" si="149"/>
        <v>6078.4873731900434</v>
      </c>
      <c r="Q226" s="465">
        <f t="shared" si="141"/>
        <v>6906.7119664011734</v>
      </c>
      <c r="R226" s="467">
        <f t="shared" si="142"/>
        <v>1001.6944073073263</v>
      </c>
      <c r="S226" s="464">
        <f t="shared" si="143"/>
        <v>95.570331147581143</v>
      </c>
      <c r="T226" s="465">
        <f t="shared" si="144"/>
        <v>6078.4873731900434</v>
      </c>
      <c r="U226" s="465">
        <f t="shared" si="145"/>
        <v>14082.464078046123</v>
      </c>
    </row>
    <row r="227" spans="1:21">
      <c r="A227">
        <f>'Input data'!A146</f>
        <v>2046</v>
      </c>
      <c r="C227" s="266">
        <f>'4A SWD Case 3'!BN116</f>
        <v>320.95899167391008</v>
      </c>
      <c r="D227" s="3">
        <f>'4B Biological treatment '!T280</f>
        <v>4.624785204866706</v>
      </c>
      <c r="E227" s="152">
        <f>'4B Biological treatment '!U280</f>
        <v>23.123926024333528</v>
      </c>
      <c r="F227" s="152">
        <f>'4B Biological treatment '!W280</f>
        <v>1.3874355614600116</v>
      </c>
      <c r="G227" s="688">
        <f>'4C2 Open-burning '!R185</f>
        <v>10.025256548408835</v>
      </c>
      <c r="H227" s="688">
        <f>'4C2 Open-burning '!Z185</f>
        <v>3.3731919015751068</v>
      </c>
      <c r="I227" s="688">
        <f>'4C2 Open-burning '!AH185</f>
        <v>4.696052458469463E-2</v>
      </c>
      <c r="J227" s="93">
        <f>'4D Wastewater treatment and dis'!AV222</f>
        <v>236.00887467597451</v>
      </c>
      <c r="K227" s="3">
        <f>'4D Wastewater treatment and dis'!AW222</f>
        <v>3.7199093635215581</v>
      </c>
      <c r="L227" s="465">
        <f t="shared" si="150"/>
        <v>6740.1388251521112</v>
      </c>
      <c r="M227" s="688">
        <f t="shared" si="146"/>
        <v>97.120489302200824</v>
      </c>
      <c r="N227" s="465">
        <f t="shared" si="147"/>
        <v>915.70747056360767</v>
      </c>
      <c r="O227" s="464">
        <f t="shared" si="148"/>
        <v>95.420049102741416</v>
      </c>
      <c r="P227" s="465">
        <f t="shared" si="149"/>
        <v>6109.3582708871472</v>
      </c>
      <c r="Q227" s="465">
        <f t="shared" si="141"/>
        <v>6740.1388251521112</v>
      </c>
      <c r="R227" s="467">
        <f t="shared" si="142"/>
        <v>1012.8279598658085</v>
      </c>
      <c r="S227" s="464">
        <f t="shared" si="143"/>
        <v>95.420049102741416</v>
      </c>
      <c r="T227" s="465">
        <f t="shared" si="144"/>
        <v>6109.3582708871472</v>
      </c>
      <c r="U227" s="465">
        <f t="shared" si="145"/>
        <v>13957.745105007809</v>
      </c>
    </row>
    <row r="228" spans="1:21">
      <c r="A228">
        <f>'Input data'!A147</f>
        <v>2047</v>
      </c>
      <c r="C228" s="266">
        <f>'4A SWD Case 3'!BN117</f>
        <v>313.47474982479713</v>
      </c>
      <c r="D228" s="3">
        <f>'4B Biological treatment '!T281</f>
        <v>4.6563532603704525</v>
      </c>
      <c r="E228" s="152">
        <f>'4B Biological treatment '!U281</f>
        <v>23.281766301852258</v>
      </c>
      <c r="F228" s="152">
        <f>'4B Biological treatment '!W281</f>
        <v>1.3969059781111355</v>
      </c>
      <c r="G228" s="688">
        <f>'4C2 Open-burning '!R186</f>
        <v>10.010273437469358</v>
      </c>
      <c r="H228" s="688">
        <f>'4C2 Open-burning '!Z186</f>
        <v>3.3681505434574976</v>
      </c>
      <c r="I228" s="688">
        <f>'4C2 Open-burning '!AH186</f>
        <v>4.6890340370831285E-2</v>
      </c>
      <c r="J228" s="93">
        <f>'4D Wastewater treatment and dis'!AV223</f>
        <v>237.15533409440715</v>
      </c>
      <c r="K228" s="3">
        <f>'4D Wastewater treatment and dis'!AW223</f>
        <v>3.7379795531759945</v>
      </c>
      <c r="L228" s="465">
        <f t="shared" si="150"/>
        <v>6582.9697463207394</v>
      </c>
      <c r="M228" s="688">
        <f t="shared" si="146"/>
        <v>97.783418467779498</v>
      </c>
      <c r="N228" s="465">
        <f t="shared" si="147"/>
        <v>921.95794555334942</v>
      </c>
      <c r="O228" s="464">
        <f t="shared" si="148"/>
        <v>95.277440365034508</v>
      </c>
      <c r="P228" s="465">
        <f t="shared" si="149"/>
        <v>6139.0356774671081</v>
      </c>
      <c r="Q228" s="465">
        <f t="shared" si="141"/>
        <v>6582.9697463207394</v>
      </c>
      <c r="R228" s="467">
        <f t="shared" si="142"/>
        <v>1019.7413640211289</v>
      </c>
      <c r="S228" s="464">
        <f t="shared" si="143"/>
        <v>95.277440365034508</v>
      </c>
      <c r="T228" s="465">
        <f t="shared" si="144"/>
        <v>6139.0356774671081</v>
      </c>
      <c r="U228" s="465">
        <f t="shared" si="145"/>
        <v>13837.02422817401</v>
      </c>
    </row>
    <row r="229" spans="1:21">
      <c r="A229">
        <f>'Input data'!A148</f>
        <v>2048</v>
      </c>
      <c r="C229" s="266">
        <f>'4A SWD Case 3'!BN118</f>
        <v>306.40687217278503</v>
      </c>
      <c r="D229" s="3">
        <f>'4B Biological treatment '!T282</f>
        <v>4.6857618312286196</v>
      </c>
      <c r="E229" s="152">
        <f>'4B Biological treatment '!U282</f>
        <v>23.428809156143096</v>
      </c>
      <c r="F229" s="152">
        <f>'4B Biological treatment '!W282</f>
        <v>1.4057285493685856</v>
      </c>
      <c r="G229" s="688">
        <f>'4C2 Open-burning '!R187</f>
        <v>9.99607946969717</v>
      </c>
      <c r="H229" s="688">
        <f>'4C2 Open-burning '!Z187</f>
        <v>3.3633747078557676</v>
      </c>
      <c r="I229" s="688">
        <f>'4C2 Open-burning '!AH187</f>
        <v>4.6823852678541146E-2</v>
      </c>
      <c r="J229" s="93">
        <f>'4D Wastewater treatment and dis'!AV224</f>
        <v>238.25494716675203</v>
      </c>
      <c r="K229" s="3">
        <f>'4D Wastewater treatment and dis'!AW224</f>
        <v>3.7553113631330666</v>
      </c>
      <c r="L229" s="465">
        <f t="shared" si="150"/>
        <v>6434.5443156284855</v>
      </c>
      <c r="M229" s="688">
        <f t="shared" si="146"/>
        <v>98.400998455801016</v>
      </c>
      <c r="N229" s="465">
        <f t="shared" si="147"/>
        <v>927.78084258326658</v>
      </c>
      <c r="O229" s="464">
        <f t="shared" si="148"/>
        <v>95.142342665016045</v>
      </c>
      <c r="P229" s="465">
        <f t="shared" si="149"/>
        <v>6167.500413073044</v>
      </c>
      <c r="Q229" s="465">
        <f t="shared" si="141"/>
        <v>6434.5443156284855</v>
      </c>
      <c r="R229" s="467">
        <f t="shared" si="142"/>
        <v>1026.1818410390676</v>
      </c>
      <c r="S229" s="464">
        <f t="shared" si="143"/>
        <v>95.142342665016045</v>
      </c>
      <c r="T229" s="465">
        <f t="shared" si="144"/>
        <v>6167.500413073044</v>
      </c>
      <c r="U229" s="465">
        <f t="shared" si="145"/>
        <v>13723.368912405615</v>
      </c>
    </row>
    <row r="230" spans="1:21">
      <c r="A230">
        <f>'Input data'!A149</f>
        <v>2049</v>
      </c>
      <c r="C230" s="266">
        <f>'4A SWD Case 3'!BN119</f>
        <v>299.73356807165283</v>
      </c>
      <c r="D230" s="3">
        <f>'4B Biological treatment '!T283</f>
        <v>4.7150638414144481</v>
      </c>
      <c r="E230" s="152">
        <f>'4B Biological treatment '!U283</f>
        <v>23.575319207072237</v>
      </c>
      <c r="F230" s="152">
        <f>'4B Biological treatment '!W283</f>
        <v>1.4145191524243343</v>
      </c>
      <c r="G230" s="688">
        <f>'4C2 Open-burning '!R188</f>
        <v>9.982658640399011</v>
      </c>
      <c r="H230" s="688">
        <f>'4C2 Open-burning '!Z188</f>
        <v>3.3588590096806268</v>
      </c>
      <c r="I230" s="688">
        <f>'4C2 Open-burning '!AH188</f>
        <v>4.6760986538292283E-2</v>
      </c>
      <c r="J230" s="93">
        <f>'4D Wastewater treatment and dis'!AV225</f>
        <v>239.30700026005374</v>
      </c>
      <c r="K230" s="3">
        <f>'4D Wastewater treatment and dis'!AW225</f>
        <v>3.7718935452991729</v>
      </c>
      <c r="L230" s="465">
        <f t="shared" si="150"/>
        <v>6294.4049295047098</v>
      </c>
      <c r="M230" s="688">
        <f t="shared" si="146"/>
        <v>99.016340669703411</v>
      </c>
      <c r="N230" s="465">
        <f t="shared" si="147"/>
        <v>933.58264060006059</v>
      </c>
      <c r="O230" s="464">
        <f t="shared" si="148"/>
        <v>95.014603670562778</v>
      </c>
      <c r="P230" s="465">
        <f t="shared" si="149"/>
        <v>6194.7340045038718</v>
      </c>
      <c r="Q230" s="465">
        <f t="shared" si="141"/>
        <v>6294.4049295047098</v>
      </c>
      <c r="R230" s="467">
        <f t="shared" si="142"/>
        <v>1032.598981269764</v>
      </c>
      <c r="S230" s="464">
        <f t="shared" si="143"/>
        <v>95.014603670562778</v>
      </c>
      <c r="T230" s="465">
        <f t="shared" si="144"/>
        <v>6194.7340045038718</v>
      </c>
      <c r="U230" s="465">
        <f t="shared" si="145"/>
        <v>13616.75251894891</v>
      </c>
    </row>
    <row r="231" spans="1:21">
      <c r="A231">
        <f>'Input data'!A150</f>
        <v>2050</v>
      </c>
      <c r="C231" s="266">
        <f>'4A SWD Case 3'!BN120</f>
        <v>293.43504720089936</v>
      </c>
      <c r="D231" s="3">
        <f>'4B Biological treatment '!T284</f>
        <v>4.7437134393206453</v>
      </c>
      <c r="E231" s="152">
        <f>'4B Biological treatment '!U284</f>
        <v>23.718567196603225</v>
      </c>
      <c r="F231" s="152">
        <f>'4B Biological treatment '!W284</f>
        <v>1.4231140317961932</v>
      </c>
      <c r="G231" s="688">
        <f>'4C2 Open-burning '!R189</f>
        <v>9.9699959479754288</v>
      </c>
      <c r="H231" s="688">
        <f>'4C2 Open-burning '!Z189</f>
        <v>3.3545984013531376</v>
      </c>
      <c r="I231" s="688">
        <f>'4C2 Open-burning '!AH189</f>
        <v>4.6701671679266518E-2</v>
      </c>
      <c r="J231" s="93">
        <f>'4D Wastewater treatment and dis'!AV226</f>
        <v>240.31080780951893</v>
      </c>
      <c r="K231" s="3">
        <f>'4D Wastewater treatment and dis'!AW226</f>
        <v>3.7877152939836489</v>
      </c>
      <c r="L231" s="465">
        <f t="shared" si="150"/>
        <v>6162.1359912188864</v>
      </c>
      <c r="M231" s="688">
        <f t="shared" si="146"/>
        <v>99.617982225733556</v>
      </c>
      <c r="N231" s="465">
        <f t="shared" si="147"/>
        <v>939.25526098548767</v>
      </c>
      <c r="O231" s="464">
        <f t="shared" si="148"/>
        <v>94.894080596963946</v>
      </c>
      <c r="P231" s="465">
        <f t="shared" si="149"/>
        <v>6220.7187051348292</v>
      </c>
      <c r="Q231" s="417">
        <f t="shared" si="141"/>
        <v>6162.1359912188864</v>
      </c>
      <c r="R231" s="463">
        <f t="shared" si="142"/>
        <v>1038.8732432112213</v>
      </c>
      <c r="S231" s="460">
        <f t="shared" si="143"/>
        <v>94.894080596963946</v>
      </c>
      <c r="T231" s="417">
        <f t="shared" si="144"/>
        <v>6220.7187051348292</v>
      </c>
      <c r="U231" s="417">
        <f t="shared" si="145"/>
        <v>13516.6220201619</v>
      </c>
    </row>
    <row r="232" spans="1:21">
      <c r="E232" s="461"/>
    </row>
    <row r="233" spans="1:21">
      <c r="E233" s="461"/>
    </row>
  </sheetData>
  <mergeCells count="32">
    <mergeCell ref="W3:AD3"/>
    <mergeCell ref="C5:K5"/>
    <mergeCell ref="W6:W7"/>
    <mergeCell ref="X5:AB5"/>
    <mergeCell ref="AD5:AH5"/>
    <mergeCell ref="A6:A8"/>
    <mergeCell ref="G7:I7"/>
    <mergeCell ref="E7:F7"/>
    <mergeCell ref="J7:K7"/>
    <mergeCell ref="B6:B7"/>
    <mergeCell ref="G6:I6"/>
    <mergeCell ref="D6:F6"/>
    <mergeCell ref="J6:K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CJ5:CM6"/>
    <mergeCell ref="CF5:CI6"/>
    <mergeCell ref="CB5:CE6"/>
    <mergeCell ref="BU5:BW6"/>
    <mergeCell ref="BX5:BZ6"/>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5"/>
  <cols>
    <col min="2" max="26" width="8.85546875" customWidth="1"/>
  </cols>
  <sheetData>
    <row r="1" spans="63:152">
      <c r="BK1" t="s">
        <v>520</v>
      </c>
    </row>
    <row r="3" spans="63:152">
      <c r="EV3" s="468" t="s">
        <v>810</v>
      </c>
    </row>
    <row r="4" spans="63:152" ht="31.5">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5"/>
  <cols>
    <col min="3" max="3" width="11.5703125" customWidth="1"/>
    <col min="4" max="4" width="12.7109375" customWidth="1"/>
    <col min="5" max="6" width="13.140625" customWidth="1"/>
    <col min="9" max="9" width="11.140625" customWidth="1"/>
    <col min="10" max="10" width="12.5703125" customWidth="1"/>
    <col min="11" max="11" width="11.42578125" customWidth="1"/>
    <col min="12" max="12" width="17.42578125" customWidth="1"/>
    <col min="13" max="13" width="12" customWidth="1"/>
  </cols>
  <sheetData>
    <row r="1" spans="1:13" ht="15.75" thickBot="1">
      <c r="B1" s="1475" t="s">
        <v>743</v>
      </c>
      <c r="C1" s="1476"/>
      <c r="D1" s="1476"/>
      <c r="E1" s="1476"/>
      <c r="F1" s="1477"/>
      <c r="H1" s="1475" t="s">
        <v>744</v>
      </c>
      <c r="I1" s="1476"/>
      <c r="J1" s="1476"/>
      <c r="K1" s="1476"/>
      <c r="L1" s="1477"/>
      <c r="M1" s="1448" t="s">
        <v>747</v>
      </c>
    </row>
    <row r="2" spans="1:13">
      <c r="B2" s="1440" t="s">
        <v>518</v>
      </c>
      <c r="C2" s="1441"/>
      <c r="D2" s="1441"/>
      <c r="E2" s="1441"/>
      <c r="F2" s="1442"/>
      <c r="H2" s="1440" t="s">
        <v>518</v>
      </c>
      <c r="I2" s="1441"/>
      <c r="J2" s="1441"/>
      <c r="K2" s="1441"/>
      <c r="L2" s="1442"/>
      <c r="M2" s="1449"/>
    </row>
    <row r="3" spans="1:13">
      <c r="B3" s="455" t="s">
        <v>187</v>
      </c>
      <c r="C3" s="458" t="s">
        <v>194</v>
      </c>
      <c r="D3" s="458" t="s">
        <v>513</v>
      </c>
      <c r="E3" s="458" t="s">
        <v>517</v>
      </c>
      <c r="F3" s="459">
        <v>4</v>
      </c>
      <c r="H3" s="455" t="s">
        <v>187</v>
      </c>
      <c r="I3" s="458" t="s">
        <v>194</v>
      </c>
      <c r="J3" s="458" t="s">
        <v>513</v>
      </c>
      <c r="K3" s="458" t="s">
        <v>517</v>
      </c>
      <c r="L3" s="459">
        <v>4</v>
      </c>
      <c r="M3" s="1449"/>
    </row>
    <row r="4" spans="1:13" ht="75">
      <c r="B4" s="455" t="s">
        <v>233</v>
      </c>
      <c r="C4" s="458" t="s">
        <v>512</v>
      </c>
      <c r="D4" s="458" t="s">
        <v>38</v>
      </c>
      <c r="E4" s="458" t="s">
        <v>193</v>
      </c>
      <c r="F4" s="459" t="s">
        <v>627</v>
      </c>
      <c r="H4" s="455" t="s">
        <v>233</v>
      </c>
      <c r="I4" s="458" t="s">
        <v>512</v>
      </c>
      <c r="J4" s="458" t="s">
        <v>38</v>
      </c>
      <c r="K4" s="458" t="s">
        <v>193</v>
      </c>
      <c r="L4" s="459" t="s">
        <v>627</v>
      </c>
      <c r="M4" s="1449"/>
    </row>
    <row r="5" spans="1:13" ht="15.75" thickBot="1">
      <c r="B5" s="1437" t="s">
        <v>515</v>
      </c>
      <c r="C5" s="1438"/>
      <c r="D5" s="1438"/>
      <c r="E5" s="1438"/>
      <c r="F5" s="1439"/>
      <c r="H5" s="1437" t="s">
        <v>515</v>
      </c>
      <c r="I5" s="1438"/>
      <c r="J5" s="1438"/>
      <c r="K5" s="1438"/>
      <c r="L5" s="1439"/>
      <c r="M5" s="1450"/>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Guy Cunliffe</cp:lastModifiedBy>
  <dcterms:created xsi:type="dcterms:W3CDTF">2020-04-24T15:45:05Z</dcterms:created>
  <dcterms:modified xsi:type="dcterms:W3CDTF">2023-03-21T14:10:41Z</dcterms:modified>
</cp:coreProperties>
</file>